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7.bin" ContentType="application/vnd.openxmlformats-officedocument.spreadsheetml.customProperty"/>
  <Override PartName="/docProps/app.xml" ContentType="application/vnd.openxmlformats-officedocument.extended-properties+xml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stdpt2\RPL\GrpRevnu\PUBLIC\# 2024 GRC\01 Original Filing\Testimony and Exhibits\Chris Mickelson\"/>
    </mc:Choice>
  </mc:AlternateContent>
  <xr:revisionPtr revIDLastSave="0" documentId="13_ncr:1_{C64F882C-F4DB-4B9E-8847-BE39A2FDBF06}" xr6:coauthVersionLast="47" xr6:coauthVersionMax="47" xr10:uidLastSave="{00000000-0000-0000-0000-000000000000}"/>
  <bookViews>
    <workbookView xWindow="1845" yWindow="1515" windowWidth="26205" windowHeight="13920" tabRatio="1000" activeTab="1" xr2:uid="{4196430C-AD59-48F2-9BCB-65FC22C4A15F}"/>
  </bookViews>
  <sheets>
    <sheet name="Exh CTM-8 (Rate Impacts_RY#1)" sheetId="1" r:id="rId1"/>
    <sheet name="Exh CTM-8 (Rate Impacts_RY#2)" sheetId="2" r:id="rId2"/>
    <sheet name="Exh CTM-8 (Avg Per kWh)" sheetId="3" r:id="rId3"/>
    <sheet name="Exh CTM-8 (Res Bill Summary)" sheetId="4" r:id="rId4"/>
    <sheet name="Exh CTM-8 Typical Res Bill RY#1" sheetId="5" r:id="rId5"/>
    <sheet name="Exh CTM-8 Typical Res Bill RY#2" sheetId="6" r:id="rId6"/>
    <sheet name="Exh CTM-8 (Schedule 24 Impacts)" sheetId="7" r:id="rId7"/>
    <sheet name="Exh CTM-8 (Schedule 25 Impacts)" sheetId="8" r:id="rId8"/>
    <sheet name="Exh CTM-8 (Schedule 26 Impacts)" sheetId="9" r:id="rId9"/>
    <sheet name="Exh CTM-8 (Schedule 29 Impacts)" sheetId="10" r:id="rId10"/>
    <sheet name="Exh CTM-8 (Schedule 31 Impacts)" sheetId="11" r:id="rId11"/>
    <sheet name="Exh CTM-8 (Schedule 46 Impacts)" sheetId="12" r:id="rId12"/>
    <sheet name="Exh CTM-8 (Schedule 49 Impacts)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13" l="1"/>
  <c r="A11" i="13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D11" i="13"/>
  <c r="D12" i="13"/>
  <c r="D14" i="13"/>
  <c r="N10" i="13"/>
  <c r="P10" i="13"/>
  <c r="Q14" i="13"/>
  <c r="S10" i="13"/>
  <c r="T14" i="13"/>
  <c r="D15" i="13"/>
  <c r="Q15" i="13"/>
  <c r="D16" i="13"/>
  <c r="D18" i="13"/>
  <c r="D19" i="13"/>
  <c r="D20" i="13"/>
  <c r="D22" i="13"/>
  <c r="D23" i="13"/>
  <c r="D24" i="13"/>
  <c r="D26" i="13"/>
  <c r="D27" i="13"/>
  <c r="D28" i="13"/>
  <c r="D30" i="13"/>
  <c r="D31" i="13"/>
  <c r="D32" i="13"/>
  <c r="D10" i="12"/>
  <c r="A11" i="12"/>
  <c r="D11" i="12"/>
  <c r="A12" i="12"/>
  <c r="D12" i="12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D14" i="12"/>
  <c r="N10" i="12"/>
  <c r="S10" i="12"/>
  <c r="D15" i="12"/>
  <c r="T15" i="12"/>
  <c r="D16" i="12"/>
  <c r="D18" i="12"/>
  <c r="D19" i="12"/>
  <c r="D20" i="12"/>
  <c r="S41" i="12"/>
  <c r="D22" i="12"/>
  <c r="D23" i="12"/>
  <c r="N41" i="12"/>
  <c r="D24" i="12"/>
  <c r="D26" i="12"/>
  <c r="D27" i="12"/>
  <c r="D28" i="12"/>
  <c r="D30" i="12"/>
  <c r="D31" i="12"/>
  <c r="D32" i="12"/>
  <c r="A37" i="12"/>
  <c r="A38" i="12" s="1"/>
  <c r="A39" i="12"/>
  <c r="A40" i="12" s="1"/>
  <c r="A41" i="12" s="1"/>
  <c r="A42" i="12" s="1"/>
  <c r="A43" i="12" s="1"/>
  <c r="A44" i="12" s="1"/>
  <c r="A45" i="12" s="1"/>
  <c r="D10" i="11"/>
  <c r="S10" i="11"/>
  <c r="T10" i="11"/>
  <c r="A11" i="11"/>
  <c r="B11" i="11"/>
  <c r="D11" i="1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B12" i="11"/>
  <c r="D12" i="11"/>
  <c r="B14" i="11"/>
  <c r="D14" i="11"/>
  <c r="N14" i="11"/>
  <c r="P14" i="11"/>
  <c r="Q14" i="11" s="1"/>
  <c r="N18" i="11"/>
  <c r="P18" i="11"/>
  <c r="Q18" i="11"/>
  <c r="M21" i="11"/>
  <c r="N10" i="11"/>
  <c r="P10" i="11"/>
  <c r="Q21" i="11"/>
  <c r="T21" i="11"/>
  <c r="M22" i="11"/>
  <c r="T22" i="11"/>
  <c r="M23" i="11"/>
  <c r="Q23" i="11"/>
  <c r="M24" i="11"/>
  <c r="N15" i="11"/>
  <c r="M25" i="11"/>
  <c r="N16" i="11"/>
  <c r="P16" i="11"/>
  <c r="Q25" i="11"/>
  <c r="T25" i="11"/>
  <c r="M26" i="11"/>
  <c r="Q26" i="11"/>
  <c r="S18" i="11"/>
  <c r="T26" i="11"/>
  <c r="P53" i="11"/>
  <c r="A11" i="10"/>
  <c r="A12" i="10" s="1"/>
  <c r="A13" i="10" s="1"/>
  <c r="D11" i="10"/>
  <c r="N11" i="10"/>
  <c r="P11" i="10"/>
  <c r="Q11" i="10"/>
  <c r="B12" i="10"/>
  <c r="D12" i="10"/>
  <c r="B13" i="10"/>
  <c r="D13" i="10"/>
  <c r="A14" i="10"/>
  <c r="A15" i="10"/>
  <c r="A16" i="10" s="1"/>
  <c r="A17" i="10" s="1"/>
  <c r="A18" i="10" s="1"/>
  <c r="A19" i="10" s="1"/>
  <c r="A20" i="10" s="1"/>
  <c r="A21" i="10" s="1"/>
  <c r="D15" i="10"/>
  <c r="B16" i="10"/>
  <c r="D16" i="10"/>
  <c r="B17" i="10"/>
  <c r="D17" i="10"/>
  <c r="D19" i="10"/>
  <c r="B20" i="10"/>
  <c r="D20" i="10"/>
  <c r="B21" i="10"/>
  <c r="D21" i="10"/>
  <c r="A22" i="10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D24" i="10"/>
  <c r="P24" i="10"/>
  <c r="B25" i="10"/>
  <c r="B26" i="10" s="1"/>
  <c r="D25" i="10"/>
  <c r="N25" i="10"/>
  <c r="D26" i="10"/>
  <c r="D28" i="10"/>
  <c r="B29" i="10"/>
  <c r="D29" i="10"/>
  <c r="B30" i="10"/>
  <c r="D30" i="10"/>
  <c r="M30" i="10"/>
  <c r="N10" i="10"/>
  <c r="S10" i="10"/>
  <c r="M31" i="10"/>
  <c r="Q31" i="10"/>
  <c r="D32" i="10"/>
  <c r="M32" i="10"/>
  <c r="Q32" i="10"/>
  <c r="T32" i="10"/>
  <c r="B33" i="10"/>
  <c r="B34" i="10" s="1"/>
  <c r="D33" i="10"/>
  <c r="M33" i="10"/>
  <c r="T33" i="10"/>
  <c r="D34" i="10"/>
  <c r="Q34" i="10"/>
  <c r="M35" i="10"/>
  <c r="Q35" i="10"/>
  <c r="T35" i="10"/>
  <c r="D36" i="10"/>
  <c r="M36" i="10"/>
  <c r="Q36" i="10"/>
  <c r="T36" i="10"/>
  <c r="B37" i="10"/>
  <c r="B38" i="10" s="1"/>
  <c r="D37" i="10"/>
  <c r="Q37" i="10"/>
  <c r="D38" i="10"/>
  <c r="M38" i="10"/>
  <c r="N21" i="10"/>
  <c r="P21" i="10"/>
  <c r="Q38" i="10"/>
  <c r="S21" i="10"/>
  <c r="T38" i="10"/>
  <c r="M39" i="10"/>
  <c r="N23" i="10"/>
  <c r="P23" i="10"/>
  <c r="Q23" i="10" s="1"/>
  <c r="S23" i="10"/>
  <c r="T23" i="10" s="1"/>
  <c r="T39" i="10"/>
  <c r="M40" i="10"/>
  <c r="N24" i="10"/>
  <c r="Q24" i="10" s="1"/>
  <c r="Q40" i="10"/>
  <c r="S24" i="10"/>
  <c r="T24" i="10" s="1"/>
  <c r="T40" i="10"/>
  <c r="M41" i="10"/>
  <c r="P25" i="10"/>
  <c r="Q25" i="10" s="1"/>
  <c r="Q41" i="10"/>
  <c r="T41" i="10"/>
  <c r="M42" i="10"/>
  <c r="N27" i="10"/>
  <c r="P27" i="10"/>
  <c r="Q27" i="10" s="1"/>
  <c r="S27" i="10"/>
  <c r="S70" i="10"/>
  <c r="A64" i="10"/>
  <c r="A65" i="10" s="1"/>
  <c r="A66" i="10" s="1"/>
  <c r="A67" i="10"/>
  <c r="A68" i="10" s="1"/>
  <c r="A69" i="10" s="1"/>
  <c r="A70" i="10" s="1"/>
  <c r="A71" i="10" s="1"/>
  <c r="A72" i="10" s="1"/>
  <c r="A73" i="10" s="1"/>
  <c r="A74" i="10" s="1"/>
  <c r="D10" i="9"/>
  <c r="N10" i="9"/>
  <c r="P10" i="9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B11" i="9"/>
  <c r="D11" i="9"/>
  <c r="B12" i="9"/>
  <c r="D12" i="9"/>
  <c r="B14" i="9"/>
  <c r="D15" i="9" s="1"/>
  <c r="D14" i="9"/>
  <c r="B15" i="9"/>
  <c r="B16" i="9" s="1"/>
  <c r="B18" i="9" s="1"/>
  <c r="D16" i="9"/>
  <c r="D19" i="9"/>
  <c r="Q21" i="9"/>
  <c r="S10" i="9"/>
  <c r="T21" i="9"/>
  <c r="A22" i="9"/>
  <c r="A23" i="9" s="1"/>
  <c r="Q22" i="9"/>
  <c r="Q23" i="9"/>
  <c r="T23" i="9"/>
  <c r="A24" i="9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Q25" i="9"/>
  <c r="S16" i="9"/>
  <c r="T25" i="9"/>
  <c r="P18" i="9"/>
  <c r="S18" i="9"/>
  <c r="T26" i="9"/>
  <c r="N51" i="9"/>
  <c r="S51" i="9"/>
  <c r="D10" i="8"/>
  <c r="A11" i="8"/>
  <c r="B11" i="8"/>
  <c r="D11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B12" i="8"/>
  <c r="D12" i="8"/>
  <c r="D14" i="8"/>
  <c r="B15" i="8"/>
  <c r="D15" i="8"/>
  <c r="B16" i="8"/>
  <c r="D16" i="8"/>
  <c r="D18" i="8"/>
  <c r="Q18" i="8"/>
  <c r="T18" i="8"/>
  <c r="B19" i="8"/>
  <c r="D19" i="8"/>
  <c r="B20" i="8"/>
  <c r="D20" i="8"/>
  <c r="S20" i="8"/>
  <c r="T20" i="8"/>
  <c r="D22" i="8"/>
  <c r="P22" i="8"/>
  <c r="Q22" i="8"/>
  <c r="S22" i="8"/>
  <c r="T22" i="8" s="1"/>
  <c r="B23" i="8"/>
  <c r="D23" i="8"/>
  <c r="B24" i="8"/>
  <c r="D24" i="8"/>
  <c r="D26" i="8"/>
  <c r="B27" i="8"/>
  <c r="B28" i="8" s="1"/>
  <c r="D27" i="8"/>
  <c r="M27" i="8"/>
  <c r="N10" i="8"/>
  <c r="P10" i="8"/>
  <c r="S10" i="8"/>
  <c r="T27" i="8"/>
  <c r="D28" i="8"/>
  <c r="M28" i="8"/>
  <c r="Q28" i="8"/>
  <c r="T28" i="8"/>
  <c r="M29" i="8"/>
  <c r="Q29" i="8"/>
  <c r="T29" i="8"/>
  <c r="D30" i="8"/>
  <c r="M30" i="8"/>
  <c r="Q30" i="8"/>
  <c r="T30" i="8"/>
  <c r="B31" i="8"/>
  <c r="D31" i="8"/>
  <c r="M31" i="8"/>
  <c r="T31" i="8"/>
  <c r="B32" i="8"/>
  <c r="D32" i="8"/>
  <c r="M32" i="8"/>
  <c r="Q32" i="8"/>
  <c r="T32" i="8"/>
  <c r="M33" i="8"/>
  <c r="N20" i="8"/>
  <c r="P20" i="8"/>
  <c r="Q20" i="8" s="1"/>
  <c r="T33" i="8"/>
  <c r="D34" i="8"/>
  <c r="M34" i="8"/>
  <c r="N21" i="8"/>
  <c r="P21" i="8"/>
  <c r="Q34" i="8"/>
  <c r="S21" i="8"/>
  <c r="T21" i="8" s="1"/>
  <c r="T34" i="8"/>
  <c r="B35" i="8"/>
  <c r="B36" i="8" s="1"/>
  <c r="D35" i="8"/>
  <c r="M35" i="8"/>
  <c r="N22" i="8"/>
  <c r="T35" i="8"/>
  <c r="D36" i="8"/>
  <c r="M36" i="8"/>
  <c r="N24" i="8"/>
  <c r="P24" i="8"/>
  <c r="Q36" i="8"/>
  <c r="T36" i="8"/>
  <c r="S12" i="8"/>
  <c r="S63" i="8"/>
  <c r="A12" i="7"/>
  <c r="B12" i="7"/>
  <c r="A13" i="7"/>
  <c r="B13" i="7"/>
  <c r="A14" i="7"/>
  <c r="A15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B16" i="7"/>
  <c r="B17" i="7"/>
  <c r="B19" i="7" s="1"/>
  <c r="U18" i="7"/>
  <c r="W11" i="7"/>
  <c r="Y11" i="7"/>
  <c r="Z11" i="7"/>
  <c r="AD11" i="7"/>
  <c r="AF18" i="7"/>
  <c r="U19" i="7"/>
  <c r="W19" i="7"/>
  <c r="Z19" i="7"/>
  <c r="AG19" i="7" s="1"/>
  <c r="AA19" i="7"/>
  <c r="AB19" i="7"/>
  <c r="AE19" i="7"/>
  <c r="AF19" i="7"/>
  <c r="U20" i="7"/>
  <c r="W20" i="7"/>
  <c r="AE20" i="7"/>
  <c r="AF20" i="7"/>
  <c r="U21" i="7"/>
  <c r="W21" i="7"/>
  <c r="Z21" i="7"/>
  <c r="AB21" i="7"/>
  <c r="AE21" i="7"/>
  <c r="AG21" i="7" s="1"/>
  <c r="W23" i="7"/>
  <c r="Y46" i="7"/>
  <c r="Z23" i="7"/>
  <c r="AE23" i="7"/>
  <c r="W24" i="7"/>
  <c r="Z24" i="7"/>
  <c r="AE24" i="7"/>
  <c r="AE46" i="7" s="1"/>
  <c r="W25" i="7"/>
  <c r="Z25" i="7"/>
  <c r="AE25" i="7"/>
  <c r="W26" i="7"/>
  <c r="Z26" i="7"/>
  <c r="AE26" i="7"/>
  <c r="W27" i="7"/>
  <c r="Z27" i="7"/>
  <c r="AE27" i="7"/>
  <c r="W28" i="7"/>
  <c r="Z28" i="7"/>
  <c r="AE28" i="7"/>
  <c r="W29" i="7"/>
  <c r="Z29" i="7"/>
  <c r="AE29" i="7"/>
  <c r="A30" i="7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W30" i="7"/>
  <c r="Z30" i="7"/>
  <c r="AE30" i="7"/>
  <c r="W31" i="7"/>
  <c r="Z31" i="7"/>
  <c r="AE31" i="7"/>
  <c r="Z32" i="7"/>
  <c r="AE32" i="7"/>
  <c r="W33" i="7"/>
  <c r="Z33" i="7"/>
  <c r="AE33" i="7"/>
  <c r="W34" i="7"/>
  <c r="Z34" i="7"/>
  <c r="AE34" i="7"/>
  <c r="W35" i="7"/>
  <c r="Z35" i="7"/>
  <c r="AE35" i="7"/>
  <c r="W36" i="7"/>
  <c r="Z36" i="7"/>
  <c r="AE36" i="7"/>
  <c r="W37" i="7"/>
  <c r="Z37" i="7"/>
  <c r="AE37" i="7"/>
  <c r="W38" i="7"/>
  <c r="Z38" i="7"/>
  <c r="AE38" i="7"/>
  <c r="W39" i="7"/>
  <c r="Z39" i="7"/>
  <c r="AE39" i="7"/>
  <c r="W40" i="7"/>
  <c r="Z40" i="7"/>
  <c r="AE40" i="7"/>
  <c r="W41" i="7"/>
  <c r="Z41" i="7"/>
  <c r="AE41" i="7"/>
  <c r="W42" i="7"/>
  <c r="Z42" i="7"/>
  <c r="AE42" i="7"/>
  <c r="W43" i="7"/>
  <c r="Z43" i="7"/>
  <c r="AE43" i="7"/>
  <c r="W44" i="7"/>
  <c r="Z44" i="7"/>
  <c r="AE44" i="7"/>
  <c r="AD46" i="7"/>
  <c r="AF46" i="7"/>
  <c r="C9" i="6"/>
  <c r="I9" i="6"/>
  <c r="L9" i="6"/>
  <c r="O9" i="6"/>
  <c r="A10" i="6"/>
  <c r="A11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I33" i="6"/>
  <c r="A47" i="6"/>
  <c r="A48" i="6" s="1"/>
  <c r="A49" i="6" s="1"/>
  <c r="A50" i="6" s="1"/>
  <c r="A51" i="6" s="1"/>
  <c r="A52" i="6" s="1"/>
  <c r="A53" i="6" s="1"/>
  <c r="C9" i="5"/>
  <c r="L9" i="5" s="1"/>
  <c r="F9" i="5"/>
  <c r="I9" i="5"/>
  <c r="AA9" i="5"/>
  <c r="AD9" i="5"/>
  <c r="AG9" i="5"/>
  <c r="A10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I12" i="5"/>
  <c r="I17" i="5"/>
  <c r="O19" i="5"/>
  <c r="X20" i="5"/>
  <c r="I21" i="5"/>
  <c r="AG21" i="5"/>
  <c r="C21" i="6" s="1"/>
  <c r="C23" i="5"/>
  <c r="X23" i="5" s="1"/>
  <c r="AA23" i="5"/>
  <c r="O25" i="5"/>
  <c r="U25" i="5"/>
  <c r="L27" i="5"/>
  <c r="AG27" i="5"/>
  <c r="C27" i="6" s="1"/>
  <c r="R28" i="5"/>
  <c r="X28" i="5"/>
  <c r="C29" i="5"/>
  <c r="F29" i="5" s="1"/>
  <c r="AG29" i="5"/>
  <c r="C29" i="6" s="1"/>
  <c r="L30" i="5"/>
  <c r="C31" i="5"/>
  <c r="I32" i="5"/>
  <c r="X32" i="5"/>
  <c r="AG32" i="5" s="1"/>
  <c r="C32" i="6" s="1"/>
  <c r="L33" i="5"/>
  <c r="R33" i="5"/>
  <c r="B34" i="5"/>
  <c r="C35" i="5"/>
  <c r="F35" i="5" s="1"/>
  <c r="I35" i="5"/>
  <c r="O35" i="5"/>
  <c r="I38" i="5"/>
  <c r="O38" i="5"/>
  <c r="C39" i="5"/>
  <c r="B40" i="5"/>
  <c r="I41" i="5"/>
  <c r="O41" i="5"/>
  <c r="A45" i="5"/>
  <c r="A46" i="5"/>
  <c r="A47" i="5" s="1"/>
  <c r="A48" i="5" s="1"/>
  <c r="A49" i="5" s="1"/>
  <c r="A50" i="5" s="1"/>
  <c r="A51" i="5" s="1"/>
  <c r="A52" i="5" s="1"/>
  <c r="A53" i="5" s="1"/>
  <c r="K7" i="4"/>
  <c r="L7" i="4"/>
  <c r="O7" i="4" s="1"/>
  <c r="N7" i="4"/>
  <c r="E33" i="4"/>
  <c r="Q9" i="4"/>
  <c r="R9" i="4"/>
  <c r="W9" i="4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C12" i="5"/>
  <c r="U12" i="5" s="1"/>
  <c r="V12" i="5" s="1"/>
  <c r="V13" i="5" s="1"/>
  <c r="F12" i="6"/>
  <c r="Q10" i="4"/>
  <c r="F16" i="5"/>
  <c r="F16" i="6"/>
  <c r="R16" i="6" s="1"/>
  <c r="X17" i="4"/>
  <c r="Q11" i="4"/>
  <c r="C17" i="5"/>
  <c r="AD17" i="5" s="1"/>
  <c r="F17" i="5"/>
  <c r="W11" i="4"/>
  <c r="C19" i="5"/>
  <c r="I19" i="5"/>
  <c r="AG19" i="5" s="1"/>
  <c r="C19" i="6" s="1"/>
  <c r="B20" i="5"/>
  <c r="C20" i="5"/>
  <c r="U20" i="5" s="1"/>
  <c r="C21" i="5"/>
  <c r="F21" i="5" s="1"/>
  <c r="T11" i="4"/>
  <c r="C24" i="5"/>
  <c r="C25" i="5"/>
  <c r="L25" i="5"/>
  <c r="AG25" i="5" s="1"/>
  <c r="C25" i="6" s="1"/>
  <c r="I25" i="6" s="1"/>
  <c r="B26" i="6"/>
  <c r="C26" i="5"/>
  <c r="C27" i="5"/>
  <c r="I27" i="5" s="1"/>
  <c r="B28" i="5"/>
  <c r="C28" i="5"/>
  <c r="O28" i="5" s="1"/>
  <c r="C33" i="4"/>
  <c r="C30" i="5"/>
  <c r="AG30" i="5" s="1"/>
  <c r="C30" i="6" s="1"/>
  <c r="O31" i="5"/>
  <c r="AG31" i="5" s="1"/>
  <c r="C31" i="6" s="1"/>
  <c r="C32" i="5"/>
  <c r="I32" i="6"/>
  <c r="R32" i="6" s="1"/>
  <c r="C33" i="5"/>
  <c r="I33" i="5" s="1"/>
  <c r="AA33" i="5"/>
  <c r="AG33" i="5" s="1"/>
  <c r="C33" i="6" s="1"/>
  <c r="L33" i="6"/>
  <c r="R33" i="6" s="1"/>
  <c r="C34" i="5"/>
  <c r="F34" i="5" s="1"/>
  <c r="R35" i="5"/>
  <c r="AG35" i="5" s="1"/>
  <c r="C35" i="6" s="1"/>
  <c r="B36" i="5"/>
  <c r="C36" i="5"/>
  <c r="U36" i="5"/>
  <c r="AG36" i="5" s="1"/>
  <c r="C36" i="6" s="1"/>
  <c r="C37" i="5"/>
  <c r="F37" i="5" s="1"/>
  <c r="C38" i="5"/>
  <c r="F38" i="5" s="1"/>
  <c r="AD38" i="5"/>
  <c r="AG38" i="5" s="1"/>
  <c r="C38" i="6" s="1"/>
  <c r="O38" i="6"/>
  <c r="R38" i="6" s="1"/>
  <c r="C40" i="5"/>
  <c r="C41" i="5"/>
  <c r="U41" i="5" s="1"/>
  <c r="C42" i="5"/>
  <c r="C43" i="5"/>
  <c r="T48" i="4"/>
  <c r="E9" i="3"/>
  <c r="H9" i="3"/>
  <c r="I9" i="3"/>
  <c r="H11" i="3"/>
  <c r="J11" i="3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F12" i="3"/>
  <c r="H12" i="3"/>
  <c r="J12" i="3"/>
  <c r="C37" i="3"/>
  <c r="F13" i="3"/>
  <c r="H13" i="3"/>
  <c r="H25" i="3" s="1"/>
  <c r="L13" i="3"/>
  <c r="H14" i="3"/>
  <c r="J14" i="3"/>
  <c r="C39" i="3"/>
  <c r="H15" i="3"/>
  <c r="J15" i="3"/>
  <c r="F16" i="3"/>
  <c r="H16" i="3"/>
  <c r="J16" i="3" s="1"/>
  <c r="L16" i="3"/>
  <c r="F17" i="3"/>
  <c r="H17" i="3"/>
  <c r="J17" i="3"/>
  <c r="H18" i="3"/>
  <c r="J18" i="3" s="1"/>
  <c r="H19" i="3"/>
  <c r="J19" i="3" s="1"/>
  <c r="F20" i="3"/>
  <c r="H20" i="3"/>
  <c r="J20" i="3"/>
  <c r="C45" i="3"/>
  <c r="F21" i="3"/>
  <c r="H21" i="3"/>
  <c r="J21" i="3" s="1"/>
  <c r="L21" i="3"/>
  <c r="H22" i="3"/>
  <c r="J22" i="3"/>
  <c r="A23" i="3"/>
  <c r="A24" i="3" s="1"/>
  <c r="A25" i="3" s="1"/>
  <c r="F23" i="3"/>
  <c r="H23" i="3"/>
  <c r="J23" i="3"/>
  <c r="L23" i="3"/>
  <c r="F24" i="3"/>
  <c r="H24" i="3"/>
  <c r="L24" i="3"/>
  <c r="J24" i="3"/>
  <c r="D25" i="3"/>
  <c r="E33" i="3"/>
  <c r="H33" i="3"/>
  <c r="I33" i="3"/>
  <c r="C35" i="3"/>
  <c r="F35" i="3"/>
  <c r="H35" i="3"/>
  <c r="H49" i="3" s="1"/>
  <c r="L35" i="3"/>
  <c r="J35" i="3"/>
  <c r="A36" i="3"/>
  <c r="C36" i="3"/>
  <c r="L36" i="3"/>
  <c r="H36" i="3"/>
  <c r="J36" i="3" s="1"/>
  <c r="A37" i="3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F37" i="3"/>
  <c r="H37" i="3"/>
  <c r="J37" i="3" s="1"/>
  <c r="C38" i="3"/>
  <c r="F38" i="3"/>
  <c r="H38" i="3"/>
  <c r="L38" i="3"/>
  <c r="J38" i="3"/>
  <c r="F39" i="3"/>
  <c r="H39" i="3"/>
  <c r="L39" i="3"/>
  <c r="J39" i="3"/>
  <c r="C40" i="3"/>
  <c r="L40" i="3"/>
  <c r="H40" i="3"/>
  <c r="J40" i="3" s="1"/>
  <c r="C41" i="3"/>
  <c r="F41" i="3"/>
  <c r="H41" i="3"/>
  <c r="J41" i="3" s="1"/>
  <c r="C42" i="3"/>
  <c r="F42" i="3"/>
  <c r="H42" i="3"/>
  <c r="L42" i="3"/>
  <c r="J42" i="3"/>
  <c r="C43" i="3"/>
  <c r="F43" i="3"/>
  <c r="H43" i="3"/>
  <c r="L43" i="3"/>
  <c r="J43" i="3"/>
  <c r="C44" i="3"/>
  <c r="L44" i="3"/>
  <c r="H44" i="3"/>
  <c r="J44" i="3" s="1"/>
  <c r="F45" i="3"/>
  <c r="H45" i="3"/>
  <c r="J45" i="3" s="1"/>
  <c r="C46" i="3"/>
  <c r="F46" i="3"/>
  <c r="H46" i="3"/>
  <c r="L46" i="3"/>
  <c r="J46" i="3"/>
  <c r="C47" i="3"/>
  <c r="F47" i="3"/>
  <c r="H47" i="3"/>
  <c r="L47" i="3"/>
  <c r="J47" i="3"/>
  <c r="C48" i="3"/>
  <c r="L48" i="3"/>
  <c r="H48" i="3"/>
  <c r="J48" i="3" s="1"/>
  <c r="D49" i="3"/>
  <c r="I49" i="3"/>
  <c r="J49" i="3" s="1"/>
  <c r="E8" i="2"/>
  <c r="K8" i="2"/>
  <c r="L8" i="2"/>
  <c r="N8" i="2"/>
  <c r="O8" i="2"/>
  <c r="Q8" i="2"/>
  <c r="R8" i="2"/>
  <c r="B10" i="2"/>
  <c r="C10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B11" i="2"/>
  <c r="C11" i="2"/>
  <c r="B12" i="2"/>
  <c r="B13" i="2"/>
  <c r="C13" i="2"/>
  <c r="B14" i="2"/>
  <c r="B15" i="2"/>
  <c r="C15" i="2"/>
  <c r="B16" i="2"/>
  <c r="B17" i="2"/>
  <c r="C17" i="2"/>
  <c r="K24" i="2"/>
  <c r="B18" i="2"/>
  <c r="C18" i="2"/>
  <c r="B19" i="2"/>
  <c r="C19" i="2"/>
  <c r="B20" i="2"/>
  <c r="B21" i="2"/>
  <c r="C21" i="2"/>
  <c r="B22" i="2"/>
  <c r="B23" i="2"/>
  <c r="C23" i="2"/>
  <c r="D24" i="2"/>
  <c r="F24" i="2"/>
  <c r="H24" i="2"/>
  <c r="H27" i="2" s="1"/>
  <c r="N24" i="2"/>
  <c r="Q24" i="2"/>
  <c r="D27" i="2"/>
  <c r="N27" i="2"/>
  <c r="Q27" i="2"/>
  <c r="AH10" i="1"/>
  <c r="H10" i="1"/>
  <c r="U50" i="4" s="1"/>
  <c r="K10" i="1"/>
  <c r="N10" i="1"/>
  <c r="Q10" i="1"/>
  <c r="T10" i="1"/>
  <c r="W10" i="1"/>
  <c r="Z10" i="1"/>
  <c r="AC10" i="1"/>
  <c r="AF10" i="1"/>
  <c r="A11" i="1"/>
  <c r="H11" i="1"/>
  <c r="AB48" i="7" s="1"/>
  <c r="K11" i="1"/>
  <c r="N11" i="1"/>
  <c r="Q11" i="1"/>
  <c r="T11" i="1"/>
  <c r="W11" i="1"/>
  <c r="Z11" i="1"/>
  <c r="AC11" i="1"/>
  <c r="AF11" i="1"/>
  <c r="A12" i="1"/>
  <c r="C12" i="2"/>
  <c r="H12" i="1"/>
  <c r="Q65" i="8" s="1"/>
  <c r="K12" i="1"/>
  <c r="AH12" i="1"/>
  <c r="AI12" i="1" s="1"/>
  <c r="W12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D24" i="1"/>
  <c r="D27" i="1" s="1"/>
  <c r="H13" i="1"/>
  <c r="Q53" i="9" s="1"/>
  <c r="K13" i="1"/>
  <c r="N13" i="1"/>
  <c r="Q13" i="1"/>
  <c r="T13" i="1"/>
  <c r="W13" i="1"/>
  <c r="Z13" i="1"/>
  <c r="AC13" i="1"/>
  <c r="AF13" i="1"/>
  <c r="C14" i="2"/>
  <c r="K14" i="1"/>
  <c r="H14" i="1"/>
  <c r="Q72" i="10" s="1"/>
  <c r="N14" i="1"/>
  <c r="Q14" i="1"/>
  <c r="T14" i="1"/>
  <c r="Z14" i="1"/>
  <c r="AC14" i="1"/>
  <c r="AF14" i="1"/>
  <c r="AH14" i="1"/>
  <c r="H15" i="1"/>
  <c r="Q55" i="11" s="1"/>
  <c r="AH15" i="1"/>
  <c r="N15" i="1"/>
  <c r="Q15" i="1"/>
  <c r="T15" i="1"/>
  <c r="W15" i="1"/>
  <c r="Z15" i="1"/>
  <c r="AC15" i="1"/>
  <c r="AF15" i="1"/>
  <c r="C16" i="2"/>
  <c r="AH16" i="1"/>
  <c r="H16" i="1"/>
  <c r="K16" i="1"/>
  <c r="N16" i="1"/>
  <c r="Q16" i="1"/>
  <c r="T16" i="1"/>
  <c r="W16" i="1"/>
  <c r="Z16" i="1"/>
  <c r="AC16" i="1"/>
  <c r="AF16" i="1"/>
  <c r="H17" i="1"/>
  <c r="K17" i="1"/>
  <c r="N17" i="1"/>
  <c r="Q17" i="1"/>
  <c r="T17" i="1"/>
  <c r="W17" i="1"/>
  <c r="Z17" i="1"/>
  <c r="AC17" i="1"/>
  <c r="AF17" i="1"/>
  <c r="AH17" i="1"/>
  <c r="AI17" i="1" s="1"/>
  <c r="AH18" i="1"/>
  <c r="AI18" i="1" s="1"/>
  <c r="H18" i="1"/>
  <c r="Q43" i="12" s="1"/>
  <c r="K18" i="1"/>
  <c r="N18" i="1"/>
  <c r="T18" i="1"/>
  <c r="W18" i="1"/>
  <c r="Z18" i="1"/>
  <c r="AC18" i="1"/>
  <c r="AF18" i="1"/>
  <c r="H19" i="1"/>
  <c r="Q43" i="13" s="1"/>
  <c r="K19" i="1"/>
  <c r="N19" i="1"/>
  <c r="Q19" i="1"/>
  <c r="T19" i="1"/>
  <c r="W19" i="1"/>
  <c r="Z19" i="1"/>
  <c r="AC19" i="1"/>
  <c r="AF19" i="1"/>
  <c r="C20" i="2"/>
  <c r="T20" i="1"/>
  <c r="AH20" i="1"/>
  <c r="AI20" i="1" s="1"/>
  <c r="N21" i="3" s="1"/>
  <c r="Q20" i="1"/>
  <c r="AC20" i="1"/>
  <c r="H21" i="1"/>
  <c r="K21" i="1"/>
  <c r="N21" i="1"/>
  <c r="Q21" i="1"/>
  <c r="T21" i="1"/>
  <c r="W21" i="1"/>
  <c r="Z21" i="1"/>
  <c r="AC21" i="1"/>
  <c r="AF21" i="1"/>
  <c r="C22" i="2"/>
  <c r="K22" i="1"/>
  <c r="N22" i="1"/>
  <c r="Q22" i="1"/>
  <c r="Z22" i="1"/>
  <c r="AC22" i="1"/>
  <c r="AH22" i="1"/>
  <c r="H23" i="1"/>
  <c r="AH23" i="1"/>
  <c r="N23" i="1"/>
  <c r="Q23" i="1"/>
  <c r="T23" i="1"/>
  <c r="W23" i="1"/>
  <c r="Z23" i="1"/>
  <c r="AC23" i="1"/>
  <c r="AF23" i="1"/>
  <c r="M24" i="1"/>
  <c r="Y24" i="1"/>
  <c r="Q66" i="8" l="1"/>
  <c r="N13" i="3"/>
  <c r="AK11" i="1"/>
  <c r="E11" i="2" s="1"/>
  <c r="AK16" i="1"/>
  <c r="E16" i="2" s="1"/>
  <c r="AI16" i="1"/>
  <c r="AK15" i="1"/>
  <c r="E15" i="2" s="1"/>
  <c r="AI15" i="1"/>
  <c r="X11" i="4"/>
  <c r="K27" i="2"/>
  <c r="Q44" i="12"/>
  <c r="AI10" i="1"/>
  <c r="I42" i="5"/>
  <c r="AG42" i="5"/>
  <c r="C42" i="6" s="1"/>
  <c r="L42" i="5"/>
  <c r="O42" i="5"/>
  <c r="F42" i="5"/>
  <c r="R42" i="5"/>
  <c r="U42" i="5"/>
  <c r="X42" i="5"/>
  <c r="AA42" i="5"/>
  <c r="AD42" i="5"/>
  <c r="AK23" i="1"/>
  <c r="E23" i="2" s="1"/>
  <c r="AI23" i="1"/>
  <c r="N24" i="3" s="1"/>
  <c r="AK18" i="1"/>
  <c r="E18" i="2" s="1"/>
  <c r="AK10" i="1"/>
  <c r="K23" i="1"/>
  <c r="AK22" i="1"/>
  <c r="E22" i="2" s="1"/>
  <c r="K15" i="1"/>
  <c r="AK14" i="1"/>
  <c r="E14" i="2" s="1"/>
  <c r="E49" i="3"/>
  <c r="F49" i="3" s="1"/>
  <c r="F48" i="3"/>
  <c r="F44" i="3"/>
  <c r="F40" i="3"/>
  <c r="F36" i="3"/>
  <c r="L20" i="3"/>
  <c r="L18" i="3"/>
  <c r="N18" i="3" s="1"/>
  <c r="F18" i="3"/>
  <c r="J13" i="3"/>
  <c r="L12" i="3"/>
  <c r="AA36" i="5"/>
  <c r="F36" i="5"/>
  <c r="AD36" i="5"/>
  <c r="I36" i="5"/>
  <c r="O36" i="5"/>
  <c r="R36" i="5"/>
  <c r="X36" i="5"/>
  <c r="B25" i="5"/>
  <c r="U29" i="7"/>
  <c r="B25" i="6"/>
  <c r="O24" i="5"/>
  <c r="R24" i="5"/>
  <c r="U24" i="5"/>
  <c r="X24" i="5"/>
  <c r="AA24" i="5"/>
  <c r="F24" i="5"/>
  <c r="I24" i="5"/>
  <c r="L24" i="5"/>
  <c r="AD24" i="5"/>
  <c r="AG24" i="5"/>
  <c r="C24" i="6" s="1"/>
  <c r="W10" i="4"/>
  <c r="F39" i="5"/>
  <c r="AD39" i="5"/>
  <c r="I39" i="5"/>
  <c r="AG39" i="5"/>
  <c r="C39" i="6" s="1"/>
  <c r="L39" i="5"/>
  <c r="O39" i="5"/>
  <c r="R39" i="5"/>
  <c r="U39" i="5"/>
  <c r="X39" i="5"/>
  <c r="AA39" i="5"/>
  <c r="L29" i="6"/>
  <c r="O29" i="6"/>
  <c r="R29" i="6"/>
  <c r="F29" i="6"/>
  <c r="I29" i="6"/>
  <c r="U25" i="7"/>
  <c r="B21" i="5"/>
  <c r="B21" i="6"/>
  <c r="N20" i="1"/>
  <c r="F19" i="3"/>
  <c r="L19" i="3"/>
  <c r="N19" i="3" s="1"/>
  <c r="F11" i="3"/>
  <c r="L11" i="3"/>
  <c r="I34" i="5"/>
  <c r="AG34" i="5"/>
  <c r="C34" i="6" s="1"/>
  <c r="L34" i="5"/>
  <c r="O34" i="5"/>
  <c r="R34" i="5"/>
  <c r="U34" i="5"/>
  <c r="X34" i="5"/>
  <c r="AA34" i="5"/>
  <c r="AD34" i="5"/>
  <c r="R19" i="6"/>
  <c r="F19" i="6"/>
  <c r="O19" i="6"/>
  <c r="I19" i="6"/>
  <c r="L19" i="6"/>
  <c r="R10" i="4"/>
  <c r="C16" i="5"/>
  <c r="U17" i="4"/>
  <c r="L36" i="6"/>
  <c r="O36" i="6"/>
  <c r="R36" i="6"/>
  <c r="F36" i="6"/>
  <c r="I36" i="6"/>
  <c r="V24" i="1"/>
  <c r="W22" i="1"/>
  <c r="Z20" i="1"/>
  <c r="Q18" i="1"/>
  <c r="W14" i="1"/>
  <c r="N12" i="1"/>
  <c r="AK20" i="1"/>
  <c r="E20" i="2" s="1"/>
  <c r="AK12" i="1"/>
  <c r="E12" i="2" s="1"/>
  <c r="L45" i="3"/>
  <c r="L41" i="3"/>
  <c r="L37" i="3"/>
  <c r="R43" i="5"/>
  <c r="U43" i="5"/>
  <c r="X43" i="5"/>
  <c r="I43" i="5"/>
  <c r="L43" i="5"/>
  <c r="O43" i="5"/>
  <c r="AA43" i="5"/>
  <c r="AD43" i="5"/>
  <c r="AG43" i="5"/>
  <c r="C43" i="6" s="1"/>
  <c r="O32" i="5"/>
  <c r="R32" i="5"/>
  <c r="U32" i="5"/>
  <c r="L32" i="5"/>
  <c r="AA32" i="5"/>
  <c r="AD32" i="5"/>
  <c r="F32" i="5"/>
  <c r="L30" i="6"/>
  <c r="O30" i="6"/>
  <c r="R30" i="6"/>
  <c r="F30" i="6"/>
  <c r="I30" i="6"/>
  <c r="F43" i="5"/>
  <c r="R21" i="6"/>
  <c r="F21" i="6"/>
  <c r="I21" i="6"/>
  <c r="L21" i="6"/>
  <c r="O21" i="6"/>
  <c r="AI14" i="1"/>
  <c r="Z12" i="1"/>
  <c r="S24" i="1"/>
  <c r="AF22" i="1"/>
  <c r="T22" i="1"/>
  <c r="H22" i="1"/>
  <c r="AH21" i="1"/>
  <c r="W20" i="1"/>
  <c r="K20" i="1"/>
  <c r="AH13" i="1"/>
  <c r="L49" i="3"/>
  <c r="I25" i="3"/>
  <c r="U27" i="7"/>
  <c r="B23" i="6"/>
  <c r="B23" i="5"/>
  <c r="C22" i="5"/>
  <c r="R47" i="4"/>
  <c r="R48" i="4"/>
  <c r="T9" i="4"/>
  <c r="U9" i="4" s="1"/>
  <c r="F12" i="5"/>
  <c r="U16" i="4"/>
  <c r="J24" i="1"/>
  <c r="AI22" i="1"/>
  <c r="N23" i="3" s="1"/>
  <c r="AE24" i="1"/>
  <c r="G24" i="1"/>
  <c r="E24" i="1"/>
  <c r="N24" i="1" s="1"/>
  <c r="L22" i="3"/>
  <c r="F22" i="3"/>
  <c r="L14" i="3"/>
  <c r="F14" i="3"/>
  <c r="B41" i="5"/>
  <c r="B41" i="6"/>
  <c r="U43" i="7"/>
  <c r="B39" i="6"/>
  <c r="U41" i="7"/>
  <c r="B39" i="5"/>
  <c r="L37" i="5"/>
  <c r="O37" i="5"/>
  <c r="R37" i="5"/>
  <c r="I37" i="5"/>
  <c r="U37" i="5"/>
  <c r="X37" i="5"/>
  <c r="AA37" i="5"/>
  <c r="AD37" i="5"/>
  <c r="AG37" i="5"/>
  <c r="C37" i="6" s="1"/>
  <c r="L35" i="6"/>
  <c r="O35" i="6"/>
  <c r="R35" i="6"/>
  <c r="F35" i="6"/>
  <c r="I35" i="6"/>
  <c r="I26" i="5"/>
  <c r="AG26" i="5"/>
  <c r="C26" i="6" s="1"/>
  <c r="L26" i="5"/>
  <c r="O26" i="5"/>
  <c r="R26" i="5"/>
  <c r="U26" i="5"/>
  <c r="F26" i="5"/>
  <c r="X26" i="5"/>
  <c r="AA26" i="5"/>
  <c r="AD26" i="5"/>
  <c r="L36" i="5"/>
  <c r="L32" i="6"/>
  <c r="O32" i="6"/>
  <c r="F32" i="6"/>
  <c r="O40" i="5"/>
  <c r="R40" i="5"/>
  <c r="U40" i="5"/>
  <c r="I40" i="5"/>
  <c r="L40" i="5"/>
  <c r="X40" i="5"/>
  <c r="AA40" i="5"/>
  <c r="AD40" i="5"/>
  <c r="AG40" i="5"/>
  <c r="C40" i="6" s="1"/>
  <c r="U35" i="7"/>
  <c r="B33" i="5"/>
  <c r="B33" i="6"/>
  <c r="P24" i="1"/>
  <c r="H20" i="1"/>
  <c r="AK17" i="1"/>
  <c r="E17" i="2" s="1"/>
  <c r="AF12" i="1"/>
  <c r="L17" i="3"/>
  <c r="F15" i="3"/>
  <c r="L15" i="3"/>
  <c r="U39" i="7"/>
  <c r="B37" i="6"/>
  <c r="B37" i="5"/>
  <c r="O33" i="6"/>
  <c r="F33" i="6"/>
  <c r="L31" i="6"/>
  <c r="O31" i="6"/>
  <c r="R31" i="6"/>
  <c r="F31" i="6"/>
  <c r="I31" i="6"/>
  <c r="W47" i="4"/>
  <c r="W48" i="4"/>
  <c r="F17" i="6"/>
  <c r="X18" i="4"/>
  <c r="D33" i="4"/>
  <c r="X9" i="4"/>
  <c r="AC12" i="1"/>
  <c r="Q12" i="1"/>
  <c r="U33" i="7"/>
  <c r="B31" i="6"/>
  <c r="B31" i="5"/>
  <c r="AB24" i="1"/>
  <c r="AF20" i="1"/>
  <c r="AH19" i="1"/>
  <c r="T12" i="1"/>
  <c r="AH11" i="1"/>
  <c r="AI11" i="1" s="1"/>
  <c r="E25" i="3"/>
  <c r="F25" i="3" s="1"/>
  <c r="T47" i="4"/>
  <c r="L38" i="6"/>
  <c r="F38" i="6"/>
  <c r="I38" i="6"/>
  <c r="L25" i="6"/>
  <c r="O25" i="6"/>
  <c r="R25" i="6"/>
  <c r="F25" i="6"/>
  <c r="F40" i="5"/>
  <c r="F31" i="5"/>
  <c r="AD31" i="5"/>
  <c r="I31" i="5"/>
  <c r="L31" i="5"/>
  <c r="R31" i="5"/>
  <c r="U31" i="5"/>
  <c r="X31" i="5"/>
  <c r="AA31" i="5"/>
  <c r="AG17" i="5"/>
  <c r="U44" i="7"/>
  <c r="B42" i="6"/>
  <c r="U36" i="7"/>
  <c r="B34" i="6"/>
  <c r="X25" i="5"/>
  <c r="AA25" i="5"/>
  <c r="F25" i="5"/>
  <c r="AD25" i="5"/>
  <c r="I25" i="5"/>
  <c r="B24" i="5"/>
  <c r="B24" i="6"/>
  <c r="U28" i="7"/>
  <c r="B42" i="5"/>
  <c r="AD29" i="5"/>
  <c r="U28" i="5"/>
  <c r="R25" i="5"/>
  <c r="P61" i="8"/>
  <c r="U35" i="5"/>
  <c r="X35" i="5"/>
  <c r="AA29" i="5"/>
  <c r="F23" i="5"/>
  <c r="AD23" i="5"/>
  <c r="I23" i="5"/>
  <c r="AG23" i="5"/>
  <c r="C23" i="6" s="1"/>
  <c r="L23" i="5"/>
  <c r="O23" i="5"/>
  <c r="R23" i="5"/>
  <c r="U23" i="5"/>
  <c r="B40" i="6"/>
  <c r="U42" i="7"/>
  <c r="U34" i="7"/>
  <c r="B32" i="6"/>
  <c r="R27" i="5"/>
  <c r="U27" i="5"/>
  <c r="X27" i="5"/>
  <c r="AA27" i="5"/>
  <c r="F27" i="5"/>
  <c r="AD27" i="5"/>
  <c r="R19" i="5"/>
  <c r="U19" i="5"/>
  <c r="X19" i="5"/>
  <c r="AA19" i="5"/>
  <c r="F19" i="5"/>
  <c r="AD19" i="5"/>
  <c r="U18" i="4"/>
  <c r="X16" i="4"/>
  <c r="R11" i="4"/>
  <c r="U11" i="4" s="1"/>
  <c r="T10" i="4"/>
  <c r="AG41" i="5"/>
  <c r="C41" i="6" s="1"/>
  <c r="B32" i="5"/>
  <c r="X29" i="5"/>
  <c r="B43" i="5"/>
  <c r="U45" i="7"/>
  <c r="B43" i="6"/>
  <c r="U38" i="5"/>
  <c r="X38" i="5"/>
  <c r="AA38" i="5"/>
  <c r="U37" i="7"/>
  <c r="B35" i="5"/>
  <c r="B35" i="6"/>
  <c r="U30" i="5"/>
  <c r="X30" i="5"/>
  <c r="AA30" i="5"/>
  <c r="F30" i="5"/>
  <c r="AD30" i="5"/>
  <c r="AA28" i="5"/>
  <c r="F28" i="5"/>
  <c r="AD28" i="5"/>
  <c r="I28" i="5"/>
  <c r="AG28" i="5"/>
  <c r="C28" i="6" s="1"/>
  <c r="L28" i="5"/>
  <c r="B27" i="5"/>
  <c r="B27" i="6"/>
  <c r="AA20" i="5"/>
  <c r="F20" i="5"/>
  <c r="AD20" i="5"/>
  <c r="I20" i="5"/>
  <c r="AG20" i="5"/>
  <c r="C20" i="6" s="1"/>
  <c r="L20" i="5"/>
  <c r="O20" i="5"/>
  <c r="R20" i="5"/>
  <c r="U23" i="7"/>
  <c r="B19" i="5"/>
  <c r="B19" i="6"/>
  <c r="G12" i="6"/>
  <c r="G13" i="6" s="1"/>
  <c r="R12" i="6"/>
  <c r="AD35" i="5"/>
  <c r="R30" i="5"/>
  <c r="I29" i="5"/>
  <c r="Z46" i="7"/>
  <c r="X41" i="5"/>
  <c r="AA41" i="5"/>
  <c r="F41" i="5"/>
  <c r="AD41" i="5"/>
  <c r="B38" i="5"/>
  <c r="B38" i="6"/>
  <c r="U40" i="7"/>
  <c r="X33" i="5"/>
  <c r="F33" i="5"/>
  <c r="AD33" i="5"/>
  <c r="U32" i="7"/>
  <c r="B30" i="5"/>
  <c r="B30" i="6"/>
  <c r="U31" i="7"/>
  <c r="B29" i="6"/>
  <c r="U30" i="7"/>
  <c r="B28" i="6"/>
  <c r="L21" i="5"/>
  <c r="O21" i="5"/>
  <c r="R21" i="5"/>
  <c r="U21" i="5"/>
  <c r="X21" i="5"/>
  <c r="AA21" i="5"/>
  <c r="U24" i="7"/>
  <c r="B20" i="6"/>
  <c r="L17" i="5"/>
  <c r="O17" i="5"/>
  <c r="R17" i="5"/>
  <c r="U17" i="5"/>
  <c r="X17" i="5"/>
  <c r="AA17" i="5"/>
  <c r="AG16" i="5"/>
  <c r="R41" i="5"/>
  <c r="R38" i="5"/>
  <c r="AA35" i="5"/>
  <c r="U33" i="5"/>
  <c r="O30" i="5"/>
  <c r="P51" i="9"/>
  <c r="L29" i="5"/>
  <c r="O29" i="5"/>
  <c r="R29" i="5"/>
  <c r="U29" i="5"/>
  <c r="L27" i="6"/>
  <c r="O27" i="6"/>
  <c r="R27" i="6"/>
  <c r="F27" i="6"/>
  <c r="I27" i="6"/>
  <c r="U38" i="7"/>
  <c r="B36" i="6"/>
  <c r="U26" i="7"/>
  <c r="B22" i="5"/>
  <c r="B22" i="6"/>
  <c r="J12" i="5"/>
  <c r="J13" i="5" s="1"/>
  <c r="L12" i="5"/>
  <c r="M12" i="5" s="1"/>
  <c r="M13" i="5" s="1"/>
  <c r="X12" i="5"/>
  <c r="Y12" i="5" s="1"/>
  <c r="Y13" i="5" s="1"/>
  <c r="O12" i="5"/>
  <c r="P12" i="5" s="1"/>
  <c r="P13" i="5" s="1"/>
  <c r="AA12" i="5"/>
  <c r="AB12" i="5" s="1"/>
  <c r="AB13" i="5" s="1"/>
  <c r="D12" i="5"/>
  <c r="D13" i="5" s="1"/>
  <c r="R12" i="5"/>
  <c r="S12" i="5" s="1"/>
  <c r="S13" i="5" s="1"/>
  <c r="AD12" i="5"/>
  <c r="AE12" i="5" s="1"/>
  <c r="AE13" i="5" s="1"/>
  <c r="C46" i="5"/>
  <c r="L41" i="5"/>
  <c r="L38" i="5"/>
  <c r="L35" i="5"/>
  <c r="O33" i="5"/>
  <c r="I30" i="5"/>
  <c r="B29" i="5"/>
  <c r="O27" i="5"/>
  <c r="B26" i="5"/>
  <c r="AD21" i="5"/>
  <c r="L19" i="5"/>
  <c r="W32" i="7"/>
  <c r="V46" i="7"/>
  <c r="F16" i="7"/>
  <c r="P12" i="8"/>
  <c r="F14" i="8"/>
  <c r="F26" i="8"/>
  <c r="F27" i="8"/>
  <c r="F10" i="8"/>
  <c r="F18" i="8"/>
  <c r="F34" i="8"/>
  <c r="F23" i="8"/>
  <c r="F24" i="8"/>
  <c r="F28" i="8"/>
  <c r="F32" i="8"/>
  <c r="F20" i="8"/>
  <c r="F22" i="8"/>
  <c r="F11" i="8"/>
  <c r="F24" i="10"/>
  <c r="Q14" i="12"/>
  <c r="P10" i="12"/>
  <c r="W46" i="7"/>
  <c r="D19" i="7"/>
  <c r="AD13" i="7"/>
  <c r="T12" i="8"/>
  <c r="F11" i="12"/>
  <c r="X9" i="5"/>
  <c r="AF21" i="7"/>
  <c r="AD15" i="7"/>
  <c r="H17" i="7" s="1"/>
  <c r="Z20" i="7"/>
  <c r="AA20" i="7"/>
  <c r="Y14" i="7"/>
  <c r="V11" i="7"/>
  <c r="AA18" i="7"/>
  <c r="AA46" i="7" s="1"/>
  <c r="V15" i="7"/>
  <c r="W15" i="7" s="1"/>
  <c r="D16" i="7" s="1"/>
  <c r="F15" i="8"/>
  <c r="U9" i="5"/>
  <c r="B20" i="7"/>
  <c r="F19" i="7"/>
  <c r="N62" i="8"/>
  <c r="N61" i="8"/>
  <c r="N63" i="8"/>
  <c r="N14" i="8"/>
  <c r="F30" i="8" s="1"/>
  <c r="Q10" i="9"/>
  <c r="G19" i="9"/>
  <c r="G10" i="9"/>
  <c r="G11" i="9"/>
  <c r="G14" i="9"/>
  <c r="G15" i="9"/>
  <c r="R9" i="5"/>
  <c r="V14" i="7"/>
  <c r="W14" i="7" s="1"/>
  <c r="S61" i="8"/>
  <c r="N18" i="10"/>
  <c r="O9" i="5"/>
  <c r="Y15" i="7"/>
  <c r="AG18" i="7"/>
  <c r="AG46" i="7" s="1"/>
  <c r="AE11" i="7"/>
  <c r="T37" i="10"/>
  <c r="P19" i="10"/>
  <c r="D46" i="5"/>
  <c r="R9" i="6"/>
  <c r="F9" i="6"/>
  <c r="H12" i="7"/>
  <c r="H13" i="7"/>
  <c r="H11" i="7"/>
  <c r="AF11" i="7"/>
  <c r="H16" i="7"/>
  <c r="S16" i="8"/>
  <c r="T16" i="8" s="1"/>
  <c r="H15" i="8"/>
  <c r="H22" i="8"/>
  <c r="T10" i="8"/>
  <c r="H31" i="8"/>
  <c r="H23" i="8"/>
  <c r="K23" i="8" s="1"/>
  <c r="N15" i="9"/>
  <c r="Q24" i="9"/>
  <c r="AA21" i="7"/>
  <c r="Y13" i="7"/>
  <c r="AB18" i="7"/>
  <c r="AB46" i="7" s="1"/>
  <c r="P63" i="8"/>
  <c r="Q24" i="8"/>
  <c r="Q35" i="8"/>
  <c r="Q31" i="8"/>
  <c r="S14" i="8"/>
  <c r="H12" i="8" s="1"/>
  <c r="K12" i="8" s="1"/>
  <c r="G12" i="8"/>
  <c r="G32" i="8"/>
  <c r="G36" i="8"/>
  <c r="Q10" i="8"/>
  <c r="G27" i="8"/>
  <c r="J27" i="8" s="1"/>
  <c r="G10" i="8"/>
  <c r="J10" i="8" s="1"/>
  <c r="G18" i="8"/>
  <c r="J18" i="8" s="1"/>
  <c r="S13" i="8"/>
  <c r="T13" i="8" s="1"/>
  <c r="T18" i="9"/>
  <c r="P16" i="9"/>
  <c r="S12" i="9"/>
  <c r="H10" i="9" s="1"/>
  <c r="K10" i="9" s="1"/>
  <c r="N68" i="10"/>
  <c r="N70" i="10"/>
  <c r="N67" i="10"/>
  <c r="N69" i="10"/>
  <c r="T27" i="10"/>
  <c r="P10" i="10"/>
  <c r="T30" i="10"/>
  <c r="Q30" i="10"/>
  <c r="AD14" i="7"/>
  <c r="N16" i="8"/>
  <c r="N12" i="8"/>
  <c r="Q21" i="10"/>
  <c r="T21" i="10"/>
  <c r="V13" i="7"/>
  <c r="W13" i="7" s="1"/>
  <c r="AB11" i="7"/>
  <c r="Q21" i="8"/>
  <c r="Q33" i="8"/>
  <c r="P14" i="8"/>
  <c r="G11" i="8" s="1"/>
  <c r="J11" i="8" s="1"/>
  <c r="Q26" i="9"/>
  <c r="N18" i="9"/>
  <c r="Q18" i="9" s="1"/>
  <c r="P12" i="9"/>
  <c r="T22" i="9"/>
  <c r="D18" i="9"/>
  <c r="D20" i="9"/>
  <c r="B19" i="9"/>
  <c r="S11" i="10"/>
  <c r="T31" i="10"/>
  <c r="F15" i="7"/>
  <c r="F11" i="7"/>
  <c r="F17" i="7"/>
  <c r="S62" i="8"/>
  <c r="P13" i="8"/>
  <c r="Q13" i="8" s="1"/>
  <c r="G23" i="8"/>
  <c r="J23" i="8" s="1"/>
  <c r="P14" i="9"/>
  <c r="N12" i="9"/>
  <c r="F20" i="7"/>
  <c r="D15" i="7"/>
  <c r="D11" i="7"/>
  <c r="D12" i="7"/>
  <c r="D13" i="7"/>
  <c r="D17" i="7"/>
  <c r="P62" i="8"/>
  <c r="N13" i="8"/>
  <c r="P15" i="9"/>
  <c r="S13" i="10"/>
  <c r="T13" i="10" s="1"/>
  <c r="N19" i="10"/>
  <c r="F17" i="10" s="1"/>
  <c r="T34" i="10"/>
  <c r="S15" i="10"/>
  <c r="S24" i="8"/>
  <c r="T24" i="8" s="1"/>
  <c r="P16" i="8"/>
  <c r="Q16" i="8" s="1"/>
  <c r="S14" i="9"/>
  <c r="H11" i="9"/>
  <c r="K11" i="9" s="1"/>
  <c r="H12" i="9"/>
  <c r="T10" i="9"/>
  <c r="H18" i="9"/>
  <c r="F15" i="9"/>
  <c r="N14" i="10"/>
  <c r="Q33" i="10"/>
  <c r="P13" i="10"/>
  <c r="H16" i="10"/>
  <c r="T18" i="11"/>
  <c r="P41" i="13"/>
  <c r="T10" i="13"/>
  <c r="P15" i="10"/>
  <c r="N12" i="11"/>
  <c r="F11" i="11" s="1"/>
  <c r="P11" i="12"/>
  <c r="G27" i="12" s="1"/>
  <c r="N16" i="9"/>
  <c r="F10" i="9" s="1"/>
  <c r="S67" i="10"/>
  <c r="S69" i="10"/>
  <c r="S68" i="10"/>
  <c r="S17" i="10"/>
  <c r="S53" i="11"/>
  <c r="S15" i="11"/>
  <c r="T15" i="11" s="1"/>
  <c r="N11" i="12"/>
  <c r="F10" i="12" s="1"/>
  <c r="T15" i="13"/>
  <c r="S11" i="13"/>
  <c r="Q27" i="8"/>
  <c r="N14" i="9"/>
  <c r="F11" i="9"/>
  <c r="P67" i="10"/>
  <c r="P69" i="10"/>
  <c r="P68" i="10"/>
  <c r="P70" i="10"/>
  <c r="G20" i="12"/>
  <c r="S15" i="9"/>
  <c r="T24" i="9"/>
  <c r="S19" i="10"/>
  <c r="P17" i="10"/>
  <c r="S14" i="10"/>
  <c r="T14" i="10" s="1"/>
  <c r="G29" i="10"/>
  <c r="G30" i="10"/>
  <c r="G34" i="10"/>
  <c r="G33" i="10"/>
  <c r="G26" i="10"/>
  <c r="G32" i="10"/>
  <c r="P11" i="13"/>
  <c r="F11" i="10"/>
  <c r="F16" i="10"/>
  <c r="S25" i="10"/>
  <c r="T25" i="10" s="1"/>
  <c r="F20" i="10"/>
  <c r="S18" i="10"/>
  <c r="F26" i="12"/>
  <c r="F14" i="12"/>
  <c r="G14" i="12"/>
  <c r="N41" i="13"/>
  <c r="G19" i="13"/>
  <c r="G11" i="13"/>
  <c r="Q10" i="13"/>
  <c r="G10" i="13"/>
  <c r="G12" i="13"/>
  <c r="Q39" i="10"/>
  <c r="N15" i="10"/>
  <c r="Q16" i="11"/>
  <c r="D16" i="11"/>
  <c r="B15" i="11"/>
  <c r="D15" i="11"/>
  <c r="F15" i="11" s="1"/>
  <c r="G10" i="11"/>
  <c r="N11" i="13"/>
  <c r="F32" i="13" s="1"/>
  <c r="N17" i="10"/>
  <c r="F32" i="12"/>
  <c r="G32" i="12"/>
  <c r="F23" i="12"/>
  <c r="F19" i="12"/>
  <c r="F16" i="12"/>
  <c r="G31" i="13"/>
  <c r="G26" i="13"/>
  <c r="H26" i="13"/>
  <c r="K26" i="13" s="1"/>
  <c r="F12" i="10"/>
  <c r="S14" i="11"/>
  <c r="T14" i="11" s="1"/>
  <c r="F15" i="12"/>
  <c r="G24" i="13"/>
  <c r="H24" i="13"/>
  <c r="K24" i="13" s="1"/>
  <c r="G15" i="13"/>
  <c r="P18" i="10"/>
  <c r="N13" i="10"/>
  <c r="F15" i="10"/>
  <c r="S12" i="11"/>
  <c r="T12" i="11" s="1"/>
  <c r="F24" i="12"/>
  <c r="P41" i="12"/>
  <c r="T10" i="12"/>
  <c r="P14" i="10"/>
  <c r="Q14" i="10" s="1"/>
  <c r="H15" i="10"/>
  <c r="N53" i="11"/>
  <c r="Q24" i="11"/>
  <c r="T24" i="11"/>
  <c r="P15" i="11"/>
  <c r="Q15" i="11" s="1"/>
  <c r="P12" i="11"/>
  <c r="G14" i="11"/>
  <c r="G11" i="11"/>
  <c r="G12" i="11"/>
  <c r="Q10" i="11"/>
  <c r="S11" i="12"/>
  <c r="H22" i="12" s="1"/>
  <c r="S41" i="13"/>
  <c r="F16" i="13"/>
  <c r="T23" i="11"/>
  <c r="Q22" i="11"/>
  <c r="G19" i="12"/>
  <c r="G32" i="13"/>
  <c r="G18" i="13"/>
  <c r="G16" i="13"/>
  <c r="G14" i="13"/>
  <c r="Q15" i="12"/>
  <c r="G27" i="13"/>
  <c r="S16" i="11"/>
  <c r="T16" i="11" s="1"/>
  <c r="T14" i="12"/>
  <c r="AD46" i="5" l="1"/>
  <c r="AE46" i="5" s="1"/>
  <c r="R17" i="7"/>
  <c r="M17" i="7"/>
  <c r="T11" i="13"/>
  <c r="H14" i="13"/>
  <c r="K14" i="13" s="1"/>
  <c r="H16" i="13"/>
  <c r="K16" i="13" s="1"/>
  <c r="H32" i="13"/>
  <c r="K32" i="13" s="1"/>
  <c r="H28" i="13"/>
  <c r="H23" i="13"/>
  <c r="H18" i="13"/>
  <c r="K18" i="13" s="1"/>
  <c r="H30" i="13"/>
  <c r="M16" i="7"/>
  <c r="R16" i="7"/>
  <c r="O46" i="5"/>
  <c r="R13" i="6"/>
  <c r="S12" i="6"/>
  <c r="S13" i="6" s="1"/>
  <c r="R20" i="6"/>
  <c r="F20" i="6"/>
  <c r="I20" i="6"/>
  <c r="L20" i="6"/>
  <c r="O20" i="6"/>
  <c r="M41" i="11"/>
  <c r="M29" i="12"/>
  <c r="M55" i="10"/>
  <c r="M29" i="13"/>
  <c r="M39" i="9"/>
  <c r="M49" i="8"/>
  <c r="G11" i="2"/>
  <c r="T11" i="2"/>
  <c r="U11" i="2" s="1"/>
  <c r="V11" i="2" s="1"/>
  <c r="H27" i="13"/>
  <c r="K27" i="13" s="1"/>
  <c r="Q12" i="11"/>
  <c r="F18" i="13"/>
  <c r="F36" i="10"/>
  <c r="F32" i="10"/>
  <c r="F25" i="10"/>
  <c r="F38" i="10"/>
  <c r="F29" i="10"/>
  <c r="F34" i="10"/>
  <c r="J34" i="10" s="1"/>
  <c r="F30" i="10"/>
  <c r="F13" i="10"/>
  <c r="F28" i="10"/>
  <c r="H14" i="12"/>
  <c r="K14" i="12" s="1"/>
  <c r="F21" i="10"/>
  <c r="F10" i="11"/>
  <c r="F14" i="11"/>
  <c r="J30" i="10"/>
  <c r="Q15" i="10"/>
  <c r="G38" i="10"/>
  <c r="G25" i="10"/>
  <c r="F26" i="13"/>
  <c r="J26" i="13" s="1"/>
  <c r="Q14" i="9"/>
  <c r="G20" i="8"/>
  <c r="J20" i="8" s="1"/>
  <c r="G26" i="8"/>
  <c r="J26" i="8" s="1"/>
  <c r="H27" i="8"/>
  <c r="K27" i="8" s="1"/>
  <c r="F12" i="12"/>
  <c r="H18" i="12"/>
  <c r="M40" i="13"/>
  <c r="M52" i="11"/>
  <c r="M40" i="12"/>
  <c r="M66" i="10"/>
  <c r="M50" i="9"/>
  <c r="M60" i="8"/>
  <c r="M37" i="13"/>
  <c r="M49" i="11"/>
  <c r="M63" i="10"/>
  <c r="M47" i="9"/>
  <c r="M57" i="8"/>
  <c r="M37" i="12"/>
  <c r="F46" i="5"/>
  <c r="G46" i="5" s="1"/>
  <c r="R17" i="6"/>
  <c r="M50" i="11"/>
  <c r="M38" i="12"/>
  <c r="M64" i="10"/>
  <c r="M38" i="13"/>
  <c r="M48" i="9"/>
  <c r="M58" i="8"/>
  <c r="H24" i="1"/>
  <c r="G27" i="1"/>
  <c r="Q73" i="10"/>
  <c r="N15" i="3"/>
  <c r="T20" i="2"/>
  <c r="G20" i="2"/>
  <c r="L39" i="6"/>
  <c r="O39" i="6"/>
  <c r="R39" i="6"/>
  <c r="F39" i="6"/>
  <c r="I39" i="6"/>
  <c r="M24" i="12"/>
  <c r="M36" i="11"/>
  <c r="M24" i="13"/>
  <c r="M50" i="10"/>
  <c r="M44" i="8"/>
  <c r="M34" i="9"/>
  <c r="G15" i="2"/>
  <c r="T15" i="2"/>
  <c r="Z13" i="7"/>
  <c r="AB13" i="7" s="1"/>
  <c r="AA13" i="7"/>
  <c r="C11" i="7"/>
  <c r="C16" i="7"/>
  <c r="C12" i="7"/>
  <c r="C13" i="7"/>
  <c r="C21" i="7"/>
  <c r="C19" i="7"/>
  <c r="C15" i="7"/>
  <c r="P15" i="7" s="1"/>
  <c r="C20" i="7"/>
  <c r="C17" i="7"/>
  <c r="M39" i="11"/>
  <c r="M27" i="12"/>
  <c r="M53" i="10"/>
  <c r="M27" i="13"/>
  <c r="M37" i="9"/>
  <c r="M47" i="8"/>
  <c r="L28" i="6"/>
  <c r="O28" i="6"/>
  <c r="R28" i="6"/>
  <c r="F28" i="6"/>
  <c r="I28" i="6"/>
  <c r="L40" i="6"/>
  <c r="O40" i="6"/>
  <c r="R40" i="6"/>
  <c r="F40" i="6"/>
  <c r="I40" i="6"/>
  <c r="T12" i="2"/>
  <c r="G12" i="2"/>
  <c r="Q56" i="11"/>
  <c r="N16" i="3"/>
  <c r="H20" i="13"/>
  <c r="J32" i="13"/>
  <c r="F27" i="13"/>
  <c r="F37" i="10"/>
  <c r="H31" i="13"/>
  <c r="K31" i="13" s="1"/>
  <c r="H32" i="12"/>
  <c r="K32" i="12" s="1"/>
  <c r="F22" i="13"/>
  <c r="J14" i="12"/>
  <c r="J32" i="10"/>
  <c r="J29" i="10"/>
  <c r="F19" i="13"/>
  <c r="K16" i="10"/>
  <c r="T15" i="10"/>
  <c r="H13" i="10"/>
  <c r="H12" i="10"/>
  <c r="H20" i="10"/>
  <c r="H21" i="10"/>
  <c r="K21" i="10" s="1"/>
  <c r="H17" i="10"/>
  <c r="T11" i="10"/>
  <c r="H28" i="10"/>
  <c r="K28" i="10" s="1"/>
  <c r="H29" i="10"/>
  <c r="K29" i="10" s="1"/>
  <c r="H30" i="10"/>
  <c r="K30" i="10" s="1"/>
  <c r="H34" i="10"/>
  <c r="K34" i="10" s="1"/>
  <c r="H24" i="10"/>
  <c r="H37" i="10"/>
  <c r="H33" i="10"/>
  <c r="K33" i="10" s="1"/>
  <c r="H26" i="10"/>
  <c r="K26" i="10" s="1"/>
  <c r="H36" i="10"/>
  <c r="H32" i="10"/>
  <c r="K32" i="10" s="1"/>
  <c r="H38" i="10"/>
  <c r="H25" i="10"/>
  <c r="K25" i="10" s="1"/>
  <c r="Q14" i="8"/>
  <c r="G19" i="8"/>
  <c r="G15" i="8"/>
  <c r="J15" i="8" s="1"/>
  <c r="G24" i="8"/>
  <c r="J24" i="8" s="1"/>
  <c r="G34" i="8"/>
  <c r="J34" i="8" s="1"/>
  <c r="G14" i="8"/>
  <c r="J14" i="8" s="1"/>
  <c r="T14" i="8"/>
  <c r="H18" i="8"/>
  <c r="K18" i="8" s="1"/>
  <c r="H20" i="8"/>
  <c r="H34" i="8"/>
  <c r="K34" i="8" s="1"/>
  <c r="H30" i="8"/>
  <c r="H24" i="8"/>
  <c r="K24" i="8" s="1"/>
  <c r="H26" i="8"/>
  <c r="K26" i="8" s="1"/>
  <c r="H11" i="8"/>
  <c r="K11" i="8" s="1"/>
  <c r="Q19" i="10"/>
  <c r="K19" i="7"/>
  <c r="P19" i="7"/>
  <c r="AA14" i="7"/>
  <c r="Z14" i="7"/>
  <c r="AB14" i="7" s="1"/>
  <c r="G18" i="12"/>
  <c r="C16" i="6"/>
  <c r="G17" i="2"/>
  <c r="T17" i="2"/>
  <c r="AF24" i="1"/>
  <c r="U22" i="5"/>
  <c r="X22" i="5"/>
  <c r="AA22" i="5"/>
  <c r="F22" i="5"/>
  <c r="F45" i="5" s="1"/>
  <c r="G45" i="5" s="1"/>
  <c r="G47" i="5" s="1"/>
  <c r="AD22" i="5"/>
  <c r="I22" i="5"/>
  <c r="I46" i="5" s="1"/>
  <c r="J46" i="5" s="1"/>
  <c r="AG22" i="5"/>
  <c r="C22" i="6" s="1"/>
  <c r="L22" i="5"/>
  <c r="L46" i="5" s="1"/>
  <c r="M46" i="5" s="1"/>
  <c r="O22" i="5"/>
  <c r="R22" i="5"/>
  <c r="E10" i="2"/>
  <c r="Z24" i="1"/>
  <c r="AI13" i="1"/>
  <c r="AK13" i="1"/>
  <c r="E13" i="2" s="1"/>
  <c r="H22" i="13"/>
  <c r="J19" i="12"/>
  <c r="J11" i="11"/>
  <c r="H12" i="12"/>
  <c r="F33" i="10"/>
  <c r="H20" i="12"/>
  <c r="K20" i="12" s="1"/>
  <c r="J32" i="12"/>
  <c r="F12" i="11"/>
  <c r="J12" i="11" s="1"/>
  <c r="G36" i="10"/>
  <c r="J36" i="10" s="1"/>
  <c r="G28" i="10"/>
  <c r="J28" i="10" s="1"/>
  <c r="F28" i="12"/>
  <c r="F30" i="12"/>
  <c r="F20" i="12"/>
  <c r="J20" i="12" s="1"/>
  <c r="F31" i="12"/>
  <c r="F22" i="12"/>
  <c r="F27" i="12"/>
  <c r="J27" i="12" s="1"/>
  <c r="Q13" i="10"/>
  <c r="B20" i="9"/>
  <c r="F19" i="9"/>
  <c r="H19" i="9"/>
  <c r="K19" i="9" s="1"/>
  <c r="G16" i="8"/>
  <c r="H10" i="11"/>
  <c r="K10" i="11" s="1"/>
  <c r="G30" i="8"/>
  <c r="J30" i="8" s="1"/>
  <c r="H14" i="8"/>
  <c r="K14" i="8" s="1"/>
  <c r="H16" i="8"/>
  <c r="B21" i="7"/>
  <c r="G20" i="7"/>
  <c r="D20" i="7"/>
  <c r="F18" i="12"/>
  <c r="F36" i="8"/>
  <c r="Q12" i="8"/>
  <c r="M19" i="12"/>
  <c r="M19" i="13"/>
  <c r="M45" i="10"/>
  <c r="M39" i="8"/>
  <c r="M31" i="11"/>
  <c r="M29" i="9"/>
  <c r="M25" i="13"/>
  <c r="M25" i="12"/>
  <c r="M37" i="11"/>
  <c r="M51" i="10"/>
  <c r="M35" i="9"/>
  <c r="M45" i="8"/>
  <c r="M23" i="13"/>
  <c r="M23" i="12"/>
  <c r="M49" i="10"/>
  <c r="M33" i="9"/>
  <c r="M35" i="11"/>
  <c r="M43" i="8"/>
  <c r="AB49" i="7"/>
  <c r="N12" i="3"/>
  <c r="M28" i="13"/>
  <c r="M28" i="12"/>
  <c r="M40" i="11"/>
  <c r="M54" i="10"/>
  <c r="M38" i="9"/>
  <c r="M48" i="8"/>
  <c r="AK21" i="1"/>
  <c r="E21" i="2" s="1"/>
  <c r="AI21" i="1"/>
  <c r="N22" i="3" s="1"/>
  <c r="G18" i="2"/>
  <c r="T18" i="2"/>
  <c r="AH24" i="1"/>
  <c r="J10" i="9"/>
  <c r="H23" i="12"/>
  <c r="H28" i="12"/>
  <c r="K28" i="12" s="1"/>
  <c r="H30" i="12"/>
  <c r="T11" i="12"/>
  <c r="H24" i="12"/>
  <c r="K24" i="12" s="1"/>
  <c r="H15" i="12"/>
  <c r="H19" i="12"/>
  <c r="K19" i="12" s="1"/>
  <c r="H11" i="12"/>
  <c r="H31" i="12"/>
  <c r="H26" i="12"/>
  <c r="H12" i="13"/>
  <c r="K12" i="13" s="1"/>
  <c r="M47" i="11"/>
  <c r="M35" i="12"/>
  <c r="M61" i="10"/>
  <c r="M45" i="9"/>
  <c r="M55" i="8"/>
  <c r="M35" i="13"/>
  <c r="M18" i="13"/>
  <c r="M30" i="11"/>
  <c r="M44" i="10"/>
  <c r="M18" i="12"/>
  <c r="M28" i="9"/>
  <c r="M38" i="8"/>
  <c r="M32" i="13"/>
  <c r="M44" i="11"/>
  <c r="M58" i="10"/>
  <c r="M32" i="12"/>
  <c r="M42" i="9"/>
  <c r="M52" i="8"/>
  <c r="M31" i="12"/>
  <c r="M43" i="11"/>
  <c r="M31" i="13"/>
  <c r="M57" i="10"/>
  <c r="M41" i="9"/>
  <c r="M51" i="8"/>
  <c r="Q24" i="1"/>
  <c r="K24" i="1"/>
  <c r="L43" i="6"/>
  <c r="O43" i="6"/>
  <c r="R43" i="6"/>
  <c r="F43" i="6"/>
  <c r="I43" i="6"/>
  <c r="L34" i="6"/>
  <c r="O34" i="6"/>
  <c r="R34" i="6"/>
  <c r="F34" i="6"/>
  <c r="I34" i="6"/>
  <c r="G14" i="2"/>
  <c r="T14" i="2"/>
  <c r="U51" i="4"/>
  <c r="N11" i="3"/>
  <c r="E27" i="1"/>
  <c r="V46" i="5"/>
  <c r="AB20" i="7"/>
  <c r="AG20" i="7"/>
  <c r="AE13" i="7"/>
  <c r="AF13" i="7"/>
  <c r="P16" i="7"/>
  <c r="K16" i="7"/>
  <c r="J33" i="10"/>
  <c r="T12" i="9"/>
  <c r="H16" i="9"/>
  <c r="K16" i="9" s="1"/>
  <c r="M11" i="7"/>
  <c r="R11" i="7"/>
  <c r="M12" i="7"/>
  <c r="J15" i="9"/>
  <c r="J11" i="9"/>
  <c r="AE15" i="7"/>
  <c r="AF15" i="7"/>
  <c r="H19" i="7"/>
  <c r="H15" i="9"/>
  <c r="K15" i="9" s="1"/>
  <c r="M21" i="12"/>
  <c r="M21" i="13"/>
  <c r="M33" i="11"/>
  <c r="M47" i="10"/>
  <c r="M41" i="8"/>
  <c r="M31" i="9"/>
  <c r="X46" i="5"/>
  <c r="Y46" i="5" s="1"/>
  <c r="M26" i="12"/>
  <c r="M26" i="13"/>
  <c r="M38" i="11"/>
  <c r="M52" i="10"/>
  <c r="M36" i="9"/>
  <c r="M46" i="8"/>
  <c r="AI19" i="1"/>
  <c r="AK19" i="1"/>
  <c r="E19" i="2" s="1"/>
  <c r="M34" i="13"/>
  <c r="M46" i="11"/>
  <c r="M34" i="12"/>
  <c r="M60" i="10"/>
  <c r="M44" i="9"/>
  <c r="M54" i="8"/>
  <c r="L37" i="6"/>
  <c r="O37" i="6"/>
  <c r="R37" i="6"/>
  <c r="F37" i="6"/>
  <c r="I37" i="6"/>
  <c r="M34" i="11"/>
  <c r="M22" i="12"/>
  <c r="M48" i="10"/>
  <c r="M42" i="8"/>
  <c r="M32" i="9"/>
  <c r="M22" i="13"/>
  <c r="M32" i="11"/>
  <c r="M20" i="12"/>
  <c r="M20" i="13"/>
  <c r="M30" i="9"/>
  <c r="M46" i="10"/>
  <c r="M40" i="8"/>
  <c r="I15" i="4"/>
  <c r="I20" i="4"/>
  <c r="L20" i="4" s="1"/>
  <c r="O20" i="4" s="1"/>
  <c r="I28" i="4"/>
  <c r="I13" i="4"/>
  <c r="I26" i="4"/>
  <c r="I16" i="4"/>
  <c r="I17" i="4"/>
  <c r="L17" i="4" s="1"/>
  <c r="O17" i="4" s="1"/>
  <c r="I21" i="4"/>
  <c r="I25" i="4"/>
  <c r="L25" i="4" s="1"/>
  <c r="O25" i="4" s="1"/>
  <c r="I18" i="4"/>
  <c r="L18" i="4" s="1"/>
  <c r="O18" i="4" s="1"/>
  <c r="I24" i="4"/>
  <c r="I10" i="4"/>
  <c r="I11" i="4"/>
  <c r="I22" i="4"/>
  <c r="I30" i="4"/>
  <c r="I12" i="4"/>
  <c r="X10" i="4"/>
  <c r="I14" i="4"/>
  <c r="L14" i="4" s="1"/>
  <c r="O14" i="4" s="1"/>
  <c r="I23" i="4"/>
  <c r="I27" i="4"/>
  <c r="I31" i="4"/>
  <c r="L31" i="4" s="1"/>
  <c r="O31" i="4" s="1"/>
  <c r="I9" i="4"/>
  <c r="I19" i="4"/>
  <c r="I29" i="4"/>
  <c r="G23" i="2"/>
  <c r="T23" i="2"/>
  <c r="N17" i="3"/>
  <c r="J18" i="13"/>
  <c r="J14" i="11"/>
  <c r="F23" i="13"/>
  <c r="F28" i="13"/>
  <c r="F15" i="13"/>
  <c r="F24" i="13"/>
  <c r="J24" i="13" s="1"/>
  <c r="F30" i="13"/>
  <c r="AE14" i="7"/>
  <c r="AG14" i="7" s="1"/>
  <c r="AF14" i="7"/>
  <c r="J27" i="13"/>
  <c r="H10" i="12"/>
  <c r="J10" i="11"/>
  <c r="J10" i="13"/>
  <c r="H14" i="11"/>
  <c r="K14" i="11" s="1"/>
  <c r="J36" i="8"/>
  <c r="AG11" i="7"/>
  <c r="I12" i="7"/>
  <c r="I15" i="7"/>
  <c r="I19" i="7"/>
  <c r="I20" i="7"/>
  <c r="I11" i="7"/>
  <c r="I21" i="7"/>
  <c r="J19" i="9"/>
  <c r="H15" i="13"/>
  <c r="K15" i="13" s="1"/>
  <c r="Q17" i="10"/>
  <c r="F18" i="9"/>
  <c r="F12" i="9"/>
  <c r="H10" i="13"/>
  <c r="K10" i="13" s="1"/>
  <c r="P17" i="7"/>
  <c r="K17" i="7"/>
  <c r="J32" i="8"/>
  <c r="H19" i="8"/>
  <c r="H36" i="8"/>
  <c r="K36" i="8" s="1"/>
  <c r="F11" i="13"/>
  <c r="F19" i="10"/>
  <c r="J15" i="13"/>
  <c r="F26" i="10"/>
  <c r="J26" i="10" s="1"/>
  <c r="G16" i="12"/>
  <c r="J16" i="12" s="1"/>
  <c r="F12" i="13"/>
  <c r="J12" i="13" s="1"/>
  <c r="B16" i="11"/>
  <c r="G15" i="11"/>
  <c r="J15" i="11" s="1"/>
  <c r="J11" i="13"/>
  <c r="G20" i="13"/>
  <c r="G22" i="13"/>
  <c r="J22" i="13" s="1"/>
  <c r="G28" i="13"/>
  <c r="Q11" i="13"/>
  <c r="G23" i="13"/>
  <c r="G30" i="13"/>
  <c r="J30" i="13" s="1"/>
  <c r="G37" i="10"/>
  <c r="T19" i="10"/>
  <c r="H19" i="10"/>
  <c r="F16" i="9"/>
  <c r="T14" i="9"/>
  <c r="P20" i="7"/>
  <c r="K20" i="7"/>
  <c r="AA11" i="7"/>
  <c r="H12" i="11"/>
  <c r="K12" i="11" s="1"/>
  <c r="Q16" i="9"/>
  <c r="G12" i="9"/>
  <c r="G16" i="9"/>
  <c r="G35" i="8"/>
  <c r="G28" i="8"/>
  <c r="J28" i="8" s="1"/>
  <c r="H10" i="8"/>
  <c r="K10" i="8" s="1"/>
  <c r="H32" i="8"/>
  <c r="K32" i="8" s="1"/>
  <c r="H15" i="7"/>
  <c r="Z15" i="7"/>
  <c r="AA15" i="7"/>
  <c r="F13" i="7"/>
  <c r="F12" i="7"/>
  <c r="F19" i="8"/>
  <c r="H14" i="9"/>
  <c r="K14" i="9" s="1"/>
  <c r="F16" i="8"/>
  <c r="F35" i="8"/>
  <c r="U46" i="5"/>
  <c r="L41" i="6"/>
  <c r="O41" i="6"/>
  <c r="R41" i="6"/>
  <c r="F41" i="6"/>
  <c r="I41" i="6"/>
  <c r="M39" i="12"/>
  <c r="M39" i="13"/>
  <c r="M65" i="10"/>
  <c r="M49" i="9"/>
  <c r="M59" i="8"/>
  <c r="M51" i="11"/>
  <c r="L26" i="6"/>
  <c r="O26" i="6"/>
  <c r="R26" i="6"/>
  <c r="F26" i="6"/>
  <c r="I26" i="6"/>
  <c r="G12" i="5"/>
  <c r="G13" i="5" s="1"/>
  <c r="AG12" i="5"/>
  <c r="J25" i="3"/>
  <c r="L25" i="3"/>
  <c r="X16" i="5"/>
  <c r="X45" i="5" s="1"/>
  <c r="C45" i="5"/>
  <c r="D45" i="5" s="1"/>
  <c r="D47" i="5" s="1"/>
  <c r="D49" i="5" s="1"/>
  <c r="AA16" i="5"/>
  <c r="AD16" i="5"/>
  <c r="AD45" i="5" s="1"/>
  <c r="AE45" i="5" s="1"/>
  <c r="AE47" i="5" s="1"/>
  <c r="AE49" i="5" s="1"/>
  <c r="I16" i="5"/>
  <c r="I45" i="5" s="1"/>
  <c r="J45" i="5" s="1"/>
  <c r="J47" i="5" s="1"/>
  <c r="J49" i="5" s="1"/>
  <c r="L16" i="5"/>
  <c r="O16" i="5"/>
  <c r="O45" i="5" s="1"/>
  <c r="P45" i="5" s="1"/>
  <c r="P47" i="5" s="1"/>
  <c r="P49" i="5" s="1"/>
  <c r="R16" i="5"/>
  <c r="U16" i="5"/>
  <c r="U45" i="5" s="1"/>
  <c r="V45" i="5" s="1"/>
  <c r="V47" i="5" s="1"/>
  <c r="V49" i="5" s="1"/>
  <c r="L24" i="6"/>
  <c r="O24" i="6"/>
  <c r="R24" i="6"/>
  <c r="F24" i="6"/>
  <c r="I24" i="6"/>
  <c r="G22" i="2"/>
  <c r="T22" i="2"/>
  <c r="L42" i="6"/>
  <c r="O42" i="6"/>
  <c r="R42" i="6"/>
  <c r="F42" i="6"/>
  <c r="I42" i="6"/>
  <c r="T16" i="2"/>
  <c r="G16" i="2"/>
  <c r="Q18" i="10"/>
  <c r="F31" i="13"/>
  <c r="J31" i="13" s="1"/>
  <c r="K12" i="9"/>
  <c r="K15" i="8"/>
  <c r="AA46" i="5"/>
  <c r="AB46" i="5" s="1"/>
  <c r="H16" i="12"/>
  <c r="H27" i="12"/>
  <c r="K27" i="12" s="1"/>
  <c r="J16" i="13"/>
  <c r="F14" i="13"/>
  <c r="J14" i="13" s="1"/>
  <c r="H11" i="10"/>
  <c r="K11" i="10" s="1"/>
  <c r="F20" i="13"/>
  <c r="H19" i="13"/>
  <c r="K19" i="13" s="1"/>
  <c r="F10" i="13"/>
  <c r="J19" i="13"/>
  <c r="T18" i="10"/>
  <c r="G24" i="10"/>
  <c r="J24" i="10" s="1"/>
  <c r="T17" i="10"/>
  <c r="G23" i="12"/>
  <c r="J23" i="12" s="1"/>
  <c r="Q11" i="12"/>
  <c r="G28" i="12"/>
  <c r="J28" i="12" s="1"/>
  <c r="G30" i="12"/>
  <c r="J30" i="12" s="1"/>
  <c r="G24" i="12"/>
  <c r="J24" i="12" s="1"/>
  <c r="G15" i="12"/>
  <c r="J15" i="12" s="1"/>
  <c r="G31" i="12"/>
  <c r="J31" i="12" s="1"/>
  <c r="G22" i="12"/>
  <c r="J22" i="12" s="1"/>
  <c r="G26" i="12"/>
  <c r="J26" i="12" s="1"/>
  <c r="H11" i="13"/>
  <c r="K11" i="13" s="1"/>
  <c r="F14" i="9"/>
  <c r="J14" i="9" s="1"/>
  <c r="P11" i="7"/>
  <c r="K11" i="7"/>
  <c r="Q12" i="9"/>
  <c r="H15" i="11"/>
  <c r="H11" i="11"/>
  <c r="K11" i="11" s="1"/>
  <c r="G15" i="10"/>
  <c r="J15" i="10" s="1"/>
  <c r="G11" i="10"/>
  <c r="J11" i="10" s="1"/>
  <c r="Q10" i="10"/>
  <c r="G13" i="10"/>
  <c r="J13" i="10" s="1"/>
  <c r="G16" i="10"/>
  <c r="J16" i="10" s="1"/>
  <c r="T10" i="10"/>
  <c r="G19" i="10"/>
  <c r="J19" i="10" s="1"/>
  <c r="G12" i="10"/>
  <c r="J12" i="10" s="1"/>
  <c r="G17" i="10"/>
  <c r="J17" i="10" s="1"/>
  <c r="G21" i="10"/>
  <c r="J21" i="10" s="1"/>
  <c r="G20" i="10"/>
  <c r="J20" i="10" s="1"/>
  <c r="G31" i="8"/>
  <c r="G22" i="8"/>
  <c r="J22" i="8" s="1"/>
  <c r="H35" i="8"/>
  <c r="K35" i="8" s="1"/>
  <c r="H28" i="8"/>
  <c r="H20" i="7"/>
  <c r="P46" i="5"/>
  <c r="G18" i="9"/>
  <c r="Y45" i="5"/>
  <c r="G10" i="12"/>
  <c r="J10" i="12" s="1"/>
  <c r="G12" i="12"/>
  <c r="J12" i="12" s="1"/>
  <c r="Q10" i="12"/>
  <c r="G11" i="12"/>
  <c r="J11" i="12" s="1"/>
  <c r="T16" i="9"/>
  <c r="F12" i="8"/>
  <c r="J12" i="8" s="1"/>
  <c r="F31" i="8"/>
  <c r="M33" i="12"/>
  <c r="M45" i="11"/>
  <c r="M33" i="13"/>
  <c r="M59" i="10"/>
  <c r="M43" i="9"/>
  <c r="M53" i="8"/>
  <c r="R46" i="5"/>
  <c r="S46" i="5" s="1"/>
  <c r="H9" i="4"/>
  <c r="H27" i="4"/>
  <c r="K27" i="4" s="1"/>
  <c r="N27" i="4" s="1"/>
  <c r="H16" i="4"/>
  <c r="K16" i="4" s="1"/>
  <c r="N16" i="4" s="1"/>
  <c r="H17" i="4"/>
  <c r="H21" i="4"/>
  <c r="H25" i="4"/>
  <c r="H18" i="4"/>
  <c r="H24" i="4"/>
  <c r="K24" i="4" s="1"/>
  <c r="N24" i="4" s="1"/>
  <c r="H14" i="4"/>
  <c r="H19" i="4"/>
  <c r="K19" i="4" s="1"/>
  <c r="N19" i="4" s="1"/>
  <c r="H23" i="4"/>
  <c r="K23" i="4" s="1"/>
  <c r="N23" i="4" s="1"/>
  <c r="H31" i="4"/>
  <c r="K31" i="4" s="1"/>
  <c r="N31" i="4" s="1"/>
  <c r="H12" i="4"/>
  <c r="H29" i="4"/>
  <c r="K29" i="4" s="1"/>
  <c r="N29" i="4" s="1"/>
  <c r="H22" i="4"/>
  <c r="K22" i="4" s="1"/>
  <c r="N22" i="4" s="1"/>
  <c r="H30" i="4"/>
  <c r="U10" i="4"/>
  <c r="H15" i="4"/>
  <c r="K15" i="4" s="1"/>
  <c r="N15" i="4" s="1"/>
  <c r="H26" i="4"/>
  <c r="K26" i="4" s="1"/>
  <c r="N26" i="4" s="1"/>
  <c r="H20" i="4"/>
  <c r="H28" i="4"/>
  <c r="H13" i="4"/>
  <c r="H10" i="4"/>
  <c r="H11" i="4"/>
  <c r="L23" i="6"/>
  <c r="O23" i="6"/>
  <c r="R23" i="6"/>
  <c r="F23" i="6"/>
  <c r="I23" i="6"/>
  <c r="C17" i="6"/>
  <c r="AG46" i="5"/>
  <c r="AH46" i="5" s="1"/>
  <c r="AC24" i="1"/>
  <c r="M42" i="11"/>
  <c r="M30" i="13"/>
  <c r="M56" i="10"/>
  <c r="M40" i="9"/>
  <c r="M50" i="8"/>
  <c r="M30" i="12"/>
  <c r="M36" i="12"/>
  <c r="M36" i="13"/>
  <c r="M48" i="11"/>
  <c r="M56" i="8"/>
  <c r="M46" i="9"/>
  <c r="M62" i="10"/>
  <c r="T24" i="1"/>
  <c r="W24" i="1"/>
  <c r="G10" i="4"/>
  <c r="G13" i="4"/>
  <c r="G26" i="4"/>
  <c r="G18" i="4"/>
  <c r="G24" i="4"/>
  <c r="G14" i="4"/>
  <c r="G19" i="4"/>
  <c r="G23" i="4"/>
  <c r="G31" i="4"/>
  <c r="G11" i="4"/>
  <c r="G22" i="4"/>
  <c r="G30" i="4"/>
  <c r="G9" i="4"/>
  <c r="G15" i="4"/>
  <c r="G20" i="4"/>
  <c r="G28" i="4"/>
  <c r="G17" i="4"/>
  <c r="G21" i="4"/>
  <c r="G27" i="4"/>
  <c r="G25" i="4"/>
  <c r="G12" i="4"/>
  <c r="G29" i="4"/>
  <c r="G16" i="4"/>
  <c r="P50" i="5" l="1"/>
  <c r="P51" i="5" s="1"/>
  <c r="AE50" i="5"/>
  <c r="AE51" i="5" s="1"/>
  <c r="J50" i="5"/>
  <c r="J51" i="5" s="1"/>
  <c r="V50" i="5"/>
  <c r="V51" i="5" s="1"/>
  <c r="R20" i="7"/>
  <c r="M20" i="7"/>
  <c r="K30" i="4"/>
  <c r="N30" i="4" s="1"/>
  <c r="L19" i="4"/>
  <c r="O19" i="4" s="1"/>
  <c r="L30" i="4"/>
  <c r="O30" i="4" s="1"/>
  <c r="G21" i="2"/>
  <c r="T21" i="2"/>
  <c r="U21" i="2" s="1"/>
  <c r="V21" i="2" s="1"/>
  <c r="N46" i="3" s="1"/>
  <c r="J19" i="8"/>
  <c r="K37" i="10"/>
  <c r="I20" i="2"/>
  <c r="R20" i="2"/>
  <c r="O20" i="2"/>
  <c r="L20" i="2"/>
  <c r="K30" i="13"/>
  <c r="K15" i="10"/>
  <c r="K10" i="4"/>
  <c r="N10" i="4" s="1"/>
  <c r="K18" i="4"/>
  <c r="N18" i="4" s="1"/>
  <c r="J18" i="9"/>
  <c r="K16" i="12"/>
  <c r="U16" i="2"/>
  <c r="V16" i="2" s="1"/>
  <c r="N41" i="3" s="1"/>
  <c r="L45" i="5"/>
  <c r="M45" i="5" s="1"/>
  <c r="M47" i="5" s="1"/>
  <c r="M49" i="5" s="1"/>
  <c r="M50" i="5" s="1"/>
  <c r="M51" i="5" s="1"/>
  <c r="C12" i="6"/>
  <c r="AH12" i="5"/>
  <c r="AH13" i="5" s="1"/>
  <c r="AG13" i="5"/>
  <c r="K12" i="7"/>
  <c r="P12" i="7"/>
  <c r="J35" i="8"/>
  <c r="J28" i="13"/>
  <c r="L9" i="4"/>
  <c r="O9" i="4" s="1"/>
  <c r="L22" i="4"/>
  <c r="O22" i="4" s="1"/>
  <c r="L16" i="4"/>
  <c r="O16" i="4" s="1"/>
  <c r="AG15" i="7"/>
  <c r="U14" i="2"/>
  <c r="V14" i="2" s="1"/>
  <c r="K31" i="12"/>
  <c r="K23" i="12"/>
  <c r="D21" i="7"/>
  <c r="F21" i="7"/>
  <c r="G21" i="7"/>
  <c r="B23" i="7"/>
  <c r="H21" i="7"/>
  <c r="Q54" i="9"/>
  <c r="N14" i="3"/>
  <c r="L22" i="6"/>
  <c r="O22" i="6"/>
  <c r="R22" i="6"/>
  <c r="R45" i="6" s="1"/>
  <c r="S45" i="6" s="1"/>
  <c r="F22" i="6"/>
  <c r="F46" i="6" s="1"/>
  <c r="G46" i="6" s="1"/>
  <c r="I22" i="6"/>
  <c r="U17" i="2"/>
  <c r="V17" i="2" s="1"/>
  <c r="N42" i="3" s="1"/>
  <c r="K20" i="8"/>
  <c r="K24" i="10"/>
  <c r="K20" i="10"/>
  <c r="U20" i="2"/>
  <c r="V20" i="2" s="1"/>
  <c r="N45" i="3" s="1"/>
  <c r="Y47" i="5"/>
  <c r="Y49" i="5" s="1"/>
  <c r="Y50" i="5" s="1"/>
  <c r="Y51" i="5" s="1"/>
  <c r="I16" i="2"/>
  <c r="R16" i="2"/>
  <c r="O16" i="2"/>
  <c r="L16" i="2"/>
  <c r="O22" i="2"/>
  <c r="L22" i="2"/>
  <c r="I22" i="2"/>
  <c r="R22" i="2"/>
  <c r="Q20" i="7"/>
  <c r="L20" i="7"/>
  <c r="J16" i="8"/>
  <c r="K13" i="4"/>
  <c r="N13" i="4" s="1"/>
  <c r="L11" i="4"/>
  <c r="O11" i="4" s="1"/>
  <c r="L26" i="4"/>
  <c r="O26" i="4" s="1"/>
  <c r="L14" i="2"/>
  <c r="O14" i="2"/>
  <c r="I14" i="2"/>
  <c r="T72" i="10" s="1"/>
  <c r="R14" i="2"/>
  <c r="K11" i="12"/>
  <c r="R17" i="2"/>
  <c r="L17" i="2"/>
  <c r="O17" i="2"/>
  <c r="I17" i="2"/>
  <c r="K12" i="10"/>
  <c r="K20" i="13"/>
  <c r="K23" i="13"/>
  <c r="K22" i="12"/>
  <c r="K26" i="12"/>
  <c r="G13" i="2"/>
  <c r="T13" i="2"/>
  <c r="K25" i="4"/>
  <c r="N25" i="4" s="1"/>
  <c r="J31" i="8"/>
  <c r="G49" i="5"/>
  <c r="G50" i="5" s="1"/>
  <c r="G51" i="5" s="1"/>
  <c r="J16" i="9"/>
  <c r="K31" i="8"/>
  <c r="K28" i="4"/>
  <c r="N28" i="4" s="1"/>
  <c r="K12" i="4"/>
  <c r="N12" i="4" s="1"/>
  <c r="K21" i="4"/>
  <c r="N21" i="4" s="1"/>
  <c r="J12" i="9"/>
  <c r="K19" i="10"/>
  <c r="J20" i="13"/>
  <c r="I17" i="7"/>
  <c r="L27" i="4"/>
  <c r="O27" i="4" s="1"/>
  <c r="L10" i="4"/>
  <c r="O10" i="4" s="1"/>
  <c r="L13" i="4"/>
  <c r="O13" i="4" s="1"/>
  <c r="F20" i="9"/>
  <c r="B22" i="9"/>
  <c r="H20" i="9"/>
  <c r="G20" i="9"/>
  <c r="J20" i="9" s="1"/>
  <c r="AG45" i="5"/>
  <c r="AH45" i="5" s="1"/>
  <c r="AH47" i="5" s="1"/>
  <c r="K38" i="10"/>
  <c r="K13" i="10"/>
  <c r="U15" i="2"/>
  <c r="V15" i="2" s="1"/>
  <c r="AG49" i="7"/>
  <c r="N36" i="3"/>
  <c r="K28" i="13"/>
  <c r="I17" i="6"/>
  <c r="I46" i="6" s="1"/>
  <c r="J46" i="6" s="1"/>
  <c r="L17" i="6"/>
  <c r="L46" i="6" s="1"/>
  <c r="M46" i="6" s="1"/>
  <c r="O17" i="6"/>
  <c r="O46" i="6" s="1"/>
  <c r="P46" i="6" s="1"/>
  <c r="C46" i="6"/>
  <c r="D46" i="6" s="1"/>
  <c r="K13" i="7"/>
  <c r="P13" i="7"/>
  <c r="K20" i="4"/>
  <c r="N20" i="4" s="1"/>
  <c r="K17" i="4"/>
  <c r="N17" i="4" s="1"/>
  <c r="AA45" i="5"/>
  <c r="AB45" i="5" s="1"/>
  <c r="AB47" i="5" s="1"/>
  <c r="AB49" i="5" s="1"/>
  <c r="AB50" i="5" s="1"/>
  <c r="AB51" i="5" s="1"/>
  <c r="AB15" i="7"/>
  <c r="G16" i="7"/>
  <c r="G13" i="7"/>
  <c r="G12" i="7"/>
  <c r="G17" i="7"/>
  <c r="G19" i="7"/>
  <c r="G15" i="7"/>
  <c r="G11" i="7"/>
  <c r="N11" i="7" s="1"/>
  <c r="L23" i="4"/>
  <c r="O23" i="4" s="1"/>
  <c r="L24" i="4"/>
  <c r="O24" i="4" s="1"/>
  <c r="L28" i="4"/>
  <c r="O28" i="4" s="1"/>
  <c r="R12" i="7"/>
  <c r="R13" i="7"/>
  <c r="K15" i="12"/>
  <c r="AI24" i="1"/>
  <c r="N25" i="3" s="1"/>
  <c r="AH27" i="1"/>
  <c r="K16" i="8"/>
  <c r="K12" i="12"/>
  <c r="AK24" i="1"/>
  <c r="AK27" i="1" s="1"/>
  <c r="I16" i="6"/>
  <c r="I45" i="6" s="1"/>
  <c r="J45" i="6" s="1"/>
  <c r="L16" i="6"/>
  <c r="L45" i="6" s="1"/>
  <c r="M45" i="6" s="1"/>
  <c r="M47" i="6" s="1"/>
  <c r="C45" i="6"/>
  <c r="D45" i="6" s="1"/>
  <c r="D47" i="6" s="1"/>
  <c r="O16" i="6"/>
  <c r="O45" i="6" s="1"/>
  <c r="P45" i="6" s="1"/>
  <c r="L15" i="2"/>
  <c r="O15" i="2"/>
  <c r="R15" i="2"/>
  <c r="I15" i="2"/>
  <c r="T55" i="11" s="1"/>
  <c r="I11" i="2"/>
  <c r="AG48" i="7" s="1"/>
  <c r="L11" i="2"/>
  <c r="O11" i="2"/>
  <c r="R11" i="2"/>
  <c r="K11" i="4"/>
  <c r="N11" i="4" s="1"/>
  <c r="M15" i="7"/>
  <c r="R15" i="7"/>
  <c r="J37" i="10"/>
  <c r="S21" i="7"/>
  <c r="S19" i="7"/>
  <c r="N19" i="7"/>
  <c r="U23" i="2"/>
  <c r="V23" i="2" s="1"/>
  <c r="N48" i="3" s="1"/>
  <c r="M13" i="7"/>
  <c r="U18" i="2"/>
  <c r="V18" i="2" s="1"/>
  <c r="G10" i="2"/>
  <c r="E24" i="2"/>
  <c r="E27" i="2" s="1"/>
  <c r="K36" i="10"/>
  <c r="K18" i="9"/>
  <c r="R12" i="2"/>
  <c r="I12" i="2"/>
  <c r="T65" i="8" s="1"/>
  <c r="L12" i="2"/>
  <c r="O12" i="2"/>
  <c r="J25" i="10"/>
  <c r="U12" i="2"/>
  <c r="V12" i="2" s="1"/>
  <c r="K18" i="12"/>
  <c r="J38" i="10"/>
  <c r="F45" i="6"/>
  <c r="G45" i="6" s="1"/>
  <c r="K15" i="7"/>
  <c r="B18" i="11"/>
  <c r="H16" i="11"/>
  <c r="F16" i="11"/>
  <c r="G16" i="11"/>
  <c r="J16" i="11" s="1"/>
  <c r="S20" i="7"/>
  <c r="N20" i="7"/>
  <c r="N15" i="7"/>
  <c r="S15" i="7"/>
  <c r="I23" i="2"/>
  <c r="L23" i="2"/>
  <c r="R23" i="2"/>
  <c r="O23" i="2"/>
  <c r="L15" i="4"/>
  <c r="O15" i="4" s="1"/>
  <c r="G19" i="2"/>
  <c r="T19" i="2"/>
  <c r="U19" i="2" s="1"/>
  <c r="V19" i="2" s="1"/>
  <c r="O18" i="2"/>
  <c r="I18" i="2"/>
  <c r="T43" i="12" s="1"/>
  <c r="L18" i="2"/>
  <c r="R18" i="2"/>
  <c r="J18" i="12"/>
  <c r="K14" i="4"/>
  <c r="N14" i="4" s="1"/>
  <c r="K9" i="4"/>
  <c r="N9" i="4" s="1"/>
  <c r="K28" i="8"/>
  <c r="K15" i="11"/>
  <c r="K22" i="8"/>
  <c r="U22" i="2"/>
  <c r="V22" i="2" s="1"/>
  <c r="N47" i="3" s="1"/>
  <c r="R45" i="5"/>
  <c r="S45" i="5" s="1"/>
  <c r="S47" i="5" s="1"/>
  <c r="S49" i="5" s="1"/>
  <c r="S50" i="5" s="1"/>
  <c r="S51" i="5" s="1"/>
  <c r="J23" i="13"/>
  <c r="K19" i="8"/>
  <c r="I16" i="7"/>
  <c r="I13" i="7"/>
  <c r="K10" i="12"/>
  <c r="L29" i="4"/>
  <c r="O29" i="4" s="1"/>
  <c r="L12" i="4"/>
  <c r="O12" i="4" s="1"/>
  <c r="L21" i="4"/>
  <c r="O21" i="4" s="1"/>
  <c r="Q44" i="13"/>
  <c r="N20" i="3"/>
  <c r="M19" i="7"/>
  <c r="R19" i="7"/>
  <c r="AG13" i="7"/>
  <c r="K30" i="12"/>
  <c r="K22" i="13"/>
  <c r="K30" i="8"/>
  <c r="K17" i="10"/>
  <c r="G47" i="6" l="1"/>
  <c r="G49" i="6" s="1"/>
  <c r="S11" i="7"/>
  <c r="Q16" i="7"/>
  <c r="L16" i="7"/>
  <c r="M21" i="7"/>
  <c r="R21" i="7"/>
  <c r="B19" i="11"/>
  <c r="D19" i="11"/>
  <c r="D20" i="11"/>
  <c r="D18" i="11"/>
  <c r="G18" i="11" s="1"/>
  <c r="T44" i="12"/>
  <c r="N43" i="3"/>
  <c r="S13" i="7"/>
  <c r="N13" i="7"/>
  <c r="T44" i="13"/>
  <c r="N44" i="3"/>
  <c r="N16" i="7"/>
  <c r="S16" i="7"/>
  <c r="L19" i="2"/>
  <c r="I19" i="2"/>
  <c r="T43" i="13" s="1"/>
  <c r="R19" i="2"/>
  <c r="O19" i="2"/>
  <c r="P47" i="6"/>
  <c r="N17" i="7"/>
  <c r="S17" i="7"/>
  <c r="B24" i="7"/>
  <c r="F23" i="7"/>
  <c r="D23" i="7"/>
  <c r="G23" i="7"/>
  <c r="H23" i="7"/>
  <c r="I23" i="7"/>
  <c r="C23" i="7"/>
  <c r="AH49" i="5"/>
  <c r="AH50" i="5" s="1"/>
  <c r="AH51" i="5" s="1"/>
  <c r="L11" i="7"/>
  <c r="Q11" i="7"/>
  <c r="L21" i="7"/>
  <c r="Q21" i="7"/>
  <c r="I12" i="6"/>
  <c r="J12" i="6" s="1"/>
  <c r="J13" i="6" s="1"/>
  <c r="L12" i="6"/>
  <c r="M12" i="6" s="1"/>
  <c r="M13" i="6" s="1"/>
  <c r="M49" i="6" s="1"/>
  <c r="M50" i="6" s="1"/>
  <c r="M51" i="6" s="1"/>
  <c r="O12" i="6"/>
  <c r="P12" i="6" s="1"/>
  <c r="P13" i="6" s="1"/>
  <c r="D12" i="6"/>
  <c r="D13" i="6" s="1"/>
  <c r="D49" i="6" s="1"/>
  <c r="P21" i="7"/>
  <c r="K21" i="7"/>
  <c r="R21" i="2"/>
  <c r="O21" i="2"/>
  <c r="L21" i="2"/>
  <c r="I21" i="2"/>
  <c r="L15" i="7"/>
  <c r="Q15" i="7"/>
  <c r="K20" i="9"/>
  <c r="N21" i="7"/>
  <c r="J47" i="6"/>
  <c r="L19" i="7"/>
  <c r="Q19" i="7"/>
  <c r="B23" i="9"/>
  <c r="D22" i="9"/>
  <c r="F22" i="9" s="1"/>
  <c r="D24" i="9"/>
  <c r="D23" i="9"/>
  <c r="G22" i="9"/>
  <c r="H22" i="9"/>
  <c r="K22" i="9" s="1"/>
  <c r="T66" i="8"/>
  <c r="N37" i="3"/>
  <c r="K16" i="11"/>
  <c r="R46" i="6"/>
  <c r="S46" i="6" s="1"/>
  <c r="S47" i="6" s="1"/>
  <c r="S49" i="6" s="1"/>
  <c r="S50" i="6" s="1"/>
  <c r="S51" i="6" s="1"/>
  <c r="O10" i="2"/>
  <c r="R10" i="2"/>
  <c r="G24" i="2"/>
  <c r="T10" i="2"/>
  <c r="L10" i="2"/>
  <c r="I10" i="2"/>
  <c r="X50" i="4" s="1"/>
  <c r="Q17" i="7"/>
  <c r="L17" i="7"/>
  <c r="U13" i="2"/>
  <c r="V13" i="2" s="1"/>
  <c r="L12" i="7"/>
  <c r="Q12" i="7"/>
  <c r="T56" i="11"/>
  <c r="N40" i="3"/>
  <c r="R13" i="2"/>
  <c r="O13" i="2"/>
  <c r="I13" i="2"/>
  <c r="T53" i="9" s="1"/>
  <c r="L13" i="2"/>
  <c r="N12" i="7"/>
  <c r="L13" i="7"/>
  <c r="Q13" i="7"/>
  <c r="T73" i="10"/>
  <c r="N39" i="3"/>
  <c r="S12" i="7"/>
  <c r="B20" i="11" l="1"/>
  <c r="G19" i="11"/>
  <c r="F19" i="11"/>
  <c r="H19" i="11"/>
  <c r="K19" i="11" s="1"/>
  <c r="T54" i="9"/>
  <c r="N38" i="3"/>
  <c r="K23" i="7"/>
  <c r="P23" i="7"/>
  <c r="B25" i="7"/>
  <c r="D24" i="7"/>
  <c r="F24" i="7"/>
  <c r="G24" i="7"/>
  <c r="H24" i="7"/>
  <c r="I24" i="7"/>
  <c r="C24" i="7"/>
  <c r="H18" i="11"/>
  <c r="K18" i="11" s="1"/>
  <c r="Q23" i="7"/>
  <c r="L23" i="7"/>
  <c r="F18" i="11"/>
  <c r="J18" i="11" s="1"/>
  <c r="F23" i="9"/>
  <c r="G23" i="9"/>
  <c r="J23" i="9" s="1"/>
  <c r="B24" i="9"/>
  <c r="H23" i="9"/>
  <c r="K23" i="9" s="1"/>
  <c r="P49" i="6"/>
  <c r="P50" i="6" s="1"/>
  <c r="P51" i="6" s="1"/>
  <c r="I24" i="2"/>
  <c r="R24" i="2"/>
  <c r="O24" i="2"/>
  <c r="L24" i="2"/>
  <c r="J22" i="9"/>
  <c r="S23" i="7"/>
  <c r="N23" i="7"/>
  <c r="U10" i="2"/>
  <c r="T24" i="2"/>
  <c r="T27" i="2" s="1"/>
  <c r="J49" i="6"/>
  <c r="J50" i="6" s="1"/>
  <c r="J51" i="6" s="1"/>
  <c r="R23" i="7"/>
  <c r="M23" i="7"/>
  <c r="G50" i="6"/>
  <c r="G51" i="6" s="1"/>
  <c r="S24" i="7" l="1"/>
  <c r="N24" i="7"/>
  <c r="B26" i="9"/>
  <c r="H24" i="9"/>
  <c r="F24" i="9"/>
  <c r="G24" i="9"/>
  <c r="J24" i="9" s="1"/>
  <c r="R24" i="7"/>
  <c r="M24" i="7"/>
  <c r="L24" i="7"/>
  <c r="Q24" i="7"/>
  <c r="J19" i="11"/>
  <c r="K24" i="7"/>
  <c r="P24" i="7"/>
  <c r="B27" i="7"/>
  <c r="D25" i="7"/>
  <c r="F25" i="7"/>
  <c r="G25" i="7"/>
  <c r="H25" i="7"/>
  <c r="I25" i="7"/>
  <c r="C25" i="7"/>
  <c r="B22" i="11"/>
  <c r="G20" i="11"/>
  <c r="J20" i="11" s="1"/>
  <c r="F20" i="11"/>
  <c r="H20" i="11"/>
  <c r="K20" i="11" s="1"/>
  <c r="V10" i="2"/>
  <c r="U24" i="2"/>
  <c r="K25" i="7" l="1"/>
  <c r="P25" i="7"/>
  <c r="B28" i="7"/>
  <c r="D27" i="7"/>
  <c r="F27" i="7"/>
  <c r="G27" i="7"/>
  <c r="H27" i="7"/>
  <c r="C27" i="7"/>
  <c r="I27" i="7"/>
  <c r="B23" i="11"/>
  <c r="D23" i="11"/>
  <c r="D22" i="11"/>
  <c r="G22" i="11"/>
  <c r="D24" i="11"/>
  <c r="F22" i="11"/>
  <c r="H22" i="11"/>
  <c r="K22" i="11" s="1"/>
  <c r="K24" i="9"/>
  <c r="D26" i="9"/>
  <c r="B27" i="9"/>
  <c r="D28" i="9"/>
  <c r="D27" i="9"/>
  <c r="F26" i="9"/>
  <c r="G26" i="9"/>
  <c r="J26" i="9" s="1"/>
  <c r="H26" i="9"/>
  <c r="S25" i="7"/>
  <c r="N25" i="7"/>
  <c r="V24" i="2"/>
  <c r="N49" i="3" s="1"/>
  <c r="U27" i="2"/>
  <c r="M25" i="7"/>
  <c r="R25" i="7"/>
  <c r="N35" i="3"/>
  <c r="X51" i="4"/>
  <c r="L25" i="7"/>
  <c r="Q25" i="7"/>
  <c r="K26" i="9" l="1"/>
  <c r="M27" i="7"/>
  <c r="R27" i="7"/>
  <c r="K27" i="7"/>
  <c r="P27" i="7"/>
  <c r="D28" i="7"/>
  <c r="F28" i="7"/>
  <c r="G28" i="7"/>
  <c r="H28" i="7"/>
  <c r="B29" i="7"/>
  <c r="C28" i="7"/>
  <c r="I28" i="7"/>
  <c r="L27" i="7"/>
  <c r="Q27" i="7"/>
  <c r="J22" i="11"/>
  <c r="B28" i="9"/>
  <c r="H27" i="9"/>
  <c r="F27" i="9"/>
  <c r="G27" i="9"/>
  <c r="J27" i="9" s="1"/>
  <c r="B24" i="11"/>
  <c r="H23" i="11"/>
  <c r="G23" i="11"/>
  <c r="F23" i="11"/>
  <c r="N27" i="7"/>
  <c r="S27" i="7"/>
  <c r="B30" i="9" l="1"/>
  <c r="F28" i="9"/>
  <c r="H28" i="9"/>
  <c r="G28" i="9"/>
  <c r="J28" i="9" s="1"/>
  <c r="P28" i="7"/>
  <c r="K28" i="7"/>
  <c r="N28" i="7"/>
  <c r="S28" i="7"/>
  <c r="L28" i="7"/>
  <c r="Q28" i="7"/>
  <c r="J23" i="11"/>
  <c r="K23" i="11"/>
  <c r="B26" i="11"/>
  <c r="F24" i="11"/>
  <c r="G24" i="11"/>
  <c r="J24" i="11" s="1"/>
  <c r="H24" i="11"/>
  <c r="K24" i="11" s="1"/>
  <c r="D29" i="7"/>
  <c r="F29" i="7"/>
  <c r="G29" i="7"/>
  <c r="B31" i="7"/>
  <c r="H29" i="7"/>
  <c r="C29" i="7"/>
  <c r="I29" i="7"/>
  <c r="K27" i="9"/>
  <c r="M28" i="7"/>
  <c r="R28" i="7"/>
  <c r="N29" i="7" l="1"/>
  <c r="S29" i="7"/>
  <c r="B27" i="11"/>
  <c r="D27" i="11"/>
  <c r="D28" i="11"/>
  <c r="D26" i="11"/>
  <c r="H26" i="11" s="1"/>
  <c r="D31" i="7"/>
  <c r="F31" i="7"/>
  <c r="G31" i="7"/>
  <c r="B32" i="7"/>
  <c r="H31" i="7"/>
  <c r="C31" i="7"/>
  <c r="I31" i="7"/>
  <c r="Q29" i="7"/>
  <c r="L29" i="7"/>
  <c r="M29" i="7"/>
  <c r="R29" i="7"/>
  <c r="K28" i="9"/>
  <c r="P29" i="7"/>
  <c r="K29" i="7"/>
  <c r="B31" i="9"/>
  <c r="D31" i="9"/>
  <c r="D32" i="9"/>
  <c r="D30" i="9"/>
  <c r="F30" i="9"/>
  <c r="G30" i="9"/>
  <c r="J30" i="9" s="1"/>
  <c r="H30" i="9"/>
  <c r="K30" i="9" s="1"/>
  <c r="N31" i="7" l="1"/>
  <c r="S31" i="7"/>
  <c r="F26" i="11"/>
  <c r="R31" i="7"/>
  <c r="M31" i="7"/>
  <c r="B28" i="11"/>
  <c r="G27" i="11"/>
  <c r="J27" i="11" s="1"/>
  <c r="F27" i="11"/>
  <c r="H27" i="11"/>
  <c r="H31" i="9"/>
  <c r="B32" i="9"/>
  <c r="F31" i="9"/>
  <c r="G31" i="9"/>
  <c r="J31" i="9" s="1"/>
  <c r="G26" i="11"/>
  <c r="J26" i="11" s="1"/>
  <c r="F32" i="7"/>
  <c r="G32" i="7"/>
  <c r="B33" i="7"/>
  <c r="D32" i="7"/>
  <c r="H32" i="7"/>
  <c r="C32" i="7"/>
  <c r="I32" i="7"/>
  <c r="Q31" i="7"/>
  <c r="L31" i="7"/>
  <c r="P31" i="7"/>
  <c r="K31" i="7"/>
  <c r="B30" i="11" l="1"/>
  <c r="F28" i="11"/>
  <c r="H28" i="11"/>
  <c r="G28" i="11"/>
  <c r="J28" i="11" s="1"/>
  <c r="P32" i="7"/>
  <c r="K32" i="7"/>
  <c r="R32" i="7"/>
  <c r="M32" i="7"/>
  <c r="K31" i="9"/>
  <c r="G33" i="7"/>
  <c r="B35" i="7"/>
  <c r="D33" i="7"/>
  <c r="F33" i="7"/>
  <c r="H33" i="7"/>
  <c r="I33" i="7"/>
  <c r="C33" i="7"/>
  <c r="S32" i="7"/>
  <c r="N32" i="7"/>
  <c r="F32" i="9"/>
  <c r="B34" i="9"/>
  <c r="G32" i="9"/>
  <c r="J32" i="9" s="1"/>
  <c r="H32" i="9"/>
  <c r="K32" i="9" s="1"/>
  <c r="K27" i="11"/>
  <c r="Q32" i="7"/>
  <c r="L32" i="7"/>
  <c r="K26" i="11"/>
  <c r="K28" i="11" l="1"/>
  <c r="R33" i="7"/>
  <c r="M33" i="7"/>
  <c r="Q33" i="7"/>
  <c r="L33" i="7"/>
  <c r="S33" i="7"/>
  <c r="N33" i="7"/>
  <c r="K33" i="7"/>
  <c r="P33" i="7"/>
  <c r="B35" i="9"/>
  <c r="D35" i="9"/>
  <c r="D36" i="9"/>
  <c r="D34" i="9"/>
  <c r="F34" i="9"/>
  <c r="G34" i="9"/>
  <c r="J34" i="9" s="1"/>
  <c r="H34" i="9"/>
  <c r="K34" i="9" s="1"/>
  <c r="B36" i="7"/>
  <c r="D35" i="7"/>
  <c r="F35" i="7"/>
  <c r="G35" i="7"/>
  <c r="H35" i="7"/>
  <c r="C35" i="7"/>
  <c r="I35" i="7"/>
  <c r="D30" i="11"/>
  <c r="G30" i="11" s="1"/>
  <c r="D32" i="11"/>
  <c r="B31" i="11"/>
  <c r="D31" i="11"/>
  <c r="S35" i="7" l="1"/>
  <c r="N35" i="7"/>
  <c r="R35" i="7"/>
  <c r="M35" i="7"/>
  <c r="L35" i="7"/>
  <c r="Q35" i="7"/>
  <c r="K35" i="7"/>
  <c r="P35" i="7"/>
  <c r="F30" i="11"/>
  <c r="J30" i="11" s="1"/>
  <c r="B32" i="11"/>
  <c r="G31" i="11"/>
  <c r="F31" i="11"/>
  <c r="H31" i="11"/>
  <c r="K31" i="11" s="1"/>
  <c r="H30" i="11"/>
  <c r="K30" i="11" s="1"/>
  <c r="F35" i="9"/>
  <c r="H35" i="9"/>
  <c r="B36" i="9"/>
  <c r="G35" i="9"/>
  <c r="B37" i="7"/>
  <c r="D36" i="7"/>
  <c r="G36" i="7"/>
  <c r="H36" i="7"/>
  <c r="F36" i="7"/>
  <c r="I36" i="7"/>
  <c r="C36" i="7"/>
  <c r="L36" i="7" l="1"/>
  <c r="Q36" i="7"/>
  <c r="M36" i="7"/>
  <c r="R36" i="7"/>
  <c r="J31" i="11"/>
  <c r="J35" i="9"/>
  <c r="B34" i="11"/>
  <c r="G32" i="11"/>
  <c r="J32" i="11" s="1"/>
  <c r="H32" i="11"/>
  <c r="F32" i="11"/>
  <c r="K36" i="7"/>
  <c r="P36" i="7"/>
  <c r="B39" i="7"/>
  <c r="D37" i="7"/>
  <c r="F37" i="7"/>
  <c r="G37" i="7"/>
  <c r="H37" i="7"/>
  <c r="C37" i="7"/>
  <c r="I37" i="7"/>
  <c r="F36" i="9"/>
  <c r="G36" i="9"/>
  <c r="J36" i="9" s="1"/>
  <c r="H36" i="9"/>
  <c r="K36" i="9" s="1"/>
  <c r="S36" i="7"/>
  <c r="N36" i="7"/>
  <c r="K35" i="9"/>
  <c r="K37" i="7" l="1"/>
  <c r="P37" i="7"/>
  <c r="D35" i="11"/>
  <c r="D34" i="11"/>
  <c r="H34" i="11" s="1"/>
  <c r="K34" i="11" s="1"/>
  <c r="D36" i="11"/>
  <c r="B35" i="11"/>
  <c r="F34" i="11"/>
  <c r="G34" i="11"/>
  <c r="J34" i="11" s="1"/>
  <c r="L37" i="7"/>
  <c r="Q37" i="7"/>
  <c r="D39" i="7"/>
  <c r="F39" i="7"/>
  <c r="G39" i="7"/>
  <c r="B40" i="7"/>
  <c r="H39" i="7"/>
  <c r="C39" i="7"/>
  <c r="I39" i="7"/>
  <c r="N37" i="7"/>
  <c r="S37" i="7"/>
  <c r="M37" i="7"/>
  <c r="R37" i="7"/>
  <c r="K32" i="11"/>
  <c r="D40" i="7" l="1"/>
  <c r="F40" i="7"/>
  <c r="G40" i="7"/>
  <c r="B41" i="7"/>
  <c r="H40" i="7"/>
  <c r="I40" i="7"/>
  <c r="C40" i="7"/>
  <c r="M39" i="7"/>
  <c r="R39" i="7"/>
  <c r="L39" i="7"/>
  <c r="Q39" i="7"/>
  <c r="P39" i="7"/>
  <c r="K39" i="7"/>
  <c r="N39" i="7"/>
  <c r="S39" i="7"/>
  <c r="B36" i="11"/>
  <c r="H35" i="11"/>
  <c r="F35" i="11"/>
  <c r="G35" i="11"/>
  <c r="J35" i="11" s="1"/>
  <c r="Q40" i="7" l="1"/>
  <c r="L40" i="7"/>
  <c r="G36" i="11"/>
  <c r="F36" i="11"/>
  <c r="H36" i="11"/>
  <c r="K36" i="11" s="1"/>
  <c r="N40" i="7"/>
  <c r="S40" i="7"/>
  <c r="M40" i="7"/>
  <c r="R40" i="7"/>
  <c r="D41" i="7"/>
  <c r="F41" i="7"/>
  <c r="G41" i="7"/>
  <c r="H41" i="7"/>
  <c r="C41" i="7"/>
  <c r="I41" i="7"/>
  <c r="P40" i="7"/>
  <c r="K40" i="7"/>
  <c r="K35" i="11"/>
  <c r="N41" i="7" l="1"/>
  <c r="S41" i="7"/>
  <c r="R41" i="7"/>
  <c r="M41" i="7"/>
  <c r="Q41" i="7"/>
  <c r="L41" i="7"/>
  <c r="P41" i="7"/>
  <c r="K41" i="7"/>
  <c r="J36" i="11"/>
</calcChain>
</file>

<file path=xl/sharedStrings.xml><?xml version="1.0" encoding="utf-8"?>
<sst xmlns="http://schemas.openxmlformats.org/spreadsheetml/2006/main" count="836" uniqueCount="303">
  <si>
    <t>(1)  Rates Effective January 1, 2024</t>
  </si>
  <si>
    <t>Cross check</t>
  </si>
  <si>
    <t>Exhibit: CTM-6:</t>
  </si>
  <si>
    <t>Exhibit: SEF-4E:</t>
  </si>
  <si>
    <t>All Sales</t>
  </si>
  <si>
    <t>Firm Resale</t>
  </si>
  <si>
    <t>Special Contract</t>
  </si>
  <si>
    <t>Retail Wheeling</t>
  </si>
  <si>
    <t>Area &amp; Street Lighting</t>
  </si>
  <si>
    <t>High Volt Gen Svc</t>
  </si>
  <si>
    <t>High Volt Interr Svc</t>
  </si>
  <si>
    <t>Pri Volt Interr Elec Sch</t>
  </si>
  <si>
    <t>Pri Volt Irrig &amp; Pump Svc</t>
  </si>
  <si>
    <t>Pri Volt Gen Svc</t>
  </si>
  <si>
    <t>Sec Volt Irrig &amp; Pump Svc</t>
  </si>
  <si>
    <t>Sec Volt Gen Lg Dem Svc</t>
  </si>
  <si>
    <t>Sec Volt Gen Med Dem Svc</t>
  </si>
  <si>
    <t>Sec Volt Gen Svc</t>
  </si>
  <si>
    <t>Residential</t>
  </si>
  <si>
    <t>y = d + w</t>
  </si>
  <si>
    <t>x = w / d</t>
  </si>
  <si>
    <t>w = e+g+i+k+ m+o+q+s+u</t>
  </si>
  <si>
    <t>v = u / d</t>
  </si>
  <si>
    <t>u</t>
  </si>
  <si>
    <t>t = s / d</t>
  </si>
  <si>
    <t>s</t>
  </si>
  <si>
    <t>r = q / d</t>
  </si>
  <si>
    <t>q</t>
  </si>
  <si>
    <t>p = o / d</t>
  </si>
  <si>
    <t>o</t>
  </si>
  <si>
    <t>n = m / d</t>
  </si>
  <si>
    <t>m</t>
  </si>
  <si>
    <t>l = k / d</t>
  </si>
  <si>
    <t>k</t>
  </si>
  <si>
    <t>j = i / d</t>
  </si>
  <si>
    <t>i</t>
  </si>
  <si>
    <t>h = g / d</t>
  </si>
  <si>
    <t>g</t>
  </si>
  <si>
    <t>f = e / d</t>
  </si>
  <si>
    <t>e</t>
  </si>
  <si>
    <t>d</t>
  </si>
  <si>
    <t>c</t>
  </si>
  <si>
    <t>b</t>
  </si>
  <si>
    <t>a</t>
  </si>
  <si>
    <t>GRC Revenue Change (%)</t>
  </si>
  <si>
    <t>GRC Revenue Change ($)</t>
  </si>
  <si>
    <t>Sch 141WFP Rate Plan $ Change</t>
  </si>
  <si>
    <t>Sch 141DCARB Rate Plan % Change</t>
  </si>
  <si>
    <t>Sch 141DCARB Rate Plan $ Change</t>
  </si>
  <si>
    <t>Sch 141CGR Rate Plan % Change</t>
  </si>
  <si>
    <t>Sch 141CGR Rate Plan $ Change</t>
  </si>
  <si>
    <t>Sch 141R Rate Plan % Change</t>
  </si>
  <si>
    <t>Sch 141R Rate Plan $ Change</t>
  </si>
  <si>
    <t>Sch 141N Rate Plan % Change</t>
  </si>
  <si>
    <t>Sch 141N Rate Plan $ Change</t>
  </si>
  <si>
    <t>Sch 141CEI Rate Plan % Change</t>
  </si>
  <si>
    <t>Sch 141CEI Rate Plan $ Change</t>
  </si>
  <si>
    <t>Sch 137 Rate Plan % Change</t>
  </si>
  <si>
    <t>Sch 137 Rate Plan $ Change</t>
  </si>
  <si>
    <t>Sch 95 Rate Plan % Change</t>
  </si>
  <si>
    <t>Sch 95 Rate Plan $ Change</t>
  </si>
  <si>
    <t>Base Rate % Change</t>
  </si>
  <si>
    <t>Base Rate $ Change</t>
  </si>
  <si>
    <t>Normalized Revenue After Riders (1)</t>
  </si>
  <si>
    <t>Rate Schedule</t>
  </si>
  <si>
    <t>Rate Class</t>
  </si>
  <si>
    <t>Line No.</t>
  </si>
  <si>
    <t xml:space="preserve">GRC Revenue Changes            </t>
  </si>
  <si>
    <t>GRC Electric Rate Impacts</t>
  </si>
  <si>
    <t>Puget Sound Energy</t>
  </si>
  <si>
    <t>(1)  Proposed Revenue Effective January 2026 adjusted for load growth in the MYRP 2026</t>
  </si>
  <si>
    <t>q = o / f</t>
  </si>
  <si>
    <t>p = o - f</t>
  </si>
  <si>
    <t>o =f+g+i+k+m</t>
  </si>
  <si>
    <t>f = d + e</t>
  </si>
  <si>
    <t>Total % Change</t>
  </si>
  <si>
    <t>Total $ GRC Change</t>
  </si>
  <si>
    <t>12 ME
Dec 2024
Total Forecast
Revenue @ 
RY #2 Rates</t>
  </si>
  <si>
    <t>Total Forecasted Revenue at RY #1 Rates (1)</t>
  </si>
  <si>
    <t>Load Growth Adjustment for 2026</t>
  </si>
  <si>
    <t>(2)  Proposed Revenue Effective January 1, 2026 adjusted for load growth in the MYRP 2026</t>
  </si>
  <si>
    <t>i = (g - d) / d</t>
  </si>
  <si>
    <t>h = g / f</t>
  </si>
  <si>
    <t>f</t>
  </si>
  <si>
    <t>e = d / c</t>
  </si>
  <si>
    <t>check</t>
  </si>
  <si>
    <t>% Change</t>
  </si>
  <si>
    <t>Per kWh</t>
  </si>
  <si>
    <t>12ME Dec. 2026</t>
  </si>
  <si>
    <t>Total</t>
  </si>
  <si>
    <t>Average Rate</t>
  </si>
  <si>
    <t>Revenue</t>
  </si>
  <si>
    <t>Volume (Therms)</t>
  </si>
  <si>
    <t>Volume (kWh)</t>
  </si>
  <si>
    <t>Rate</t>
  </si>
  <si>
    <t>Forecasted</t>
  </si>
  <si>
    <t>Proposed Rates</t>
  </si>
  <si>
    <t>Current Rates (2)</t>
  </si>
  <si>
    <t>Proposed Rates Effective January 2026</t>
  </si>
  <si>
    <t>(1) Rates effective January 1, 2024</t>
  </si>
  <si>
    <t>12ME Dec. 2025</t>
  </si>
  <si>
    <t>Current Rates (1)</t>
  </si>
  <si>
    <t>Proposed Rates Effective January 2025</t>
  </si>
  <si>
    <t>Average Rate Per kWh Impacts by Rate Schedule of Proposed Rate Year #1 Rates</t>
  </si>
  <si>
    <t>Proposed Net Rate Impact</t>
  </si>
  <si>
    <t>Proposed Overall Residential Base Rate Impact:</t>
  </si>
  <si>
    <t>Single Phase Tier 2</t>
  </si>
  <si>
    <t>Single Phase Tier 1</t>
  </si>
  <si>
    <t>(1) Average PSE Customer is at 800</t>
  </si>
  <si>
    <t>Notes:</t>
  </si>
  <si>
    <t>&gt;5000</t>
  </si>
  <si>
    <t>Basic Charge - Single Phase</t>
  </si>
  <si>
    <t xml:space="preserve"> </t>
  </si>
  <si>
    <t>p</t>
  </si>
  <si>
    <t>n</t>
  </si>
  <si>
    <t>l</t>
  </si>
  <si>
    <t>j</t>
  </si>
  <si>
    <t>h</t>
  </si>
  <si>
    <t>Proposed Rate Change %</t>
  </si>
  <si>
    <t xml:space="preserve">Proposed Rates </t>
  </si>
  <si>
    <t>Current Rate effective Jan 1, 2024</t>
  </si>
  <si>
    <t xml:space="preserve">Current
Bill </t>
  </si>
  <si>
    <t>Summer (Apr-Sep)</t>
  </si>
  <si>
    <t>Winter
(Oct-Mar)</t>
  </si>
  <si>
    <t>Annual</t>
  </si>
  <si>
    <t>kWh</t>
  </si>
  <si>
    <t>Line No</t>
  </si>
  <si>
    <t>MYRP 2026</t>
  </si>
  <si>
    <t>MYRP 2025</t>
  </si>
  <si>
    <t>Change in Bill %</t>
  </si>
  <si>
    <t>Change in Bill $</t>
  </si>
  <si>
    <r>
      <t xml:space="preserve">Monthly Bill Amounts $ </t>
    </r>
    <r>
      <rPr>
        <b/>
        <vertAlign val="superscript"/>
        <sz val="8"/>
        <rFont val="Arial"/>
        <family val="2"/>
      </rPr>
      <t>1</t>
    </r>
  </si>
  <si>
    <t>% Customers</t>
  </si>
  <si>
    <t>Residential Monthly Billing Comparison of Proposed Rate Plan Rates</t>
  </si>
  <si>
    <t>Percent change from bill under current rates</t>
  </si>
  <si>
    <t>Change from bill under current rates</t>
  </si>
  <si>
    <t>Total monthly bill</t>
  </si>
  <si>
    <t>Total Volumetric Charges</t>
  </si>
  <si>
    <t>Total volumetric charges Over 600 kWh</t>
  </si>
  <si>
    <t>Total volumetric charges First 600 kWh</t>
  </si>
  <si>
    <t>Energy Charge (Sch. 7) Over 600 kWh</t>
  </si>
  <si>
    <t>Energy Charge First 600 kWh</t>
  </si>
  <si>
    <t>Volumetric charges ($/kWh)</t>
  </si>
  <si>
    <t>Subtotal</t>
  </si>
  <si>
    <t>Basic Charge (Sch. 7)</t>
  </si>
  <si>
    <t>Customer charge ($/month)</t>
  </si>
  <si>
    <t>w</t>
  </si>
  <si>
    <t>v</t>
  </si>
  <si>
    <t>t</t>
  </si>
  <si>
    <t>r</t>
  </si>
  <si>
    <t>Charges</t>
  </si>
  <si>
    <t>Rates</t>
  </si>
  <si>
    <r>
      <t>Rates</t>
    </r>
    <r>
      <rPr>
        <b/>
        <vertAlign val="superscript"/>
        <sz val="8"/>
        <rFont val="Arial"/>
        <family val="2"/>
      </rPr>
      <t xml:space="preserve"> (1)</t>
    </r>
  </si>
  <si>
    <t>Line</t>
  </si>
  <si>
    <t>Total Rate Change</t>
  </si>
  <si>
    <t>Sch. 141WFP Rate Change</t>
  </si>
  <si>
    <t>Sch. 141DCARB Rate Change</t>
  </si>
  <si>
    <t>Sch. 141CGR Rate Change</t>
  </si>
  <si>
    <t>Sch. 141R Rate Change</t>
  </si>
  <si>
    <t>Sch. 141N Rate Change</t>
  </si>
  <si>
    <t>Sch. 141CEI Rate Change</t>
  </si>
  <si>
    <t>Sch. 137 Rate Change</t>
  </si>
  <si>
    <t>Sch. 95 Rate Change</t>
  </si>
  <si>
    <t>Base Rate Change</t>
  </si>
  <si>
    <t>Current Rates</t>
  </si>
  <si>
    <t>Typical Residential Bill Impacts of Proposed Rate Year #1 Rates</t>
  </si>
  <si>
    <t>(1) Proposed Rates effective January 1, 2025</t>
  </si>
  <si>
    <t>Presentational purpose ONLY, rates will only be set for 2025 in 2024 GRC</t>
  </si>
  <si>
    <t>Typical Residential Bill Impacts of Proposed Rate Year #2 Rates</t>
  </si>
  <si>
    <t>Note: Excluding SCH 139 Green Direct impacts from Bill Impacts presentation</t>
  </si>
  <si>
    <t>Total per KWh</t>
  </si>
  <si>
    <t>not applicable for SCH 24</t>
  </si>
  <si>
    <t>Average kWh</t>
  </si>
  <si>
    <t>Summer kWh</t>
  </si>
  <si>
    <t xml:space="preserve">Winter kWh </t>
  </si>
  <si>
    <t>Basic Charge</t>
  </si>
  <si>
    <t>z</t>
  </si>
  <si>
    <t>y</t>
  </si>
  <si>
    <t>x</t>
  </si>
  <si>
    <t>Three Phase</t>
  </si>
  <si>
    <t>Single Phase</t>
  </si>
  <si>
    <t>3 Phase</t>
  </si>
  <si>
    <t>1 Phase</t>
  </si>
  <si>
    <t>Difference MYRP 2026</t>
  </si>
  <si>
    <t>Difference MYRP 2025</t>
  </si>
  <si>
    <t>Proposed Price Schedule 24 MYRP 2026</t>
  </si>
  <si>
    <t>Proposed Price Schedule 24 MYRP 2025</t>
  </si>
  <si>
    <t>Present Price Schedule 24</t>
  </si>
  <si>
    <t>Percent</t>
  </si>
  <si>
    <t>Dollar</t>
  </si>
  <si>
    <t xml:space="preserve">Monthly Billing </t>
  </si>
  <si>
    <t>SCHEDULE 24: Secondary Voltage General Service, Demand &lt; 50 kW</t>
  </si>
  <si>
    <t>Monthly Billing Comparison</t>
  </si>
  <si>
    <t>Over 20,000</t>
  </si>
  <si>
    <t>Summer - First 20,000</t>
  </si>
  <si>
    <t>Winter - First 20,000</t>
  </si>
  <si>
    <t>not applicable for SCH 25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</si>
  <si>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</si>
  <si>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</si>
  <si>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</si>
  <si>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</si>
  <si>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</si>
  <si>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</si>
  <si>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Average kWh - First 20,000</t>
  </si>
  <si>
    <t>Summer kWh - First 20,000</t>
  </si>
  <si>
    <t>Winter kWh - First 20,000</t>
  </si>
  <si>
    <t>Proposed Price Schedule 25 MYRP 2026</t>
  </si>
  <si>
    <t>Proposed Price Schedule 25 MYRP 2025</t>
  </si>
  <si>
    <t>Present Price Schedule 25</t>
  </si>
  <si>
    <t>(Equiv Hours)</t>
  </si>
  <si>
    <t>Demand (KW)</t>
  </si>
  <si>
    <t>Monthly Billing</t>
  </si>
  <si>
    <t>Secondary Voltage General Service, Small Demand Between 50 &amp; 350 kW</t>
  </si>
  <si>
    <t>SCHEDULE 25: Secondary Voltage General Service, Small Demand Between 50 &amp; 350 kW</t>
  </si>
  <si>
    <t>Note: Excluding SCH 139 Green Direct, Conjuctive Demand and Prime Services impacts from Bill Impacts presentation</t>
  </si>
  <si>
    <t>not applicable for SCH 26</t>
  </si>
  <si>
    <t>Average kW</t>
  </si>
  <si>
    <t>Summer kW</t>
  </si>
  <si>
    <t>Winter kW</t>
  </si>
  <si>
    <t>kWh - All</t>
  </si>
  <si>
    <t>Proposed Price Schedule 26 MYRP 2026</t>
  </si>
  <si>
    <t>Proposed Price Schedule 26 MYRP 2025</t>
  </si>
  <si>
    <t>Present Price Schedule 26</t>
  </si>
  <si>
    <t>Secondary Voltage General Service, Large Demand Over 350 kW</t>
  </si>
  <si>
    <t>SCHEDULE 26: Secondary Voltage General Service, Large Demand Over 350 kW</t>
  </si>
  <si>
    <t>Summer - Over 20,000</t>
  </si>
  <si>
    <t>Winter kWh - Over 20,000</t>
  </si>
  <si>
    <t>Average kWh - block 2</t>
  </si>
  <si>
    <t>Average kWh - block 1</t>
  </si>
  <si>
    <t>Summer kWh - Over 20,000</t>
  </si>
  <si>
    <t>Basic Charge (3 Phase)</t>
  </si>
  <si>
    <t>Basic Charge (1 Phase)</t>
  </si>
  <si>
    <t>Proposed Price Schedule 29 MYRP 2026</t>
  </si>
  <si>
    <t>Proposed Price Schedule 29 MYRP 2025</t>
  </si>
  <si>
    <t>Present Price Schedule 29</t>
  </si>
  <si>
    <t>Secondary Voltage Irrigation &amp; Pumping Service</t>
  </si>
  <si>
    <t>SCHEDULE 29: Secondary Voltage Irrigation &amp; Pumping Service</t>
  </si>
  <si>
    <t>Note: Excluding SCH 139 Green Direct, Conjuctive Demand impacts from Bill Impacts presentation</t>
  </si>
  <si>
    <t>not applicable for SCH 31</t>
  </si>
  <si>
    <t>Proposed Price Schedule 31 MYRP 2026</t>
  </si>
  <si>
    <t>Proposed Price Schedule 31 MYRP 2025</t>
  </si>
  <si>
    <t>Present Price Schedule 31</t>
  </si>
  <si>
    <t>Primary Voltage General Service</t>
  </si>
  <si>
    <t>SCHEDULE 31: Primary Voltage General Service</t>
  </si>
  <si>
    <t>not applicable for SCH 46</t>
  </si>
  <si>
    <t>Energy ($ per kWh)</t>
  </si>
  <si>
    <t>Demand ($ per kVa)</t>
  </si>
  <si>
    <t>Proposed Price Schedule 46 MYRP 2026</t>
  </si>
  <si>
    <t>Proposed Price Schedule 46 MYRP 2025</t>
  </si>
  <si>
    <t>Present Price Schedule 46</t>
  </si>
  <si>
    <t>Schedule 46 - Interruptible Service -High Voltage</t>
  </si>
  <si>
    <t>SCHEUDLE 46: Interruptible Service -High Voltage</t>
  </si>
  <si>
    <t>not applicable for SCH 49</t>
  </si>
  <si>
    <t>Proposed Price Schedule 49 MYRP 2026</t>
  </si>
  <si>
    <t>Proposed Price Schedule 49 MYRP 2025</t>
  </si>
  <si>
    <t>Present Price Schedule 49</t>
  </si>
  <si>
    <t>SCHEDULE 49: Large General Service -High Voltage</t>
  </si>
  <si>
    <t>First 600 kWh</t>
  </si>
  <si>
    <t>Over 600 kWh</t>
  </si>
  <si>
    <t>12 months ending December 2025 F23 Forecast KWh</t>
  </si>
  <si>
    <t>7 (307) (317) (327)</t>
  </si>
  <si>
    <t>08 (24) (324)</t>
  </si>
  <si>
    <t>7A (11) (25)</t>
  </si>
  <si>
    <t>12 (26) (26P)</t>
  </si>
  <si>
    <t>29</t>
  </si>
  <si>
    <t>10 (31)</t>
  </si>
  <si>
    <t>35</t>
  </si>
  <si>
    <t>03, 50-59</t>
  </si>
  <si>
    <t xml:space="preserve">449 / 459 </t>
  </si>
  <si>
    <t>2024 General Rate Case Docket No. UE-240004 and UG-240005</t>
  </si>
  <si>
    <t>12 months ending December 2026 F23 Forecast KWh</t>
  </si>
  <si>
    <t xml:space="preserve">Schedule 95 Power Cost
</t>
  </si>
  <si>
    <t>Schedule 95 PCA Imbalance</t>
  </si>
  <si>
    <t>Schedule 95A Federal Incentive Credit</t>
  </si>
  <si>
    <t>Schedule 120 Conservation</t>
  </si>
  <si>
    <t>Schedule 129 Low Income</t>
  </si>
  <si>
    <t>Schedule 129D Bill Discount</t>
  </si>
  <si>
    <t>Schedule 137 REC</t>
  </si>
  <si>
    <t>Schedule 139 Green Direct</t>
  </si>
  <si>
    <t xml:space="preserve">Schedule 139 Green Direct Supplemental </t>
  </si>
  <si>
    <t>Schedule 140 Property Tax</t>
  </si>
  <si>
    <t>Schedule 141 ERF</t>
  </si>
  <si>
    <t>Schedule 141A Energy Charge Credit</t>
  </si>
  <si>
    <t>Schedule 141CEI Clean Energy Implementation Plan</t>
  </si>
  <si>
    <t>Schedule 141CGR Clean Generation Resources</t>
  </si>
  <si>
    <t>Schedule 141DCARB Decarbonization</t>
  </si>
  <si>
    <t>Schedule 141COL Colstrip Adjustment</t>
  </si>
  <si>
    <t>Schedule 141N Rates Not Subject to Refund</t>
  </si>
  <si>
    <t>Schedule 141R Rates Subject to Refund</t>
  </si>
  <si>
    <t>Schedule 141 TEP</t>
  </si>
  <si>
    <t>Schedule 141WFP Wildfire Prevention Cost Recovery</t>
  </si>
  <si>
    <t>Schedule 141X (Protected) EDIT</t>
  </si>
  <si>
    <t>Schedule 141Z (Unprotected) EDIT</t>
  </si>
  <si>
    <t>Schedule 142  Deocupling Deferral</t>
  </si>
  <si>
    <t>Schedule 142 Deocupling Supplemental</t>
  </si>
  <si>
    <t>Schedule 194 BPA Res &amp; Farm Credit</t>
  </si>
  <si>
    <t>12 ME Dec 2025
Total Forecast
Revenue @ 
RY #1 Rates</t>
  </si>
  <si>
    <t>Proposed Bill Effective January 2025</t>
  </si>
  <si>
    <t>Proposed Bill Effective January 2026</t>
  </si>
  <si>
    <t>h = f / g</t>
  </si>
  <si>
    <t>j = i / f</t>
  </si>
  <si>
    <t>l = k / f</t>
  </si>
  <si>
    <t>n = m /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</si>
</sst>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(&quot;$&quot;* #,##0.000000_);_(&quot;$&quot;* \(#,##0.000000\);_(&quot;$&quot;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  <numFmt numFmtId="168" formatCode="0.000%"/>
    <numFmt numFmtId="169" formatCode="_(&quot;$&quot;* #,##0.00000_);_(&quot;$&quot;* \(#,##0.00000\);_(&quot;$&quot;* &quot;-&quot;?????_);_(@_)"/>
    <numFmt numFmtId="170" formatCode="_(&quot;$&quot;* #,##0.00000_);_(&quot;$&quot;* \(#,##0.00000\);_(&quot;$&quot;* &quot;-&quot;??_);_(@_)"/>
    <numFmt numFmtId="171" formatCode="0.000"/>
    <numFmt numFmtId="172" formatCode="_(&quot;$&quot;* #,##0.00_);_(&quot;$&quot;* \(#,##0.00\);_(&quot;$&quot;* &quot;-&quot;_);_(@_)"/>
  </numFmts>
  <fonts count="11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vertAlign val="superscript"/>
      <sz val="8"/>
      <name val="Arial"/>
      <family val="2"/>
    </font>
    <font>
      <u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i/>
      <sz val="8"/>
      <name val="Arial"/>
      <family val="2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</cellStyleXfs>
  <cellXfs count="229">
    <xf numFmtId="0" fontId="0" fillId="0" borderId="0" xfId="0"/>
    <xf numFmtId="164" fontId="2" fillId="0" borderId="0" xfId="4" applyNumberFormat="1" applyFont="1" applyFill="1" applyBorder="1" applyProtection="1"/>
    <xf numFmtId="164" fontId="2" fillId="0" borderId="0" xfId="4" applyNumberFormat="1" applyFont="1" applyFill="1" applyBorder="1"/>
    <xf numFmtId="164" fontId="2" fillId="0" borderId="14" xfId="4" applyNumberFormat="1" applyFont="1" applyFill="1" applyBorder="1" applyProtection="1"/>
    <xf numFmtId="164" fontId="2" fillId="0" borderId="14" xfId="4" applyNumberFormat="1" applyFont="1" applyFill="1" applyBorder="1"/>
    <xf numFmtId="44" fontId="2" fillId="0" borderId="0" xfId="4" applyFont="1" applyFill="1" applyBorder="1" applyProtection="1"/>
    <xf numFmtId="44" fontId="2" fillId="0" borderId="14" xfId="4" applyFont="1" applyFill="1" applyBorder="1" applyProtection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166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quotePrefix="1" applyFont="1" applyFill="1" applyAlignment="1">
      <alignment horizontal="center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/>
    <xf numFmtId="17" fontId="4" fillId="0" borderId="2" xfId="0" quotePrefix="1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quotePrefix="1" applyFont="1" applyFill="1" applyAlignment="1">
      <alignment horizontal="center" vertical="top" wrapText="1"/>
    </xf>
    <xf numFmtId="17" fontId="2" fillId="0" borderId="0" xfId="0" quotePrefix="1" applyNumberFormat="1" applyFont="1" applyFill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167" fontId="2" fillId="0" borderId="0" xfId="0" applyNumberFormat="1" applyFont="1" applyFill="1" applyAlignment="1">
      <alignment horizontal="right"/>
    </xf>
    <xf numFmtId="10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165" fontId="2" fillId="0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10" fontId="2" fillId="0" borderId="1" xfId="0" applyNumberFormat="1" applyFont="1" applyFill="1" applyBorder="1" applyAlignment="1">
      <alignment horizontal="right"/>
    </xf>
    <xf numFmtId="165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quotePrefix="1" applyFont="1" applyFill="1" applyAlignment="1">
      <alignment horizontal="left"/>
    </xf>
    <xf numFmtId="0" fontId="4" fillId="0" borderId="0" xfId="0" applyFont="1" applyFill="1" applyAlignment="1">
      <alignment horizontal="centerContinuous"/>
    </xf>
    <xf numFmtId="0" fontId="4" fillId="0" borderId="0" xfId="3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4" fillId="0" borderId="0" xfId="3" applyFont="1" applyFill="1"/>
    <xf numFmtId="0" fontId="2" fillId="0" borderId="0" xfId="3" applyFont="1" applyFill="1"/>
    <xf numFmtId="0" fontId="4" fillId="0" borderId="0" xfId="3" applyFont="1" applyFill="1" applyAlignment="1">
      <alignment horizontal="center"/>
    </xf>
    <xf numFmtId="0" fontId="4" fillId="0" borderId="9" xfId="3" applyFont="1" applyFill="1" applyBorder="1" applyAlignment="1">
      <alignment horizontal="center" wrapText="1"/>
    </xf>
    <xf numFmtId="0" fontId="4" fillId="0" borderId="11" xfId="3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"/>
    </xf>
    <xf numFmtId="0" fontId="2" fillId="0" borderId="26" xfId="3" applyFont="1" applyFill="1" applyBorder="1" applyAlignment="1">
      <alignment horizontal="center"/>
    </xf>
    <xf numFmtId="0" fontId="4" fillId="0" borderId="25" xfId="3" applyFont="1" applyFill="1" applyBorder="1" applyAlignment="1">
      <alignment horizontal="center" wrapText="1"/>
    </xf>
    <xf numFmtId="0" fontId="4" fillId="0" borderId="26" xfId="3" applyFont="1" applyFill="1" applyBorder="1" applyAlignment="1">
      <alignment horizontal="center" wrapText="1"/>
    </xf>
    <xf numFmtId="0" fontId="2" fillId="0" borderId="2" xfId="0" applyFont="1" applyFill="1" applyBorder="1"/>
    <xf numFmtId="0" fontId="2" fillId="0" borderId="2" xfId="3" applyFont="1" applyFill="1" applyBorder="1" applyAlignment="1">
      <alignment horizontal="center"/>
    </xf>
    <xf numFmtId="0" fontId="2" fillId="0" borderId="14" xfId="3" applyFont="1" applyFill="1" applyBorder="1" applyAlignment="1">
      <alignment horizontal="center"/>
    </xf>
    <xf numFmtId="0" fontId="2" fillId="0" borderId="13" xfId="3" applyFont="1" applyFill="1" applyBorder="1" applyAlignment="1">
      <alignment horizontal="center"/>
    </xf>
    <xf numFmtId="0" fontId="2" fillId="0" borderId="0" xfId="3" applyFont="1" applyFill="1" applyAlignment="1">
      <alignment horizontal="center"/>
    </xf>
    <xf numFmtId="37" fontId="2" fillId="0" borderId="0" xfId="0" applyNumberFormat="1" applyFont="1" applyFill="1"/>
    <xf numFmtId="5" fontId="2" fillId="0" borderId="0" xfId="0" applyNumberFormat="1" applyFont="1" applyFill="1"/>
    <xf numFmtId="10" fontId="2" fillId="0" borderId="0" xfId="0" applyNumberFormat="1" applyFont="1" applyFill="1"/>
    <xf numFmtId="0" fontId="2" fillId="0" borderId="14" xfId="0" applyFont="1" applyFill="1" applyBorder="1"/>
    <xf numFmtId="44" fontId="2" fillId="0" borderId="13" xfId="3" applyNumberFormat="1" applyFont="1" applyFill="1" applyBorder="1"/>
    <xf numFmtId="10" fontId="2" fillId="0" borderId="0" xfId="3" applyNumberFormat="1" applyFont="1" applyFill="1"/>
    <xf numFmtId="10" fontId="2" fillId="0" borderId="13" xfId="3" applyNumberFormat="1" applyFont="1" applyFill="1" applyBorder="1"/>
    <xf numFmtId="0" fontId="2" fillId="0" borderId="14" xfId="0" quotePrefix="1" applyFont="1" applyFill="1" applyBorder="1" applyAlignment="1">
      <alignment horizontal="left"/>
    </xf>
    <xf numFmtId="164" fontId="2" fillId="0" borderId="13" xfId="3" applyNumberFormat="1" applyFont="1" applyFill="1" applyBorder="1"/>
    <xf numFmtId="0" fontId="2" fillId="0" borderId="14" xfId="3" applyFont="1" applyFill="1" applyBorder="1"/>
    <xf numFmtId="0" fontId="2" fillId="0" borderId="13" xfId="3" applyFont="1" applyFill="1" applyBorder="1"/>
    <xf numFmtId="0" fontId="2" fillId="0" borderId="0" xfId="3" quotePrefix="1" applyFont="1" applyFill="1" applyAlignment="1">
      <alignment horizontal="left"/>
    </xf>
    <xf numFmtId="0" fontId="2" fillId="0" borderId="13" xfId="3" quotePrefix="1" applyFont="1" applyFill="1" applyBorder="1" applyAlignment="1">
      <alignment horizontal="left"/>
    </xf>
    <xf numFmtId="0" fontId="2" fillId="0" borderId="14" xfId="3" applyFont="1" applyFill="1" applyBorder="1" applyAlignment="1">
      <alignment horizontal="right"/>
    </xf>
    <xf numFmtId="164" fontId="2" fillId="0" borderId="16" xfId="3" applyNumberFormat="1" applyFont="1" applyFill="1" applyBorder="1"/>
    <xf numFmtId="164" fontId="2" fillId="0" borderId="15" xfId="3" applyNumberFormat="1" applyFont="1" applyFill="1" applyBorder="1"/>
    <xf numFmtId="0" fontId="2" fillId="0" borderId="13" xfId="3" applyFont="1" applyFill="1" applyBorder="1" applyAlignment="1">
      <alignment horizontal="right"/>
    </xf>
    <xf numFmtId="164" fontId="2" fillId="0" borderId="14" xfId="3" applyNumberFormat="1" applyFont="1" applyFill="1" applyBorder="1"/>
    <xf numFmtId="0" fontId="2" fillId="0" borderId="14" xfId="3" quotePrefix="1" applyFont="1" applyFill="1" applyBorder="1" applyAlignment="1">
      <alignment horizontal="right"/>
    </xf>
    <xf numFmtId="0" fontId="2" fillId="0" borderId="13" xfId="3" quotePrefix="1" applyFont="1" applyFill="1" applyBorder="1" applyAlignment="1">
      <alignment horizontal="right"/>
    </xf>
    <xf numFmtId="0" fontId="2" fillId="0" borderId="6" xfId="3" applyFont="1" applyFill="1" applyBorder="1"/>
    <xf numFmtId="0" fontId="2" fillId="0" borderId="8" xfId="3" applyFont="1" applyFill="1" applyBorder="1"/>
    <xf numFmtId="0" fontId="4" fillId="0" borderId="2" xfId="3" applyFont="1" applyFill="1" applyBorder="1"/>
    <xf numFmtId="0" fontId="4" fillId="0" borderId="13" xfId="3" applyFont="1" applyFill="1" applyBorder="1" applyAlignment="1">
      <alignment horizontal="center" wrapText="1"/>
    </xf>
    <xf numFmtId="0" fontId="2" fillId="0" borderId="4" xfId="0" applyFont="1" applyFill="1" applyBorder="1"/>
    <xf numFmtId="0" fontId="2" fillId="0" borderId="4" xfId="3" applyFont="1" applyFill="1" applyBorder="1" applyAlignment="1">
      <alignment horizontal="center"/>
    </xf>
    <xf numFmtId="167" fontId="2" fillId="0" borderId="0" xfId="0" applyNumberFormat="1" applyFont="1" applyFill="1"/>
    <xf numFmtId="0" fontId="2" fillId="0" borderId="14" xfId="3" quotePrefix="1" applyFont="1" applyFill="1" applyBorder="1" applyAlignment="1">
      <alignment horizontal="left"/>
    </xf>
    <xf numFmtId="0" fontId="4" fillId="0" borderId="0" xfId="3" applyFont="1" applyFill="1" applyAlignment="1">
      <alignment horizontal="center" wrapText="1"/>
    </xf>
    <xf numFmtId="0" fontId="9" fillId="0" borderId="0" xfId="3" applyFont="1" applyFill="1" applyAlignment="1">
      <alignment horizontal="center"/>
    </xf>
    <xf numFmtId="0" fontId="6" fillId="0" borderId="0" xfId="0" applyFont="1" applyFill="1"/>
    <xf numFmtId="7" fontId="2" fillId="0" borderId="13" xfId="3" applyNumberFormat="1" applyFont="1" applyFill="1" applyBorder="1"/>
    <xf numFmtId="170" fontId="2" fillId="0" borderId="0" xfId="3" applyNumberFormat="1" applyFont="1" applyFill="1"/>
    <xf numFmtId="0" fontId="2" fillId="0" borderId="0" xfId="3" applyFont="1" applyFill="1" applyAlignment="1">
      <alignment horizontal="left"/>
    </xf>
    <xf numFmtId="0" fontId="2" fillId="0" borderId="0" xfId="3" applyFont="1" applyFill="1" applyAlignment="1">
      <alignment horizontal="centerContinuous"/>
    </xf>
    <xf numFmtId="37" fontId="2" fillId="0" borderId="0" xfId="3" applyNumberFormat="1" applyFont="1" applyFill="1"/>
    <xf numFmtId="5" fontId="2" fillId="0" borderId="0" xfId="3" applyNumberFormat="1" applyFont="1" applyFill="1"/>
    <xf numFmtId="167" fontId="2" fillId="0" borderId="0" xfId="3" applyNumberFormat="1" applyFont="1" applyFill="1"/>
    <xf numFmtId="0" fontId="2" fillId="0" borderId="2" xfId="3" applyFont="1" applyFill="1" applyBorder="1"/>
    <xf numFmtId="0" fontId="8" fillId="0" borderId="0" xfId="3" applyFont="1" applyFill="1" applyAlignment="1">
      <alignment wrapText="1"/>
    </xf>
    <xf numFmtId="0" fontId="4" fillId="0" borderId="27" xfId="3" quotePrefix="1" applyFont="1" applyFill="1" applyBorder="1" applyAlignment="1">
      <alignment horizontal="center"/>
    </xf>
    <xf numFmtId="0" fontId="4" fillId="0" borderId="27" xfId="3" applyFont="1" applyFill="1" applyBorder="1" applyAlignment="1">
      <alignment horizontal="center"/>
    </xf>
    <xf numFmtId="0" fontId="4" fillId="0" borderId="2" xfId="3" quotePrefix="1" applyFont="1" applyFill="1" applyBorder="1" applyAlignment="1">
      <alignment horizontal="center"/>
    </xf>
    <xf numFmtId="0" fontId="4" fillId="0" borderId="25" xfId="3" applyFont="1" applyFill="1" applyBorder="1" applyAlignment="1">
      <alignment horizontal="center"/>
    </xf>
    <xf numFmtId="0" fontId="4" fillId="0" borderId="2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/>
    </xf>
    <xf numFmtId="0" fontId="4" fillId="0" borderId="23" xfId="3" applyFont="1" applyFill="1" applyBorder="1" applyAlignment="1">
      <alignment horizontal="center"/>
    </xf>
    <xf numFmtId="44" fontId="2" fillId="0" borderId="0" xfId="3" applyNumberFormat="1" applyFont="1" applyFill="1"/>
    <xf numFmtId="7" fontId="2" fillId="0" borderId="0" xfId="3" applyNumberFormat="1" applyFont="1" applyFill="1"/>
    <xf numFmtId="164" fontId="2" fillId="0" borderId="0" xfId="3" applyNumberFormat="1" applyFont="1" applyFill="1"/>
    <xf numFmtId="10" fontId="2" fillId="0" borderId="14" xfId="3" applyNumberFormat="1" applyFont="1" applyFill="1" applyBorder="1"/>
    <xf numFmtId="0" fontId="6" fillId="0" borderId="0" xfId="3" quotePrefix="1" applyFont="1" applyFill="1" applyAlignment="1">
      <alignment horizontal="left"/>
    </xf>
    <xf numFmtId="164" fontId="2" fillId="0" borderId="2" xfId="3" applyNumberFormat="1" applyFont="1" applyFill="1" applyBorder="1"/>
    <xf numFmtId="164" fontId="2" fillId="0" borderId="1" xfId="3" applyNumberFormat="1" applyFont="1" applyFill="1" applyBorder="1"/>
    <xf numFmtId="0" fontId="2" fillId="0" borderId="0" xfId="3" applyFont="1" applyFill="1" applyAlignment="1">
      <alignment horizontal="right"/>
    </xf>
    <xf numFmtId="0" fontId="2" fillId="0" borderId="0" xfId="3" quotePrefix="1" applyFont="1" applyFill="1" applyAlignment="1">
      <alignment horizontal="right"/>
    </xf>
    <xf numFmtId="0" fontId="2" fillId="0" borderId="7" xfId="3" applyFont="1" applyFill="1" applyBorder="1"/>
    <xf numFmtId="0" fontId="4" fillId="0" borderId="0" xfId="0" applyFont="1" applyFill="1" applyAlignment="1">
      <alignment wrapText="1"/>
    </xf>
    <xf numFmtId="0" fontId="4" fillId="0" borderId="2" xfId="0" applyFont="1" applyFill="1" applyBorder="1" applyAlignment="1">
      <alignment horizontal="center"/>
    </xf>
    <xf numFmtId="172" fontId="2" fillId="0" borderId="0" xfId="0" applyNumberFormat="1" applyFont="1" applyFill="1"/>
    <xf numFmtId="44" fontId="2" fillId="0" borderId="0" xfId="0" applyNumberFormat="1" applyFont="1" applyFill="1"/>
    <xf numFmtId="0" fontId="2" fillId="0" borderId="0" xfId="0" applyFont="1" applyFill="1" applyAlignment="1">
      <alignment horizontal="left" indent="2"/>
    </xf>
    <xf numFmtId="44" fontId="2" fillId="0" borderId="12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169" fontId="2" fillId="0" borderId="0" xfId="0" applyNumberFormat="1" applyFont="1" applyFill="1"/>
    <xf numFmtId="0" fontId="2" fillId="0" borderId="0" xfId="0" quotePrefix="1" applyFont="1" applyFill="1" applyAlignment="1">
      <alignment horizontal="left" indent="2"/>
    </xf>
    <xf numFmtId="0" fontId="4" fillId="0" borderId="0" xfId="0" applyFont="1" applyFill="1" applyAlignment="1">
      <alignment horizontal="left"/>
    </xf>
    <xf numFmtId="0" fontId="4" fillId="0" borderId="2" xfId="3" applyFont="1" applyFill="1" applyBorder="1" applyAlignment="1">
      <alignment horizontal="centerContinuous" wrapText="1"/>
    </xf>
    <xf numFmtId="0" fontId="4" fillId="0" borderId="2" xfId="3" quotePrefix="1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Continuous"/>
    </xf>
    <xf numFmtId="0" fontId="4" fillId="0" borderId="17" xfId="3" applyFont="1" applyFill="1" applyBorder="1" applyAlignment="1">
      <alignment horizontal="centerContinuous" wrapText="1"/>
    </xf>
    <xf numFmtId="0" fontId="4" fillId="0" borderId="18" xfId="3" applyFont="1" applyFill="1" applyBorder="1" applyAlignment="1">
      <alignment horizontal="centerContinuous" wrapText="1"/>
    </xf>
    <xf numFmtId="0" fontId="2" fillId="0" borderId="0" xfId="3" applyFont="1" applyFill="1" applyAlignment="1">
      <alignment horizontal="center" wrapText="1"/>
    </xf>
    <xf numFmtId="0" fontId="2" fillId="0" borderId="0" xfId="3" quotePrefix="1" applyFont="1" applyFill="1" applyAlignment="1">
      <alignment horizontal="center" wrapText="1"/>
    </xf>
    <xf numFmtId="0" fontId="2" fillId="0" borderId="13" xfId="3" applyFont="1" applyFill="1" applyBorder="1" applyAlignment="1">
      <alignment horizontal="center" wrapText="1"/>
    </xf>
    <xf numFmtId="0" fontId="2" fillId="0" borderId="14" xfId="3" applyFont="1" applyFill="1" applyBorder="1" applyAlignment="1">
      <alignment horizontal="center" wrapText="1"/>
    </xf>
    <xf numFmtId="167" fontId="2" fillId="0" borderId="13" xfId="3" applyNumberFormat="1" applyFont="1" applyFill="1" applyBorder="1" applyAlignment="1">
      <alignment horizontal="center"/>
    </xf>
    <xf numFmtId="44" fontId="2" fillId="0" borderId="14" xfId="3" applyNumberFormat="1" applyFont="1" applyFill="1" applyBorder="1"/>
    <xf numFmtId="167" fontId="2" fillId="0" borderId="13" xfId="3" applyNumberFormat="1" applyFont="1" applyFill="1" applyBorder="1"/>
    <xf numFmtId="10" fontId="4" fillId="0" borderId="1" xfId="3" applyNumberFormat="1" applyFont="1" applyFill="1" applyBorder="1" applyAlignment="1">
      <alignment horizontal="center"/>
    </xf>
    <xf numFmtId="0" fontId="2" fillId="0" borderId="0" xfId="3" quotePrefix="1" applyFont="1" applyFill="1"/>
    <xf numFmtId="0" fontId="4" fillId="0" borderId="2" xfId="0" quotePrefix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42" fontId="2" fillId="0" borderId="2" xfId="0" applyNumberFormat="1" applyFont="1" applyFill="1" applyBorder="1" applyAlignment="1">
      <alignment horizontal="center"/>
    </xf>
    <xf numFmtId="170" fontId="2" fillId="0" borderId="0" xfId="0" applyNumberFormat="1" applyFont="1" applyFill="1"/>
    <xf numFmtId="165" fontId="2" fillId="0" borderId="0" xfId="0" applyNumberFormat="1" applyFont="1" applyFill="1" applyAlignment="1">
      <alignment horizontal="left"/>
    </xf>
    <xf numFmtId="166" fontId="2" fillId="0" borderId="0" xfId="0" applyNumberFormat="1" applyFont="1" applyFill="1"/>
    <xf numFmtId="42" fontId="2" fillId="0" borderId="0" xfId="0" applyNumberFormat="1" applyFont="1" applyFill="1"/>
    <xf numFmtId="165" fontId="2" fillId="0" borderId="12" xfId="0" applyNumberFormat="1" applyFont="1" applyFill="1" applyBorder="1"/>
    <xf numFmtId="42" fontId="2" fillId="0" borderId="12" xfId="0" applyNumberFormat="1" applyFont="1" applyFill="1" applyBorder="1"/>
    <xf numFmtId="10" fontId="2" fillId="0" borderId="12" xfId="0" applyNumberFormat="1" applyFont="1" applyFill="1" applyBorder="1"/>
    <xf numFmtId="3" fontId="2" fillId="0" borderId="0" xfId="0" applyNumberFormat="1" applyFont="1" applyFill="1"/>
    <xf numFmtId="17" fontId="4" fillId="0" borderId="0" xfId="0" quotePrefix="1" applyNumberFormat="1" applyFont="1" applyFill="1" applyAlignment="1">
      <alignment horizontal="center" wrapText="1"/>
    </xf>
    <xf numFmtId="0" fontId="4" fillId="0" borderId="0" xfId="0" quotePrefix="1" applyFont="1" applyFill="1" applyAlignment="1">
      <alignment horizontal="center" wrapText="1"/>
    </xf>
    <xf numFmtId="0" fontId="2" fillId="0" borderId="2" xfId="0" quotePrefix="1" applyFont="1" applyFill="1" applyBorder="1" applyAlignment="1">
      <alignment horizontal="center" vertical="top" wrapText="1"/>
    </xf>
    <xf numFmtId="17" fontId="2" fillId="0" borderId="2" xfId="0" quotePrefix="1" applyNumberFormat="1" applyFont="1" applyFill="1" applyBorder="1" applyAlignment="1">
      <alignment horizontal="center" vertical="top" wrapText="1"/>
    </xf>
    <xf numFmtId="0" fontId="2" fillId="0" borderId="0" xfId="0" applyFont="1" applyFill="1" applyAlignment="1">
      <alignment vertical="top" wrapText="1"/>
    </xf>
    <xf numFmtId="165" fontId="2" fillId="0" borderId="1" xfId="0" applyNumberFormat="1" applyFont="1" applyFill="1" applyBorder="1"/>
    <xf numFmtId="166" fontId="2" fillId="0" borderId="1" xfId="0" applyNumberFormat="1" applyFont="1" applyFill="1" applyBorder="1"/>
    <xf numFmtId="0" fontId="2" fillId="0" borderId="0" xfId="2" applyFont="1" applyFill="1"/>
    <xf numFmtId="0" fontId="4" fillId="0" borderId="2" xfId="0" quotePrefix="1" applyFont="1" applyFill="1" applyBorder="1" applyAlignment="1">
      <alignment horizontal="center" wrapText="1"/>
    </xf>
    <xf numFmtId="165" fontId="2" fillId="0" borderId="0" xfId="0" applyNumberFormat="1" applyFont="1" applyFill="1" applyAlignment="1">
      <alignment horizontal="right"/>
    </xf>
    <xf numFmtId="166" fontId="2" fillId="0" borderId="0" xfId="3" applyNumberFormat="1" applyFont="1" applyFill="1"/>
    <xf numFmtId="0" fontId="2" fillId="0" borderId="0" xfId="2" applyFont="1" applyFill="1" applyAlignment="1">
      <alignment horizontal="center"/>
    </xf>
    <xf numFmtId="166" fontId="2" fillId="0" borderId="0" xfId="1" applyNumberFormat="1" applyFont="1" applyFill="1"/>
    <xf numFmtId="0" fontId="2" fillId="0" borderId="11" xfId="3" quotePrefix="1" applyFont="1" applyFill="1" applyBorder="1" applyAlignment="1">
      <alignment horizontal="left"/>
    </xf>
    <xf numFmtId="17" fontId="2" fillId="0" borderId="14" xfId="3" applyNumberFormat="1" applyFont="1" applyFill="1" applyBorder="1"/>
    <xf numFmtId="0" fontId="10" fillId="0" borderId="0" xfId="2" applyFont="1" applyFill="1"/>
    <xf numFmtId="164" fontId="2" fillId="0" borderId="25" xfId="3" applyNumberFormat="1" applyFont="1" applyFill="1" applyBorder="1"/>
    <xf numFmtId="10" fontId="4" fillId="0" borderId="13" xfId="3" applyNumberFormat="1" applyFont="1" applyFill="1" applyBorder="1" applyAlignment="1">
      <alignment horizontal="right"/>
    </xf>
    <xf numFmtId="170" fontId="2" fillId="0" borderId="13" xfId="3" applyNumberFormat="1" applyFont="1" applyFill="1" applyBorder="1"/>
    <xf numFmtId="170" fontId="2" fillId="0" borderId="14" xfId="3" applyNumberFormat="1" applyFont="1" applyFill="1" applyBorder="1"/>
    <xf numFmtId="0" fontId="9" fillId="0" borderId="0" xfId="3" applyFont="1" applyFill="1" applyAlignment="1">
      <alignment horizontal="left" wrapText="1"/>
    </xf>
    <xf numFmtId="17" fontId="2" fillId="0" borderId="0" xfId="0" quotePrefix="1" applyNumberFormat="1" applyFont="1" applyFill="1" applyAlignment="1">
      <alignment horizontal="left" indent="1"/>
    </xf>
    <xf numFmtId="0" fontId="2" fillId="0" borderId="18" xfId="3" quotePrefix="1" applyFont="1" applyFill="1" applyBorder="1" applyAlignment="1">
      <alignment horizontal="left"/>
    </xf>
    <xf numFmtId="0" fontId="2" fillId="0" borderId="14" xfId="3" quotePrefix="1" applyFont="1" applyFill="1" applyBorder="1" applyAlignment="1">
      <alignment horizontal="center"/>
    </xf>
    <xf numFmtId="10" fontId="2" fillId="0" borderId="0" xfId="3" applyNumberFormat="1" applyFont="1" applyFill="1" applyAlignment="1">
      <alignment horizontal="center"/>
    </xf>
    <xf numFmtId="171" fontId="2" fillId="0" borderId="14" xfId="3" applyNumberFormat="1" applyFont="1" applyFill="1" applyBorder="1"/>
    <xf numFmtId="17" fontId="2" fillId="0" borderId="14" xfId="3" quotePrefix="1" applyNumberFormat="1" applyFont="1" applyFill="1" applyBorder="1" applyAlignment="1">
      <alignment horizontal="left"/>
    </xf>
    <xf numFmtId="42" fontId="2" fillId="0" borderId="0" xfId="0" applyNumberFormat="1" applyFont="1" applyFill="1" applyAlignment="1">
      <alignment horizontal="left"/>
    </xf>
    <xf numFmtId="168" fontId="2" fillId="0" borderId="0" xfId="0" applyNumberFormat="1" applyFont="1" applyFill="1"/>
    <xf numFmtId="164" fontId="2" fillId="0" borderId="12" xfId="0" applyNumberFormat="1" applyFont="1" applyFill="1" applyBorder="1"/>
    <xf numFmtId="0" fontId="0" fillId="0" borderId="0" xfId="0" applyFont="1" applyFill="1" applyAlignment="1">
      <alignment wrapText="1"/>
    </xf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quotePrefix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applyFont="1" applyFill="1" applyAlignment="1">
      <alignment wrapText="1"/>
    </xf>
    <xf numFmtId="0" fontId="4" fillId="0" borderId="11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wrapText="1"/>
    </xf>
    <xf numFmtId="0" fontId="0" fillId="0" borderId="9" xfId="0" applyFont="1" applyFill="1" applyBorder="1" applyAlignment="1">
      <alignment wrapText="1"/>
    </xf>
    <xf numFmtId="0" fontId="0" fillId="0" borderId="8" xfId="0" applyFont="1" applyFill="1" applyBorder="1" applyAlignment="1">
      <alignment wrapText="1"/>
    </xf>
    <xf numFmtId="0" fontId="0" fillId="0" borderId="7" xfId="0" applyFont="1" applyFill="1" applyBorder="1" applyAlignment="1">
      <alignment wrapText="1"/>
    </xf>
    <xf numFmtId="0" fontId="0" fillId="0" borderId="6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wrapText="1"/>
    </xf>
    <xf numFmtId="0" fontId="0" fillId="0" borderId="3" xfId="0" applyFont="1" applyFill="1" applyBorder="1" applyAlignment="1">
      <alignment wrapText="1"/>
    </xf>
    <xf numFmtId="0" fontId="4" fillId="0" borderId="20" xfId="3" applyFont="1" applyFill="1" applyBorder="1" applyAlignment="1">
      <alignment horizontal="center" wrapText="1"/>
    </xf>
    <xf numFmtId="0" fontId="0" fillId="0" borderId="19" xfId="3" applyFont="1" applyFill="1" applyBorder="1" applyAlignment="1">
      <alignment horizontal="center" wrapText="1"/>
    </xf>
    <xf numFmtId="0" fontId="4" fillId="0" borderId="5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/>
    </xf>
    <xf numFmtId="0" fontId="4" fillId="0" borderId="3" xfId="3" applyFont="1" applyFill="1" applyBorder="1" applyAlignment="1">
      <alignment horizontal="center"/>
    </xf>
    <xf numFmtId="0" fontId="4" fillId="0" borderId="0" xfId="3" applyFont="1" applyFill="1" applyAlignment="1">
      <alignment horizontal="center"/>
    </xf>
    <xf numFmtId="0" fontId="4" fillId="0" borderId="0" xfId="3" quotePrefix="1" applyFont="1" applyFill="1" applyAlignment="1">
      <alignment horizontal="center"/>
    </xf>
    <xf numFmtId="0" fontId="4" fillId="0" borderId="5" xfId="3" quotePrefix="1" applyFont="1" applyFill="1" applyBorder="1" applyAlignment="1">
      <alignment horizontal="center"/>
    </xf>
    <xf numFmtId="0" fontId="4" fillId="0" borderId="4" xfId="3" quotePrefix="1" applyFont="1" applyFill="1" applyBorder="1" applyAlignment="1">
      <alignment horizontal="center"/>
    </xf>
    <xf numFmtId="0" fontId="4" fillId="0" borderId="3" xfId="3" quotePrefix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wrapText="1"/>
    </xf>
    <xf numFmtId="0" fontId="4" fillId="0" borderId="21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 wrapText="1"/>
    </xf>
    <xf numFmtId="0" fontId="4" fillId="0" borderId="0" xfId="3" applyFont="1" applyFill="1" applyAlignment="1">
      <alignment horizontal="center" wrapText="1"/>
    </xf>
    <xf numFmtId="0" fontId="0" fillId="0" borderId="0" xfId="3" applyFont="1" applyFill="1" applyAlignment="1">
      <alignment wrapText="1"/>
    </xf>
    <xf numFmtId="0" fontId="4" fillId="0" borderId="22" xfId="3" applyFont="1" applyFill="1" applyBorder="1" applyAlignment="1">
      <alignment horizontal="center" wrapText="1"/>
    </xf>
    <xf numFmtId="0" fontId="7" fillId="0" borderId="21" xfId="3" applyFont="1" applyFill="1" applyBorder="1" applyAlignment="1">
      <alignment horizontal="center" wrapText="1"/>
    </xf>
    <xf numFmtId="0" fontId="4" fillId="0" borderId="28" xfId="3" applyFont="1" applyFill="1" applyBorder="1" applyAlignment="1">
      <alignment horizontal="center" wrapText="1"/>
    </xf>
    <xf numFmtId="0" fontId="0" fillId="0" borderId="17" xfId="3" applyFont="1" applyFill="1" applyBorder="1" applyAlignment="1">
      <alignment horizontal="center" wrapText="1"/>
    </xf>
    <xf numFmtId="0" fontId="7" fillId="0" borderId="0" xfId="3" applyFont="1" applyFill="1" applyAlignment="1">
      <alignment horizontal="center" wrapText="1"/>
    </xf>
    <xf numFmtId="0" fontId="4" fillId="0" borderId="29" xfId="3" applyFont="1" applyFill="1" applyBorder="1" applyAlignment="1">
      <alignment horizontal="center" wrapText="1"/>
    </xf>
    <xf numFmtId="0" fontId="4" fillId="0" borderId="18" xfId="3" applyFont="1" applyFill="1" applyBorder="1" applyAlignment="1">
      <alignment horizontal="center" wrapText="1"/>
    </xf>
    <xf numFmtId="0" fontId="0" fillId="0" borderId="28" xfId="3" applyFont="1" applyFill="1" applyBorder="1" applyAlignment="1">
      <alignment horizontal="center" wrapText="1"/>
    </xf>
    <xf numFmtId="0" fontId="9" fillId="0" borderId="0" xfId="3" applyFont="1" applyFill="1" applyAlignment="1">
      <alignment horizontal="left" wrapText="1"/>
    </xf>
    <xf numFmtId="0" fontId="0" fillId="0" borderId="0" xfId="0" applyFont="1" applyFill="1" applyAlignment="1">
      <alignment horizontal="left" wrapText="1"/>
    </xf>
    <xf numFmtId="0" fontId="4" fillId="0" borderId="5" xfId="3" applyFont="1" applyFill="1" applyBorder="1" applyAlignment="1">
      <alignment horizontal="center" wrapText="1"/>
    </xf>
    <xf numFmtId="0" fontId="7" fillId="0" borderId="3" xfId="3" applyFont="1" applyFill="1" applyBorder="1" applyAlignment="1">
      <alignment horizontal="center" wrapText="1"/>
    </xf>
    <xf numFmtId="0" fontId="7" fillId="0" borderId="4" xfId="3" applyFont="1" applyFill="1" applyBorder="1" applyAlignment="1">
      <alignment horizontal="center" wrapText="1"/>
    </xf>
    <xf numFmtId="0" fontId="2" fillId="0" borderId="0" xfId="3" quotePrefix="1" applyFont="1" applyFill="1" applyAlignment="1">
      <alignment horizontal="left"/>
    </xf>
    <xf numFmtId="0" fontId="4" fillId="0" borderId="5" xfId="3" quotePrefix="1" applyFont="1" applyFill="1" applyBorder="1" applyAlignment="1">
      <alignment horizontal="center" wrapText="1"/>
    </xf>
    <xf numFmtId="0" fontId="4" fillId="0" borderId="4" xfId="3" applyFont="1" applyFill="1" applyBorder="1" applyAlignment="1">
      <alignment horizontal="center" wrapText="1"/>
    </xf>
    <xf numFmtId="0" fontId="0" fillId="0" borderId="19" xfId="0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left"/>
    </xf>
    <xf numFmtId="0" fontId="2" fillId="0" borderId="27" xfId="0" quotePrefix="1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</cellXfs>
  <cellStyles count="5">
    <cellStyle name="Currency" xfId="1" builtinId="4"/>
    <cellStyle name="Currency 2 12" xfId="4" xr:uid="{AB4CE410-66E2-4B1B-ADC0-6C1D2E7721A2}"/>
    <cellStyle name="Normal" xfId="0" builtinId="0"/>
    <cellStyle name="Normal 2" xfId="2" xr:uid="{61095181-92E9-4865-99A4-976EB101F806}"/>
    <cellStyle name="Normal 2 10" xfId="3" xr:uid="{FC082A3F-FACE-430A-9536-0B2276F6DF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276225</xdr:colOff>
      <xdr:row>4</xdr:row>
      <xdr:rowOff>17060</xdr:rowOff>
    </xdr:from>
    <xdr:ext cx="7904656" cy="6020957"/>
    <xdr:pic>
      <xdr:nvPicPr>
        <xdr:cNvPr id="2" name="Picture 1">
          <a:extLst>
            <a:ext uri="{FF2B5EF4-FFF2-40B4-BE49-F238E27FC236}">
              <a16:creationId xmlns:a16="http://schemas.microsoft.com/office/drawing/2014/main" id="{F7AE9C76-85D0-4234-9448-0E6B19C8C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3825" y="664760"/>
          <a:ext cx="7904656" cy="602095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171450</xdr:colOff>
      <xdr:row>2</xdr:row>
      <xdr:rowOff>38100</xdr:rowOff>
    </xdr:from>
    <xdr:ext cx="8552381" cy="6761905"/>
    <xdr:pic>
      <xdr:nvPicPr>
        <xdr:cNvPr id="2" name="Picture 1">
          <a:extLst>
            <a:ext uri="{FF2B5EF4-FFF2-40B4-BE49-F238E27FC236}">
              <a16:creationId xmlns:a16="http://schemas.microsoft.com/office/drawing/2014/main" id="{6585CF12-EC10-4EA7-8FCD-077DC43E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16900" y="361950"/>
          <a:ext cx="8552381" cy="676190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266700</xdr:colOff>
      <xdr:row>1</xdr:row>
      <xdr:rowOff>104775</xdr:rowOff>
    </xdr:from>
    <xdr:ext cx="8152381" cy="6704762"/>
    <xdr:pic>
      <xdr:nvPicPr>
        <xdr:cNvPr id="2" name="Picture 1">
          <a:extLst>
            <a:ext uri="{FF2B5EF4-FFF2-40B4-BE49-F238E27FC236}">
              <a16:creationId xmlns:a16="http://schemas.microsoft.com/office/drawing/2014/main" id="{0616B9BF-F99E-4B3B-868C-09CEF011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66700"/>
          <a:ext cx="8152381" cy="670476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190500</xdr:colOff>
      <xdr:row>0</xdr:row>
      <xdr:rowOff>114300</xdr:rowOff>
    </xdr:from>
    <xdr:ext cx="8276190" cy="7219048"/>
    <xdr:pic>
      <xdr:nvPicPr>
        <xdr:cNvPr id="2" name="Picture 1">
          <a:extLst>
            <a:ext uri="{FF2B5EF4-FFF2-40B4-BE49-F238E27FC236}">
              <a16:creationId xmlns:a16="http://schemas.microsoft.com/office/drawing/2014/main" id="{AF4D9202-3642-47A2-9BF1-FF9B4D55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0" y="114300"/>
          <a:ext cx="8276190" cy="721904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409575</xdr:colOff>
      <xdr:row>9</xdr:row>
      <xdr:rowOff>104775</xdr:rowOff>
    </xdr:from>
    <xdr:ext cx="8390476" cy="7342857"/>
    <xdr:pic>
      <xdr:nvPicPr>
        <xdr:cNvPr id="2" name="Picture 1">
          <a:extLst>
            <a:ext uri="{FF2B5EF4-FFF2-40B4-BE49-F238E27FC236}">
              <a16:creationId xmlns:a16="http://schemas.microsoft.com/office/drawing/2014/main" id="{E0BA021D-B8ED-4DE2-A707-7FD5E348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82575" y="1562100"/>
          <a:ext cx="8390476" cy="734285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247650</xdr:colOff>
      <xdr:row>2</xdr:row>
      <xdr:rowOff>19050</xdr:rowOff>
    </xdr:from>
    <xdr:ext cx="7961905" cy="7219048"/>
    <xdr:pic>
      <xdr:nvPicPr>
        <xdr:cNvPr id="2" name="Picture 1">
          <a:extLst>
            <a:ext uri="{FF2B5EF4-FFF2-40B4-BE49-F238E27FC236}">
              <a16:creationId xmlns:a16="http://schemas.microsoft.com/office/drawing/2014/main" id="{C5FAF065-BC10-4285-8BDC-5E5FF8EB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0650" y="342900"/>
          <a:ext cx="7961905" cy="721904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238125</xdr:colOff>
      <xdr:row>2</xdr:row>
      <xdr:rowOff>142875</xdr:rowOff>
    </xdr:from>
    <xdr:ext cx="7057143" cy="6076190"/>
    <xdr:pic>
      <xdr:nvPicPr>
        <xdr:cNvPr id="2" name="Picture 1">
          <a:extLst>
            <a:ext uri="{FF2B5EF4-FFF2-40B4-BE49-F238E27FC236}">
              <a16:creationId xmlns:a16="http://schemas.microsoft.com/office/drawing/2014/main" id="{B782BFDA-9357-41EA-B3D5-2EFCFC7E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1125" y="466725"/>
          <a:ext cx="7057143" cy="607619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123825</xdr:colOff>
      <xdr:row>2</xdr:row>
      <xdr:rowOff>57150</xdr:rowOff>
    </xdr:from>
    <xdr:ext cx="7600000" cy="6076190"/>
    <xdr:pic>
      <xdr:nvPicPr>
        <xdr:cNvPr id="2" name="Picture 1">
          <a:extLst>
            <a:ext uri="{FF2B5EF4-FFF2-40B4-BE49-F238E27FC236}">
              <a16:creationId xmlns:a16="http://schemas.microsoft.com/office/drawing/2014/main" id="{805AF0A2-E4AA-40CE-B239-C2814100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6825" y="381000"/>
          <a:ext cx="7600000" cy="60761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2925E-57B8-4EA1-A043-C01E98067602}">
  <sheetPr>
    <pageSetUpPr fitToPage="1"/>
  </sheetPr>
  <dimension ref="A1:AK29"/>
  <sheetViews>
    <sheetView zoomScaleNormal="100" zoomScaleSheetLayoutView="100" workbookViewId="0">
      <pane xSplit="6" ySplit="9" topLeftCell="R1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6.28515625" defaultRowHeight="11.25" x14ac:dyDescent="0.2"/>
  <cols>
    <col min="1" max="1" width="4.85546875" style="23" bestFit="1" customWidth="1"/>
    <col min="2" max="2" width="30.85546875" style="23" bestFit="1" customWidth="1"/>
    <col min="3" max="3" width="15.140625" style="23" bestFit="1" customWidth="1"/>
    <col min="4" max="4" width="13.140625" style="23" bestFit="1" customWidth="1"/>
    <col min="5" max="5" width="12.85546875" style="23" bestFit="1" customWidth="1"/>
    <col min="6" max="6" width="0.7109375" style="23" customWidth="1"/>
    <col min="7" max="7" width="11.5703125" style="23" bestFit="1" customWidth="1"/>
    <col min="8" max="8" width="10.42578125" style="23" bestFit="1" customWidth="1"/>
    <col min="9" max="9" width="0.7109375" style="23" customWidth="1"/>
    <col min="10" max="10" width="12.140625" style="23" bestFit="1" customWidth="1"/>
    <col min="11" max="11" width="10.28515625" style="23" bestFit="1" customWidth="1"/>
    <col min="12" max="12" width="0.7109375" style="23" customWidth="1"/>
    <col min="13" max="13" width="11.28515625" style="23" bestFit="1" customWidth="1"/>
    <col min="14" max="14" width="11.140625" style="23" bestFit="1" customWidth="1"/>
    <col min="15" max="15" width="0.7109375" style="23" customWidth="1"/>
    <col min="16" max="16" width="11.28515625" style="23" bestFit="1" customWidth="1"/>
    <col min="17" max="17" width="11.140625" style="23" bestFit="1" customWidth="1"/>
    <col min="18" max="18" width="0.7109375" style="23" customWidth="1"/>
    <col min="19" max="19" width="12.140625" style="23" bestFit="1" customWidth="1"/>
    <col min="20" max="20" width="11.140625" style="23" bestFit="1" customWidth="1"/>
    <col min="21" max="21" width="0.7109375" style="23" customWidth="1"/>
    <col min="22" max="22" width="12.85546875" style="23" bestFit="1" customWidth="1"/>
    <col min="23" max="23" width="11.140625" style="23" bestFit="1" customWidth="1"/>
    <col min="24" max="24" width="0.7109375" style="23" customWidth="1"/>
    <col min="25" max="25" width="10.7109375" style="23" bestFit="1" customWidth="1"/>
    <col min="26" max="26" width="11.140625" style="23" bestFit="1" customWidth="1"/>
    <col min="27" max="27" width="0.7109375" style="23" customWidth="1"/>
    <col min="28" max="28" width="12" style="23" customWidth="1"/>
    <col min="29" max="29" width="12.28515625" style="23" customWidth="1"/>
    <col min="30" max="30" width="0.7109375" style="23" customWidth="1"/>
    <col min="31" max="31" width="10.7109375" style="23" bestFit="1" customWidth="1"/>
    <col min="32" max="32" width="11.140625" style="23" bestFit="1" customWidth="1"/>
    <col min="33" max="33" width="0.7109375" style="23" customWidth="1"/>
    <col min="34" max="34" width="14.42578125" style="23" bestFit="1" customWidth="1"/>
    <col min="35" max="35" width="10.42578125" style="23" bestFit="1" customWidth="1"/>
    <col min="36" max="36" width="0.7109375" style="23" customWidth="1"/>
    <col min="37" max="37" width="12.85546875" style="23" bestFit="1" customWidth="1"/>
    <col min="38" max="16384" width="6.28515625" style="23"/>
  </cols>
  <sheetData>
    <row r="1" spans="1:37" s="7" customFormat="1" ht="12.75" x14ac:dyDescent="0.2">
      <c r="A1" s="179" t="s">
        <v>69</v>
      </c>
      <c r="B1" s="179"/>
      <c r="C1" s="180"/>
      <c r="D1" s="180"/>
      <c r="E1" s="180"/>
      <c r="W1" s="8"/>
      <c r="AF1" s="8"/>
      <c r="AH1" s="9"/>
    </row>
    <row r="2" spans="1:37" s="7" customFormat="1" ht="12.75" x14ac:dyDescent="0.2">
      <c r="A2" s="179" t="s">
        <v>269</v>
      </c>
      <c r="B2" s="180"/>
      <c r="C2" s="180"/>
      <c r="D2" s="180"/>
      <c r="E2" s="180"/>
      <c r="W2" s="8"/>
      <c r="AF2" s="8"/>
      <c r="AH2" s="9"/>
    </row>
    <row r="3" spans="1:37" s="7" customFormat="1" ht="12.75" x14ac:dyDescent="0.2">
      <c r="A3" s="179" t="s">
        <v>68</v>
      </c>
      <c r="B3" s="180"/>
      <c r="C3" s="180"/>
      <c r="D3" s="180"/>
      <c r="E3" s="180"/>
      <c r="W3" s="8"/>
      <c r="AF3" s="8"/>
      <c r="AH3" s="9"/>
    </row>
    <row r="4" spans="1:37" s="7" customFormat="1" ht="12.75" x14ac:dyDescent="0.2">
      <c r="A4" s="179" t="s">
        <v>102</v>
      </c>
      <c r="B4" s="180"/>
      <c r="C4" s="180"/>
      <c r="D4" s="180"/>
      <c r="E4" s="180"/>
    </row>
    <row r="5" spans="1:37" s="7" customFormat="1" ht="12.75" x14ac:dyDescent="0.2">
      <c r="A5" s="179"/>
      <c r="B5" s="180"/>
      <c r="C5" s="180"/>
      <c r="D5" s="180"/>
      <c r="E5" s="180"/>
    </row>
    <row r="6" spans="1:37" s="7" customFormat="1" x14ac:dyDescent="0.2">
      <c r="A6" s="177"/>
      <c r="B6" s="178"/>
      <c r="C6" s="10"/>
      <c r="D6" s="10"/>
      <c r="E6" s="10"/>
    </row>
    <row r="7" spans="1:37" s="7" customFormat="1" x14ac:dyDescent="0.2">
      <c r="A7" s="11"/>
      <c r="B7" s="10"/>
      <c r="C7" s="10"/>
      <c r="D7" s="10"/>
      <c r="E7" s="10"/>
      <c r="G7" s="174" t="s">
        <v>67</v>
      </c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6"/>
    </row>
    <row r="8" spans="1:37" s="7" customFormat="1" ht="56.25" x14ac:dyDescent="0.2">
      <c r="A8" s="12" t="s">
        <v>66</v>
      </c>
      <c r="B8" s="12" t="s">
        <v>65</v>
      </c>
      <c r="C8" s="12" t="s">
        <v>64</v>
      </c>
      <c r="D8" s="151" t="s">
        <v>259</v>
      </c>
      <c r="E8" s="14" t="s">
        <v>63</v>
      </c>
      <c r="F8" s="13"/>
      <c r="G8" s="14" t="s">
        <v>62</v>
      </c>
      <c r="H8" s="14" t="s">
        <v>61</v>
      </c>
      <c r="I8" s="14"/>
      <c r="J8" s="14" t="s">
        <v>60</v>
      </c>
      <c r="K8" s="14" t="s">
        <v>59</v>
      </c>
      <c r="L8" s="13"/>
      <c r="M8" s="14" t="s">
        <v>58</v>
      </c>
      <c r="N8" s="14" t="s">
        <v>57</v>
      </c>
      <c r="O8" s="13"/>
      <c r="P8" s="14" t="s">
        <v>56</v>
      </c>
      <c r="Q8" s="14" t="s">
        <v>55</v>
      </c>
      <c r="R8" s="13"/>
      <c r="S8" s="14" t="s">
        <v>54</v>
      </c>
      <c r="T8" s="14" t="s">
        <v>53</v>
      </c>
      <c r="U8" s="13"/>
      <c r="V8" s="14" t="s">
        <v>52</v>
      </c>
      <c r="W8" s="14" t="s">
        <v>51</v>
      </c>
      <c r="X8" s="13"/>
      <c r="Y8" s="14" t="s">
        <v>50</v>
      </c>
      <c r="Z8" s="14" t="s">
        <v>49</v>
      </c>
      <c r="AA8" s="13"/>
      <c r="AB8" s="14" t="s">
        <v>48</v>
      </c>
      <c r="AC8" s="14" t="s">
        <v>47</v>
      </c>
      <c r="AD8" s="13"/>
      <c r="AE8" s="14" t="s">
        <v>46</v>
      </c>
      <c r="AF8" s="14" t="s">
        <v>46</v>
      </c>
      <c r="AG8" s="13"/>
      <c r="AH8" s="14" t="s">
        <v>45</v>
      </c>
      <c r="AI8" s="14" t="s">
        <v>44</v>
      </c>
      <c r="AJ8" s="13"/>
      <c r="AK8" s="14" t="s">
        <v>296</v>
      </c>
    </row>
    <row r="9" spans="1:37" s="15" customFormat="1" ht="22.5" x14ac:dyDescent="0.2">
      <c r="B9" s="15" t="s">
        <v>43</v>
      </c>
      <c r="C9" s="15" t="s">
        <v>42</v>
      </c>
      <c r="D9" s="16" t="s">
        <v>41</v>
      </c>
      <c r="E9" s="17" t="s">
        <v>40</v>
      </c>
      <c r="G9" s="15" t="s">
        <v>39</v>
      </c>
      <c r="H9" s="15" t="s">
        <v>38</v>
      </c>
      <c r="J9" s="15" t="s">
        <v>37</v>
      </c>
      <c r="K9" s="15" t="s">
        <v>36</v>
      </c>
      <c r="M9" s="15" t="s">
        <v>35</v>
      </c>
      <c r="N9" s="15" t="s">
        <v>34</v>
      </c>
      <c r="P9" s="15" t="s">
        <v>33</v>
      </c>
      <c r="Q9" s="15" t="s">
        <v>32</v>
      </c>
      <c r="S9" s="15" t="s">
        <v>31</v>
      </c>
      <c r="T9" s="15" t="s">
        <v>30</v>
      </c>
      <c r="V9" s="15" t="s">
        <v>29</v>
      </c>
      <c r="W9" s="15" t="s">
        <v>28</v>
      </c>
      <c r="Y9" s="15" t="s">
        <v>27</v>
      </c>
      <c r="Z9" s="15" t="s">
        <v>26</v>
      </c>
      <c r="AB9" s="15" t="s">
        <v>25</v>
      </c>
      <c r="AC9" s="15" t="s">
        <v>24</v>
      </c>
      <c r="AE9" s="15" t="s">
        <v>23</v>
      </c>
      <c r="AF9" s="15" t="s">
        <v>22</v>
      </c>
      <c r="AH9" s="16" t="s">
        <v>21</v>
      </c>
      <c r="AI9" s="16" t="s">
        <v>20</v>
      </c>
      <c r="AK9" s="16" t="s">
        <v>19</v>
      </c>
    </row>
    <row r="10" spans="1:37" x14ac:dyDescent="0.2">
      <c r="A10" s="18">
        <v>1</v>
      </c>
      <c r="B10" s="24" t="s">
        <v>18</v>
      </c>
      <c r="C10" s="24" t="s">
        <v>260</v>
      </c>
      <c r="D10" s="152">
        <v>11278205851.395365</v>
      </c>
      <c r="E10" s="22">
        <v>1573549058.3641579</v>
      </c>
      <c r="F10" s="19"/>
      <c r="G10" s="153">
        <v>335541990.56614429</v>
      </c>
      <c r="H10" s="20">
        <f t="shared" ref="H10:H24" si="0">+G10/$E10</f>
        <v>0.21323897642884396</v>
      </c>
      <c r="I10" s="20"/>
      <c r="J10" s="22">
        <v>-88680532.609521762</v>
      </c>
      <c r="K10" s="20">
        <f t="shared" ref="K10:K24" si="1">+J10/$E10</f>
        <v>-5.6357018002166991E-2</v>
      </c>
      <c r="L10" s="21"/>
      <c r="M10" s="22">
        <v>-78947.440959767555</v>
      </c>
      <c r="N10" s="20">
        <f t="shared" ref="N10:N24" si="2">+M10/$E10</f>
        <v>-5.0171579043007619E-5</v>
      </c>
      <c r="O10" s="21"/>
      <c r="P10" s="22">
        <v>-14097757.314244207</v>
      </c>
      <c r="Q10" s="20">
        <f t="shared" ref="Q10:Q24" si="3">+P10/$E10</f>
        <v>-8.9592105433942172E-3</v>
      </c>
      <c r="R10" s="21"/>
      <c r="S10" s="22">
        <v>-96180539.500699684</v>
      </c>
      <c r="T10" s="20">
        <f t="shared" ref="T10:T24" si="4">+S10/$E10</f>
        <v>-6.1123318011252717E-2</v>
      </c>
      <c r="U10" s="21"/>
      <c r="V10" s="22">
        <v>-91409858.425559431</v>
      </c>
      <c r="W10" s="20">
        <f t="shared" ref="W10:W24" si="5">+V10/$E10</f>
        <v>-5.8091521163368104E-2</v>
      </c>
      <c r="X10" s="21"/>
      <c r="Y10" s="22">
        <v>41217769.741866097</v>
      </c>
      <c r="Z10" s="20">
        <f t="shared" ref="Z10:Z24" si="6">+Y10/$E10</f>
        <v>2.6194143438219575E-2</v>
      </c>
      <c r="AA10" s="21"/>
      <c r="AB10" s="22">
        <v>6646098.5128571149</v>
      </c>
      <c r="AC10" s="20">
        <f t="shared" ref="AC10:AC24" si="7">+AB10/$E10</f>
        <v>4.2236360395184096E-3</v>
      </c>
      <c r="AD10" s="21"/>
      <c r="AE10" s="22">
        <v>15926650.538183255</v>
      </c>
      <c r="AF10" s="20">
        <f t="shared" ref="AF10:AF24" si="8">+AE10/$E10</f>
        <v>1.0121483314120758E-2</v>
      </c>
      <c r="AG10" s="21"/>
      <c r="AH10" s="22">
        <f t="shared" ref="AH10:AH23" si="9">+G10+J10+S10+V10+M10+P10+Y10+AB10+AE10</f>
        <v>108884874.0680659</v>
      </c>
      <c r="AI10" s="20">
        <f t="shared" ref="AI10:AI24" si="10">+AH10/$E10</f>
        <v>6.9196999921477667E-2</v>
      </c>
      <c r="AJ10" s="21"/>
      <c r="AK10" s="22">
        <f t="shared" ref="AK10:AK23" si="11">SUM(E10,AH10)</f>
        <v>1682433932.4322238</v>
      </c>
    </row>
    <row r="11" spans="1:37" x14ac:dyDescent="0.2">
      <c r="A11" s="18">
        <f t="shared" ref="A11:A24" si="12">+A10+1</f>
        <v>2</v>
      </c>
      <c r="B11" s="24" t="s">
        <v>17</v>
      </c>
      <c r="C11" s="24" t="s">
        <v>261</v>
      </c>
      <c r="D11" s="152">
        <v>2762635966.1696987</v>
      </c>
      <c r="E11" s="22">
        <v>370402221.86186469</v>
      </c>
      <c r="F11" s="19"/>
      <c r="G11" s="153">
        <v>74990862.946253538</v>
      </c>
      <c r="H11" s="20">
        <f t="shared" si="0"/>
        <v>0.20245791877085481</v>
      </c>
      <c r="I11" s="20"/>
      <c r="J11" s="22">
        <v>-20733582.926103588</v>
      </c>
      <c r="K11" s="20">
        <f t="shared" si="1"/>
        <v>-5.5975860030979596E-2</v>
      </c>
      <c r="L11" s="21"/>
      <c r="M11" s="22">
        <v>-19338.451763187892</v>
      </c>
      <c r="N11" s="20">
        <f t="shared" si="2"/>
        <v>-5.2209329809041596E-5</v>
      </c>
      <c r="O11" s="21"/>
      <c r="P11" s="22">
        <v>-2737772.2424741713</v>
      </c>
      <c r="Q11" s="20">
        <f t="shared" si="3"/>
        <v>-7.3913494058228885E-3</v>
      </c>
      <c r="R11" s="21"/>
      <c r="S11" s="22">
        <v>-18319039.091671273</v>
      </c>
      <c r="T11" s="20">
        <f t="shared" si="4"/>
        <v>-4.9457152280536404E-2</v>
      </c>
      <c r="U11" s="21"/>
      <c r="V11" s="22">
        <v>-17410131.858801443</v>
      </c>
      <c r="W11" s="20">
        <f t="shared" si="5"/>
        <v>-4.7003313779511453E-2</v>
      </c>
      <c r="X11" s="21"/>
      <c r="Y11" s="22">
        <v>9032211.7806892972</v>
      </c>
      <c r="Z11" s="20">
        <f t="shared" si="6"/>
        <v>2.4384874732359757E-2</v>
      </c>
      <c r="AA11" s="21"/>
      <c r="AB11" s="22">
        <v>793623.28485625726</v>
      </c>
      <c r="AC11" s="20">
        <f t="shared" si="7"/>
        <v>2.1425986077163051E-3</v>
      </c>
      <c r="AD11" s="21"/>
      <c r="AE11" s="22">
        <v>3407205.0016037403</v>
      </c>
      <c r="AF11" s="20">
        <f t="shared" si="8"/>
        <v>9.1986624283112439E-3</v>
      </c>
      <c r="AG11" s="21"/>
      <c r="AH11" s="22">
        <f t="shared" si="9"/>
        <v>29004038.442589164</v>
      </c>
      <c r="AI11" s="20">
        <f t="shared" si="10"/>
        <v>7.8304169712582708E-2</v>
      </c>
      <c r="AJ11" s="21"/>
      <c r="AK11" s="22">
        <f t="shared" si="11"/>
        <v>399406260.30445385</v>
      </c>
    </row>
    <row r="12" spans="1:37" x14ac:dyDescent="0.2">
      <c r="A12" s="18">
        <f t="shared" si="12"/>
        <v>3</v>
      </c>
      <c r="B12" s="30" t="s">
        <v>16</v>
      </c>
      <c r="C12" s="24" t="s">
        <v>262</v>
      </c>
      <c r="D12" s="152">
        <v>2960202274.8054705</v>
      </c>
      <c r="E12" s="22">
        <v>388306969.90820646</v>
      </c>
      <c r="F12" s="19"/>
      <c r="G12" s="153">
        <v>73159163.367564112</v>
      </c>
      <c r="H12" s="20">
        <f t="shared" si="0"/>
        <v>0.18840548596091006</v>
      </c>
      <c r="I12" s="20"/>
      <c r="J12" s="22">
        <v>-22272561.915636361</v>
      </c>
      <c r="K12" s="20">
        <f t="shared" si="1"/>
        <v>-5.7358130658590717E-2</v>
      </c>
      <c r="L12" s="21"/>
      <c r="M12" s="22">
        <v>-20721.415923638295</v>
      </c>
      <c r="N12" s="20">
        <f t="shared" si="2"/>
        <v>-5.3363492106610185E-5</v>
      </c>
      <c r="O12" s="21"/>
      <c r="P12" s="22">
        <v>-3062687.1071075583</v>
      </c>
      <c r="Q12" s="20">
        <f t="shared" si="3"/>
        <v>-7.8872833723060906E-3</v>
      </c>
      <c r="R12" s="21"/>
      <c r="S12" s="22">
        <v>-20286372.087374233</v>
      </c>
      <c r="T12" s="20">
        <f t="shared" si="4"/>
        <v>-5.2243131489939039E-2</v>
      </c>
      <c r="U12" s="21"/>
      <c r="V12" s="22">
        <v>-19289416.615187101</v>
      </c>
      <c r="W12" s="20">
        <f t="shared" si="5"/>
        <v>-4.9675689879445144E-2</v>
      </c>
      <c r="X12" s="21"/>
      <c r="Y12" s="22">
        <v>9940431.4307320621</v>
      </c>
      <c r="Z12" s="20">
        <f t="shared" si="6"/>
        <v>2.559941541374321E-2</v>
      </c>
      <c r="AA12" s="21"/>
      <c r="AB12" s="22">
        <v>71866.927337495828</v>
      </c>
      <c r="AC12" s="20">
        <f t="shared" si="7"/>
        <v>1.8507761360679351E-4</v>
      </c>
      <c r="AD12" s="21"/>
      <c r="AE12" s="22">
        <v>3557632.8134628101</v>
      </c>
      <c r="AF12" s="20">
        <f t="shared" si="8"/>
        <v>9.1619082044904175E-3</v>
      </c>
      <c r="AG12" s="21"/>
      <c r="AH12" s="22">
        <f t="shared" si="9"/>
        <v>21797335.39786759</v>
      </c>
      <c r="AI12" s="20">
        <f t="shared" si="10"/>
        <v>5.6134288300362871E-2</v>
      </c>
      <c r="AJ12" s="21"/>
      <c r="AK12" s="22">
        <f t="shared" si="11"/>
        <v>410104305.30607402</v>
      </c>
    </row>
    <row r="13" spans="1:37" x14ac:dyDescent="0.2">
      <c r="A13" s="18">
        <f t="shared" si="12"/>
        <v>4</v>
      </c>
      <c r="B13" s="30" t="s">
        <v>15</v>
      </c>
      <c r="C13" s="24" t="s">
        <v>263</v>
      </c>
      <c r="D13" s="152">
        <v>2013891730.8000479</v>
      </c>
      <c r="E13" s="22">
        <v>237836418.96857327</v>
      </c>
      <c r="F13" s="19"/>
      <c r="G13" s="153">
        <v>45146023.669125214</v>
      </c>
      <c r="H13" s="20">
        <f t="shared" si="0"/>
        <v>0.1898196410159145</v>
      </c>
      <c r="I13" s="20"/>
      <c r="J13" s="22">
        <v>-14123422.708100736</v>
      </c>
      <c r="K13" s="20">
        <f t="shared" si="1"/>
        <v>-5.9382927010715493E-2</v>
      </c>
      <c r="L13" s="21"/>
      <c r="M13" s="22">
        <v>-12083.350384800287</v>
      </c>
      <c r="N13" s="20">
        <f t="shared" si="2"/>
        <v>-5.0805299025280617E-5</v>
      </c>
      <c r="O13" s="21"/>
      <c r="P13" s="22">
        <v>-1756232.8834768827</v>
      </c>
      <c r="Q13" s="20">
        <f t="shared" si="3"/>
        <v>-7.3842050393003273E-3</v>
      </c>
      <c r="R13" s="21"/>
      <c r="S13" s="22">
        <v>-12214883.635912497</v>
      </c>
      <c r="T13" s="20">
        <f t="shared" si="4"/>
        <v>-5.1358339857641905E-2</v>
      </c>
      <c r="U13" s="21"/>
      <c r="V13" s="22">
        <v>-11643638.173843963</v>
      </c>
      <c r="W13" s="20">
        <f t="shared" si="5"/>
        <v>-4.8956498018003315E-2</v>
      </c>
      <c r="X13" s="21"/>
      <c r="Y13" s="22">
        <v>5666300.1742695607</v>
      </c>
      <c r="Z13" s="20">
        <f t="shared" si="6"/>
        <v>2.3824358770799869E-2</v>
      </c>
      <c r="AA13" s="21"/>
      <c r="AB13" s="22">
        <v>35979.886079421325</v>
      </c>
      <c r="AC13" s="20">
        <f t="shared" si="7"/>
        <v>1.5127996896125299E-4</v>
      </c>
      <c r="AD13" s="21"/>
      <c r="AE13" s="22">
        <v>1909573.9474490094</v>
      </c>
      <c r="AF13" s="20">
        <f t="shared" si="8"/>
        <v>8.0289383591052674E-3</v>
      </c>
      <c r="AG13" s="21"/>
      <c r="AH13" s="22">
        <f t="shared" si="9"/>
        <v>13007616.925204327</v>
      </c>
      <c r="AI13" s="20">
        <f t="shared" si="10"/>
        <v>5.469144289009456E-2</v>
      </c>
      <c r="AJ13" s="21"/>
      <c r="AK13" s="22">
        <f t="shared" si="11"/>
        <v>250844035.89377761</v>
      </c>
    </row>
    <row r="14" spans="1:37" x14ac:dyDescent="0.2">
      <c r="A14" s="18">
        <f t="shared" si="12"/>
        <v>5</v>
      </c>
      <c r="B14" s="24" t="s">
        <v>14</v>
      </c>
      <c r="C14" s="24" t="s">
        <v>264</v>
      </c>
      <c r="D14" s="152">
        <v>14930059.630887466</v>
      </c>
      <c r="E14" s="22">
        <v>1728149.0568922446</v>
      </c>
      <c r="F14" s="19"/>
      <c r="G14" s="153">
        <v>352805.94800889178</v>
      </c>
      <c r="H14" s="20">
        <f t="shared" si="0"/>
        <v>0.20415249865271912</v>
      </c>
      <c r="I14" s="20"/>
      <c r="J14" s="22">
        <v>-118096.77168031986</v>
      </c>
      <c r="K14" s="20">
        <f t="shared" si="1"/>
        <v>-6.8337144420108631E-2</v>
      </c>
      <c r="L14" s="21"/>
      <c r="M14" s="22">
        <v>-104.51041741621226</v>
      </c>
      <c r="N14" s="20">
        <f t="shared" si="2"/>
        <v>-6.0475349044343924E-5</v>
      </c>
      <c r="O14" s="21"/>
      <c r="P14" s="22">
        <v>-12866.949999402332</v>
      </c>
      <c r="Q14" s="20">
        <f t="shared" si="3"/>
        <v>-7.4455093720568024E-3</v>
      </c>
      <c r="R14" s="21"/>
      <c r="S14" s="22">
        <v>-102696.71904112447</v>
      </c>
      <c r="T14" s="20">
        <f t="shared" si="4"/>
        <v>-5.9425845607210211E-2</v>
      </c>
      <c r="U14" s="21"/>
      <c r="V14" s="22">
        <v>-97593.954971203639</v>
      </c>
      <c r="W14" s="20">
        <f t="shared" si="5"/>
        <v>-5.6473111842972767E-2</v>
      </c>
      <c r="X14" s="21"/>
      <c r="Y14" s="22">
        <v>50135.504347361042</v>
      </c>
      <c r="Z14" s="20">
        <f t="shared" si="6"/>
        <v>2.9011099561932721E-2</v>
      </c>
      <c r="AA14" s="21"/>
      <c r="AB14" s="22">
        <v>5245.1838706287517</v>
      </c>
      <c r="AC14" s="20">
        <f t="shared" si="7"/>
        <v>3.0351455215681692E-3</v>
      </c>
      <c r="AD14" s="21"/>
      <c r="AE14" s="22">
        <v>17943.256953037846</v>
      </c>
      <c r="AF14" s="20">
        <f t="shared" si="8"/>
        <v>1.0382933625705564E-2</v>
      </c>
      <c r="AG14" s="21"/>
      <c r="AH14" s="22">
        <f t="shared" si="9"/>
        <v>94770.987070452917</v>
      </c>
      <c r="AI14" s="20">
        <f t="shared" si="10"/>
        <v>5.4839590770532812E-2</v>
      </c>
      <c r="AJ14" s="21"/>
      <c r="AK14" s="22">
        <f t="shared" si="11"/>
        <v>1822920.0439626975</v>
      </c>
    </row>
    <row r="15" spans="1:37" x14ac:dyDescent="0.2">
      <c r="A15" s="18">
        <f t="shared" si="12"/>
        <v>6</v>
      </c>
      <c r="B15" s="30" t="s">
        <v>13</v>
      </c>
      <c r="C15" s="24" t="s">
        <v>265</v>
      </c>
      <c r="D15" s="152">
        <v>1423586019.4788036</v>
      </c>
      <c r="E15" s="22">
        <v>162042122.3188971</v>
      </c>
      <c r="F15" s="19"/>
      <c r="G15" s="153">
        <v>31301839.613551155</v>
      </c>
      <c r="H15" s="20">
        <f t="shared" si="0"/>
        <v>0.1931710049560415</v>
      </c>
      <c r="I15" s="20"/>
      <c r="J15" s="22">
        <v>-9785730.297897296</v>
      </c>
      <c r="K15" s="20">
        <f t="shared" si="1"/>
        <v>-6.0390040304699834E-2</v>
      </c>
      <c r="L15" s="21"/>
      <c r="M15" s="22">
        <v>-8541.5161168728227</v>
      </c>
      <c r="N15" s="20">
        <f t="shared" si="2"/>
        <v>-5.2711702331713563E-5</v>
      </c>
      <c r="O15" s="21"/>
      <c r="P15" s="22">
        <v>-1213578.5752972579</v>
      </c>
      <c r="Q15" s="20">
        <f t="shared" si="3"/>
        <v>-7.4892784538389883E-3</v>
      </c>
      <c r="R15" s="21"/>
      <c r="S15" s="22">
        <v>-8302746.86347064</v>
      </c>
      <c r="T15" s="20">
        <f t="shared" si="4"/>
        <v>-5.1238201182843841E-2</v>
      </c>
      <c r="U15" s="21"/>
      <c r="V15" s="22">
        <v>-7912239.1093931831</v>
      </c>
      <c r="W15" s="20">
        <f t="shared" si="5"/>
        <v>-4.8828286103424295E-2</v>
      </c>
      <c r="X15" s="21"/>
      <c r="Y15" s="22">
        <v>3955612.4781701048</v>
      </c>
      <c r="Z15" s="20">
        <f t="shared" si="6"/>
        <v>2.4411013763356564E-2</v>
      </c>
      <c r="AA15" s="21"/>
      <c r="AB15" s="22">
        <v>29551.347037033534</v>
      </c>
      <c r="AC15" s="20">
        <f t="shared" si="7"/>
        <v>1.8236830408131048E-4</v>
      </c>
      <c r="AD15" s="21"/>
      <c r="AE15" s="22">
        <v>1342627.7959382271</v>
      </c>
      <c r="AF15" s="20">
        <f t="shared" si="8"/>
        <v>8.2856715076586717E-3</v>
      </c>
      <c r="AG15" s="21"/>
      <c r="AH15" s="22">
        <f t="shared" si="9"/>
        <v>9406794.8725212719</v>
      </c>
      <c r="AI15" s="20">
        <f t="shared" si="10"/>
        <v>5.8051540783999385E-2</v>
      </c>
      <c r="AJ15" s="21"/>
      <c r="AK15" s="22">
        <f t="shared" si="11"/>
        <v>171448917.19141838</v>
      </c>
    </row>
    <row r="16" spans="1:37" x14ac:dyDescent="0.2">
      <c r="A16" s="18">
        <f t="shared" si="12"/>
        <v>7</v>
      </c>
      <c r="B16" s="30" t="s">
        <v>12</v>
      </c>
      <c r="C16" s="24" t="s">
        <v>266</v>
      </c>
      <c r="D16" s="152">
        <v>4407260.1568774413</v>
      </c>
      <c r="E16" s="22">
        <v>418551.29387898021</v>
      </c>
      <c r="F16" s="19"/>
      <c r="G16" s="153">
        <v>133323.44044189015</v>
      </c>
      <c r="H16" s="20">
        <f t="shared" si="0"/>
        <v>0.31853548750571836</v>
      </c>
      <c r="I16" s="20"/>
      <c r="J16" s="22">
        <v>-32419.805713990456</v>
      </c>
      <c r="K16" s="20">
        <f t="shared" si="1"/>
        <v>-7.7457186701146138E-2</v>
      </c>
      <c r="L16" s="21"/>
      <c r="M16" s="22">
        <v>-17.629040627509763</v>
      </c>
      <c r="N16" s="20">
        <f t="shared" si="2"/>
        <v>-4.2119187983222475E-5</v>
      </c>
      <c r="O16" s="21"/>
      <c r="P16" s="22">
        <v>-5486.0665669761656</v>
      </c>
      <c r="Q16" s="20">
        <f t="shared" si="3"/>
        <v>-1.3107274179308607E-2</v>
      </c>
      <c r="R16" s="21"/>
      <c r="S16" s="22">
        <v>-36520.622679537046</v>
      </c>
      <c r="T16" s="20">
        <f t="shared" si="4"/>
        <v>-8.7254831638620162E-2</v>
      </c>
      <c r="U16" s="21"/>
      <c r="V16" s="22">
        <v>-34670.488944294222</v>
      </c>
      <c r="W16" s="20">
        <f t="shared" si="5"/>
        <v>-8.2834504280182283E-2</v>
      </c>
      <c r="X16" s="21"/>
      <c r="Y16" s="22">
        <v>11282.560874718421</v>
      </c>
      <c r="Z16" s="20">
        <f t="shared" si="6"/>
        <v>2.6956220276267161E-2</v>
      </c>
      <c r="AA16" s="21"/>
      <c r="AB16" s="22">
        <v>9.4609196251320569</v>
      </c>
      <c r="AC16" s="20">
        <f t="shared" si="7"/>
        <v>2.2603966977265119E-5</v>
      </c>
      <c r="AD16" s="21"/>
      <c r="AE16" s="22">
        <v>20169.467476741898</v>
      </c>
      <c r="AF16" s="20">
        <f t="shared" si="8"/>
        <v>4.8188759111980409E-2</v>
      </c>
      <c r="AG16" s="21"/>
      <c r="AH16" s="22">
        <f t="shared" si="9"/>
        <v>55670.316767550205</v>
      </c>
      <c r="AI16" s="20">
        <f t="shared" si="10"/>
        <v>0.13300715487370277</v>
      </c>
      <c r="AJ16" s="21"/>
      <c r="AK16" s="22">
        <f t="shared" si="11"/>
        <v>474221.6106465304</v>
      </c>
    </row>
    <row r="17" spans="1:37" x14ac:dyDescent="0.2">
      <c r="A17" s="18">
        <f t="shared" si="12"/>
        <v>8</v>
      </c>
      <c r="B17" s="24" t="s">
        <v>11</v>
      </c>
      <c r="C17" s="24">
        <v>43</v>
      </c>
      <c r="D17" s="152">
        <v>122267424.6450724</v>
      </c>
      <c r="E17" s="22">
        <v>14286105.037436888</v>
      </c>
      <c r="F17" s="19"/>
      <c r="G17" s="153">
        <v>2918916.5960964793</v>
      </c>
      <c r="H17" s="20">
        <f t="shared" si="0"/>
        <v>0.20431857307834625</v>
      </c>
      <c r="I17" s="20"/>
      <c r="J17" s="22">
        <v>-826894.59287462465</v>
      </c>
      <c r="K17" s="20">
        <f t="shared" si="1"/>
        <v>-5.7881038303144117E-2</v>
      </c>
      <c r="L17" s="21"/>
      <c r="M17" s="22">
        <v>-122.2674246450724</v>
      </c>
      <c r="N17" s="20">
        <f t="shared" si="2"/>
        <v>-8.5584856281449242E-6</v>
      </c>
      <c r="O17" s="21"/>
      <c r="P17" s="22">
        <v>-96453.1452531135</v>
      </c>
      <c r="Q17" s="20">
        <f t="shared" si="3"/>
        <v>-6.7515354955291892E-3</v>
      </c>
      <c r="R17" s="21"/>
      <c r="S17" s="22">
        <v>-632852.54603477963</v>
      </c>
      <c r="T17" s="20">
        <f t="shared" si="4"/>
        <v>-4.4298466543286848E-2</v>
      </c>
      <c r="U17" s="21"/>
      <c r="V17" s="22">
        <v>-599015.26400976302</v>
      </c>
      <c r="W17" s="20">
        <f t="shared" si="5"/>
        <v>-4.192992158744719E-2</v>
      </c>
      <c r="X17" s="21"/>
      <c r="Y17" s="22">
        <v>120636.1656109991</v>
      </c>
      <c r="Z17" s="20">
        <f t="shared" si="6"/>
        <v>8.4443006190190236E-3</v>
      </c>
      <c r="AA17" s="21"/>
      <c r="AB17" s="22">
        <v>3445.1348488352037</v>
      </c>
      <c r="AC17" s="20">
        <f t="shared" si="7"/>
        <v>2.4115284325624037E-4</v>
      </c>
      <c r="AD17" s="21"/>
      <c r="AE17" s="22">
        <v>152162.98974444694</v>
      </c>
      <c r="AF17" s="20">
        <f t="shared" si="8"/>
        <v>1.0651117946123331E-2</v>
      </c>
      <c r="AG17" s="21"/>
      <c r="AH17" s="22">
        <f t="shared" si="9"/>
        <v>1039823.0707038346</v>
      </c>
      <c r="AI17" s="20">
        <f t="shared" si="10"/>
        <v>7.2785624071709354E-2</v>
      </c>
      <c r="AJ17" s="21"/>
      <c r="AK17" s="22">
        <f t="shared" si="11"/>
        <v>15325928.108140722</v>
      </c>
    </row>
    <row r="18" spans="1:37" x14ac:dyDescent="0.2">
      <c r="A18" s="18">
        <f t="shared" si="12"/>
        <v>9</v>
      </c>
      <c r="B18" s="24" t="s">
        <v>10</v>
      </c>
      <c r="C18" s="24">
        <v>46</v>
      </c>
      <c r="D18" s="152">
        <v>96933187.043131709</v>
      </c>
      <c r="E18" s="22">
        <v>8475100.031980345</v>
      </c>
      <c r="F18" s="19"/>
      <c r="G18" s="153">
        <v>1535189.7190529406</v>
      </c>
      <c r="H18" s="20">
        <f t="shared" si="0"/>
        <v>0.18114119163903467</v>
      </c>
      <c r="I18" s="20"/>
      <c r="J18" s="22">
        <v>-731748.62898860127</v>
      </c>
      <c r="K18" s="20">
        <f t="shared" si="1"/>
        <v>-8.6341002020906679E-2</v>
      </c>
      <c r="L18" s="21"/>
      <c r="M18" s="22">
        <v>-96.93318704313171</v>
      </c>
      <c r="N18" s="20">
        <f t="shared" si="2"/>
        <v>-1.1437409196040097E-5</v>
      </c>
      <c r="O18" s="21"/>
      <c r="P18" s="22">
        <v>-43606.489873955659</v>
      </c>
      <c r="Q18" s="20">
        <f t="shared" si="3"/>
        <v>-5.1452478093956247E-3</v>
      </c>
      <c r="R18" s="21"/>
      <c r="S18" s="22">
        <v>-323843.15673451731</v>
      </c>
      <c r="T18" s="20">
        <f t="shared" si="4"/>
        <v>-3.8211130902586654E-2</v>
      </c>
      <c r="U18" s="21"/>
      <c r="V18" s="22">
        <v>-306789.63796265295</v>
      </c>
      <c r="W18" s="20">
        <f t="shared" si="5"/>
        <v>-3.6198940048494811E-2</v>
      </c>
      <c r="X18" s="21"/>
      <c r="Y18" s="22">
        <v>234602.08421261591</v>
      </c>
      <c r="Z18" s="20">
        <f t="shared" si="6"/>
        <v>2.7681335126117364E-2</v>
      </c>
      <c r="AA18" s="21"/>
      <c r="AB18" s="22">
        <v>5035.5518573621002</v>
      </c>
      <c r="AC18" s="20">
        <f t="shared" si="7"/>
        <v>5.9415839793757115E-4</v>
      </c>
      <c r="AD18" s="21"/>
      <c r="AE18" s="22">
        <v>36060.710451981446</v>
      </c>
      <c r="AF18" s="20">
        <f t="shared" si="8"/>
        <v>4.2549008644037533E-3</v>
      </c>
      <c r="AG18" s="21"/>
      <c r="AH18" s="22">
        <f t="shared" si="9"/>
        <v>404803.21882812976</v>
      </c>
      <c r="AI18" s="20">
        <f t="shared" si="10"/>
        <v>4.7763827836913554E-2</v>
      </c>
      <c r="AJ18" s="21"/>
      <c r="AK18" s="22">
        <f t="shared" si="11"/>
        <v>8879903.2508084755</v>
      </c>
    </row>
    <row r="19" spans="1:37" x14ac:dyDescent="0.2">
      <c r="A19" s="18">
        <f t="shared" si="12"/>
        <v>10</v>
      </c>
      <c r="B19" s="30" t="s">
        <v>9</v>
      </c>
      <c r="C19" s="24">
        <v>49</v>
      </c>
      <c r="D19" s="152">
        <v>534843226.30681556</v>
      </c>
      <c r="E19" s="22">
        <v>47671375.10442128</v>
      </c>
      <c r="F19" s="19"/>
      <c r="G19" s="153">
        <v>8435364.1447835788</v>
      </c>
      <c r="H19" s="20">
        <f t="shared" si="0"/>
        <v>0.17694820269619704</v>
      </c>
      <c r="I19" s="20"/>
      <c r="J19" s="22">
        <v>-3725717.9144532774</v>
      </c>
      <c r="K19" s="20">
        <f t="shared" si="1"/>
        <v>-7.8154194341831268E-2</v>
      </c>
      <c r="L19" s="21"/>
      <c r="M19" s="22">
        <v>-2674.2161315340782</v>
      </c>
      <c r="N19" s="20">
        <f t="shared" si="2"/>
        <v>-5.6096895163530913E-5</v>
      </c>
      <c r="O19" s="21"/>
      <c r="P19" s="22">
        <v>-243405.90782398928</v>
      </c>
      <c r="Q19" s="20">
        <f t="shared" si="3"/>
        <v>-5.1059132926378412E-3</v>
      </c>
      <c r="R19" s="21"/>
      <c r="S19" s="22">
        <v>-1729513.8296306524</v>
      </c>
      <c r="T19" s="20">
        <f t="shared" si="4"/>
        <v>-3.6279923242034794E-2</v>
      </c>
      <c r="U19" s="21"/>
      <c r="V19" s="22">
        <v>-1648873.1533013028</v>
      </c>
      <c r="W19" s="20">
        <f t="shared" si="5"/>
        <v>-3.4588327894665205E-2</v>
      </c>
      <c r="X19" s="21"/>
      <c r="Y19" s="22">
        <v>1294451.7708135068</v>
      </c>
      <c r="Z19" s="20">
        <f t="shared" si="6"/>
        <v>2.715364866186654E-2</v>
      </c>
      <c r="AA19" s="21"/>
      <c r="AB19" s="22">
        <v>14267.396929192619</v>
      </c>
      <c r="AC19" s="20">
        <f t="shared" si="7"/>
        <v>2.99286456451922E-4</v>
      </c>
      <c r="AD19" s="21"/>
      <c r="AE19" s="22">
        <v>198970.31459897972</v>
      </c>
      <c r="AF19" s="20">
        <f t="shared" si="8"/>
        <v>4.1737901238037963E-3</v>
      </c>
      <c r="AG19" s="21"/>
      <c r="AH19" s="22">
        <f t="shared" si="9"/>
        <v>2592868.6057845028</v>
      </c>
      <c r="AI19" s="20">
        <f t="shared" si="10"/>
        <v>5.4390472271986699E-2</v>
      </c>
      <c r="AJ19" s="21"/>
      <c r="AK19" s="22">
        <f t="shared" si="11"/>
        <v>50264243.710205786</v>
      </c>
    </row>
    <row r="20" spans="1:37" x14ac:dyDescent="0.2">
      <c r="A20" s="18">
        <f t="shared" si="12"/>
        <v>11</v>
      </c>
      <c r="B20" s="24" t="s">
        <v>8</v>
      </c>
      <c r="C20" s="24" t="s">
        <v>267</v>
      </c>
      <c r="D20" s="152">
        <v>67255417.982360825</v>
      </c>
      <c r="E20" s="22">
        <v>23183450.840163715</v>
      </c>
      <c r="F20" s="19"/>
      <c r="G20" s="153">
        <v>4555398.380905115</v>
      </c>
      <c r="H20" s="20">
        <f t="shared" si="0"/>
        <v>0.19649354241143446</v>
      </c>
      <c r="I20" s="20"/>
      <c r="J20" s="22">
        <v>-544970.65191106987</v>
      </c>
      <c r="K20" s="20">
        <f t="shared" si="1"/>
        <v>-2.3506882373479369E-2</v>
      </c>
      <c r="L20" s="21"/>
      <c r="M20" s="22">
        <v>-201.76625394708248</v>
      </c>
      <c r="N20" s="20">
        <f t="shared" si="2"/>
        <v>-8.7030293867009867E-6</v>
      </c>
      <c r="O20" s="21"/>
      <c r="P20" s="22">
        <v>-281867.45676407422</v>
      </c>
      <c r="Q20" s="20">
        <f t="shared" si="3"/>
        <v>-1.2158132053221277E-2</v>
      </c>
      <c r="R20" s="21"/>
      <c r="S20" s="22">
        <v>-2078797.7144167908</v>
      </c>
      <c r="T20" s="20">
        <f t="shared" si="4"/>
        <v>-8.9667311771180258E-2</v>
      </c>
      <c r="U20" s="21"/>
      <c r="V20" s="22">
        <v>-1975695.1586498315</v>
      </c>
      <c r="W20" s="20">
        <f t="shared" si="5"/>
        <v>-8.5220063754576053E-2</v>
      </c>
      <c r="X20" s="21"/>
      <c r="Y20" s="22">
        <v>112458</v>
      </c>
      <c r="Z20" s="20">
        <f t="shared" si="6"/>
        <v>4.8507877785465116E-3</v>
      </c>
      <c r="AA20" s="21"/>
      <c r="AB20" s="22">
        <v>53935.519227045588</v>
      </c>
      <c r="AC20" s="20">
        <f t="shared" si="7"/>
        <v>2.3264663918628565E-3</v>
      </c>
      <c r="AD20" s="21"/>
      <c r="AE20" s="22">
        <v>156218.02689690789</v>
      </c>
      <c r="AF20" s="20">
        <f t="shared" si="8"/>
        <v>6.7383422758734018E-3</v>
      </c>
      <c r="AG20" s="21"/>
      <c r="AH20" s="22">
        <f t="shared" si="9"/>
        <v>-3522.8209666447365</v>
      </c>
      <c r="AI20" s="20">
        <f t="shared" si="10"/>
        <v>-1.5195412412640893E-4</v>
      </c>
      <c r="AJ20" s="21"/>
      <c r="AK20" s="22">
        <f t="shared" si="11"/>
        <v>23179928.019197069</v>
      </c>
    </row>
    <row r="21" spans="1:37" x14ac:dyDescent="0.2">
      <c r="A21" s="18">
        <f t="shared" si="12"/>
        <v>12</v>
      </c>
      <c r="B21" s="24" t="s">
        <v>7</v>
      </c>
      <c r="C21" s="24" t="s">
        <v>268</v>
      </c>
      <c r="D21" s="152">
        <v>1967511960.3194919</v>
      </c>
      <c r="E21" s="22">
        <v>16604465.294621985</v>
      </c>
      <c r="F21" s="19"/>
      <c r="G21" s="153">
        <v>528588.58130950294</v>
      </c>
      <c r="H21" s="20">
        <f t="shared" si="0"/>
        <v>3.1834122444202244E-2</v>
      </c>
      <c r="I21" s="20"/>
      <c r="J21" s="22">
        <v>0</v>
      </c>
      <c r="K21" s="20">
        <f t="shared" si="1"/>
        <v>0</v>
      </c>
      <c r="L21" s="21"/>
      <c r="M21" s="22">
        <v>0</v>
      </c>
      <c r="N21" s="20">
        <f t="shared" si="2"/>
        <v>0</v>
      </c>
      <c r="O21" s="21"/>
      <c r="P21" s="22">
        <v>0</v>
      </c>
      <c r="Q21" s="20">
        <f t="shared" si="3"/>
        <v>0</v>
      </c>
      <c r="R21" s="21"/>
      <c r="S21" s="22">
        <v>-147120</v>
      </c>
      <c r="T21" s="20">
        <f t="shared" si="4"/>
        <v>-8.8602672467658836E-3</v>
      </c>
      <c r="U21" s="21"/>
      <c r="V21" s="22">
        <v>-27600</v>
      </c>
      <c r="W21" s="20">
        <f t="shared" si="5"/>
        <v>-1.6622034802252473E-3</v>
      </c>
      <c r="X21" s="21"/>
      <c r="Y21" s="22">
        <v>0</v>
      </c>
      <c r="Z21" s="20">
        <f t="shared" si="6"/>
        <v>0</v>
      </c>
      <c r="AA21" s="21"/>
      <c r="AB21" s="22">
        <v>11289.288936160296</v>
      </c>
      <c r="AC21" s="20">
        <f t="shared" si="7"/>
        <v>6.7989475938239215E-4</v>
      </c>
      <c r="AD21" s="21"/>
      <c r="AE21" s="22">
        <v>410614.28454946139</v>
      </c>
      <c r="AF21" s="20">
        <f t="shared" si="8"/>
        <v>2.4729148290156329E-2</v>
      </c>
      <c r="AG21" s="21"/>
      <c r="AH21" s="22">
        <f t="shared" si="9"/>
        <v>775772.15479512466</v>
      </c>
      <c r="AI21" s="20">
        <f t="shared" si="10"/>
        <v>4.6720694766749837E-2</v>
      </c>
      <c r="AJ21" s="21"/>
      <c r="AK21" s="22">
        <f t="shared" si="11"/>
        <v>17380237.449417111</v>
      </c>
    </row>
    <row r="22" spans="1:37" x14ac:dyDescent="0.2">
      <c r="A22" s="18">
        <f t="shared" si="12"/>
        <v>13</v>
      </c>
      <c r="B22" s="24" t="s">
        <v>6</v>
      </c>
      <c r="C22" s="24" t="s">
        <v>6</v>
      </c>
      <c r="D22" s="152">
        <v>304773055.46200001</v>
      </c>
      <c r="E22" s="22">
        <v>6112058.4304764047</v>
      </c>
      <c r="F22" s="19"/>
      <c r="G22" s="153">
        <v>4956728.9534063395</v>
      </c>
      <c r="H22" s="20">
        <f t="shared" si="0"/>
        <v>0.81097538739006902</v>
      </c>
      <c r="I22" s="20"/>
      <c r="J22" s="22">
        <v>0</v>
      </c>
      <c r="K22" s="20">
        <f t="shared" si="1"/>
        <v>0</v>
      </c>
      <c r="L22" s="21"/>
      <c r="M22" s="22">
        <v>0</v>
      </c>
      <c r="N22" s="20">
        <f t="shared" si="2"/>
        <v>0</v>
      </c>
      <c r="O22" s="21"/>
      <c r="P22" s="22">
        <v>0</v>
      </c>
      <c r="Q22" s="20">
        <f t="shared" si="3"/>
        <v>0</v>
      </c>
      <c r="R22" s="21"/>
      <c r="S22" s="22">
        <v>-472703.00902156206</v>
      </c>
      <c r="T22" s="20">
        <f t="shared" si="4"/>
        <v>-7.7339412637898688E-2</v>
      </c>
      <c r="U22" s="21"/>
      <c r="V22" s="22">
        <v>-449235.48375098803</v>
      </c>
      <c r="W22" s="20">
        <f t="shared" si="5"/>
        <v>-7.3499867329634205E-2</v>
      </c>
      <c r="X22" s="21"/>
      <c r="Y22" s="22">
        <v>0</v>
      </c>
      <c r="Z22" s="20">
        <f t="shared" si="6"/>
        <v>0</v>
      </c>
      <c r="AA22" s="21"/>
      <c r="AB22" s="22">
        <v>3054.1969589255868</v>
      </c>
      <c r="AC22" s="20">
        <f t="shared" si="7"/>
        <v>4.9970022270999905E-4</v>
      </c>
      <c r="AD22" s="21"/>
      <c r="AE22" s="22">
        <v>403047.29938686301</v>
      </c>
      <c r="AF22" s="20">
        <f t="shared" si="8"/>
        <v>6.594297223618778E-2</v>
      </c>
      <c r="AG22" s="21"/>
      <c r="AH22" s="22">
        <f t="shared" si="9"/>
        <v>4440891.9569795784</v>
      </c>
      <c r="AI22" s="20">
        <f t="shared" si="10"/>
        <v>0.72657877988143393</v>
      </c>
      <c r="AJ22" s="21"/>
      <c r="AK22" s="22">
        <f t="shared" si="11"/>
        <v>10552950.387455983</v>
      </c>
    </row>
    <row r="23" spans="1:37" x14ac:dyDescent="0.2">
      <c r="A23" s="18">
        <f t="shared" si="12"/>
        <v>14</v>
      </c>
      <c r="B23" s="24" t="s">
        <v>5</v>
      </c>
      <c r="C23" s="24">
        <v>5</v>
      </c>
      <c r="D23" s="152">
        <v>6714960.2368700616</v>
      </c>
      <c r="E23" s="22">
        <v>487506.15298651473</v>
      </c>
      <c r="F23" s="19"/>
      <c r="G23" s="153">
        <v>820562.07335701142</v>
      </c>
      <c r="H23" s="20">
        <f t="shared" si="0"/>
        <v>1.6831830087275013</v>
      </c>
      <c r="I23" s="20"/>
      <c r="J23" s="22">
        <v>-53679.392133539266</v>
      </c>
      <c r="K23" s="20">
        <f t="shared" si="1"/>
        <v>-0.11011018385038543</v>
      </c>
      <c r="L23" s="21"/>
      <c r="M23" s="22">
        <v>-40.289761421220369</v>
      </c>
      <c r="N23" s="20">
        <f t="shared" si="2"/>
        <v>-8.2644621353804445E-5</v>
      </c>
      <c r="O23" s="21"/>
      <c r="P23" s="22">
        <v>-6267.8607601201938</v>
      </c>
      <c r="Q23" s="20">
        <f t="shared" si="3"/>
        <v>-1.2856988002556706E-2</v>
      </c>
      <c r="R23" s="21"/>
      <c r="S23" s="22">
        <v>-37063.964072646762</v>
      </c>
      <c r="T23" s="20">
        <f t="shared" si="4"/>
        <v>-7.6027684667340015E-2</v>
      </c>
      <c r="U23" s="21"/>
      <c r="V23" s="22">
        <v>-35251.99174535997</v>
      </c>
      <c r="W23" s="20">
        <f t="shared" si="5"/>
        <v>-7.2310865266833058E-2</v>
      </c>
      <c r="X23" s="21"/>
      <c r="Y23" s="22">
        <v>20268.832271719843</v>
      </c>
      <c r="Z23" s="20">
        <f t="shared" si="6"/>
        <v>4.1576567080334907E-2</v>
      </c>
      <c r="AA23" s="21"/>
      <c r="AB23" s="22">
        <v>49.906501150441784</v>
      </c>
      <c r="AC23" s="20">
        <f t="shared" si="7"/>
        <v>1.0237101797527935E-4</v>
      </c>
      <c r="AD23" s="21"/>
      <c r="AE23" s="22">
        <v>7724.3646160020717</v>
      </c>
      <c r="AF23" s="20">
        <f t="shared" si="8"/>
        <v>1.5844650510935688E-2</v>
      </c>
      <c r="AG23" s="21"/>
      <c r="AH23" s="22">
        <f t="shared" si="9"/>
        <v>716301.67827279621</v>
      </c>
      <c r="AI23" s="20">
        <f t="shared" si="10"/>
        <v>1.469318230928278</v>
      </c>
      <c r="AJ23" s="21"/>
      <c r="AK23" s="22">
        <f t="shared" si="11"/>
        <v>1203807.8312593109</v>
      </c>
    </row>
    <row r="24" spans="1:37" ht="12" thickBot="1" x14ac:dyDescent="0.25">
      <c r="A24" s="18">
        <f t="shared" si="12"/>
        <v>15</v>
      </c>
      <c r="B24" s="24"/>
      <c r="C24" s="24" t="s">
        <v>4</v>
      </c>
      <c r="D24" s="25">
        <f>SUM(D10:D23)</f>
        <v>23558158394.432896</v>
      </c>
      <c r="E24" s="26">
        <f>SUM(E10:E23)</f>
        <v>2851103552.6645579</v>
      </c>
      <c r="F24" s="22"/>
      <c r="G24" s="26">
        <f>SUM(G10:G23)</f>
        <v>584376758.00000012</v>
      </c>
      <c r="H24" s="27">
        <f t="shared" si="0"/>
        <v>0.20496511165084086</v>
      </c>
      <c r="I24" s="20"/>
      <c r="J24" s="26">
        <f>SUM(J10:J23)</f>
        <v>-161629358.21501514</v>
      </c>
      <c r="K24" s="27">
        <f t="shared" si="1"/>
        <v>-5.6690104455855726E-2</v>
      </c>
      <c r="L24" s="21"/>
      <c r="M24" s="26">
        <f>SUM(M10:M23)</f>
        <v>-142889.78736490113</v>
      </c>
      <c r="N24" s="27">
        <f t="shared" si="2"/>
        <v>-5.0117361479684078E-5</v>
      </c>
      <c r="O24" s="21"/>
      <c r="P24" s="26">
        <f>SUM(P10:P23)</f>
        <v>-23557981.999641716</v>
      </c>
      <c r="Q24" s="27">
        <f t="shared" si="3"/>
        <v>-8.2627591613167167E-3</v>
      </c>
      <c r="R24" s="21"/>
      <c r="S24" s="26">
        <f>SUM(S10:S23)</f>
        <v>-160864692.74075997</v>
      </c>
      <c r="T24" s="27">
        <f t="shared" si="4"/>
        <v>-5.6421904630724669E-2</v>
      </c>
      <c r="U24" s="21"/>
      <c r="V24" s="26">
        <f>SUM(V10:V23)</f>
        <v>-152840009.31612048</v>
      </c>
      <c r="W24" s="27">
        <f t="shared" si="5"/>
        <v>-5.3607316077060992E-2</v>
      </c>
      <c r="X24" s="21"/>
      <c r="Y24" s="26">
        <f>SUM(Y10:Y23)</f>
        <v>71656160.523858055</v>
      </c>
      <c r="Z24" s="27">
        <f t="shared" si="6"/>
        <v>2.5132780763746834E-2</v>
      </c>
      <c r="AA24" s="21"/>
      <c r="AB24" s="26">
        <f>SUM(AB10:AB23)</f>
        <v>7673451.5982162477</v>
      </c>
      <c r="AC24" s="27">
        <f t="shared" si="7"/>
        <v>2.6913970174969144E-3</v>
      </c>
      <c r="AD24" s="21"/>
      <c r="AE24" s="26">
        <f>SUM(AE10:AE23)</f>
        <v>27546600.811311465</v>
      </c>
      <c r="AF24" s="27">
        <f t="shared" si="8"/>
        <v>9.6617328351919097E-3</v>
      </c>
      <c r="AG24" s="21"/>
      <c r="AH24" s="26">
        <f>SUM(AH10:AH23)</f>
        <v>192218038.87448356</v>
      </c>
      <c r="AI24" s="27">
        <f t="shared" si="10"/>
        <v>6.7418820580838673E-2</v>
      </c>
      <c r="AJ24" s="21"/>
      <c r="AK24" s="26">
        <f>SUM(AK10:AK23)</f>
        <v>3043321591.5390406</v>
      </c>
    </row>
    <row r="25" spans="1:37" ht="12" thickTop="1" x14ac:dyDescent="0.2"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154" t="s">
        <v>3</v>
      </c>
      <c r="AI25" s="28"/>
      <c r="AJ25" s="28"/>
      <c r="AK25" s="28"/>
    </row>
    <row r="26" spans="1:37" x14ac:dyDescent="0.2">
      <c r="C26" s="154" t="s">
        <v>2</v>
      </c>
      <c r="D26" s="28">
        <v>23558158394.432896</v>
      </c>
      <c r="E26" s="137">
        <v>2851103552.6645575</v>
      </c>
      <c r="G26" s="155">
        <v>584376758</v>
      </c>
      <c r="H26" s="29"/>
      <c r="I26" s="29"/>
      <c r="J26" s="29"/>
      <c r="K26" s="29"/>
      <c r="AH26" s="137">
        <v>192218038.83080012</v>
      </c>
      <c r="AK26" s="137">
        <v>3043321591.5390415</v>
      </c>
    </row>
    <row r="27" spans="1:37" x14ac:dyDescent="0.2">
      <c r="C27" s="23" t="s">
        <v>1</v>
      </c>
      <c r="D27" s="28">
        <f>+D26-D24</f>
        <v>0</v>
      </c>
      <c r="E27" s="137">
        <f>+E26-E24</f>
        <v>0</v>
      </c>
      <c r="G27" s="137">
        <f>+G26-G24</f>
        <v>0</v>
      </c>
      <c r="H27" s="29"/>
      <c r="I27" s="29"/>
      <c r="J27" s="29"/>
      <c r="K27" s="29"/>
      <c r="AH27" s="28">
        <f>+AH26-AH24</f>
        <v>-4.3683439493179321E-2</v>
      </c>
      <c r="AK27" s="28">
        <f>+AK26-AK24</f>
        <v>0</v>
      </c>
    </row>
    <row r="28" spans="1:37" ht="12.75" customHeight="1" x14ac:dyDescent="0.2">
      <c r="B28" s="30" t="s">
        <v>0</v>
      </c>
      <c r="H28" s="29"/>
      <c r="I28" s="29"/>
      <c r="J28" s="29"/>
      <c r="K28" s="29"/>
    </row>
    <row r="29" spans="1:37" x14ac:dyDescent="0.2">
      <c r="C29" s="79"/>
    </row>
  </sheetData>
  <mergeCells count="7">
    <mergeCell ref="G7:AI7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6CDE-2A7D-4D1F-B4DB-D66B7ABCFAB0}">
  <sheetPr>
    <pageSetUpPr fitToPage="1"/>
  </sheetPr>
  <dimension ref="A1:T74"/>
  <sheetViews>
    <sheetView zoomScaleNormal="100" zoomScaleSheetLayoutView="100" workbookViewId="0">
      <pane xSplit="2" ySplit="9" topLeftCell="C4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28515625" style="23" customWidth="1"/>
    <col min="2" max="2" width="11.42578125" style="23" bestFit="1" customWidth="1"/>
    <col min="3" max="3" width="11.42578125" style="23" customWidth="1"/>
    <col min="4" max="4" width="7.140625" style="23" bestFit="1" customWidth="1"/>
    <col min="5" max="5" width="0.7109375" style="23" customWidth="1"/>
    <col min="6" max="6" width="11.85546875" style="23" customWidth="1"/>
    <col min="7" max="7" width="12.5703125" style="23" customWidth="1"/>
    <col min="8" max="8" width="13" style="23" customWidth="1"/>
    <col min="9" max="9" width="0.7109375" style="23" customWidth="1"/>
    <col min="10" max="10" width="10" style="23" bestFit="1" customWidth="1"/>
    <col min="11" max="11" width="10" style="23" customWidth="1"/>
    <col min="12" max="12" width="0.710937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31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31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31"/>
    </row>
    <row r="4" spans="1:20" ht="12.75" x14ac:dyDescent="0.2">
      <c r="A4" s="207" t="s">
        <v>236</v>
      </c>
      <c r="B4" s="213" t="s">
        <v>235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31"/>
    </row>
    <row r="5" spans="1:20" ht="12" thickBot="1" x14ac:dyDescent="0.25">
      <c r="F5" s="18"/>
      <c r="G5" s="18"/>
      <c r="H5" s="18"/>
      <c r="I5" s="18"/>
      <c r="J5" s="18"/>
      <c r="K5" s="18"/>
      <c r="L5" s="18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18"/>
      <c r="F6" s="227"/>
      <c r="G6" s="228"/>
      <c r="H6" s="228"/>
      <c r="I6" s="18"/>
      <c r="J6" s="18"/>
      <c r="K6" s="18"/>
      <c r="L6" s="1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18"/>
      <c r="M7" s="156"/>
      <c r="N7" s="37"/>
      <c r="P7" s="38"/>
      <c r="Q7" s="37"/>
      <c r="S7" s="38"/>
      <c r="T7" s="37"/>
    </row>
    <row r="8" spans="1:20" ht="45" x14ac:dyDescent="0.2">
      <c r="A8" s="77" t="s">
        <v>126</v>
      </c>
      <c r="B8" s="40" t="s">
        <v>210</v>
      </c>
      <c r="C8" s="78" t="s">
        <v>209</v>
      </c>
      <c r="D8" s="40" t="s">
        <v>125</v>
      </c>
      <c r="E8" s="34"/>
      <c r="F8" s="117" t="s">
        <v>234</v>
      </c>
      <c r="G8" s="117" t="s">
        <v>233</v>
      </c>
      <c r="H8" s="117" t="s">
        <v>232</v>
      </c>
      <c r="I8" s="34"/>
      <c r="J8" s="117" t="s">
        <v>184</v>
      </c>
      <c r="K8" s="117" t="s">
        <v>183</v>
      </c>
      <c r="L8" s="18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1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79" t="s">
        <v>180</v>
      </c>
      <c r="F10" s="79"/>
      <c r="G10" s="79"/>
      <c r="M10" s="58" t="s">
        <v>231</v>
      </c>
      <c r="N10" s="53">
        <f>SUM(N30)</f>
        <v>9.99</v>
      </c>
      <c r="O10" s="54"/>
      <c r="P10" s="6">
        <f>SUM(P30)</f>
        <v>12.99</v>
      </c>
      <c r="Q10" s="55">
        <f>(P10-N10)/N10</f>
        <v>0.3003003003003003</v>
      </c>
      <c r="R10" s="54"/>
      <c r="S10" s="6">
        <f>SUM(S30)</f>
        <v>16.88</v>
      </c>
      <c r="T10" s="55">
        <f>(S10-P10)/P10</f>
        <v>0.29946112394149338</v>
      </c>
    </row>
    <row r="11" spans="1:20" x14ac:dyDescent="0.2">
      <c r="A11" s="35">
        <f t="shared" ref="A11:A42" si="0">A10+1</f>
        <v>2</v>
      </c>
      <c r="B11" s="23">
        <v>25</v>
      </c>
      <c r="C11" s="49">
        <v>200</v>
      </c>
      <c r="D11" s="49">
        <f>ROUND((B$11*C11),0)</f>
        <v>5000</v>
      </c>
      <c r="F11" s="50">
        <f>ROUND(+N$10+IF(D11&gt;20000,20000*N$15+(D11-20000)*N$19,D11*N$15)+IF(B11&gt;50,(B11-50)*N$25,0),0)</f>
        <v>527</v>
      </c>
      <c r="G11" s="50">
        <f>ROUND(+P$10+IF(D11&gt;20000,20000*P$15+(D11-20000)*P$19,D11*P$15)+IF(B11&gt;50,(B11-50)*P$25,0),0)</f>
        <v>530</v>
      </c>
      <c r="H11" s="50">
        <f>ROUND(+S$10+IF(D11&gt;20000,20000*S$15+(D11-20000)*S$19,D11*S$15)+IF(B11&gt;50,(B11-50)*S$25,0),0)</f>
        <v>559</v>
      </c>
      <c r="I11" s="50"/>
      <c r="J11" s="51">
        <f t="shared" ref="J11:K13" si="1">ROUND((G11-F11)/F11,4)</f>
        <v>5.7000000000000002E-3</v>
      </c>
      <c r="K11" s="51">
        <f t="shared" si="1"/>
        <v>5.4699999999999999E-2</v>
      </c>
      <c r="L11" s="51"/>
      <c r="M11" s="58" t="s">
        <v>230</v>
      </c>
      <c r="N11" s="53">
        <f>SUM(N31)</f>
        <v>25.36</v>
      </c>
      <c r="O11" s="54"/>
      <c r="P11" s="6">
        <f>SUM(P31)</f>
        <v>32.97</v>
      </c>
      <c r="Q11" s="55">
        <f>(P11-N11)/N11</f>
        <v>0.30007886435331227</v>
      </c>
      <c r="R11" s="54"/>
      <c r="S11" s="6">
        <f>SUM(S31)</f>
        <v>42.86</v>
      </c>
      <c r="T11" s="55">
        <f>(S11-P11)/P11</f>
        <v>0.299969669396421</v>
      </c>
    </row>
    <row r="12" spans="1:20" x14ac:dyDescent="0.2">
      <c r="A12" s="35">
        <f t="shared" si="0"/>
        <v>3</v>
      </c>
      <c r="B12" s="23">
        <f>+B11</f>
        <v>25</v>
      </c>
      <c r="C12" s="49">
        <v>300</v>
      </c>
      <c r="D12" s="49">
        <f>ROUND((B$11*C12),0)</f>
        <v>7500</v>
      </c>
      <c r="F12" s="50">
        <f>ROUND(+N$10+IF(D12&gt;20000,20000*N$15+(D12-20000)*N$19,D12*N$15)+IF(B12&gt;50,(B12-50)*N$25,0),0)</f>
        <v>786</v>
      </c>
      <c r="G12" s="50">
        <f>ROUND(+P$10+IF(D12&gt;20000,20000*P$15+(D12-20000)*P$19,D12*P$15)+IF(B12&gt;50,(B12-50)*P$25,0),0)</f>
        <v>789</v>
      </c>
      <c r="H12" s="50">
        <f>ROUND(+S$10+IF(D12&gt;20000,20000*S$15+(D12-20000)*S$19,D12*S$15)+IF(B12&gt;50,(B12-50)*S$25,0),0)</f>
        <v>830</v>
      </c>
      <c r="I12" s="50"/>
      <c r="J12" s="51">
        <f t="shared" si="1"/>
        <v>3.8E-3</v>
      </c>
      <c r="K12" s="51">
        <f t="shared" si="1"/>
        <v>5.1999999999999998E-2</v>
      </c>
      <c r="L12" s="51"/>
      <c r="M12" s="76"/>
      <c r="N12" s="53"/>
      <c r="O12" s="54"/>
      <c r="P12" s="6"/>
      <c r="Q12" s="55"/>
      <c r="R12" s="54"/>
      <c r="S12" s="6"/>
      <c r="T12" s="55"/>
    </row>
    <row r="13" spans="1:20" x14ac:dyDescent="0.2">
      <c r="A13" s="35">
        <f t="shared" si="0"/>
        <v>4</v>
      </c>
      <c r="B13" s="23">
        <f>+B12</f>
        <v>25</v>
      </c>
      <c r="C13" s="49">
        <v>500</v>
      </c>
      <c r="D13" s="49">
        <f>ROUND((B$11*C13),0)</f>
        <v>12500</v>
      </c>
      <c r="F13" s="50">
        <f>ROUND(+N$10+IF(D13&gt;20000,20000*N$15+(D13-20000)*N$19,D13*N$15)+IF(B13&gt;50,(B13-50)*N$25,0),0)</f>
        <v>1304</v>
      </c>
      <c r="G13" s="50">
        <f>ROUND(+P$10+IF(D13&gt;20000,20000*P$15+(D13-20000)*P$19,D13*P$15)+IF(B13&gt;50,(B13-50)*P$25,0),0)</f>
        <v>1306</v>
      </c>
      <c r="H13" s="50">
        <f>ROUND(+S$10+IF(D13&gt;20000,20000*S$15+(D13-20000)*S$19,D13*S$15)+IF(B13&gt;50,(B13-50)*S$25,0),0)</f>
        <v>1372</v>
      </c>
      <c r="I13" s="50"/>
      <c r="J13" s="51">
        <f t="shared" si="1"/>
        <v>1.5E-3</v>
      </c>
      <c r="K13" s="51">
        <f t="shared" si="1"/>
        <v>5.0500000000000003E-2</v>
      </c>
      <c r="L13" s="51"/>
      <c r="M13" s="76" t="s">
        <v>205</v>
      </c>
      <c r="N13" s="57">
        <f>SUM(N32,N44:N59)</f>
        <v>0.12704000000000001</v>
      </c>
      <c r="O13" s="54"/>
      <c r="P13" s="3">
        <f>SUM(P32,P44:P59)</f>
        <v>0.12624366766119127</v>
      </c>
      <c r="Q13" s="55">
        <f>(P13-N13)/N13</f>
        <v>-6.2683590901191884E-3</v>
      </c>
      <c r="R13" s="54"/>
      <c r="S13" s="3">
        <f>SUM(S32,S44:S59)</f>
        <v>0.13119331454077915</v>
      </c>
      <c r="T13" s="55">
        <f>(S13-P13)/P13</f>
        <v>3.9207090314197626E-2</v>
      </c>
    </row>
    <row r="14" spans="1:20" x14ac:dyDescent="0.2">
      <c r="A14" s="35">
        <f t="shared" si="0"/>
        <v>5</v>
      </c>
      <c r="F14" s="50"/>
      <c r="G14" s="50"/>
      <c r="H14" s="50"/>
      <c r="I14" s="50"/>
      <c r="M14" s="76" t="s">
        <v>204</v>
      </c>
      <c r="N14" s="57">
        <f>SUM(N33,N44:N59)</f>
        <v>9.8973999999999993E-2</v>
      </c>
      <c r="O14" s="54"/>
      <c r="P14" s="3">
        <f>SUM(P33,P44:P59)</f>
        <v>9.8177667661191265E-2</v>
      </c>
      <c r="Q14" s="55">
        <f>(P14-N14)/N14</f>
        <v>-8.0458740559008219E-3</v>
      </c>
      <c r="R14" s="54"/>
      <c r="S14" s="3">
        <f>SUM(S33,S44:S59)</f>
        <v>0.10312731454077914</v>
      </c>
      <c r="T14" s="55">
        <f>(S14-P14)/P14</f>
        <v>5.0415201313082601E-2</v>
      </c>
    </row>
    <row r="15" spans="1:20" x14ac:dyDescent="0.2">
      <c r="A15" s="35">
        <f t="shared" si="0"/>
        <v>6</v>
      </c>
      <c r="B15" s="23">
        <v>50</v>
      </c>
      <c r="C15" s="49">
        <v>200</v>
      </c>
      <c r="D15" s="49">
        <f>ROUND((B$15*C15),0)</f>
        <v>10000</v>
      </c>
      <c r="F15" s="50">
        <f>ROUND(+N$10+IF(D15&gt;20000,20000*N$15+(D15-20000)*N$19,D15*N$15)+IF(B15&gt;50,(B15-50)*N$25,0),0)</f>
        <v>1045</v>
      </c>
      <c r="G15" s="50">
        <f>ROUND(+P$10+IF(D15&gt;20000,20000*P$15+(D15-20000)*P$19,D15*P$15)+IF(B15&gt;50,(B15-50)*P$25,0),0)</f>
        <v>1048</v>
      </c>
      <c r="H15" s="50">
        <f>ROUND(+S$10+IF(D15&gt;20000,20000*S$15+(D15-20000)*S$19,D15*S$15)+IF(B15&gt;50,(B15-50)*S$25,0),0)</f>
        <v>1101</v>
      </c>
      <c r="I15" s="50"/>
      <c r="J15" s="51">
        <f t="shared" ref="J15:K17" si="2">ROUND((G15-F15)/F15,4)</f>
        <v>2.8999999999999998E-3</v>
      </c>
      <c r="K15" s="51">
        <f t="shared" si="2"/>
        <v>5.0599999999999999E-2</v>
      </c>
      <c r="L15" s="51"/>
      <c r="M15" s="58" t="s">
        <v>172</v>
      </c>
      <c r="N15" s="57">
        <f>SUM(N34,N44:N59)</f>
        <v>0.10348300000000001</v>
      </c>
      <c r="O15" s="54"/>
      <c r="P15" s="3">
        <f>SUM(P34,P44:P59)</f>
        <v>0.10346466766119126</v>
      </c>
      <c r="Q15" s="55">
        <f>(P15-N15)/N15</f>
        <v>-1.7715314407913238E-4</v>
      </c>
      <c r="R15" s="54"/>
      <c r="S15" s="3">
        <f>SUM(S34,S44:S59)</f>
        <v>0.10841931454077913</v>
      </c>
      <c r="T15" s="55">
        <f>(S15-P15)/P15</f>
        <v>4.788733189394194E-2</v>
      </c>
    </row>
    <row r="16" spans="1:20" x14ac:dyDescent="0.2">
      <c r="A16" s="35">
        <f t="shared" si="0"/>
        <v>7</v>
      </c>
      <c r="B16" s="23">
        <f>+B15</f>
        <v>50</v>
      </c>
      <c r="C16" s="49">
        <v>300</v>
      </c>
      <c r="D16" s="49">
        <f>ROUND((B$15*C16),0)</f>
        <v>15000</v>
      </c>
      <c r="F16" s="50">
        <f>ROUND(+N$10+IF(D16&gt;20000,20000*N$15+(D16-20000)*N$19,D16*N$15)+IF(B16&gt;50,(B16-50)*N$25,0),0)</f>
        <v>1562</v>
      </c>
      <c r="G16" s="50">
        <f>ROUND(+P$10+IF(D16&gt;20000,20000*P$15+(D16-20000)*P$19,D16*P$15)+IF(B16&gt;50,(B16-50)*P$25,0),0)</f>
        <v>1565</v>
      </c>
      <c r="H16" s="50">
        <f>ROUND(+S$10+IF(D16&gt;20000,20000*S$15+(D16-20000)*S$19,D16*S$15)+IF(B16&gt;50,(B16-50)*S$25,0),0)</f>
        <v>1643</v>
      </c>
      <c r="I16" s="50"/>
      <c r="J16" s="51">
        <f t="shared" si="2"/>
        <v>1.9E-3</v>
      </c>
      <c r="K16" s="51">
        <f t="shared" si="2"/>
        <v>4.9799999999999997E-2</v>
      </c>
      <c r="L16" s="51"/>
      <c r="M16" s="7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0"/>
        <v>8</v>
      </c>
      <c r="B17" s="23">
        <f>+B16</f>
        <v>50</v>
      </c>
      <c r="C17" s="49">
        <v>500</v>
      </c>
      <c r="D17" s="49">
        <f>ROUND((B$15*C17),0)</f>
        <v>25000</v>
      </c>
      <c r="F17" s="50">
        <f>ROUND(+N$10+IF(D17&gt;20000,20000*N$15+(D17-20000)*N$19,D17*N$15)+IF(B17&gt;50,(B17-50)*N$25,0),0)</f>
        <v>2540</v>
      </c>
      <c r="G17" s="50">
        <f>ROUND(+P$10+IF(D17&gt;20000,20000*P$15+(D17-20000)*P$19,D17*P$15)+IF(B17&gt;50,(B17-50)*P$25,0),0)</f>
        <v>2539</v>
      </c>
      <c r="H17" s="50">
        <f>ROUND(+S$10+IF(D17&gt;20000,20000*S$15+(D17-20000)*S$19,D17*S$15)+IF(B17&gt;50,(B17-50)*S$25,0),0)</f>
        <v>2667</v>
      </c>
      <c r="I17" s="50"/>
      <c r="J17" s="51">
        <f t="shared" si="2"/>
        <v>-4.0000000000000002E-4</v>
      </c>
      <c r="K17" s="51">
        <f t="shared" si="2"/>
        <v>5.04E-2</v>
      </c>
      <c r="L17" s="51"/>
      <c r="M17" s="76" t="s">
        <v>226</v>
      </c>
      <c r="N17" s="57">
        <f>SUM(N35,N44:N59)</f>
        <v>0.105055</v>
      </c>
      <c r="O17" s="54"/>
      <c r="P17" s="3">
        <f>SUM(P35,P44:P59)</f>
        <v>0.10425866766119127</v>
      </c>
      <c r="Q17" s="55">
        <f>(P17-N17)/N17</f>
        <v>-7.5801469592949207E-3</v>
      </c>
      <c r="R17" s="54"/>
      <c r="S17" s="3">
        <f>SUM(S35,S44:S59)</f>
        <v>0.10920831454077914</v>
      </c>
      <c r="T17" s="55">
        <f>(S17-P17)/P17</f>
        <v>4.7474679953447257E-2</v>
      </c>
    </row>
    <row r="18" spans="1:20" x14ac:dyDescent="0.2">
      <c r="A18" s="35">
        <f t="shared" si="0"/>
        <v>9</v>
      </c>
      <c r="F18" s="50"/>
      <c r="G18" s="50"/>
      <c r="H18" s="50"/>
      <c r="I18" s="50"/>
      <c r="M18" s="76" t="s">
        <v>229</v>
      </c>
      <c r="N18" s="57">
        <f>SUM(N36,N44:N59)</f>
        <v>8.9906E-2</v>
      </c>
      <c r="O18" s="54"/>
      <c r="P18" s="3">
        <f>SUM(P36,P44:P59)</f>
        <v>8.9109667661191272E-2</v>
      </c>
      <c r="Q18" s="55">
        <f>(P18-N18)/N18</f>
        <v>-8.8573881477179272E-3</v>
      </c>
      <c r="R18" s="54"/>
      <c r="S18" s="3">
        <f>SUM(S36,S44:S59)</f>
        <v>9.4059314540779135E-2</v>
      </c>
      <c r="T18" s="55">
        <f>(S18-P18)/P18</f>
        <v>5.5545565475647214E-2</v>
      </c>
    </row>
    <row r="19" spans="1:20" x14ac:dyDescent="0.2">
      <c r="A19" s="35">
        <f t="shared" si="0"/>
        <v>10</v>
      </c>
      <c r="B19" s="23">
        <v>75</v>
      </c>
      <c r="C19" s="49">
        <v>200</v>
      </c>
      <c r="D19" s="49">
        <f>ROUND((B$15*C19),0)</f>
        <v>10000</v>
      </c>
      <c r="F19" s="50">
        <f>ROUND(+N$10+IF(D19&gt;20000,20000*N$15+(D19-20000)*N$19,D19*N$15)+IF(B19&gt;50,(B19-50)*N$25,0),0)</f>
        <v>1261</v>
      </c>
      <c r="G19" s="50">
        <f>ROUND(+P$10+IF(D19&gt;20000,20000*P$15+(D19-20000)*P$19,D19*P$15)+IF(B19&gt;50,(B19-50)*P$25,0),0)</f>
        <v>1241</v>
      </c>
      <c r="H19" s="50">
        <f>ROUND(+S$10+IF(D19&gt;20000,20000*S$15+(D19-20000)*S$19,D19*S$15)+IF(B19&gt;50,(B19-50)*S$25,0),0)</f>
        <v>1352</v>
      </c>
      <c r="I19" s="50"/>
      <c r="J19" s="51">
        <f t="shared" ref="J19:K21" si="3">ROUND((G19-F19)/F19,4)</f>
        <v>-1.5900000000000001E-2</v>
      </c>
      <c r="K19" s="51">
        <f t="shared" si="3"/>
        <v>8.9399999999999993E-2</v>
      </c>
      <c r="L19" s="51"/>
      <c r="M19" s="76" t="s">
        <v>202</v>
      </c>
      <c r="N19" s="57">
        <f>SUM(N37,N44:N59)</f>
        <v>9.2113999999999988E-2</v>
      </c>
      <c r="O19" s="54"/>
      <c r="P19" s="3">
        <f>SUM(P37,P44:P59)</f>
        <v>9.1301667661191271E-2</v>
      </c>
      <c r="Q19" s="55">
        <f>(P19-N19)/N19</f>
        <v>-8.818771726433727E-3</v>
      </c>
      <c r="R19" s="54"/>
      <c r="S19" s="3">
        <f>SUM(S37,S44:S59)</f>
        <v>9.6252314540779135E-2</v>
      </c>
      <c r="T19" s="55">
        <f>(S19-P19)/P19</f>
        <v>5.4222962256933543E-2</v>
      </c>
    </row>
    <row r="20" spans="1:20" x14ac:dyDescent="0.2">
      <c r="A20" s="35">
        <f t="shared" si="0"/>
        <v>11</v>
      </c>
      <c r="B20" s="23">
        <f>+B19</f>
        <v>75</v>
      </c>
      <c r="C20" s="49">
        <v>300</v>
      </c>
      <c r="D20" s="49">
        <f>ROUND((B$15*C20),0)</f>
        <v>15000</v>
      </c>
      <c r="F20" s="50">
        <f>ROUND(+N$10+IF(D20&gt;20000,20000*N$15+(D20-20000)*N$19,D20*N$15)+IF(B20&gt;50,(B20-50)*N$25,0),0)</f>
        <v>1779</v>
      </c>
      <c r="G20" s="50">
        <f>ROUND(+P$10+IF(D20&gt;20000,20000*P$15+(D20-20000)*P$19,D20*P$15)+IF(B20&gt;50,(B20-50)*P$25,0),0)</f>
        <v>1758</v>
      </c>
      <c r="H20" s="50">
        <f>ROUND(+S$10+IF(D20&gt;20000,20000*S$15+(D20-20000)*S$19,D20*S$15)+IF(B20&gt;50,(B20-50)*S$25,0),0)</f>
        <v>1894</v>
      </c>
      <c r="I20" s="50"/>
      <c r="J20" s="51">
        <f t="shared" si="3"/>
        <v>-1.18E-2</v>
      </c>
      <c r="K20" s="51">
        <f t="shared" si="3"/>
        <v>7.7399999999999997E-2</v>
      </c>
      <c r="L20" s="51"/>
      <c r="M20" s="76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0"/>
        <v>12</v>
      </c>
      <c r="B21" s="23">
        <f>+B20</f>
        <v>75</v>
      </c>
      <c r="C21" s="49">
        <v>500</v>
      </c>
      <c r="D21" s="49">
        <f>ROUND((B$15*C21),0)</f>
        <v>25000</v>
      </c>
      <c r="F21" s="50">
        <f>ROUND(+N$10+IF(D21&gt;20000,20000*N$15+(D21-20000)*N$19,D21*N$15)+IF(B21&gt;50,(B21-50)*N$25,0),0)</f>
        <v>2757</v>
      </c>
      <c r="G21" s="50">
        <f>ROUND(+P$10+IF(D21&gt;20000,20000*P$15+(D21-20000)*P$19,D21*P$15)+IF(B21&gt;50,(B21-50)*P$25,0),0)</f>
        <v>2732</v>
      </c>
      <c r="H21" s="50">
        <f>ROUND(+S$10+IF(D21&gt;20000,20000*S$15+(D21-20000)*S$19,D21*S$15)+IF(B21&gt;50,(B21-50)*S$25,0),0)</f>
        <v>2918</v>
      </c>
      <c r="I21" s="50"/>
      <c r="J21" s="51">
        <f t="shared" si="3"/>
        <v>-9.1000000000000004E-3</v>
      </c>
      <c r="K21" s="51">
        <f t="shared" si="3"/>
        <v>6.8099999999999994E-2</v>
      </c>
      <c r="L21" s="51"/>
      <c r="M21" s="76" t="s">
        <v>201</v>
      </c>
      <c r="N21" s="53">
        <f>SUM(N38)</f>
        <v>0</v>
      </c>
      <c r="O21" s="54"/>
      <c r="P21" s="6">
        <f>SUM(P38)</f>
        <v>0</v>
      </c>
      <c r="Q21" s="55">
        <f>IFERROR((P21-N21)/N21,0)</f>
        <v>0</v>
      </c>
      <c r="R21" s="54"/>
      <c r="S21" s="6">
        <f>SUM(S38)</f>
        <v>0</v>
      </c>
      <c r="T21" s="55">
        <f>IFERROR((S21-P21)/P21,0)</f>
        <v>0</v>
      </c>
    </row>
    <row r="22" spans="1:20" x14ac:dyDescent="0.2">
      <c r="A22" s="35">
        <f t="shared" si="0"/>
        <v>13</v>
      </c>
      <c r="M22" s="76"/>
      <c r="N22" s="53"/>
      <c r="O22" s="54"/>
      <c r="P22" s="6"/>
      <c r="Q22" s="55"/>
      <c r="R22" s="54"/>
      <c r="S22" s="6"/>
      <c r="T22" s="55"/>
    </row>
    <row r="23" spans="1:20" x14ac:dyDescent="0.2">
      <c r="A23" s="35">
        <f t="shared" si="0"/>
        <v>14</v>
      </c>
      <c r="B23" s="79" t="s">
        <v>179</v>
      </c>
      <c r="F23" s="50"/>
      <c r="G23" s="50"/>
      <c r="H23" s="50"/>
      <c r="I23" s="50"/>
      <c r="M23" s="76" t="s">
        <v>200</v>
      </c>
      <c r="N23" s="53">
        <f>SUM(N39)</f>
        <v>9.2200000000000006</v>
      </c>
      <c r="O23" s="54"/>
      <c r="P23" s="6">
        <f>SUM(P39)</f>
        <v>11.99</v>
      </c>
      <c r="Q23" s="55">
        <f>(P23-N23)/N23</f>
        <v>0.30043383947939256</v>
      </c>
      <c r="R23" s="54"/>
      <c r="S23" s="6">
        <f>SUM(S39)</f>
        <v>15.58</v>
      </c>
      <c r="T23" s="55">
        <f>(S23-P23)/P23</f>
        <v>0.29941618015012511</v>
      </c>
    </row>
    <row r="24" spans="1:20" x14ac:dyDescent="0.2">
      <c r="A24" s="35">
        <f t="shared" si="0"/>
        <v>15</v>
      </c>
      <c r="B24" s="23">
        <v>100</v>
      </c>
      <c r="C24" s="49">
        <v>200</v>
      </c>
      <c r="D24" s="49">
        <f>ROUND((B$24*C24),0)</f>
        <v>20000</v>
      </c>
      <c r="F24" s="50">
        <f>ROUND(+N$11+IF(D24&gt;20000,20000*N$15+(D24-20000)*N$19,D24*N$15)+IF(B24&gt;50,(B24-50)*N$25,0),0)</f>
        <v>2528</v>
      </c>
      <c r="G24" s="50">
        <f>ROUND(+P$11+IF(D24&gt;20000,20000*P$15+(D24-20000)*P$19,D24*P$15)+IF(B24&gt;50,(B24-50)*P$25,0),0)</f>
        <v>2489</v>
      </c>
      <c r="H24" s="50">
        <f>ROUND(+S$11+IF(D24&gt;20000,20000*S$15+(D24-20000)*S$19,D24*S$15)+IF(B24&gt;50,(B24-50)*S$25,0),0)</f>
        <v>2713</v>
      </c>
      <c r="I24" s="50"/>
      <c r="J24" s="51">
        <f t="shared" ref="J24:K26" si="4">ROUND((G24-F24)/F24,4)</f>
        <v>-1.54E-2</v>
      </c>
      <c r="K24" s="51">
        <f t="shared" si="4"/>
        <v>0.09</v>
      </c>
      <c r="L24" s="51"/>
      <c r="M24" s="76" t="s">
        <v>199</v>
      </c>
      <c r="N24" s="53">
        <f>SUM(N40)</f>
        <v>4.54</v>
      </c>
      <c r="O24" s="54"/>
      <c r="P24" s="6">
        <f>SUM(P40)</f>
        <v>5.9</v>
      </c>
      <c r="Q24" s="55">
        <f>(P24-N24)/N24</f>
        <v>0.29955947136563882</v>
      </c>
      <c r="R24" s="54"/>
      <c r="S24" s="6">
        <f>SUM(S40)</f>
        <v>7.67</v>
      </c>
      <c r="T24" s="55">
        <f>(S24-P24)/P24</f>
        <v>0.29999999999999993</v>
      </c>
    </row>
    <row r="25" spans="1:20" x14ac:dyDescent="0.2">
      <c r="A25" s="35">
        <f t="shared" si="0"/>
        <v>16</v>
      </c>
      <c r="B25" s="23">
        <f>+B24</f>
        <v>100</v>
      </c>
      <c r="C25" s="49">
        <v>300</v>
      </c>
      <c r="D25" s="49">
        <f>ROUND((B$24*C25),0)</f>
        <v>30000</v>
      </c>
      <c r="F25" s="50">
        <f>ROUND(+N$11+IF(D25&gt;20000,20000*N$15+(D25-20000)*N$19,D25*N$15)+IF(B25&gt;50,(B25-50)*N$25,0),0)</f>
        <v>3449</v>
      </c>
      <c r="G25" s="50">
        <f>ROUND(+P$11+IF(D25&gt;20000,20000*P$15+(D25-20000)*P$19,D25*P$15)+IF(B25&gt;50,(B25-50)*P$25,0),0)</f>
        <v>3402</v>
      </c>
      <c r="H25" s="50">
        <f>ROUND(+S$11+IF(D25&gt;20000,20000*S$15+(D25-20000)*S$19,D25*S$15)+IF(B25&gt;50,(B25-50)*S$25,0),0)</f>
        <v>3676</v>
      </c>
      <c r="I25" s="50"/>
      <c r="J25" s="51">
        <f t="shared" si="4"/>
        <v>-1.3599999999999999E-2</v>
      </c>
      <c r="K25" s="51">
        <f t="shared" si="4"/>
        <v>8.0500000000000002E-2</v>
      </c>
      <c r="L25" s="51"/>
      <c r="M25" s="76" t="s">
        <v>198</v>
      </c>
      <c r="N25" s="53">
        <f>SUM(N41)</f>
        <v>8.66</v>
      </c>
      <c r="O25" s="54"/>
      <c r="P25" s="6">
        <f>SUM(P41)</f>
        <v>7.73</v>
      </c>
      <c r="Q25" s="55">
        <f>(P25-N25)/N25</f>
        <v>-0.10739030023094685</v>
      </c>
      <c r="R25" s="54"/>
      <c r="S25" s="6">
        <f>SUM(S41)</f>
        <v>10.039999999999999</v>
      </c>
      <c r="T25" s="55">
        <f>(S25-P25)/P25</f>
        <v>0.29883570504527796</v>
      </c>
    </row>
    <row r="26" spans="1:20" x14ac:dyDescent="0.2">
      <c r="A26" s="35">
        <f t="shared" si="0"/>
        <v>17</v>
      </c>
      <c r="B26" s="23">
        <f>+B25</f>
        <v>100</v>
      </c>
      <c r="C26" s="49">
        <v>500</v>
      </c>
      <c r="D26" s="49">
        <f>ROUND((B$24*C26),0)</f>
        <v>50000</v>
      </c>
      <c r="F26" s="50">
        <f>ROUND(+N$11+IF(D26&gt;20000,20000*N$15+(D26-20000)*N$19,D26*N$15)+IF(B26&gt;50,(B26-50)*N$25,0),0)</f>
        <v>5291</v>
      </c>
      <c r="G26" s="50">
        <f>ROUND(+P$11+IF(D26&gt;20000,20000*P$15+(D26-20000)*P$19,D26*P$15)+IF(B26&gt;50,(B26-50)*P$25,0),0)</f>
        <v>5228</v>
      </c>
      <c r="H26" s="50">
        <f>ROUND(+S$11+IF(D26&gt;20000,20000*S$15+(D26-20000)*S$19,D26*S$15)+IF(B26&gt;50,(B26-50)*S$25,0),0)</f>
        <v>5601</v>
      </c>
      <c r="I26" s="50"/>
      <c r="J26" s="51">
        <f t="shared" si="4"/>
        <v>-1.1900000000000001E-2</v>
      </c>
      <c r="K26" s="51">
        <f t="shared" si="4"/>
        <v>7.1300000000000002E-2</v>
      </c>
      <c r="L26" s="51"/>
      <c r="M26" s="76"/>
      <c r="N26" s="53"/>
      <c r="O26" s="54"/>
      <c r="P26" s="6"/>
      <c r="Q26" s="55"/>
      <c r="R26" s="54"/>
      <c r="S26" s="6"/>
      <c r="T26" s="55"/>
    </row>
    <row r="27" spans="1:20" x14ac:dyDescent="0.2">
      <c r="A27" s="35">
        <f t="shared" si="0"/>
        <v>18</v>
      </c>
      <c r="M27" s="76" t="s">
        <v>197</v>
      </c>
      <c r="N27" s="53">
        <f>SUM(N42)</f>
        <v>2.9299999999999999E-3</v>
      </c>
      <c r="O27" s="54"/>
      <c r="P27" s="6">
        <f>SUM(P42)</f>
        <v>3.81E-3</v>
      </c>
      <c r="Q27" s="55">
        <f>(P27-N27)/N27</f>
        <v>0.30034129692832773</v>
      </c>
      <c r="R27" s="54"/>
      <c r="S27" s="6">
        <f>SUM(S42)</f>
        <v>4.9500000000000004E-3</v>
      </c>
      <c r="T27" s="55">
        <f>(S27-P27)/P27</f>
        <v>0.29921259842519693</v>
      </c>
    </row>
    <row r="28" spans="1:20" x14ac:dyDescent="0.2">
      <c r="A28" s="35">
        <f t="shared" si="0"/>
        <v>19</v>
      </c>
      <c r="B28" s="23">
        <v>150</v>
      </c>
      <c r="C28" s="49">
        <v>200</v>
      </c>
      <c r="D28" s="49">
        <f>ROUND((B$28*C28),0)</f>
        <v>30000</v>
      </c>
      <c r="F28" s="50">
        <f>ROUND(+N$11+IF(D28&gt;20000,20000*N$15+(D28-20000)*N$19,D28*N$15)+IF(B28&gt;50,(B28-50)*N$25,0),0)</f>
        <v>3882</v>
      </c>
      <c r="G28" s="50">
        <f>ROUND(+P$11+IF(D28&gt;20000,20000*P$15+(D28-20000)*P$19,D28*P$15)+IF(B28&gt;50,(B28-50)*P$25,0),0)</f>
        <v>3788</v>
      </c>
      <c r="H28" s="50">
        <f>ROUND(+S$11+IF(D28&gt;20000,20000*S$15+(D28-20000)*S$19,D28*S$15)+IF(B28&gt;50,(B28-50)*S$25,0),0)</f>
        <v>4178</v>
      </c>
      <c r="I28" s="50"/>
      <c r="J28" s="51">
        <f t="shared" ref="J28:K30" si="5">ROUND((G28-F28)/F28,4)</f>
        <v>-2.4199999999999999E-2</v>
      </c>
      <c r="K28" s="51">
        <f t="shared" si="5"/>
        <v>0.10299999999999999</v>
      </c>
      <c r="L28" s="51"/>
      <c r="M28" s="76" t="s">
        <v>112</v>
      </c>
      <c r="N28" s="53"/>
      <c r="O28" s="54"/>
      <c r="P28" s="6"/>
      <c r="Q28" s="55"/>
      <c r="R28" s="54"/>
      <c r="S28" s="6"/>
      <c r="T28" s="55"/>
    </row>
    <row r="29" spans="1:20" x14ac:dyDescent="0.2">
      <c r="A29" s="35">
        <f t="shared" si="0"/>
        <v>20</v>
      </c>
      <c r="B29" s="23">
        <f>+B28</f>
        <v>150</v>
      </c>
      <c r="C29" s="49">
        <v>300</v>
      </c>
      <c r="D29" s="49">
        <f>ROUND((B$28*C29),0)</f>
        <v>45000</v>
      </c>
      <c r="F29" s="50">
        <f>ROUND(+N$11+IF(D29&gt;20000,20000*N$15+(D29-20000)*N$19,D29*N$15)+IF(B29&gt;50,(B29-50)*N$25,0),0)</f>
        <v>5264</v>
      </c>
      <c r="G29" s="50">
        <f>ROUND(+P$11+IF(D29&gt;20000,20000*P$15+(D29-20000)*P$19,D29*P$15)+IF(B29&gt;50,(B29-50)*P$25,0),0)</f>
        <v>5158</v>
      </c>
      <c r="H29" s="50">
        <f>ROUND(+S$11+IF(D29&gt;20000,20000*S$15+(D29-20000)*S$19,D29*S$15)+IF(B29&gt;50,(B29-50)*S$25,0),0)</f>
        <v>5622</v>
      </c>
      <c r="I29" s="50"/>
      <c r="J29" s="51">
        <f t="shared" si="5"/>
        <v>-2.01E-2</v>
      </c>
      <c r="K29" s="51">
        <f t="shared" si="5"/>
        <v>0.09</v>
      </c>
      <c r="L29" s="51"/>
      <c r="M29" s="76"/>
      <c r="N29" s="53"/>
      <c r="O29" s="54"/>
      <c r="P29" s="6"/>
      <c r="Q29" s="55"/>
      <c r="R29" s="54"/>
      <c r="S29" s="6"/>
      <c r="T29" s="55"/>
    </row>
    <row r="30" spans="1:20" x14ac:dyDescent="0.2">
      <c r="A30" s="35">
        <f t="shared" si="0"/>
        <v>21</v>
      </c>
      <c r="B30" s="23">
        <f>+B29</f>
        <v>150</v>
      </c>
      <c r="C30" s="49">
        <v>500</v>
      </c>
      <c r="D30" s="49">
        <f>ROUND((B$28*C30),0)</f>
        <v>75000</v>
      </c>
      <c r="F30" s="50">
        <f>ROUND(+N$11+IF(D30&gt;20000,20000*N$15+(D30-20000)*N$19,D30*N$15)+IF(B30&gt;50,(B30-50)*N$25,0),0)</f>
        <v>8027</v>
      </c>
      <c r="G30" s="50">
        <f>ROUND(+P$11+IF(D30&gt;20000,20000*P$15+(D30-20000)*P$19,D30*P$15)+IF(B30&gt;50,(B30-50)*P$25,0),0)</f>
        <v>7897</v>
      </c>
      <c r="H30" s="50">
        <f>ROUND(+S$11+IF(D30&gt;20000,20000*S$15+(D30-20000)*S$19,D30*S$15)+IF(B30&gt;50,(B30-50)*S$25,0),0)</f>
        <v>8509</v>
      </c>
      <c r="I30" s="50"/>
      <c r="J30" s="51">
        <f t="shared" si="5"/>
        <v>-1.6199999999999999E-2</v>
      </c>
      <c r="K30" s="51">
        <f t="shared" si="5"/>
        <v>7.7499999999999999E-2</v>
      </c>
      <c r="L30" s="51"/>
      <c r="M30" s="76" t="str">
        <f>+M10</f>
        <v>Basic Charge (1 Phase)</v>
      </c>
      <c r="N30" s="53">
        <v>9.99</v>
      </c>
      <c r="O30" s="54"/>
      <c r="P30" s="126">
        <v>12.99</v>
      </c>
      <c r="Q30" s="55">
        <f t="shared" ref="Q30:Q37" si="6">(P30-N30)/N30</f>
        <v>0.3003003003003003</v>
      </c>
      <c r="R30" s="54"/>
      <c r="S30" s="126">
        <v>16.88</v>
      </c>
      <c r="T30" s="55">
        <f t="shared" ref="T30:T37" si="7">(S30-P30)/P30</f>
        <v>0.29946112394149338</v>
      </c>
    </row>
    <row r="31" spans="1:20" x14ac:dyDescent="0.2">
      <c r="A31" s="35">
        <f t="shared" si="0"/>
        <v>22</v>
      </c>
      <c r="M31" s="76" t="str">
        <f>+M11</f>
        <v>Basic Charge (3 Phase)</v>
      </c>
      <c r="N31" s="53">
        <v>25.36</v>
      </c>
      <c r="O31" s="54"/>
      <c r="P31" s="126">
        <v>32.97</v>
      </c>
      <c r="Q31" s="55">
        <f t="shared" si="6"/>
        <v>0.30007886435331227</v>
      </c>
      <c r="R31" s="54"/>
      <c r="S31" s="126">
        <v>42.86</v>
      </c>
      <c r="T31" s="55">
        <f t="shared" si="7"/>
        <v>0.299969669396421</v>
      </c>
    </row>
    <row r="32" spans="1:20" x14ac:dyDescent="0.2">
      <c r="A32" s="35">
        <f t="shared" si="0"/>
        <v>23</v>
      </c>
      <c r="B32" s="23">
        <v>200</v>
      </c>
      <c r="C32" s="49">
        <v>200</v>
      </c>
      <c r="D32" s="49">
        <f>ROUND((B$32*C32),0)</f>
        <v>40000</v>
      </c>
      <c r="F32" s="50">
        <f>ROUND(+N$11+IF(D32&gt;20000,20000*N$15+(D32-20000)*N$19,D32*N$15)+IF(B32&gt;50,(B32-50)*N$25,0),0)</f>
        <v>5236</v>
      </c>
      <c r="G32" s="50">
        <f>ROUND(+P$11+IF(D32&gt;20000,20000*P$15+(D32-20000)*P$19,D32*P$15)+IF(B32&gt;50,(B32-50)*P$25,0),0)</f>
        <v>5088</v>
      </c>
      <c r="H32" s="50">
        <f>ROUND(+S$11+IF(D32&gt;20000,20000*S$15+(D32-20000)*S$19,D32*S$15)+IF(B32&gt;50,(B32-50)*S$25,0),0)</f>
        <v>5642</v>
      </c>
      <c r="I32" s="50"/>
      <c r="J32" s="51">
        <f t="shared" ref="J32:K34" si="8">ROUND((G32-F32)/F32,4)</f>
        <v>-2.8299999999999999E-2</v>
      </c>
      <c r="K32" s="51">
        <f t="shared" si="8"/>
        <v>0.1089</v>
      </c>
      <c r="L32" s="51"/>
      <c r="M32" s="76" t="str">
        <f>+M13</f>
        <v>Winter kWh - First 20,000</v>
      </c>
      <c r="N32" s="57">
        <v>9.1401999999999997E-2</v>
      </c>
      <c r="O32" s="54"/>
      <c r="P32" s="66">
        <v>0.110945</v>
      </c>
      <c r="Q32" s="55">
        <f t="shared" si="6"/>
        <v>0.21381370210717496</v>
      </c>
      <c r="R32" s="54"/>
      <c r="S32" s="66">
        <v>0.115643</v>
      </c>
      <c r="T32" s="55">
        <f t="shared" si="7"/>
        <v>4.2345306232818007E-2</v>
      </c>
    </row>
    <row r="33" spans="1:20" x14ac:dyDescent="0.2">
      <c r="A33" s="35">
        <f t="shared" si="0"/>
        <v>24</v>
      </c>
      <c r="B33" s="23">
        <f>+B32</f>
        <v>200</v>
      </c>
      <c r="C33" s="49">
        <v>300</v>
      </c>
      <c r="D33" s="49">
        <f>ROUND((B$32*C33),0)</f>
        <v>60000</v>
      </c>
      <c r="F33" s="50">
        <f>ROUND(+N$11+IF(D33&gt;20000,20000*N$15+(D33-20000)*N$19,D33*N$15)+IF(B33&gt;50,(B33-50)*N$25,0),0)</f>
        <v>7079</v>
      </c>
      <c r="G33" s="50">
        <f>ROUND(+P$11+IF(D33&gt;20000,20000*P$15+(D33-20000)*P$19,D33*P$15)+IF(B33&gt;50,(B33-50)*P$25,0),0)</f>
        <v>6914</v>
      </c>
      <c r="H33" s="50">
        <f>ROUND(+S$11+IF(D33&gt;20000,20000*S$15+(D33-20000)*S$19,D33*S$15)+IF(B33&gt;50,(B33-50)*S$25,0),0)</f>
        <v>7567</v>
      </c>
      <c r="I33" s="50"/>
      <c r="J33" s="51">
        <f t="shared" si="8"/>
        <v>-2.3300000000000001E-2</v>
      </c>
      <c r="K33" s="51">
        <f t="shared" si="8"/>
        <v>9.4399999999999998E-2</v>
      </c>
      <c r="L33" s="51"/>
      <c r="M33" s="76" t="str">
        <f>+M14</f>
        <v>Summer kWh - First 20,000</v>
      </c>
      <c r="N33" s="57">
        <v>6.3336000000000003E-2</v>
      </c>
      <c r="O33" s="54"/>
      <c r="P33" s="66">
        <v>8.2878999999999994E-2</v>
      </c>
      <c r="Q33" s="55">
        <f t="shared" si="6"/>
        <v>0.30856069218138166</v>
      </c>
      <c r="R33" s="54"/>
      <c r="S33" s="66">
        <v>8.7577000000000002E-2</v>
      </c>
      <c r="T33" s="55">
        <f t="shared" si="7"/>
        <v>5.6685046875565678E-2</v>
      </c>
    </row>
    <row r="34" spans="1:20" x14ac:dyDescent="0.2">
      <c r="A34" s="35">
        <f t="shared" si="0"/>
        <v>25</v>
      </c>
      <c r="B34" s="23">
        <f>+B33</f>
        <v>200</v>
      </c>
      <c r="C34" s="49">
        <v>500</v>
      </c>
      <c r="D34" s="49">
        <f>ROUND((B$32*C34),0)</f>
        <v>100000</v>
      </c>
      <c r="F34" s="50">
        <f>ROUND(+N$11+IF(D34&gt;20000,20000*N$15+(D34-20000)*N$19,D34*N$15)+IF(B34&gt;50,(B34-50)*N$25,0),0)</f>
        <v>10763</v>
      </c>
      <c r="G34" s="50">
        <f>ROUND(+P$11+IF(D34&gt;20000,20000*P$15+(D34-20000)*P$19,D34*P$15)+IF(B34&gt;50,(B34-50)*P$25,0),0)</f>
        <v>10566</v>
      </c>
      <c r="H34" s="50">
        <f>ROUND(+S$11+IF(D34&gt;20000,20000*S$15+(D34-20000)*S$19,D34*S$15)+IF(B34&gt;50,(B34-50)*S$25,0),0)</f>
        <v>11417</v>
      </c>
      <c r="I34" s="50"/>
      <c r="J34" s="51">
        <f t="shared" si="8"/>
        <v>-1.83E-2</v>
      </c>
      <c r="K34" s="51">
        <f t="shared" si="8"/>
        <v>8.0500000000000002E-2</v>
      </c>
      <c r="L34" s="51"/>
      <c r="M34" s="76" t="s">
        <v>228</v>
      </c>
      <c r="N34" s="57">
        <v>6.7845000000000003E-2</v>
      </c>
      <c r="O34" s="54"/>
      <c r="P34" s="66">
        <v>8.8165999999999994E-2</v>
      </c>
      <c r="Q34" s="55">
        <f t="shared" si="6"/>
        <v>0.29952096690986796</v>
      </c>
      <c r="R34" s="54"/>
      <c r="S34" s="66">
        <v>9.2868999999999993E-2</v>
      </c>
      <c r="T34" s="55">
        <f t="shared" si="7"/>
        <v>5.3342558355828767E-2</v>
      </c>
    </row>
    <row r="35" spans="1:20" x14ac:dyDescent="0.2">
      <c r="A35" s="35">
        <f t="shared" si="0"/>
        <v>26</v>
      </c>
      <c r="F35" s="50"/>
      <c r="G35" s="50"/>
      <c r="H35" s="50"/>
      <c r="I35" s="50"/>
      <c r="M35" s="76" t="str">
        <f>+M17</f>
        <v>Winter kWh - Over 20,000</v>
      </c>
      <c r="N35" s="57">
        <v>6.9417000000000006E-2</v>
      </c>
      <c r="O35" s="54"/>
      <c r="P35" s="66">
        <v>8.8959999999999997E-2</v>
      </c>
      <c r="Q35" s="55">
        <f t="shared" si="6"/>
        <v>0.28153046083812305</v>
      </c>
      <c r="R35" s="54"/>
      <c r="S35" s="66">
        <v>9.3658000000000005E-2</v>
      </c>
      <c r="T35" s="55">
        <f t="shared" si="7"/>
        <v>5.281025179856124E-2</v>
      </c>
    </row>
    <row r="36" spans="1:20" x14ac:dyDescent="0.2">
      <c r="A36" s="35">
        <f t="shared" si="0"/>
        <v>27</v>
      </c>
      <c r="B36" s="23">
        <v>300</v>
      </c>
      <c r="C36" s="49">
        <v>200</v>
      </c>
      <c r="D36" s="49">
        <f>ROUND((B$36*C36),0)</f>
        <v>60000</v>
      </c>
      <c r="F36" s="50">
        <f>ROUND(+N$11+IF(D36&gt;20000,20000*N$15+(D36-20000)*N$19,D36*N$15)+IF(B36&gt;50,(B36-50)*N$25,0),0)</f>
        <v>7945</v>
      </c>
      <c r="G36" s="50">
        <f>ROUND(+P$11+IF(D36&gt;20000,20000*P$15+(D36-20000)*P$19,D36*P$15)+IF(B36&gt;50,(B36-50)*P$25,0),0)</f>
        <v>7687</v>
      </c>
      <c r="H36" s="50">
        <f>ROUND(+S$11+IF(D36&gt;20000,20000*S$15+(D36-20000)*S$19,D36*S$15)+IF(B36&gt;50,(B36-50)*S$25,0),0)</f>
        <v>8571</v>
      </c>
      <c r="I36" s="50"/>
      <c r="J36" s="51">
        <f t="shared" ref="J36:K38" si="9">ROUND((G36-F36)/F36,4)</f>
        <v>-3.2500000000000001E-2</v>
      </c>
      <c r="K36" s="51">
        <f t="shared" si="9"/>
        <v>0.115</v>
      </c>
      <c r="L36" s="51"/>
      <c r="M36" s="76" t="str">
        <f>+M18</f>
        <v>Summer kWh - Over 20,000</v>
      </c>
      <c r="N36" s="57">
        <v>5.4267999999999997E-2</v>
      </c>
      <c r="O36" s="54"/>
      <c r="P36" s="66">
        <v>7.3811000000000002E-2</v>
      </c>
      <c r="Q36" s="55">
        <f t="shared" si="6"/>
        <v>0.36012014446819501</v>
      </c>
      <c r="R36" s="54"/>
      <c r="S36" s="66">
        <v>7.8508999999999995E-2</v>
      </c>
      <c r="T36" s="55">
        <f t="shared" si="7"/>
        <v>6.364904959965309E-2</v>
      </c>
    </row>
    <row r="37" spans="1:20" x14ac:dyDescent="0.2">
      <c r="A37" s="35">
        <f t="shared" si="0"/>
        <v>28</v>
      </c>
      <c r="B37" s="23">
        <f>+B36</f>
        <v>300</v>
      </c>
      <c r="C37" s="49">
        <v>300</v>
      </c>
      <c r="D37" s="49">
        <f>ROUND((B$36*C37),0)</f>
        <v>90000</v>
      </c>
      <c r="F37" s="50">
        <f>ROUND(+N$11+IF(D37&gt;20000,20000*N$15+(D37-20000)*N$19,D37*N$15)+IF(B37&gt;50,(B37-50)*N$25,0),0)</f>
        <v>10708</v>
      </c>
      <c r="G37" s="50">
        <f>ROUND(+P$11+IF(D37&gt;20000,20000*P$15+(D37-20000)*P$19,D37*P$15)+IF(B37&gt;50,(B37-50)*P$25,0),0)</f>
        <v>10426</v>
      </c>
      <c r="H37" s="50">
        <f>ROUND(+S$11+IF(D37&gt;20000,20000*S$15+(D37-20000)*S$19,D37*S$15)+IF(B37&gt;50,(B37-50)*S$25,0),0)</f>
        <v>11459</v>
      </c>
      <c r="I37" s="50"/>
      <c r="J37" s="51">
        <f t="shared" si="9"/>
        <v>-2.63E-2</v>
      </c>
      <c r="K37" s="51">
        <f t="shared" si="9"/>
        <v>9.9099999999999994E-2</v>
      </c>
      <c r="L37" s="51"/>
      <c r="M37" s="76" t="s">
        <v>227</v>
      </c>
      <c r="N37" s="57">
        <v>5.6475999999999998E-2</v>
      </c>
      <c r="O37" s="54"/>
      <c r="P37" s="66">
        <v>7.6003000000000001E-2</v>
      </c>
      <c r="Q37" s="55">
        <f t="shared" si="6"/>
        <v>0.34575748990721727</v>
      </c>
      <c r="R37" s="54"/>
      <c r="S37" s="66">
        <v>8.0701999999999996E-2</v>
      </c>
      <c r="T37" s="55">
        <f t="shared" si="7"/>
        <v>6.1826506848413808E-2</v>
      </c>
    </row>
    <row r="38" spans="1:20" x14ac:dyDescent="0.2">
      <c r="A38" s="35">
        <f t="shared" si="0"/>
        <v>29</v>
      </c>
      <c r="B38" s="23">
        <f>+B37</f>
        <v>300</v>
      </c>
      <c r="C38" s="49">
        <v>500</v>
      </c>
      <c r="D38" s="49">
        <f>ROUND((B$36*C38),0)</f>
        <v>150000</v>
      </c>
      <c r="F38" s="50">
        <f>ROUND(+N$11+IF(D38&gt;20000,20000*N$15+(D38-20000)*N$19,D38*N$15)+IF(B38&gt;50,(B38-50)*N$25,0),0)</f>
        <v>16235</v>
      </c>
      <c r="G38" s="50">
        <f>ROUND(+P$11+IF(D38&gt;20000,20000*P$15+(D38-20000)*P$19,D38*P$15)+IF(B38&gt;50,(B38-50)*P$25,0),0)</f>
        <v>15904</v>
      </c>
      <c r="H38" s="50">
        <f>ROUND(+S$11+IF(D38&gt;20000,20000*S$15+(D38-20000)*S$19,D38*S$15)+IF(B38&gt;50,(B38-50)*S$25,0),0)</f>
        <v>17234</v>
      </c>
      <c r="I38" s="50"/>
      <c r="J38" s="51">
        <f t="shared" si="9"/>
        <v>-2.0400000000000001E-2</v>
      </c>
      <c r="K38" s="51">
        <f t="shared" si="9"/>
        <v>8.3599999999999994E-2</v>
      </c>
      <c r="L38" s="51"/>
      <c r="M38" s="76" t="str">
        <f>+M21</f>
        <v>kW - First 50</v>
      </c>
      <c r="N38" s="53">
        <v>0</v>
      </c>
      <c r="O38" s="54"/>
      <c r="P38" s="126">
        <v>0</v>
      </c>
      <c r="Q38" s="55">
        <f>IFERROR((P38-N38)/N38,0)</f>
        <v>0</v>
      </c>
      <c r="R38" s="54"/>
      <c r="S38" s="126">
        <v>0</v>
      </c>
      <c r="T38" s="55">
        <f>IFERROR((S38-P38)/P38,0)</f>
        <v>0</v>
      </c>
    </row>
    <row r="39" spans="1:20" x14ac:dyDescent="0.2">
      <c r="A39" s="35">
        <f t="shared" si="0"/>
        <v>30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M39" s="76" t="str">
        <f>+M23</f>
        <v>Winter kW - Over 50</v>
      </c>
      <c r="N39" s="53">
        <v>9.2200000000000006</v>
      </c>
      <c r="O39" s="54"/>
      <c r="P39" s="126">
        <v>11.99</v>
      </c>
      <c r="Q39" s="55">
        <f>(P39-N39)/N39</f>
        <v>0.30043383947939256</v>
      </c>
      <c r="R39" s="54"/>
      <c r="S39" s="126">
        <v>15.58</v>
      </c>
      <c r="T39" s="55">
        <f>(S39-P39)/P39</f>
        <v>0.29941618015012511</v>
      </c>
    </row>
    <row r="40" spans="1:20" x14ac:dyDescent="0.2">
      <c r="A40" s="35">
        <f t="shared" si="0"/>
        <v>31</v>
      </c>
      <c r="M40" s="76" t="str">
        <f>+M24</f>
        <v>Summer kW - Over 50</v>
      </c>
      <c r="N40" s="53">
        <v>4.54</v>
      </c>
      <c r="O40" s="54"/>
      <c r="P40" s="126">
        <v>5.9</v>
      </c>
      <c r="Q40" s="55">
        <f>(P40-N40)/N40</f>
        <v>0.29955947136563882</v>
      </c>
      <c r="R40" s="54"/>
      <c r="S40" s="126">
        <v>7.67</v>
      </c>
      <c r="T40" s="55">
        <f>(S40-P40)/P40</f>
        <v>0.29999999999999993</v>
      </c>
    </row>
    <row r="41" spans="1:20" x14ac:dyDescent="0.2">
      <c r="A41" s="35">
        <f t="shared" si="0"/>
        <v>32</v>
      </c>
      <c r="M41" s="76" t="str">
        <f>+M25</f>
        <v>Average kW - Over 50</v>
      </c>
      <c r="N41" s="53">
        <v>8.66</v>
      </c>
      <c r="O41" s="54"/>
      <c r="P41" s="126">
        <v>7.73</v>
      </c>
      <c r="Q41" s="55">
        <f>(P41-N41)/N41</f>
        <v>-0.10739030023094685</v>
      </c>
      <c r="R41" s="54"/>
      <c r="S41" s="126">
        <v>10.039999999999999</v>
      </c>
      <c r="T41" s="55">
        <f>(S41-P41)/P41</f>
        <v>0.29883570504527796</v>
      </c>
    </row>
    <row r="42" spans="1:20" x14ac:dyDescent="0.2">
      <c r="A42" s="35">
        <f t="shared" si="0"/>
        <v>33</v>
      </c>
      <c r="M42" s="52" t="str">
        <f>+M27</f>
        <v>kVarh</v>
      </c>
      <c r="N42" s="161">
        <v>2.9299999999999999E-3</v>
      </c>
      <c r="O42" s="54"/>
      <c r="P42" s="162">
        <v>3.81E-3</v>
      </c>
      <c r="Q42" s="55"/>
      <c r="R42" s="54"/>
      <c r="S42" s="162">
        <v>4.9500000000000004E-3</v>
      </c>
      <c r="T42" s="55"/>
    </row>
    <row r="43" spans="1:20" x14ac:dyDescent="0.2">
      <c r="A43" s="35">
        <f t="shared" ref="A43:A74" si="10">A42+1</f>
        <v>34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58"/>
      <c r="N43" s="59"/>
      <c r="P43" s="58"/>
      <c r="Q43" s="59"/>
      <c r="S43" s="58"/>
      <c r="T43" s="59"/>
    </row>
    <row r="44" spans="1:20" x14ac:dyDescent="0.2">
      <c r="A44" s="35">
        <f t="shared" si="10"/>
        <v>35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157" t="str">
        <f>'Exh CTM-8 (Schedule 24 Impacts)'!U23</f>
        <v xml:space="preserve">Schedule 95 Power Cost
</v>
      </c>
      <c r="N44" s="57">
        <v>7.9100000000000004E-3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10"/>
        <v>36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157" t="str">
        <f>'Exh CTM-8 (Schedule 24 Impacts)'!U24</f>
        <v>Schedule 95 PCA Imbalance</v>
      </c>
      <c r="N45" s="57">
        <v>3.6029999999999999E-3</v>
      </c>
      <c r="O45" s="54"/>
      <c r="P45" s="66">
        <v>3.6029999999999999E-3</v>
      </c>
      <c r="Q45" s="55"/>
      <c r="R45" s="54"/>
      <c r="S45" s="66">
        <v>3.6029999999999999E-3</v>
      </c>
      <c r="T45" s="55"/>
    </row>
    <row r="46" spans="1:20" x14ac:dyDescent="0.2">
      <c r="A46" s="35">
        <f t="shared" si="10"/>
        <v>37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157" t="str">
        <f>'Exh CTM-8 (Schedule 24 Impacts)'!U25</f>
        <v>Schedule 95A Federal Incentive Credit</v>
      </c>
      <c r="N46" s="57">
        <v>0</v>
      </c>
      <c r="O46" s="54"/>
      <c r="P46" s="66">
        <v>0</v>
      </c>
      <c r="Q46" s="55"/>
      <c r="R46" s="54"/>
      <c r="S46" s="66">
        <v>0</v>
      </c>
      <c r="T46" s="55"/>
    </row>
    <row r="47" spans="1:20" x14ac:dyDescent="0.2">
      <c r="A47" s="35">
        <f t="shared" si="10"/>
        <v>38</v>
      </c>
      <c r="B47" s="30"/>
      <c r="M47" s="157" t="str">
        <f>'Exh CTM-8 (Schedule 24 Impacts)'!U26</f>
        <v>Schedule 120 Conservation</v>
      </c>
      <c r="N47" s="57">
        <v>4.5300000000000002E-3</v>
      </c>
      <c r="P47" s="66">
        <v>4.5300000000000002E-3</v>
      </c>
      <c r="Q47" s="59"/>
      <c r="S47" s="66">
        <v>4.5300000000000002E-3</v>
      </c>
      <c r="T47" s="59"/>
    </row>
    <row r="48" spans="1:20" x14ac:dyDescent="0.2">
      <c r="A48" s="35">
        <f t="shared" si="10"/>
        <v>39</v>
      </c>
      <c r="M48" s="157" t="str">
        <f>'Exh CTM-8 (Schedule 24 Impacts)'!U27</f>
        <v>Schedule 129 Low Income</v>
      </c>
      <c r="N48" s="57">
        <v>1.1540000000000001E-3</v>
      </c>
      <c r="O48" s="54"/>
      <c r="P48" s="66">
        <v>1.1540000000000001E-3</v>
      </c>
      <c r="Q48" s="55"/>
      <c r="R48" s="54"/>
      <c r="S48" s="66">
        <v>1.1540000000000001E-3</v>
      </c>
      <c r="T48" s="55"/>
    </row>
    <row r="49" spans="1:20" x14ac:dyDescent="0.2">
      <c r="A49" s="35">
        <f t="shared" si="10"/>
        <v>40</v>
      </c>
      <c r="M49" s="157" t="str">
        <f>'Exh CTM-8 (Schedule 24 Impacts)'!U28</f>
        <v>Schedule 129D Bill Discount</v>
      </c>
      <c r="N49" s="57">
        <v>4.9100000000000001E-4</v>
      </c>
      <c r="O49" s="54"/>
      <c r="P49" s="66">
        <v>4.9100000000000001E-4</v>
      </c>
      <c r="Q49" s="55"/>
      <c r="R49" s="54"/>
      <c r="S49" s="66">
        <v>4.9100000000000001E-4</v>
      </c>
      <c r="T49" s="55"/>
    </row>
    <row r="50" spans="1:20" x14ac:dyDescent="0.2">
      <c r="A50" s="35">
        <f t="shared" si="10"/>
        <v>41</v>
      </c>
      <c r="M50" s="157" t="str">
        <f>'Exh CTM-8 (Schedule 24 Impacts)'!U29</f>
        <v>Schedule 137 REC</v>
      </c>
      <c r="N50" s="57">
        <v>6.9999999999999999E-6</v>
      </c>
      <c r="O50" s="54"/>
      <c r="P50" s="66">
        <v>0</v>
      </c>
      <c r="Q50" s="55"/>
      <c r="R50" s="54"/>
      <c r="S50" s="66">
        <v>0</v>
      </c>
      <c r="T50" s="55"/>
    </row>
    <row r="51" spans="1:20" x14ac:dyDescent="0.2">
      <c r="A51" s="35">
        <f t="shared" si="10"/>
        <v>42</v>
      </c>
      <c r="M51" s="157" t="str">
        <f>'Exh CTM-8 (Schedule 24 Impacts)'!U30</f>
        <v>Schedule 140 Property Tax</v>
      </c>
      <c r="N51" s="57">
        <v>1.98E-3</v>
      </c>
      <c r="O51" s="54"/>
      <c r="P51" s="66">
        <v>1.98E-3</v>
      </c>
      <c r="Q51" s="55"/>
      <c r="R51" s="54"/>
      <c r="S51" s="66">
        <v>1.98E-3</v>
      </c>
      <c r="T51" s="55"/>
    </row>
    <row r="52" spans="1:20" x14ac:dyDescent="0.2">
      <c r="A52" s="35">
        <f t="shared" si="10"/>
        <v>43</v>
      </c>
      <c r="M52" s="157" t="str">
        <f>'Exh CTM-8 (Schedule 24 Impacts)'!U31</f>
        <v>Schedule 141 ERF</v>
      </c>
      <c r="N52" s="57">
        <v>0</v>
      </c>
      <c r="O52" s="54"/>
      <c r="P52" s="66">
        <v>0</v>
      </c>
      <c r="Q52" s="55"/>
      <c r="R52" s="54"/>
      <c r="S52" s="66">
        <v>0</v>
      </c>
      <c r="T52" s="55"/>
    </row>
    <row r="53" spans="1:20" x14ac:dyDescent="0.2">
      <c r="A53" s="35">
        <f t="shared" si="10"/>
        <v>44</v>
      </c>
      <c r="M53" s="157" t="str">
        <f>'Exh CTM-8 (Schedule 24 Impacts)'!U32</f>
        <v>Schedule 141A Energy Charge Credit</v>
      </c>
      <c r="N53" s="57">
        <v>1.6720000000000001E-3</v>
      </c>
      <c r="P53" s="66">
        <v>1.6720000000000001E-3</v>
      </c>
      <c r="Q53" s="59"/>
      <c r="S53" s="66">
        <v>1.6720000000000001E-3</v>
      </c>
      <c r="T53" s="59"/>
    </row>
    <row r="54" spans="1:20" x14ac:dyDescent="0.2">
      <c r="A54" s="35">
        <f t="shared" si="10"/>
        <v>45</v>
      </c>
      <c r="M54" s="157" t="str">
        <f>'Exh CTM-8 (Schedule 24 Impacts)'!U33</f>
        <v>Schedule 141CEI Clean Energy Implementation Plan</v>
      </c>
      <c r="N54" s="57">
        <v>8.3199999999999995E-4</v>
      </c>
      <c r="O54" s="54"/>
      <c r="P54" s="66">
        <v>0</v>
      </c>
      <c r="Q54" s="55"/>
      <c r="R54" s="54"/>
      <c r="S54" s="66">
        <v>0</v>
      </c>
      <c r="T54" s="55"/>
    </row>
    <row r="55" spans="1:20" x14ac:dyDescent="0.2">
      <c r="A55" s="35">
        <f t="shared" si="10"/>
        <v>46</v>
      </c>
      <c r="M55" s="157" t="str">
        <f>'Exh CTM-8 (Schedule 24 Impacts)'!U34</f>
        <v>Schedule 141CGR Clean Generation Resources</v>
      </c>
      <c r="N55" s="57">
        <v>0</v>
      </c>
      <c r="O55" s="54"/>
      <c r="P55" s="66">
        <v>1.0093506537375541E-3</v>
      </c>
      <c r="Q55" s="55"/>
      <c r="R55" s="54"/>
      <c r="S55" s="66">
        <v>1.2652290691821495E-3</v>
      </c>
      <c r="T55" s="55"/>
    </row>
    <row r="56" spans="1:20" x14ac:dyDescent="0.2">
      <c r="A56" s="35">
        <f t="shared" si="10"/>
        <v>47</v>
      </c>
      <c r="M56" s="157" t="str">
        <f>'Exh CTM-8 (Schedule 24 Impacts)'!U35</f>
        <v>Schedule 141DCARB Decarbonization</v>
      </c>
      <c r="N56" s="57">
        <v>0</v>
      </c>
      <c r="O56" s="54"/>
      <c r="P56" s="66">
        <v>3.51317007453705E-4</v>
      </c>
      <c r="Q56" s="55"/>
      <c r="R56" s="54"/>
      <c r="S56" s="66">
        <v>3.470854715969747E-4</v>
      </c>
      <c r="T56" s="55"/>
    </row>
    <row r="57" spans="1:20" x14ac:dyDescent="0.2">
      <c r="A57" s="35">
        <f t="shared" si="10"/>
        <v>48</v>
      </c>
      <c r="M57" s="157" t="str">
        <f>'Exh CTM-8 (Schedule 24 Impacts)'!U36</f>
        <v>Schedule 141COL Colstrip Adjustment</v>
      </c>
      <c r="N57" s="57">
        <v>5.0799999999999999E-4</v>
      </c>
      <c r="P57" s="66">
        <v>5.0799999999999999E-4</v>
      </c>
      <c r="Q57" s="59"/>
      <c r="S57" s="66">
        <v>5.0799999999999999E-4</v>
      </c>
      <c r="T57" s="59"/>
    </row>
    <row r="58" spans="1:20" x14ac:dyDescent="0.2">
      <c r="A58" s="35">
        <f t="shared" si="10"/>
        <v>49</v>
      </c>
      <c r="M58" s="157" t="str">
        <f>'Exh CTM-8 (Schedule 24 Impacts)'!U37</f>
        <v>Schedule 141N Rates Not Subject to Refund</v>
      </c>
      <c r="N58" s="57">
        <v>6.6400000000000001E-3</v>
      </c>
      <c r="O58" s="54"/>
      <c r="P58" s="66">
        <v>0</v>
      </c>
      <c r="Q58" s="55"/>
      <c r="R58" s="54"/>
      <c r="S58" s="66">
        <v>0</v>
      </c>
      <c r="T58" s="55"/>
    </row>
    <row r="59" spans="1:20" x14ac:dyDescent="0.2">
      <c r="A59" s="35">
        <f t="shared" si="10"/>
        <v>50</v>
      </c>
      <c r="M59" s="157" t="str">
        <f>'Exh CTM-8 (Schedule 24 Impacts)'!U38</f>
        <v>Schedule 141R Rates Subject to Refund</v>
      </c>
      <c r="N59" s="57">
        <v>6.3109999999999998E-3</v>
      </c>
      <c r="O59" s="54"/>
      <c r="P59" s="66">
        <v>0</v>
      </c>
      <c r="Q59" s="55"/>
      <c r="R59" s="54"/>
      <c r="S59" s="66">
        <v>0</v>
      </c>
      <c r="T59" s="55"/>
    </row>
    <row r="60" spans="1:20" x14ac:dyDescent="0.2">
      <c r="A60" s="35">
        <f t="shared" si="10"/>
        <v>51</v>
      </c>
      <c r="M60" s="157" t="str">
        <f>'Exh CTM-8 (Schedule 24 Impacts)'!U39</f>
        <v>Schedule 141 TEP</v>
      </c>
      <c r="N60" s="57">
        <v>3.6999999999999999E-4</v>
      </c>
      <c r="O60" s="54"/>
      <c r="P60" s="66">
        <v>3.6999999999999999E-4</v>
      </c>
      <c r="Q60" s="55"/>
      <c r="R60" s="54"/>
      <c r="S60" s="66">
        <v>3.6999999999999999E-4</v>
      </c>
      <c r="T60" s="55"/>
    </row>
    <row r="61" spans="1:20" x14ac:dyDescent="0.2">
      <c r="A61" s="35">
        <f t="shared" si="10"/>
        <v>52</v>
      </c>
      <c r="M61" s="157" t="str">
        <f>'Exh CTM-8 (Schedule 24 Impacts)'!U40</f>
        <v>Schedule 141WFP Wildfire Prevention Cost Recovery</v>
      </c>
      <c r="N61" s="57">
        <v>0</v>
      </c>
      <c r="P61" s="66">
        <v>1.182777133891747E-5</v>
      </c>
      <c r="Q61" s="59"/>
      <c r="S61" s="66">
        <v>1.4853998811867671E-5</v>
      </c>
      <c r="T61" s="59"/>
    </row>
    <row r="62" spans="1:20" x14ac:dyDescent="0.2">
      <c r="A62" s="35">
        <f t="shared" si="10"/>
        <v>53</v>
      </c>
      <c r="M62" s="157" t="str">
        <f>'Exh CTM-8 (Schedule 24 Impacts)'!U41</f>
        <v>Schedule 141X (Protected) EDIT</v>
      </c>
      <c r="N62" s="57">
        <v>0</v>
      </c>
      <c r="O62" s="60"/>
      <c r="P62" s="66">
        <v>0</v>
      </c>
      <c r="Q62" s="61"/>
      <c r="R62" s="60"/>
      <c r="S62" s="66">
        <v>0</v>
      </c>
      <c r="T62" s="61"/>
    </row>
    <row r="63" spans="1:20" x14ac:dyDescent="0.2">
      <c r="A63" s="35">
        <f t="shared" si="10"/>
        <v>54</v>
      </c>
      <c r="M63" s="157" t="str">
        <f>'Exh CTM-8 (Schedule 24 Impacts)'!U42</f>
        <v>Schedule 141Z (Unprotected) EDIT</v>
      </c>
      <c r="N63" s="57">
        <v>0</v>
      </c>
      <c r="O63" s="60"/>
      <c r="P63" s="66">
        <v>0</v>
      </c>
      <c r="Q63" s="61"/>
      <c r="R63" s="60"/>
      <c r="S63" s="66">
        <v>0</v>
      </c>
      <c r="T63" s="61"/>
    </row>
    <row r="64" spans="1:20" x14ac:dyDescent="0.2">
      <c r="A64" s="35">
        <f t="shared" si="10"/>
        <v>55</v>
      </c>
      <c r="M64" s="157" t="str">
        <f>'Exh CTM-8 (Schedule 24 Impacts)'!U43</f>
        <v>Schedule 142  Deocupling Deferral</v>
      </c>
      <c r="N64" s="57">
        <v>3.1609999999999997E-3</v>
      </c>
      <c r="O64" s="60"/>
      <c r="P64" s="66">
        <v>3.1609999999999997E-3</v>
      </c>
      <c r="Q64" s="61"/>
      <c r="R64" s="60"/>
      <c r="S64" s="66">
        <v>3.1609999999999997E-3</v>
      </c>
      <c r="T64" s="61"/>
    </row>
    <row r="65" spans="1:20" x14ac:dyDescent="0.2">
      <c r="A65" s="35">
        <f t="shared" si="10"/>
        <v>56</v>
      </c>
      <c r="M65" s="157" t="str">
        <f>'Exh CTM-8 (Schedule 24 Impacts)'!U44</f>
        <v>Schedule 142 Deocupling Supplemental</v>
      </c>
      <c r="N65" s="57">
        <v>0</v>
      </c>
      <c r="O65" s="60"/>
      <c r="P65" s="66">
        <v>0</v>
      </c>
      <c r="Q65" s="61"/>
      <c r="R65" s="60"/>
      <c r="S65" s="66">
        <v>0</v>
      </c>
      <c r="T65" s="61"/>
    </row>
    <row r="66" spans="1:20" x14ac:dyDescent="0.2">
      <c r="A66" s="35">
        <f t="shared" si="10"/>
        <v>57</v>
      </c>
      <c r="B66" s="158"/>
      <c r="M66" s="157" t="str">
        <f>'Exh CTM-8 (Schedule 24 Impacts)'!U45</f>
        <v>Schedule 194 BPA Res &amp; Farm Credit</v>
      </c>
      <c r="N66" s="57">
        <v>-7.5339999999999999E-3</v>
      </c>
      <c r="P66" s="66">
        <v>-7.5339999999999999E-3</v>
      </c>
      <c r="Q66" s="59"/>
      <c r="S66" s="66">
        <v>-7.5339999999999999E-3</v>
      </c>
      <c r="T66" s="61"/>
    </row>
    <row r="67" spans="1:20" ht="12" thickBot="1" x14ac:dyDescent="0.25">
      <c r="A67" s="35">
        <f t="shared" si="10"/>
        <v>58</v>
      </c>
      <c r="M67" s="62" t="s">
        <v>195</v>
      </c>
      <c r="N67" s="63">
        <f>SUM(N44:N66)+N32</f>
        <v>0.12303699999999999</v>
      </c>
      <c r="P67" s="64">
        <f>SUM(P44:P66)+P32</f>
        <v>0.12225249543253018</v>
      </c>
      <c r="Q67" s="61"/>
      <c r="S67" s="64">
        <f>SUM(S44:S66)+S32</f>
        <v>0.12720516853959099</v>
      </c>
      <c r="T67" s="61"/>
    </row>
    <row r="68" spans="1:20" ht="12.75" thickTop="1" thickBot="1" x14ac:dyDescent="0.25">
      <c r="A68" s="35">
        <f t="shared" si="10"/>
        <v>59</v>
      </c>
      <c r="M68" s="62" t="s">
        <v>194</v>
      </c>
      <c r="N68" s="63">
        <f>SUM(N44:N66)+N33</f>
        <v>9.4971E-2</v>
      </c>
      <c r="P68" s="64">
        <f>SUM(P44:P66)+P33</f>
        <v>9.4186495432530173E-2</v>
      </c>
      <c r="Q68" s="61"/>
      <c r="S68" s="64">
        <f>SUM(S44:S66)+S33</f>
        <v>9.9139168539590997E-2</v>
      </c>
      <c r="T68" s="61"/>
    </row>
    <row r="69" spans="1:20" ht="12.75" thickTop="1" thickBot="1" x14ac:dyDescent="0.25">
      <c r="A69" s="35">
        <f t="shared" si="10"/>
        <v>60</v>
      </c>
      <c r="M69" s="62" t="s">
        <v>226</v>
      </c>
      <c r="N69" s="63">
        <f>SUM(N44:N66)+N35</f>
        <v>0.101052</v>
      </c>
      <c r="P69" s="64">
        <f>SUM(P44:P66)+P35</f>
        <v>0.10026749543253018</v>
      </c>
      <c r="Q69" s="61"/>
      <c r="S69" s="64">
        <f>SUM(S44:S66)+S35</f>
        <v>0.105220168539591</v>
      </c>
      <c r="T69" s="61"/>
    </row>
    <row r="70" spans="1:20" ht="12.75" thickTop="1" thickBot="1" x14ac:dyDescent="0.25">
      <c r="A70" s="35">
        <f t="shared" si="10"/>
        <v>61</v>
      </c>
      <c r="M70" s="62" t="s">
        <v>225</v>
      </c>
      <c r="N70" s="63">
        <f>SUM(N44:N66)+N36</f>
        <v>8.5902999999999993E-2</v>
      </c>
      <c r="P70" s="64">
        <f>SUM(P44:P66)+P36</f>
        <v>8.5118495432530181E-2</v>
      </c>
      <c r="Q70" s="61"/>
      <c r="S70" s="64">
        <f>SUM(S44:S66)+S36</f>
        <v>9.007116853959099E-2</v>
      </c>
      <c r="T70" s="61"/>
    </row>
    <row r="71" spans="1:20" ht="12" thickTop="1" x14ac:dyDescent="0.2">
      <c r="A71" s="35">
        <f t="shared" si="10"/>
        <v>62</v>
      </c>
      <c r="M71" s="62"/>
      <c r="N71" s="65"/>
      <c r="P71" s="66"/>
      <c r="Q71" s="57"/>
      <c r="S71" s="66"/>
      <c r="T71" s="57"/>
    </row>
    <row r="72" spans="1:20" x14ac:dyDescent="0.2">
      <c r="A72" s="35">
        <f t="shared" si="10"/>
        <v>63</v>
      </c>
      <c r="M72" s="67" t="s">
        <v>105</v>
      </c>
      <c r="N72" s="68"/>
      <c r="P72" s="58"/>
      <c r="Q72" s="160">
        <f>'Exh CTM-8 (Rate Impacts_RY#1)'!$H$14</f>
        <v>0.20415249865271912</v>
      </c>
      <c r="S72" s="58"/>
      <c r="T72" s="160">
        <f>'Exh CTM-8 (Rate Impacts_RY#2)'!$I$14</f>
        <v>8.1049638754509101E-2</v>
      </c>
    </row>
    <row r="73" spans="1:20" x14ac:dyDescent="0.2">
      <c r="A73" s="35">
        <f t="shared" si="10"/>
        <v>64</v>
      </c>
      <c r="M73" s="67" t="s">
        <v>104</v>
      </c>
      <c r="N73" s="68"/>
      <c r="P73" s="58"/>
      <c r="Q73" s="160">
        <f>'Exh CTM-8 (Rate Impacts_RY#1)'!$AI$14</f>
        <v>5.4839590770532812E-2</v>
      </c>
      <c r="S73" s="58"/>
      <c r="T73" s="160">
        <f>'Exh CTM-8 (Rate Impacts_RY#2)'!$V$14</f>
        <v>9.0246143368386475E-2</v>
      </c>
    </row>
    <row r="74" spans="1:20" ht="12" thickBot="1" x14ac:dyDescent="0.25">
      <c r="A74" s="35">
        <f t="shared" si="10"/>
        <v>65</v>
      </c>
      <c r="M74" s="70" t="s">
        <v>169</v>
      </c>
      <c r="N74" s="69"/>
      <c r="P74" s="70"/>
      <c r="Q74" s="69"/>
      <c r="S74" s="70"/>
      <c r="T74" s="69"/>
    </row>
  </sheetData>
  <mergeCells count="9">
    <mergeCell ref="A1:S1"/>
    <mergeCell ref="A2:S2"/>
    <mergeCell ref="A3:S3"/>
    <mergeCell ref="A4:S4"/>
    <mergeCell ref="F7:H7"/>
    <mergeCell ref="J7:K7"/>
    <mergeCell ref="P6:Q6"/>
    <mergeCell ref="S6:T6"/>
    <mergeCell ref="F6:H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6CA4-66F8-402F-BD32-F12850EB3F78}">
  <sheetPr>
    <pageSetUpPr fitToPage="1"/>
  </sheetPr>
  <dimension ref="A1:T57"/>
  <sheetViews>
    <sheetView zoomScaleNormal="100" zoomScaleSheetLayoutView="100" workbookViewId="0">
      <pane ySplit="9" topLeftCell="A23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42578125" style="23" customWidth="1"/>
    <col min="3" max="3" width="11.42578125" style="23" bestFit="1" customWidth="1"/>
    <col min="4" max="4" width="7.140625" style="23" bestFit="1" customWidth="1"/>
    <col min="5" max="5" width="1" style="23" customWidth="1"/>
    <col min="6" max="6" width="11.7109375" style="23" bestFit="1" customWidth="1"/>
    <col min="7" max="7" width="10.42578125" style="23" bestFit="1" customWidth="1"/>
    <col min="8" max="8" width="13.28515625" style="23" bestFit="1" customWidth="1"/>
    <col min="9" max="9" width="1" style="23" customWidth="1"/>
    <col min="10" max="10" width="10" style="23" bestFit="1" customWidth="1"/>
    <col min="11" max="11" width="10" style="23" customWidth="1"/>
    <col min="12" max="12" width="0.710937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31"/>
      <c r="T1" s="31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31"/>
      <c r="T2" s="31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31"/>
      <c r="T3" s="31"/>
    </row>
    <row r="4" spans="1:20" ht="12.75" x14ac:dyDescent="0.2">
      <c r="A4" s="207" t="s">
        <v>243</v>
      </c>
      <c r="B4" s="213" t="s">
        <v>242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31"/>
      <c r="T4" s="31"/>
    </row>
    <row r="5" spans="1:20" ht="12" thickBot="1" x14ac:dyDescent="0.25">
      <c r="B5" s="24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18"/>
      <c r="F6" s="227"/>
      <c r="G6" s="228"/>
      <c r="H6" s="22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18"/>
      <c r="M7" s="156"/>
      <c r="N7" s="37"/>
      <c r="P7" s="38"/>
      <c r="Q7" s="37"/>
      <c r="S7" s="38"/>
      <c r="T7" s="37"/>
    </row>
    <row r="8" spans="1:20" ht="4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241</v>
      </c>
      <c r="G8" s="117" t="s">
        <v>240</v>
      </c>
      <c r="H8" s="117" t="s">
        <v>239</v>
      </c>
      <c r="I8" s="34"/>
      <c r="J8" s="117" t="s">
        <v>184</v>
      </c>
      <c r="K8" s="117" t="s">
        <v>183</v>
      </c>
      <c r="L8" s="18"/>
      <c r="M8" s="46"/>
      <c r="N8" s="7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1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23">
        <v>350</v>
      </c>
      <c r="C10" s="23">
        <v>300</v>
      </c>
      <c r="D10" s="49">
        <f>ROUND((B$10*C10),0)</f>
        <v>105000</v>
      </c>
      <c r="F10" s="50">
        <f>+N$10+$B10*N$16+$D10*N$12</f>
        <v>11754.353950000001</v>
      </c>
      <c r="G10" s="50">
        <f>+P$10+$B10*P$16+$D10*P$12</f>
        <v>13708.832813329836</v>
      </c>
      <c r="H10" s="50">
        <f>+S$10+$B10*S$16+$D10*S$12</f>
        <v>15255.660741757245</v>
      </c>
      <c r="J10" s="75">
        <f t="shared" ref="J10:K12" si="0">ROUND((+G10-F10)/F10,3)</f>
        <v>0.16600000000000001</v>
      </c>
      <c r="K10" s="75">
        <f t="shared" si="0"/>
        <v>0.113</v>
      </c>
      <c r="L10" s="75"/>
      <c r="M10" s="52" t="s">
        <v>175</v>
      </c>
      <c r="N10" s="53">
        <f>SUM(N21)</f>
        <v>358.11</v>
      </c>
      <c r="O10" s="54"/>
      <c r="P10" s="6">
        <f>SUM(P21)</f>
        <v>465.54</v>
      </c>
      <c r="Q10" s="55">
        <f>(P10-N10)/N10</f>
        <v>0.29999162268576696</v>
      </c>
      <c r="R10" s="54"/>
      <c r="S10" s="6">
        <f>SUM(S21)</f>
        <v>605.21</v>
      </c>
      <c r="T10" s="55">
        <f>(S10-P10)/P10</f>
        <v>0.30001718434506169</v>
      </c>
    </row>
    <row r="11" spans="1:20" x14ac:dyDescent="0.2">
      <c r="A11" s="35">
        <f t="shared" ref="A11:A57" si="1">A10+1</f>
        <v>2</v>
      </c>
      <c r="B11" s="23">
        <f>+B10</f>
        <v>350</v>
      </c>
      <c r="C11" s="23">
        <v>500</v>
      </c>
      <c r="D11" s="49">
        <f>ROUND((B$10*C11),0)</f>
        <v>175000</v>
      </c>
      <c r="F11" s="50">
        <f>+N$10+$B11*N$16+$D11*N$12</f>
        <v>17033.893950000001</v>
      </c>
      <c r="G11" s="50">
        <f>+P$10+$B11*P$16+$D11*P$12</f>
        <v>19532.356511926504</v>
      </c>
      <c r="H11" s="50">
        <f>+S$10+$B11*S$16+$D11*S$12</f>
        <v>21116.623017132515</v>
      </c>
      <c r="J11" s="75">
        <f t="shared" si="0"/>
        <v>0.14699999999999999</v>
      </c>
      <c r="K11" s="75">
        <f t="shared" si="0"/>
        <v>8.1000000000000003E-2</v>
      </c>
      <c r="L11" s="75"/>
      <c r="M11" s="52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23">
        <f>+B11</f>
        <v>350</v>
      </c>
      <c r="C12" s="23">
        <v>700</v>
      </c>
      <c r="D12" s="49">
        <f>ROUND((B$10*C12),0)</f>
        <v>245000</v>
      </c>
      <c r="F12" s="50">
        <f>+N$10+$B12*N$16+$D12*N$12</f>
        <v>22313.433949999999</v>
      </c>
      <c r="G12" s="50">
        <f>+P$10+$B12*P$16+$D12*P$12</f>
        <v>25355.880210523166</v>
      </c>
      <c r="H12" s="50">
        <f>+S$10+$B12*S$16+$D12*S$12</f>
        <v>26977.585292507785</v>
      </c>
      <c r="J12" s="75">
        <f t="shared" si="0"/>
        <v>0.13600000000000001</v>
      </c>
      <c r="K12" s="75">
        <f t="shared" si="0"/>
        <v>6.4000000000000001E-2</v>
      </c>
      <c r="L12" s="75"/>
      <c r="M12" s="56" t="s">
        <v>219</v>
      </c>
      <c r="N12" s="53">
        <f>SUM(N22,N28:N41,N43)</f>
        <v>7.5422000000000003E-2</v>
      </c>
      <c r="O12" s="54"/>
      <c r="P12" s="6">
        <f>SUM(P22,P28:P41,P43)</f>
        <v>8.3193195694238067E-2</v>
      </c>
      <c r="Q12" s="55">
        <f>(P12-N12)/N12</f>
        <v>0.10303619228127157</v>
      </c>
      <c r="R12" s="54"/>
      <c r="S12" s="6">
        <f>SUM(S22,S28:S41,S43)</f>
        <v>8.3728032505360983E-2</v>
      </c>
      <c r="T12" s="55">
        <f>(S12-P12)/P12</f>
        <v>6.4288528245580821E-3</v>
      </c>
    </row>
    <row r="13" spans="1:20" x14ac:dyDescent="0.2">
      <c r="A13" s="35">
        <f t="shared" si="1"/>
        <v>4</v>
      </c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23">
        <f>+B12+50</f>
        <v>400</v>
      </c>
      <c r="C14" s="23">
        <v>300</v>
      </c>
      <c r="D14" s="49">
        <f>ROUND((B$14*C14),0)</f>
        <v>120000</v>
      </c>
      <c r="F14" s="50">
        <f>+N$10+$B14*N$16+$D14*N$12</f>
        <v>13382.388800000001</v>
      </c>
      <c r="G14" s="50">
        <f>+P$10+$B14*P$16+$D14*P$12</f>
        <v>15600.731786662673</v>
      </c>
      <c r="H14" s="50">
        <f>+S$10+$B14*S$16+$D14*S$12</f>
        <v>17348.582276293993</v>
      </c>
      <c r="J14" s="75">
        <f t="shared" ref="J14:K16" si="2">ROUND((+G14-F14)/F14,3)</f>
        <v>0.16600000000000001</v>
      </c>
      <c r="K14" s="75">
        <f t="shared" si="2"/>
        <v>0.112</v>
      </c>
      <c r="L14" s="75"/>
      <c r="M14" s="56" t="s">
        <v>218</v>
      </c>
      <c r="N14" s="57">
        <f>SUM(N23,N42,N44)</f>
        <v>11.944096999999999</v>
      </c>
      <c r="O14" s="54"/>
      <c r="P14" s="3">
        <f>SUM(P23,P42,P44)</f>
        <v>15.520020758385256</v>
      </c>
      <c r="Q14" s="55">
        <f>(P14-N14)/N14</f>
        <v>0.29938837221309039</v>
      </c>
      <c r="R14" s="54"/>
      <c r="S14" s="3">
        <f>SUM(S23,S42,S44)</f>
        <v>20.180020939126692</v>
      </c>
      <c r="T14" s="55">
        <f>(S14-P14)/P14</f>
        <v>0.30025734200282572</v>
      </c>
    </row>
    <row r="15" spans="1:20" x14ac:dyDescent="0.2">
      <c r="A15" s="35">
        <f t="shared" si="1"/>
        <v>6</v>
      </c>
      <c r="B15" s="23">
        <f>+B14</f>
        <v>400</v>
      </c>
      <c r="C15" s="23">
        <v>500</v>
      </c>
      <c r="D15" s="49">
        <f>ROUND((B$14*C15),0)</f>
        <v>200000</v>
      </c>
      <c r="F15" s="50">
        <f>+N$10+$B15*N$16+$D15*N$12</f>
        <v>19416.148800000003</v>
      </c>
      <c r="G15" s="50">
        <f>+P$10+$B15*P$16+$D15*P$12</f>
        <v>22256.187442201717</v>
      </c>
      <c r="H15" s="50">
        <f>+S$10+$B15*S$16+$D15*S$12</f>
        <v>24046.824876722872</v>
      </c>
      <c r="J15" s="75">
        <f t="shared" si="2"/>
        <v>0.14599999999999999</v>
      </c>
      <c r="K15" s="75">
        <f t="shared" si="2"/>
        <v>0.08</v>
      </c>
      <c r="L15" s="75"/>
      <c r="M15" s="56" t="s">
        <v>217</v>
      </c>
      <c r="N15" s="57">
        <f>SUM(N24,N42,N44)</f>
        <v>7.9640969999999998</v>
      </c>
      <c r="O15" s="54"/>
      <c r="P15" s="3">
        <f>SUM(P24,P42,P44)</f>
        <v>10.350020758385256</v>
      </c>
      <c r="Q15" s="55">
        <f>(P15-N15)/N15</f>
        <v>0.29958496969402254</v>
      </c>
      <c r="R15" s="54"/>
      <c r="S15" s="3">
        <f>SUM(S24,S42,S44)</f>
        <v>13.450020939126691</v>
      </c>
      <c r="T15" s="55">
        <f>(S15-P15)/P15</f>
        <v>0.29951632495325331</v>
      </c>
    </row>
    <row r="16" spans="1:20" x14ac:dyDescent="0.2">
      <c r="A16" s="35">
        <f t="shared" si="1"/>
        <v>7</v>
      </c>
      <c r="B16" s="23">
        <f>+B15</f>
        <v>400</v>
      </c>
      <c r="C16" s="23">
        <v>700</v>
      </c>
      <c r="D16" s="49">
        <f>ROUND((B$14*C16),0)</f>
        <v>280000</v>
      </c>
      <c r="F16" s="50">
        <f>+N$10+$B16*N$16+$D16*N$12</f>
        <v>25449.908799999997</v>
      </c>
      <c r="G16" s="50">
        <f>+P$10+$B16*P$16+$D16*P$12</f>
        <v>28911.643097740762</v>
      </c>
      <c r="H16" s="50">
        <f>+S$10+$B16*S$16+$D16*S$12</f>
        <v>30745.067477151752</v>
      </c>
      <c r="J16" s="75">
        <f t="shared" si="2"/>
        <v>0.13600000000000001</v>
      </c>
      <c r="K16" s="75">
        <f t="shared" si="2"/>
        <v>6.3E-2</v>
      </c>
      <c r="L16" s="75"/>
      <c r="M16" s="56" t="s">
        <v>216</v>
      </c>
      <c r="N16" s="57">
        <f>SUM(N25,N42,N44)</f>
        <v>9.9340969999999995</v>
      </c>
      <c r="O16" s="54"/>
      <c r="P16" s="3">
        <f>SUM(P25,P42,P44)</f>
        <v>12.880020758385257</v>
      </c>
      <c r="Q16" s="55">
        <f>(P16-N16)/N16</f>
        <v>0.29654670760565932</v>
      </c>
      <c r="R16" s="54"/>
      <c r="S16" s="3">
        <f>SUM(S25,S42,S44)</f>
        <v>16.740020939126691</v>
      </c>
      <c r="T16" s="55">
        <f>(S16-P16)/P16</f>
        <v>0.29968897202502293</v>
      </c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2"/>
      <c r="N17" s="57"/>
      <c r="O17" s="54"/>
      <c r="P17" s="3"/>
      <c r="Q17" s="55"/>
      <c r="R17" s="54"/>
      <c r="S17" s="3"/>
      <c r="T17" s="55"/>
    </row>
    <row r="18" spans="1:20" x14ac:dyDescent="0.2">
      <c r="A18" s="35">
        <f t="shared" si="1"/>
        <v>9</v>
      </c>
      <c r="B18" s="23">
        <f>+B16+100</f>
        <v>500</v>
      </c>
      <c r="C18" s="23">
        <v>300</v>
      </c>
      <c r="D18" s="49">
        <f>ROUND((B$18*C18),0)</f>
        <v>150000</v>
      </c>
      <c r="F18" s="50">
        <f>+N$10+$B18*N$16+$D18*N$12</f>
        <v>16638.458500000001</v>
      </c>
      <c r="G18" s="50">
        <f>+P$10+$B18*P$16+$D18*P$12</f>
        <v>19384.529733328338</v>
      </c>
      <c r="H18" s="50">
        <f>+S$10+$B18*S$16+$D18*S$12</f>
        <v>21534.42534536749</v>
      </c>
      <c r="J18" s="75">
        <f t="shared" ref="J18:K20" si="3">ROUND((+G18-F18)/F18,3)</f>
        <v>0.16500000000000001</v>
      </c>
      <c r="K18" s="75">
        <f t="shared" si="3"/>
        <v>0.111</v>
      </c>
      <c r="L18" s="75"/>
      <c r="M18" s="52" t="s">
        <v>197</v>
      </c>
      <c r="N18" s="57">
        <f>SUM(N26)</f>
        <v>1.1199999999999999E-3</v>
      </c>
      <c r="O18" s="54"/>
      <c r="P18" s="3">
        <f>SUM(P26)</f>
        <v>1.4599999999999999E-3</v>
      </c>
      <c r="Q18" s="55">
        <f>(P18-N18)/N18</f>
        <v>0.3035714285714286</v>
      </c>
      <c r="R18" s="54"/>
      <c r="S18" s="3">
        <f>SUM(S26)</f>
        <v>1.89E-3</v>
      </c>
      <c r="T18" s="55">
        <f>(S18-P18)/P18</f>
        <v>0.29452054794520555</v>
      </c>
    </row>
    <row r="19" spans="1:20" x14ac:dyDescent="0.2">
      <c r="A19" s="35">
        <f t="shared" si="1"/>
        <v>10</v>
      </c>
      <c r="B19" s="23">
        <f>+B18</f>
        <v>500</v>
      </c>
      <c r="C19" s="23">
        <v>500</v>
      </c>
      <c r="D19" s="49">
        <f>ROUND((B$18*C19),0)</f>
        <v>250000</v>
      </c>
      <c r="F19" s="50">
        <f>+N$10+$B19*N$16+$D19*N$12</f>
        <v>24180.658499999998</v>
      </c>
      <c r="G19" s="50">
        <f>+P$10+$B19*P$16+$D19*P$12</f>
        <v>27703.849302752144</v>
      </c>
      <c r="H19" s="50">
        <f>+S$10+$B19*S$16+$D19*S$12</f>
        <v>29907.228595903591</v>
      </c>
      <c r="J19" s="75">
        <f t="shared" si="3"/>
        <v>0.14599999999999999</v>
      </c>
      <c r="K19" s="75">
        <f t="shared" si="3"/>
        <v>0.08</v>
      </c>
      <c r="L19" s="75"/>
      <c r="M19" s="52" t="s">
        <v>112</v>
      </c>
      <c r="N19" s="57"/>
      <c r="O19" s="54"/>
      <c r="P19" s="3"/>
      <c r="Q19" s="55"/>
      <c r="R19" s="54"/>
      <c r="S19" s="3"/>
      <c r="T19" s="55"/>
    </row>
    <row r="20" spans="1:20" x14ac:dyDescent="0.2">
      <c r="A20" s="35">
        <f t="shared" si="1"/>
        <v>11</v>
      </c>
      <c r="B20" s="23">
        <f>+B19</f>
        <v>500</v>
      </c>
      <c r="C20" s="23">
        <v>700</v>
      </c>
      <c r="D20" s="49">
        <f>ROUND((B$18*C20),0)</f>
        <v>350000</v>
      </c>
      <c r="F20" s="50">
        <f>+N$10+$B20*N$16+$D20*N$12</f>
        <v>31722.858500000002</v>
      </c>
      <c r="G20" s="50">
        <f>+P$10+$B20*P$16+$D20*P$12</f>
        <v>36023.168872175956</v>
      </c>
      <c r="H20" s="50">
        <f>+S$10+$B20*S$16+$D20*S$12</f>
        <v>38280.031846439684</v>
      </c>
      <c r="J20" s="75">
        <f t="shared" si="3"/>
        <v>0.13600000000000001</v>
      </c>
      <c r="K20" s="75">
        <f t="shared" si="3"/>
        <v>6.3E-2</v>
      </c>
      <c r="L20" s="75"/>
      <c r="M20" s="52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52" t="str">
        <f>+M10</f>
        <v>Basic Charge</v>
      </c>
      <c r="N21" s="53">
        <v>358.11</v>
      </c>
      <c r="O21" s="54"/>
      <c r="P21" s="126">
        <v>465.54</v>
      </c>
      <c r="Q21" s="55">
        <f t="shared" ref="Q21:Q26" si="4">(P21-N21)/N21</f>
        <v>0.29999162268576696</v>
      </c>
      <c r="R21" s="54"/>
      <c r="S21" s="126">
        <v>605.21</v>
      </c>
      <c r="T21" s="55">
        <f t="shared" ref="T21:T26" si="5">(S21-P21)/P21</f>
        <v>0.30001718434506169</v>
      </c>
    </row>
    <row r="22" spans="1:20" x14ac:dyDescent="0.2">
      <c r="A22" s="35">
        <f t="shared" si="1"/>
        <v>13</v>
      </c>
      <c r="B22" s="23">
        <f>+B20+100</f>
        <v>600</v>
      </c>
      <c r="C22" s="23">
        <v>300</v>
      </c>
      <c r="D22" s="49">
        <f>ROUND((B$22*C22),0)</f>
        <v>180000</v>
      </c>
      <c r="F22" s="50">
        <f>+N$10+$B22*N$16+$D22*N$12</f>
        <v>19894.528200000001</v>
      </c>
      <c r="G22" s="50">
        <f>+P$10+$B22*P$16+$D22*P$12</f>
        <v>23168.327679994007</v>
      </c>
      <c r="H22" s="50">
        <f>+S$10+$B22*S$16+$D22*S$12</f>
        <v>25720.26841444099</v>
      </c>
      <c r="J22" s="75">
        <f t="shared" ref="J22:K24" si="6">ROUND((+G22-F22)/F22,3)</f>
        <v>0.16500000000000001</v>
      </c>
      <c r="K22" s="75">
        <f t="shared" si="6"/>
        <v>0.11</v>
      </c>
      <c r="L22" s="75"/>
      <c r="M22" s="52" t="str">
        <f>+M12</f>
        <v>kWh - All</v>
      </c>
      <c r="N22" s="57">
        <v>5.5718999999999998E-2</v>
      </c>
      <c r="O22" s="54"/>
      <c r="P22" s="66">
        <v>7.0125999999999994E-2</v>
      </c>
      <c r="Q22" s="55">
        <f t="shared" si="4"/>
        <v>0.25856530088479684</v>
      </c>
      <c r="R22" s="54"/>
      <c r="S22" s="66">
        <v>7.0437E-2</v>
      </c>
      <c r="T22" s="55">
        <f t="shared" si="5"/>
        <v>4.4348743689930376E-3</v>
      </c>
    </row>
    <row r="23" spans="1:20" x14ac:dyDescent="0.2">
      <c r="A23" s="35">
        <f t="shared" si="1"/>
        <v>14</v>
      </c>
      <c r="B23" s="23">
        <f>+B22</f>
        <v>600</v>
      </c>
      <c r="C23" s="23">
        <v>500</v>
      </c>
      <c r="D23" s="49">
        <f>ROUND((B$22*C23),0)</f>
        <v>300000</v>
      </c>
      <c r="F23" s="50">
        <f>+N$10+$B23*N$16+$D23*N$12</f>
        <v>28945.1682</v>
      </c>
      <c r="G23" s="50">
        <f>+P$10+$B23*P$16+$D23*P$12</f>
        <v>33151.511163302574</v>
      </c>
      <c r="H23" s="50">
        <f>+S$10+$B23*S$16+$D23*S$12</f>
        <v>35767.632315084309</v>
      </c>
      <c r="J23" s="75">
        <f t="shared" si="6"/>
        <v>0.14499999999999999</v>
      </c>
      <c r="K23" s="75">
        <f t="shared" si="6"/>
        <v>7.9000000000000001E-2</v>
      </c>
      <c r="L23" s="75"/>
      <c r="M23" s="52" t="str">
        <f>+M14</f>
        <v>Winter kW</v>
      </c>
      <c r="N23" s="53">
        <v>11.94</v>
      </c>
      <c r="O23" s="54"/>
      <c r="P23" s="126">
        <v>15.52</v>
      </c>
      <c r="Q23" s="55">
        <f t="shared" si="4"/>
        <v>0.29983249581239535</v>
      </c>
      <c r="R23" s="54"/>
      <c r="S23" s="126">
        <v>20.18</v>
      </c>
      <c r="T23" s="55">
        <f t="shared" si="5"/>
        <v>0.30025773195876293</v>
      </c>
    </row>
    <row r="24" spans="1:20" x14ac:dyDescent="0.2">
      <c r="A24" s="35">
        <f t="shared" si="1"/>
        <v>15</v>
      </c>
      <c r="B24" s="23">
        <f>+B23</f>
        <v>600</v>
      </c>
      <c r="C24" s="23">
        <v>700</v>
      </c>
      <c r="D24" s="49">
        <f>ROUND((B$22*C24),0)</f>
        <v>420000</v>
      </c>
      <c r="F24" s="50">
        <f>+N$10+$B24*N$16+$D24*N$12</f>
        <v>37995.808199999999</v>
      </c>
      <c r="G24" s="50">
        <f>+P$10+$B24*P$16+$D24*P$12</f>
        <v>43134.69464661114</v>
      </c>
      <c r="H24" s="50">
        <f>+S$10+$B24*S$16+$D24*S$12</f>
        <v>45814.996215727631</v>
      </c>
      <c r="J24" s="75">
        <f t="shared" si="6"/>
        <v>0.13500000000000001</v>
      </c>
      <c r="K24" s="75">
        <f t="shared" si="6"/>
        <v>6.2E-2</v>
      </c>
      <c r="L24" s="75"/>
      <c r="M24" s="52" t="str">
        <f>+M15</f>
        <v>Summer kW</v>
      </c>
      <c r="N24" s="53">
        <v>7.96</v>
      </c>
      <c r="O24" s="54"/>
      <c r="P24" s="126">
        <v>10.35</v>
      </c>
      <c r="Q24" s="55">
        <f t="shared" si="4"/>
        <v>0.30025125628140698</v>
      </c>
      <c r="R24" s="54"/>
      <c r="S24" s="126">
        <v>13.45</v>
      </c>
      <c r="T24" s="55">
        <f t="shared" si="5"/>
        <v>0.29951690821256038</v>
      </c>
    </row>
    <row r="25" spans="1:20" x14ac:dyDescent="0.2">
      <c r="A25" s="35">
        <f t="shared" si="1"/>
        <v>16</v>
      </c>
      <c r="F25" s="50"/>
      <c r="G25" s="50"/>
      <c r="H25" s="50"/>
      <c r="J25" s="51"/>
      <c r="K25" s="51"/>
      <c r="L25" s="51"/>
      <c r="M25" s="52" t="str">
        <f>+M16</f>
        <v>Average kW</v>
      </c>
      <c r="N25" s="53">
        <v>9.93</v>
      </c>
      <c r="O25" s="54"/>
      <c r="P25" s="126">
        <v>12.88</v>
      </c>
      <c r="Q25" s="55">
        <f t="shared" si="4"/>
        <v>0.29707955689828813</v>
      </c>
      <c r="R25" s="54"/>
      <c r="S25" s="126">
        <v>16.739999999999998</v>
      </c>
      <c r="T25" s="55">
        <f t="shared" si="5"/>
        <v>0.29968944099378864</v>
      </c>
    </row>
    <row r="26" spans="1:20" x14ac:dyDescent="0.2">
      <c r="A26" s="35">
        <f t="shared" si="1"/>
        <v>17</v>
      </c>
      <c r="B26" s="23">
        <f>+B24+100</f>
        <v>700</v>
      </c>
      <c r="C26" s="23">
        <v>300</v>
      </c>
      <c r="D26" s="49">
        <f>ROUND((B$26*C26),0)</f>
        <v>210000</v>
      </c>
      <c r="F26" s="50">
        <f>+N$10+$B26*N$16+$D26*N$12</f>
        <v>23150.597900000001</v>
      </c>
      <c r="G26" s="50">
        <f>+P$10+$B26*P$16+$D26*P$12</f>
        <v>26952.125626659676</v>
      </c>
      <c r="H26" s="50">
        <f>+S$10+$B26*S$16+$D26*S$12</f>
        <v>29906.111483514491</v>
      </c>
      <c r="J26" s="75">
        <f t="shared" ref="J26:K28" si="7">ROUND((+G26-F26)/F26,3)</f>
        <v>0.16400000000000001</v>
      </c>
      <c r="K26" s="75">
        <f t="shared" si="7"/>
        <v>0.11</v>
      </c>
      <c r="L26" s="75"/>
      <c r="M26" s="52" t="str">
        <f>+M18</f>
        <v>kVarh</v>
      </c>
      <c r="N26" s="161">
        <v>1.1199999999999999E-3</v>
      </c>
      <c r="O26" s="54"/>
      <c r="P26" s="162">
        <v>1.4599999999999999E-3</v>
      </c>
      <c r="Q26" s="55">
        <f t="shared" si="4"/>
        <v>0.3035714285714286</v>
      </c>
      <c r="R26" s="54"/>
      <c r="S26" s="162">
        <v>1.89E-3</v>
      </c>
      <c r="T26" s="55">
        <f t="shared" si="5"/>
        <v>0.29452054794520555</v>
      </c>
    </row>
    <row r="27" spans="1:20" x14ac:dyDescent="0.2">
      <c r="A27" s="35">
        <f t="shared" si="1"/>
        <v>18</v>
      </c>
      <c r="B27" s="23">
        <f>+B26</f>
        <v>700</v>
      </c>
      <c r="C27" s="23">
        <v>500</v>
      </c>
      <c r="D27" s="49">
        <f>ROUND((B$26*C27),0)</f>
        <v>350000</v>
      </c>
      <c r="F27" s="50">
        <f>+N$10+$B27*N$16+$D27*N$12</f>
        <v>33709.677900000002</v>
      </c>
      <c r="G27" s="50">
        <f>+P$10+$B27*P$16+$D27*P$12</f>
        <v>38599.173023853007</v>
      </c>
      <c r="H27" s="50">
        <f>+S$10+$B27*S$16+$D27*S$12</f>
        <v>41628.036034265024</v>
      </c>
      <c r="J27" s="75">
        <f t="shared" si="7"/>
        <v>0.14499999999999999</v>
      </c>
      <c r="K27" s="75">
        <f t="shared" si="7"/>
        <v>7.8E-2</v>
      </c>
      <c r="L27" s="75"/>
      <c r="M27" s="76"/>
      <c r="N27" s="53"/>
      <c r="O27" s="54"/>
      <c r="P27" s="6"/>
      <c r="Q27" s="55"/>
      <c r="R27" s="54"/>
      <c r="S27" s="6"/>
      <c r="T27" s="55"/>
    </row>
    <row r="28" spans="1:20" x14ac:dyDescent="0.2">
      <c r="A28" s="35">
        <f t="shared" si="1"/>
        <v>19</v>
      </c>
      <c r="B28" s="23">
        <f>+B27</f>
        <v>700</v>
      </c>
      <c r="C28" s="23">
        <v>700</v>
      </c>
      <c r="D28" s="49">
        <f>ROUND((B$26*C28),0)</f>
        <v>490000</v>
      </c>
      <c r="F28" s="50">
        <f>+N$10+$B28*N$16+$D28*N$12</f>
        <v>44268.757899999997</v>
      </c>
      <c r="G28" s="50">
        <f>+P$10+$B28*P$16+$D28*P$12</f>
        <v>50246.220421046331</v>
      </c>
      <c r="H28" s="50">
        <f>+S$10+$B28*S$16+$D28*S$12</f>
        <v>53349.960585015564</v>
      </c>
      <c r="J28" s="75">
        <f t="shared" si="7"/>
        <v>0.13500000000000001</v>
      </c>
      <c r="K28" s="75">
        <f t="shared" si="7"/>
        <v>6.2E-2</v>
      </c>
      <c r="L28" s="75"/>
      <c r="M28" s="76"/>
      <c r="N28" s="53"/>
      <c r="O28" s="54"/>
      <c r="P28" s="6"/>
      <c r="Q28" s="55"/>
      <c r="R28" s="54"/>
      <c r="S28" s="6"/>
      <c r="T28" s="55"/>
    </row>
    <row r="29" spans="1:20" x14ac:dyDescent="0.2">
      <c r="A29" s="35">
        <f t="shared" si="1"/>
        <v>20</v>
      </c>
      <c r="F29" s="50"/>
      <c r="G29" s="50"/>
      <c r="H29" s="50"/>
      <c r="J29" s="51"/>
      <c r="K29" s="51"/>
      <c r="L29" s="51"/>
      <c r="M29" s="58"/>
      <c r="N29" s="59"/>
      <c r="P29" s="58"/>
      <c r="Q29" s="59"/>
      <c r="S29" s="58"/>
      <c r="T29" s="59"/>
    </row>
    <row r="30" spans="1:20" x14ac:dyDescent="0.2">
      <c r="A30" s="35">
        <f t="shared" si="1"/>
        <v>21</v>
      </c>
      <c r="B30" s="23">
        <f>+B28+100</f>
        <v>800</v>
      </c>
      <c r="C30" s="23">
        <v>300</v>
      </c>
      <c r="D30" s="49">
        <f>ROUND((B$30*C30),0)</f>
        <v>240000</v>
      </c>
      <c r="F30" s="50">
        <f>+N$10+$B30*N$16+$D30*N$12</f>
        <v>26406.667600000001</v>
      </c>
      <c r="G30" s="50">
        <f>+P$10+$B30*P$16+$D30*P$12</f>
        <v>30735.923573325344</v>
      </c>
      <c r="H30" s="50">
        <f>+S$10+$B30*S$16+$D30*S$12</f>
        <v>34091.954552587995</v>
      </c>
      <c r="J30" s="75">
        <f t="shared" ref="J30:K32" si="8">ROUND((+G30-F30)/F30,3)</f>
        <v>0.16400000000000001</v>
      </c>
      <c r="K30" s="75">
        <f t="shared" si="8"/>
        <v>0.109</v>
      </c>
      <c r="L30" s="75"/>
      <c r="M30" s="157" t="str">
        <f>'Exh CTM-8 (Schedule 24 Impacts)'!U23</f>
        <v xml:space="preserve">Schedule 95 Power Cost
</v>
      </c>
      <c r="N30" s="57">
        <v>6.8739999999999999E-3</v>
      </c>
      <c r="O30" s="54"/>
      <c r="P30" s="66">
        <v>0</v>
      </c>
      <c r="Q30" s="55"/>
      <c r="R30" s="54"/>
      <c r="S30" s="66">
        <v>0</v>
      </c>
      <c r="T30" s="55"/>
    </row>
    <row r="31" spans="1:20" x14ac:dyDescent="0.2">
      <c r="A31" s="35">
        <f t="shared" si="1"/>
        <v>22</v>
      </c>
      <c r="B31" s="23">
        <f>+B30</f>
        <v>800</v>
      </c>
      <c r="C31" s="23">
        <v>500</v>
      </c>
      <c r="D31" s="49">
        <f>ROUND((B$30*C31),0)</f>
        <v>400000</v>
      </c>
      <c r="F31" s="50">
        <f>+N$10+$B31*N$16+$D31*N$12</f>
        <v>38474.187600000005</v>
      </c>
      <c r="G31" s="50">
        <f>+P$10+$B31*P$16+$D31*P$12</f>
        <v>44046.834884403434</v>
      </c>
      <c r="H31" s="50">
        <f>+S$10+$B31*S$16+$D31*S$12</f>
        <v>47488.439753445753</v>
      </c>
      <c r="J31" s="75">
        <f t="shared" si="8"/>
        <v>0.14499999999999999</v>
      </c>
      <c r="K31" s="75">
        <f t="shared" si="8"/>
        <v>7.8E-2</v>
      </c>
      <c r="L31" s="75"/>
      <c r="M31" s="157" t="str">
        <f>'Exh CTM-8 (Schedule 24 Impacts)'!U24</f>
        <v>Schedule 95 PCA Imbalance</v>
      </c>
      <c r="N31" s="57">
        <v>3.176E-3</v>
      </c>
      <c r="O31" s="54"/>
      <c r="P31" s="66">
        <v>3.176E-3</v>
      </c>
      <c r="Q31" s="55"/>
      <c r="R31" s="54"/>
      <c r="S31" s="66">
        <v>3.176E-3</v>
      </c>
      <c r="T31" s="55"/>
    </row>
    <row r="32" spans="1:20" x14ac:dyDescent="0.2">
      <c r="A32" s="35">
        <f t="shared" si="1"/>
        <v>23</v>
      </c>
      <c r="B32" s="23">
        <f>+B31</f>
        <v>800</v>
      </c>
      <c r="C32" s="23">
        <v>700</v>
      </c>
      <c r="D32" s="49">
        <f>ROUND((B$30*C32),0)</f>
        <v>560000</v>
      </c>
      <c r="F32" s="50">
        <f>+N$10+$B32*N$16+$D32*N$12</f>
        <v>50541.707600000002</v>
      </c>
      <c r="G32" s="50">
        <f>+P$10+$B32*P$16+$D32*P$12</f>
        <v>57357.746195481523</v>
      </c>
      <c r="H32" s="50">
        <f>+S$10+$B32*S$16+$D32*S$12</f>
        <v>60884.924954303511</v>
      </c>
      <c r="J32" s="75">
        <f t="shared" si="8"/>
        <v>0.13500000000000001</v>
      </c>
      <c r="K32" s="75">
        <f t="shared" si="8"/>
        <v>6.0999999999999999E-2</v>
      </c>
      <c r="L32" s="75"/>
      <c r="M32" s="157" t="str">
        <f>'Exh CTM-8 (Schedule 24 Impacts)'!U25</f>
        <v>Schedule 95A Federal Incentive Credit</v>
      </c>
      <c r="N32" s="57">
        <v>0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F33" s="50"/>
      <c r="G33" s="50"/>
      <c r="H33" s="50"/>
      <c r="J33" s="51"/>
      <c r="K33" s="51"/>
      <c r="L33" s="51"/>
      <c r="M33" s="157" t="str">
        <f>'Exh CTM-8 (Schedule 24 Impacts)'!U26</f>
        <v>Schedule 120 Conservation</v>
      </c>
      <c r="N33" s="57">
        <v>3.8379999999999998E-3</v>
      </c>
      <c r="P33" s="66">
        <v>3.8379999999999998E-3</v>
      </c>
      <c r="Q33" s="59"/>
      <c r="S33" s="66">
        <v>3.8379999999999998E-3</v>
      </c>
      <c r="T33" s="59"/>
    </row>
    <row r="34" spans="1:20" x14ac:dyDescent="0.2">
      <c r="A34" s="35">
        <f t="shared" si="1"/>
        <v>25</v>
      </c>
      <c r="B34" s="23">
        <f>+B32+200</f>
        <v>1000</v>
      </c>
      <c r="C34" s="23">
        <v>300</v>
      </c>
      <c r="D34" s="49">
        <f>ROUND((B$34*C34),0)</f>
        <v>300000</v>
      </c>
      <c r="F34" s="50">
        <f>+N$10+$B34*N$16+$D34*N$12</f>
        <v>32918.807000000001</v>
      </c>
      <c r="G34" s="50">
        <f>+P$10+$B34*P$16+$D34*P$12</f>
        <v>38303.519466656682</v>
      </c>
      <c r="H34" s="50">
        <f>+S$10+$B34*S$16+$D34*S$12</f>
        <v>42463.640690734988</v>
      </c>
      <c r="J34" s="75">
        <f t="shared" ref="J34:K36" si="9">ROUND((+G34-F34)/F34,3)</f>
        <v>0.16400000000000001</v>
      </c>
      <c r="K34" s="75">
        <f t="shared" si="9"/>
        <v>0.109</v>
      </c>
      <c r="L34" s="75"/>
      <c r="M34" s="157" t="str">
        <f>'Exh CTM-8 (Schedule 24 Impacts)'!U27</f>
        <v>Schedule 129 Low Income</v>
      </c>
      <c r="N34" s="57">
        <v>1.101E-3</v>
      </c>
      <c r="O34" s="54"/>
      <c r="P34" s="66">
        <v>1.101E-3</v>
      </c>
      <c r="Q34" s="55"/>
      <c r="R34" s="54"/>
      <c r="S34" s="66">
        <v>1.101E-3</v>
      </c>
      <c r="T34" s="55"/>
    </row>
    <row r="35" spans="1:20" x14ac:dyDescent="0.2">
      <c r="A35" s="35">
        <f t="shared" si="1"/>
        <v>26</v>
      </c>
      <c r="B35" s="23">
        <f>+B34</f>
        <v>1000</v>
      </c>
      <c r="C35" s="23">
        <v>500</v>
      </c>
      <c r="D35" s="49">
        <f>ROUND((B$34*C35),0)</f>
        <v>500000</v>
      </c>
      <c r="F35" s="50">
        <f>+N$10+$B35*N$16+$D35*N$12</f>
        <v>48003.207000000002</v>
      </c>
      <c r="G35" s="50">
        <f>+P$10+$B35*P$16+$D35*P$12</f>
        <v>54942.158605504286</v>
      </c>
      <c r="H35" s="50">
        <f>+S$10+$B35*S$16+$D35*S$12</f>
        <v>59209.247191807182</v>
      </c>
      <c r="J35" s="75">
        <f t="shared" si="9"/>
        <v>0.14499999999999999</v>
      </c>
      <c r="K35" s="75">
        <f t="shared" si="9"/>
        <v>7.8E-2</v>
      </c>
      <c r="L35" s="75"/>
      <c r="M35" s="157" t="str">
        <f>'Exh CTM-8 (Schedule 24 Impacts)'!U28</f>
        <v>Schedule 129D Bill Discount</v>
      </c>
      <c r="N35" s="57">
        <v>4.6799999999999999E-4</v>
      </c>
      <c r="O35" s="54"/>
      <c r="P35" s="66">
        <v>4.6799999999999999E-4</v>
      </c>
      <c r="Q35" s="55"/>
      <c r="R35" s="54"/>
      <c r="S35" s="66">
        <v>4.6799999999999999E-4</v>
      </c>
      <c r="T35" s="55"/>
    </row>
    <row r="36" spans="1:20" x14ac:dyDescent="0.2">
      <c r="A36" s="35">
        <f t="shared" si="1"/>
        <v>27</v>
      </c>
      <c r="B36" s="23">
        <f>+B35</f>
        <v>1000</v>
      </c>
      <c r="C36" s="23">
        <v>700</v>
      </c>
      <c r="D36" s="49">
        <f>ROUND((B$34*C36),0)</f>
        <v>700000</v>
      </c>
      <c r="F36" s="50">
        <f>+N$10+$B36*N$16+$D36*N$12</f>
        <v>63087.607000000004</v>
      </c>
      <c r="G36" s="50">
        <f>+P$10+$B36*P$16+$D36*P$12</f>
        <v>71580.797744351905</v>
      </c>
      <c r="H36" s="50">
        <f>+S$10+$B36*S$16+$D36*S$12</f>
        <v>75954.853692879376</v>
      </c>
      <c r="J36" s="75">
        <f t="shared" si="9"/>
        <v>0.13500000000000001</v>
      </c>
      <c r="K36" s="75">
        <f t="shared" si="9"/>
        <v>6.0999999999999999E-2</v>
      </c>
      <c r="L36" s="75"/>
      <c r="M36" s="157" t="str">
        <f>'Exh CTM-8 (Schedule 24 Impacts)'!U29</f>
        <v>Schedule 137 REC</v>
      </c>
      <c r="N36" s="57">
        <v>6.0000000000000002E-6</v>
      </c>
      <c r="O36" s="54"/>
      <c r="P36" s="66">
        <v>0</v>
      </c>
      <c r="Q36" s="55"/>
      <c r="R36" s="54"/>
      <c r="S36" s="66">
        <v>0</v>
      </c>
      <c r="T36" s="55"/>
    </row>
    <row r="37" spans="1:20" x14ac:dyDescent="0.2">
      <c r="A37" s="35">
        <f t="shared" si="1"/>
        <v>28</v>
      </c>
      <c r="B37" s="44"/>
      <c r="C37" s="44"/>
      <c r="D37" s="44"/>
      <c r="E37" s="44"/>
      <c r="F37" s="44"/>
      <c r="G37" s="44"/>
      <c r="H37" s="44"/>
      <c r="I37" s="44"/>
      <c r="J37" s="44"/>
      <c r="M37" s="157" t="str">
        <f>'Exh CTM-8 (Schedule 24 Impacts)'!U30</f>
        <v>Schedule 140 Property Tax</v>
      </c>
      <c r="N37" s="57">
        <v>1.7260000000000001E-3</v>
      </c>
      <c r="O37" s="54"/>
      <c r="P37" s="66">
        <v>1.7260000000000001E-3</v>
      </c>
      <c r="Q37" s="55"/>
      <c r="R37" s="54"/>
      <c r="S37" s="66">
        <v>1.7260000000000001E-3</v>
      </c>
      <c r="T37" s="55"/>
    </row>
    <row r="38" spans="1:20" x14ac:dyDescent="0.2">
      <c r="A38" s="35">
        <f t="shared" si="1"/>
        <v>29</v>
      </c>
      <c r="M38" s="157" t="str">
        <f>'Exh CTM-8 (Schedule 24 Impacts)'!U31</f>
        <v>Schedule 141 ERF</v>
      </c>
      <c r="N38" s="57">
        <v>0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Impacts)'!U32</f>
        <v>Schedule 141A Energy Charge Credit</v>
      </c>
      <c r="N39" s="57">
        <v>1.518E-3</v>
      </c>
      <c r="P39" s="66">
        <v>1.518E-3</v>
      </c>
      <c r="Q39" s="59"/>
      <c r="S39" s="66">
        <v>1.518E-3</v>
      </c>
      <c r="T39" s="59"/>
    </row>
    <row r="40" spans="1:20" x14ac:dyDescent="0.2">
      <c r="A40" s="35">
        <f t="shared" si="1"/>
        <v>31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157" t="str">
        <f>'Exh CTM-8 (Schedule 24 Impacts)'!U33</f>
        <v>Schedule 141CEI Clean Energy Implementation Plan</v>
      </c>
      <c r="N40" s="57">
        <v>5.9100000000000005E-4</v>
      </c>
      <c r="O40" s="54"/>
      <c r="P40" s="66">
        <v>0</v>
      </c>
      <c r="Q40" s="55"/>
      <c r="R40" s="54"/>
      <c r="S40" s="66">
        <v>0</v>
      </c>
      <c r="T40" s="55"/>
    </row>
    <row r="41" spans="1:20" x14ac:dyDescent="0.2">
      <c r="A41" s="35">
        <f t="shared" si="1"/>
        <v>32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157" t="str">
        <f>'Exh CTM-8 (Schedule 24 Impacts)'!U34</f>
        <v>Schedule 141CGR Clean Generation Resources</v>
      </c>
      <c r="N41" s="57">
        <v>0</v>
      </c>
      <c r="O41" s="54"/>
      <c r="P41" s="66">
        <v>8.3519569423806607E-4</v>
      </c>
      <c r="Q41" s="55"/>
      <c r="R41" s="54"/>
      <c r="S41" s="66">
        <v>1.0590325053609745E-3</v>
      </c>
      <c r="T41" s="55"/>
    </row>
    <row r="42" spans="1:20" x14ac:dyDescent="0.2">
      <c r="A42" s="35">
        <f t="shared" si="1"/>
        <v>33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157" t="str">
        <f>'Exh CTM-8 (Schedule 24 Impacts)'!U35</f>
        <v>Schedule 141DCARB Decarbonization</v>
      </c>
      <c r="N42" s="57">
        <v>0</v>
      </c>
      <c r="O42" s="54"/>
      <c r="P42" s="66">
        <v>2.0758385255745017E-5</v>
      </c>
      <c r="Q42" s="55"/>
      <c r="R42" s="54"/>
      <c r="S42" s="66">
        <v>2.0939126691512533E-5</v>
      </c>
      <c r="T42" s="55"/>
    </row>
    <row r="43" spans="1:20" x14ac:dyDescent="0.2">
      <c r="A43" s="35">
        <f t="shared" si="1"/>
        <v>34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157" t="str">
        <f>'Exh CTM-8 (Schedule 24 Impacts)'!U36</f>
        <v>Schedule 141COL Colstrip Adjustment</v>
      </c>
      <c r="N43" s="57">
        <v>4.0499999999999998E-4</v>
      </c>
      <c r="P43" s="66">
        <v>4.0499999999999998E-4</v>
      </c>
      <c r="Q43" s="59"/>
      <c r="S43" s="66">
        <v>4.0499999999999998E-4</v>
      </c>
      <c r="T43" s="59"/>
    </row>
    <row r="44" spans="1:20" x14ac:dyDescent="0.2">
      <c r="A44" s="35">
        <f t="shared" si="1"/>
        <v>35</v>
      </c>
      <c r="M44" s="157" t="str">
        <f>'Exh CTM-8 (Schedule 24 Impacts)'!U37</f>
        <v>Schedule 141N Rates Not Subject to Refund</v>
      </c>
      <c r="N44" s="57">
        <v>4.0969999999999999E-3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1"/>
        <v>36</v>
      </c>
      <c r="M45" s="157" t="str">
        <f>'Exh CTM-8 (Schedule 24 Impacts)'!U38</f>
        <v>Schedule 141R Rates Subject to Refund</v>
      </c>
      <c r="N45" s="57">
        <v>3.8939999999999999E-3</v>
      </c>
      <c r="O45" s="54"/>
      <c r="P45" s="66">
        <v>0</v>
      </c>
      <c r="Q45" s="55"/>
      <c r="R45" s="54"/>
      <c r="S45" s="66">
        <v>0</v>
      </c>
      <c r="T45" s="55"/>
    </row>
    <row r="46" spans="1:20" x14ac:dyDescent="0.2">
      <c r="A46" s="35">
        <f t="shared" si="1"/>
        <v>37</v>
      </c>
      <c r="M46" s="157" t="str">
        <f>'Exh CTM-8 (Schedule 24 Impacts)'!U39</f>
        <v>Schedule 141 TEP</v>
      </c>
      <c r="N46" s="57">
        <v>2.52E-4</v>
      </c>
      <c r="O46" s="54"/>
      <c r="P46" s="66">
        <v>2.52E-4</v>
      </c>
      <c r="Q46" s="55"/>
      <c r="R46" s="54"/>
      <c r="S46" s="66">
        <v>2.52E-4</v>
      </c>
      <c r="T46" s="55"/>
    </row>
    <row r="47" spans="1:20" x14ac:dyDescent="0.2">
      <c r="A47" s="35">
        <f t="shared" si="1"/>
        <v>38</v>
      </c>
      <c r="M47" s="157" t="str">
        <f>'Exh CTM-8 (Schedule 24 Impacts)'!U40</f>
        <v>Schedule 141WFP Wildfire Prevention Cost Recovery</v>
      </c>
      <c r="N47" s="57">
        <v>0</v>
      </c>
      <c r="P47" s="66">
        <v>1.0666730428125801E-5</v>
      </c>
      <c r="Q47" s="59"/>
      <c r="S47" s="66">
        <v>1.3433763485438018E-5</v>
      </c>
      <c r="T47" s="59"/>
    </row>
    <row r="48" spans="1:20" x14ac:dyDescent="0.2">
      <c r="A48" s="35">
        <f t="shared" si="1"/>
        <v>39</v>
      </c>
      <c r="M48" s="157" t="str">
        <f>'Exh CTM-8 (Schedule 24 Impacts)'!U41</f>
        <v>Schedule 141X (Protected) EDIT</v>
      </c>
      <c r="N48" s="57">
        <v>0</v>
      </c>
      <c r="O48" s="60"/>
      <c r="P48" s="66">
        <v>0</v>
      </c>
      <c r="Q48" s="61"/>
      <c r="R48" s="60"/>
      <c r="S48" s="66">
        <v>0</v>
      </c>
      <c r="T48" s="61"/>
    </row>
    <row r="49" spans="1:20" x14ac:dyDescent="0.2">
      <c r="A49" s="35">
        <f t="shared" si="1"/>
        <v>40</v>
      </c>
      <c r="M49" s="157" t="str">
        <f>'Exh CTM-8 (Schedule 24 Impacts)'!U42</f>
        <v>Schedule 141Z (Unprotected) EDIT</v>
      </c>
      <c r="N49" s="57">
        <v>0</v>
      </c>
      <c r="O49" s="60"/>
      <c r="P49" s="66">
        <v>0</v>
      </c>
      <c r="Q49" s="61"/>
      <c r="R49" s="60"/>
      <c r="S49" s="66">
        <v>0</v>
      </c>
      <c r="T49" s="61"/>
    </row>
    <row r="50" spans="1:20" x14ac:dyDescent="0.2">
      <c r="A50" s="35">
        <f t="shared" si="1"/>
        <v>41</v>
      </c>
      <c r="B50" s="158"/>
      <c r="M50" s="157" t="str">
        <f>'Exh CTM-8 (Schedule 24 Impacts)'!U43</f>
        <v>Schedule 142  Deocupling Deferral</v>
      </c>
      <c r="N50" s="57">
        <v>-9.68E-4</v>
      </c>
      <c r="O50" s="60"/>
      <c r="P50" s="66">
        <v>-9.68E-4</v>
      </c>
      <c r="Q50" s="61"/>
      <c r="R50" s="60"/>
      <c r="S50" s="66">
        <v>-9.68E-4</v>
      </c>
      <c r="T50" s="61"/>
    </row>
    <row r="51" spans="1:20" x14ac:dyDescent="0.2">
      <c r="A51" s="35">
        <f t="shared" si="1"/>
        <v>42</v>
      </c>
      <c r="M51" s="157" t="str">
        <f>'Exh CTM-8 (Schedule 24 Impacts)'!U44</f>
        <v>Schedule 142 Deocupling Supplemental</v>
      </c>
      <c r="N51" s="57">
        <v>0</v>
      </c>
      <c r="O51" s="60"/>
      <c r="P51" s="66">
        <v>0</v>
      </c>
      <c r="Q51" s="61"/>
      <c r="R51" s="60"/>
      <c r="S51" s="66">
        <v>0</v>
      </c>
      <c r="T51" s="61"/>
    </row>
    <row r="52" spans="1:20" x14ac:dyDescent="0.2">
      <c r="A52" s="35">
        <f t="shared" si="1"/>
        <v>43</v>
      </c>
      <c r="M52" s="157" t="str">
        <f>'Exh CTM-8 (Schedule 24 Impacts)'!U45</f>
        <v>Schedule 194 BPA Res &amp; Farm Credit</v>
      </c>
      <c r="N52" s="159" t="s">
        <v>238</v>
      </c>
      <c r="P52" s="66"/>
      <c r="Q52" s="59"/>
      <c r="S52" s="66"/>
      <c r="T52" s="61"/>
    </row>
    <row r="53" spans="1:20" ht="12" thickBot="1" x14ac:dyDescent="0.25">
      <c r="A53" s="35">
        <f t="shared" si="1"/>
        <v>44</v>
      </c>
      <c r="M53" s="62" t="s">
        <v>170</v>
      </c>
      <c r="N53" s="63">
        <f>SUM(N30:N52)+N22</f>
        <v>8.2696999999999993E-2</v>
      </c>
      <c r="P53" s="64">
        <f>SUM(P30:P52)+P22</f>
        <v>8.2508620809921926E-2</v>
      </c>
      <c r="Q53" s="61"/>
      <c r="S53" s="64">
        <f>SUM(S30:S52)+S22</f>
        <v>8.3046405395537926E-2</v>
      </c>
      <c r="T53" s="61"/>
    </row>
    <row r="54" spans="1:20" ht="12" thickTop="1" x14ac:dyDescent="0.2">
      <c r="A54" s="35">
        <f t="shared" si="1"/>
        <v>45</v>
      </c>
      <c r="M54" s="62"/>
      <c r="N54" s="65"/>
      <c r="P54" s="66"/>
      <c r="Q54" s="57"/>
      <c r="S54" s="66"/>
      <c r="T54" s="57"/>
    </row>
    <row r="55" spans="1:20" x14ac:dyDescent="0.2">
      <c r="A55" s="35">
        <f t="shared" si="1"/>
        <v>46</v>
      </c>
      <c r="M55" s="67" t="s">
        <v>105</v>
      </c>
      <c r="N55" s="68"/>
      <c r="P55" s="58"/>
      <c r="Q55" s="160">
        <f>'Exh CTM-8 (Rate Impacts_RY#1)'!$H$15</f>
        <v>0.1931710049560415</v>
      </c>
      <c r="S55" s="58"/>
      <c r="T55" s="160">
        <f>'Exh CTM-8 (Rate Impacts_RY#2)'!$I$15</f>
        <v>8.2159313420359495E-2</v>
      </c>
    </row>
    <row r="56" spans="1:20" x14ac:dyDescent="0.2">
      <c r="A56" s="35">
        <f t="shared" si="1"/>
        <v>47</v>
      </c>
      <c r="M56" s="67" t="s">
        <v>104</v>
      </c>
      <c r="N56" s="68"/>
      <c r="P56" s="58"/>
      <c r="Q56" s="160">
        <f>'Exh CTM-8 (Rate Impacts_RY#1)'!$AI$15</f>
        <v>5.8051540783999385E-2</v>
      </c>
      <c r="S56" s="58"/>
      <c r="T56" s="160">
        <f>'Exh CTM-8 (Rate Impacts_RY#2)'!$V$15</f>
        <v>9.0086732053882804E-2</v>
      </c>
    </row>
    <row r="57" spans="1:20" ht="12" thickBot="1" x14ac:dyDescent="0.25">
      <c r="A57" s="35">
        <f t="shared" si="1"/>
        <v>48</v>
      </c>
      <c r="M57" s="70" t="s">
        <v>237</v>
      </c>
      <c r="N57" s="69"/>
      <c r="P57" s="70"/>
      <c r="Q57" s="69"/>
      <c r="S57" s="70"/>
      <c r="T57" s="69"/>
    </row>
  </sheetData>
  <mergeCells count="9">
    <mergeCell ref="A1:R1"/>
    <mergeCell ref="A2:R2"/>
    <mergeCell ref="A3:R3"/>
    <mergeCell ref="A4:R4"/>
    <mergeCell ref="F7:H7"/>
    <mergeCell ref="J7:K7"/>
    <mergeCell ref="P6:Q6"/>
    <mergeCell ref="F6:H6"/>
    <mergeCell ref="S6:T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7025-696A-40E4-9287-2419618760AE}">
  <sheetPr>
    <pageSetUpPr fitToPage="1"/>
  </sheetPr>
  <dimension ref="A1:T45"/>
  <sheetViews>
    <sheetView zoomScaleNormal="100" zoomScaleSheetLayoutView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7109375" style="23" customWidth="1"/>
    <col min="3" max="3" width="12.5703125" style="23" bestFit="1" customWidth="1"/>
    <col min="4" max="4" width="10.85546875" style="23" bestFit="1" customWidth="1"/>
    <col min="5" max="5" width="1.140625" style="23" customWidth="1"/>
    <col min="6" max="6" width="11.5703125" style="23" customWidth="1"/>
    <col min="7" max="7" width="14.140625" style="23" customWidth="1"/>
    <col min="8" max="8" width="12.7109375" style="23" customWidth="1"/>
    <col min="9" max="9" width="1.140625" style="23" customWidth="1"/>
    <col min="10" max="10" width="9.5703125" style="23" bestFit="1" customWidth="1"/>
    <col min="11" max="11" width="9.5703125" style="23" customWidth="1"/>
    <col min="12" max="12" width="1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ht="11.25" customHeight="1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31"/>
      <c r="S1" s="31"/>
      <c r="T1" s="31"/>
    </row>
    <row r="2" spans="1:20" ht="11.25" customHeight="1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31"/>
      <c r="S2" s="31"/>
      <c r="T2" s="31"/>
    </row>
    <row r="3" spans="1:20" ht="12.75" customHeight="1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31"/>
      <c r="S3" s="31"/>
      <c r="T3" s="31"/>
    </row>
    <row r="4" spans="1:20" ht="12.75" x14ac:dyDescent="0.2">
      <c r="A4" s="207" t="s">
        <v>251</v>
      </c>
      <c r="B4" s="213" t="s">
        <v>250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31"/>
      <c r="S4" s="31"/>
      <c r="T4" s="31"/>
    </row>
    <row r="5" spans="1:20" ht="12" thickBot="1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A6" s="33"/>
      <c r="B6" s="31"/>
      <c r="C6" s="33"/>
      <c r="D6" s="33"/>
      <c r="E6" s="33"/>
      <c r="F6" s="33"/>
      <c r="G6" s="33"/>
      <c r="H6" s="33"/>
      <c r="I6" s="33"/>
      <c r="M6" s="34"/>
      <c r="N6" s="34"/>
      <c r="P6" s="192" t="s">
        <v>128</v>
      </c>
      <c r="Q6" s="225"/>
      <c r="S6" s="192" t="s">
        <v>127</v>
      </c>
      <c r="T6" s="225"/>
    </row>
    <row r="7" spans="1:20" ht="13.5" customHeight="1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33.7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71"/>
      <c r="F8" s="117" t="s">
        <v>249</v>
      </c>
      <c r="G8" s="117" t="s">
        <v>248</v>
      </c>
      <c r="H8" s="117" t="s">
        <v>247</v>
      </c>
      <c r="I8" s="71"/>
      <c r="J8" s="117" t="s">
        <v>184</v>
      </c>
      <c r="K8" s="117" t="s">
        <v>183</v>
      </c>
      <c r="L8" s="33"/>
      <c r="M8" s="46"/>
      <c r="N8" s="7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A9" s="73"/>
      <c r="B9" s="74" t="s">
        <v>43</v>
      </c>
      <c r="C9" s="74" t="s">
        <v>42</v>
      </c>
      <c r="D9" s="74" t="s">
        <v>41</v>
      </c>
      <c r="E9" s="74"/>
      <c r="F9" s="74" t="s">
        <v>40</v>
      </c>
      <c r="G9" s="74" t="s">
        <v>39</v>
      </c>
      <c r="H9" s="74" t="s">
        <v>83</v>
      </c>
      <c r="I9" s="74"/>
      <c r="J9" s="74" t="s">
        <v>37</v>
      </c>
      <c r="K9" s="74" t="s">
        <v>117</v>
      </c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49">
        <v>1000</v>
      </c>
      <c r="C10" s="23">
        <v>300</v>
      </c>
      <c r="D10" s="49">
        <f>ROUND((B$10*C10),0)</f>
        <v>300000</v>
      </c>
      <c r="E10" s="49"/>
      <c r="F10" s="50">
        <f>ROUND(IF($B$10&gt;4400,$B$10*N$10,4400*$N$10)+$D10*N$11,0)</f>
        <v>33387</v>
      </c>
      <c r="G10" s="50">
        <f>ROUND(IF($B$10&gt;4400,$B$10*P$10,4400*$P$10)+$D10*P$11,0)</f>
        <v>38721</v>
      </c>
      <c r="H10" s="50">
        <f>ROUND(IF($B$10&gt;4400,$B$10*S$10,4400*$S$10)+$D10*S$11,0)</f>
        <v>44490</v>
      </c>
      <c r="J10" s="51">
        <f t="shared" ref="J10:K12" si="0">(G10-F10)/F10</f>
        <v>0.15976278192110702</v>
      </c>
      <c r="K10" s="51">
        <f t="shared" si="0"/>
        <v>0.14898892074068334</v>
      </c>
      <c r="L10" s="51"/>
      <c r="M10" s="52" t="s">
        <v>246</v>
      </c>
      <c r="N10" s="53">
        <f>SUM(N14)</f>
        <v>3.04</v>
      </c>
      <c r="O10" s="54"/>
      <c r="P10" s="6">
        <f>SUM(P14)</f>
        <v>3.95</v>
      </c>
      <c r="Q10" s="55">
        <f>(P10-N10)/N10</f>
        <v>0.29934210526315796</v>
      </c>
      <c r="R10" s="54"/>
      <c r="S10" s="6">
        <f>SUM(S14)</f>
        <v>5.14</v>
      </c>
      <c r="T10" s="55">
        <f>(S10-P10)/P10</f>
        <v>0.30126582278481001</v>
      </c>
    </row>
    <row r="11" spans="1:20" x14ac:dyDescent="0.2">
      <c r="A11" s="35">
        <f t="shared" ref="A11:A45" si="1">A10+1</f>
        <v>2</v>
      </c>
      <c r="C11" s="23">
        <v>500</v>
      </c>
      <c r="D11" s="49">
        <f>ROUND((B$10*C11),0)</f>
        <v>500000</v>
      </c>
      <c r="E11" s="49"/>
      <c r="F11" s="50">
        <f>ROUND(IF($B$10&gt;4400,$B$10*N$10,4400*$N$10)+$D11*N$11,0)</f>
        <v>46728</v>
      </c>
      <c r="G11" s="50">
        <f>ROUND(IF($B$10&gt;4400,$B$10*P$10,4400*$P$10)+$D11*P$11,0)</f>
        <v>52948</v>
      </c>
      <c r="H11" s="50">
        <f>ROUND(IF($B$10&gt;4400,$B$10*S$10,4400*$S$10)+$D11*S$11,0)</f>
        <v>59073</v>
      </c>
      <c r="J11" s="51">
        <f t="shared" si="0"/>
        <v>0.13311076870398905</v>
      </c>
      <c r="K11" s="51">
        <f t="shared" si="0"/>
        <v>0.11567953463775781</v>
      </c>
      <c r="L11" s="51"/>
      <c r="M11" s="52" t="s">
        <v>245</v>
      </c>
      <c r="N11" s="53">
        <f>SUM(N15,N17:N31)</f>
        <v>6.6703999999999999E-2</v>
      </c>
      <c r="O11" s="54"/>
      <c r="P11" s="6">
        <f>SUM(P15,P17:P31)</f>
        <v>7.1135422889718719E-2</v>
      </c>
      <c r="Q11" s="55">
        <f>(P11-N11)/N11</f>
        <v>6.6434140227253538E-2</v>
      </c>
      <c r="R11" s="54"/>
      <c r="S11" s="6">
        <f>SUM(S15,S17:S31)</f>
        <v>7.2913374623221255E-2</v>
      </c>
      <c r="T11" s="55">
        <f>(S11-P11)/P11</f>
        <v>2.4993901227787677E-2</v>
      </c>
    </row>
    <row r="12" spans="1:20" x14ac:dyDescent="0.2">
      <c r="A12" s="35">
        <f t="shared" si="1"/>
        <v>3</v>
      </c>
      <c r="C12" s="23">
        <v>700</v>
      </c>
      <c r="D12" s="49">
        <f>ROUND((B$10*C12),0)</f>
        <v>700000</v>
      </c>
      <c r="E12" s="49"/>
      <c r="F12" s="50">
        <f>ROUND(IF($B$10&gt;4400,$B$10*N$10,4400*$N$10)+$D12*N$11,0)</f>
        <v>60069</v>
      </c>
      <c r="G12" s="50">
        <f>ROUND(IF($B$10&gt;4400,$B$10*P$10,4400*$P$10)+$D12*P$11,0)</f>
        <v>67175</v>
      </c>
      <c r="H12" s="50">
        <f>ROUND(IF($B$10&gt;4400,$B$10*S$10,4400*$S$10)+$D12*S$11,0)</f>
        <v>73655</v>
      </c>
      <c r="J12" s="51">
        <f t="shared" si="0"/>
        <v>0.11829729144816795</v>
      </c>
      <c r="K12" s="51">
        <f t="shared" si="0"/>
        <v>9.646445850390771E-2</v>
      </c>
      <c r="L12" s="51"/>
      <c r="M12" s="56" t="s">
        <v>112</v>
      </c>
      <c r="N12" s="53" t="s">
        <v>112</v>
      </c>
      <c r="O12" s="54"/>
      <c r="P12" s="6" t="s">
        <v>112</v>
      </c>
      <c r="Q12" s="55"/>
      <c r="R12" s="54"/>
      <c r="S12" s="6" t="s">
        <v>112</v>
      </c>
      <c r="T12" s="55"/>
    </row>
    <row r="13" spans="1:20" x14ac:dyDescent="0.2">
      <c r="A13" s="35">
        <f t="shared" si="1"/>
        <v>4</v>
      </c>
      <c r="F13" s="50"/>
      <c r="G13" s="50"/>
      <c r="H13" s="50"/>
      <c r="J13" s="51"/>
      <c r="K13" s="51"/>
      <c r="L13" s="51"/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49">
        <v>2000</v>
      </c>
      <c r="C14" s="23">
        <v>300</v>
      </c>
      <c r="D14" s="49">
        <f>ROUND((B$14*C14),0)</f>
        <v>600000</v>
      </c>
      <c r="E14" s="49"/>
      <c r="F14" s="50">
        <f>ROUND(IF($B$10&gt;4400,$B$10*N$10,4400*$N$10)+$D14*N$11,0)</f>
        <v>53398</v>
      </c>
      <c r="G14" s="50">
        <f>ROUND(IF($B$10&gt;4400,$B$10*P$10,4400*$P$10)+$D14*P$11,0)</f>
        <v>60061</v>
      </c>
      <c r="H14" s="50">
        <f>ROUND(IF($B$10&gt;4400,$B$10*S$10,4400*$S$10)+$D14*S$11,0)</f>
        <v>66364</v>
      </c>
      <c r="J14" s="51">
        <f t="shared" ref="J14:K16" si="2">(G14-F14)/F14</f>
        <v>0.1247799543054047</v>
      </c>
      <c r="K14" s="51">
        <f t="shared" si="2"/>
        <v>0.10494330763723547</v>
      </c>
      <c r="L14" s="51"/>
      <c r="M14" s="56" t="s">
        <v>246</v>
      </c>
      <c r="N14" s="53">
        <v>3.04</v>
      </c>
      <c r="O14" s="54"/>
      <c r="P14" s="126">
        <v>3.95</v>
      </c>
      <c r="Q14" s="55">
        <f>(P14-N14)/N14</f>
        <v>0.29934210526315796</v>
      </c>
      <c r="R14" s="54"/>
      <c r="S14" s="126">
        <v>5.14</v>
      </c>
      <c r="T14" s="55">
        <f>(S14-P14)/P14</f>
        <v>0.30126582278481001</v>
      </c>
    </row>
    <row r="15" spans="1:20" x14ac:dyDescent="0.2">
      <c r="A15" s="35">
        <f t="shared" si="1"/>
        <v>6</v>
      </c>
      <c r="C15" s="23">
        <v>500</v>
      </c>
      <c r="D15" s="49">
        <f>ROUND((B$14*C15),0)</f>
        <v>1000000</v>
      </c>
      <c r="E15" s="49"/>
      <c r="F15" s="50">
        <f>ROUND(IF($B$10&gt;4400,$B$10*N$10,4400*$N$10)+$D15*N$11,0)</f>
        <v>80080</v>
      </c>
      <c r="G15" s="50">
        <f>ROUND(IF($B$10&gt;4400,$B$10*P$10,4400*$P$10)+$D15*P$11,0)</f>
        <v>88515</v>
      </c>
      <c r="H15" s="50">
        <f>ROUND(IF($B$10&gt;4400,$B$10*S$10,4400*$S$10)+$D15*S$11,0)</f>
        <v>95529</v>
      </c>
      <c r="J15" s="51">
        <f t="shared" si="2"/>
        <v>0.10533216783216784</v>
      </c>
      <c r="K15" s="51">
        <f t="shared" si="2"/>
        <v>7.9240806642941877E-2</v>
      </c>
      <c r="L15" s="51"/>
      <c r="M15" s="56" t="s">
        <v>245</v>
      </c>
      <c r="N15" s="57">
        <v>5.0422000000000002E-2</v>
      </c>
      <c r="O15" s="54"/>
      <c r="P15" s="66">
        <v>6.198E-2</v>
      </c>
      <c r="Q15" s="55">
        <f>(P15-N15)/N15</f>
        <v>0.22922533814604734</v>
      </c>
      <c r="R15" s="54"/>
      <c r="S15" s="66">
        <v>6.3571000000000003E-2</v>
      </c>
      <c r="T15" s="55">
        <f>(S15-P15)/P15</f>
        <v>2.5669570829299809E-2</v>
      </c>
    </row>
    <row r="16" spans="1:20" x14ac:dyDescent="0.2">
      <c r="A16" s="35">
        <f t="shared" si="1"/>
        <v>7</v>
      </c>
      <c r="C16" s="23">
        <v>700</v>
      </c>
      <c r="D16" s="49">
        <f>ROUND((B$14*C16),0)</f>
        <v>1400000</v>
      </c>
      <c r="E16" s="49"/>
      <c r="F16" s="50">
        <f>ROUND(IF($B$10&gt;4400,$B$10*N$10,4400*$N$10)+$D16*N$11,0)</f>
        <v>106762</v>
      </c>
      <c r="G16" s="50">
        <f>ROUND(IF($B$10&gt;4400,$B$10*P$10,4400*$P$10)+$D16*P$11,0)</f>
        <v>116970</v>
      </c>
      <c r="H16" s="50">
        <f>ROUND(IF($B$10&gt;4400,$B$10*S$10,4400*$S$10)+$D16*S$11,0)</f>
        <v>124695</v>
      </c>
      <c r="J16" s="51">
        <f t="shared" si="2"/>
        <v>9.5614544500852369E-2</v>
      </c>
      <c r="K16" s="51">
        <f t="shared" si="2"/>
        <v>6.6042575019235703E-2</v>
      </c>
      <c r="L16" s="51"/>
      <c r="M16" s="5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8"/>
      <c r="N17" s="59"/>
      <c r="P17" s="58"/>
      <c r="Q17" s="59"/>
      <c r="S17" s="58"/>
      <c r="T17" s="59"/>
    </row>
    <row r="18" spans="1:20" x14ac:dyDescent="0.2">
      <c r="A18" s="35">
        <f t="shared" si="1"/>
        <v>9</v>
      </c>
      <c r="B18" s="49">
        <v>4000</v>
      </c>
      <c r="C18" s="23">
        <v>300</v>
      </c>
      <c r="D18" s="49">
        <f>ROUND((B$18*C18),0)</f>
        <v>1200000</v>
      </c>
      <c r="E18" s="49"/>
      <c r="F18" s="50">
        <f>ROUND(IF($B$10&gt;4400,$B$10*N$10,4400*$N$10)+$D18*N$11,0)</f>
        <v>93421</v>
      </c>
      <c r="G18" s="50">
        <f>ROUND(IF($B$10&gt;4400,$B$10*P$10,4400*$P$10)+$D18*P$11,0)</f>
        <v>102743</v>
      </c>
      <c r="H18" s="50">
        <f>ROUND(IF($B$10&gt;4400,$B$10*S$10,4400*$S$10)+$D18*S$11,0)</f>
        <v>110112</v>
      </c>
      <c r="J18" s="51">
        <f t="shared" ref="J18:K20" si="3">(G18-F18)/F18</f>
        <v>9.9784844949208418E-2</v>
      </c>
      <c r="K18" s="51">
        <f t="shared" si="3"/>
        <v>7.1722647771624348E-2</v>
      </c>
      <c r="L18" s="51"/>
      <c r="M18" s="157" t="str">
        <f>'Exh CTM-8 (Schedule 24 Impacts)'!U23</f>
        <v xml:space="preserve">Schedule 95 Power Cost
</v>
      </c>
      <c r="N18" s="57">
        <v>7.5490000000000002E-3</v>
      </c>
      <c r="O18" s="54"/>
      <c r="P18" s="66">
        <v>0</v>
      </c>
      <c r="Q18" s="55"/>
      <c r="R18" s="54"/>
      <c r="S18" s="66">
        <v>0</v>
      </c>
      <c r="T18" s="55"/>
    </row>
    <row r="19" spans="1:20" x14ac:dyDescent="0.2">
      <c r="A19" s="35">
        <f t="shared" si="1"/>
        <v>10</v>
      </c>
      <c r="C19" s="23">
        <v>500</v>
      </c>
      <c r="D19" s="49">
        <f>ROUND((B$18*C19),0)</f>
        <v>2000000</v>
      </c>
      <c r="E19" s="49"/>
      <c r="F19" s="50">
        <f>ROUND(IF($B$10&gt;4400,$B$10*N$10,4400*$N$10)+$D19*N$11,0)</f>
        <v>146784</v>
      </c>
      <c r="G19" s="50">
        <f>ROUND(IF($B$10&gt;4400,$B$10*P$10,4400*$P$10)+$D19*P$11,0)</f>
        <v>159651</v>
      </c>
      <c r="H19" s="50">
        <f>ROUND(IF($B$10&gt;4400,$B$10*S$10,4400*$S$10)+$D19*S$11,0)</f>
        <v>168443</v>
      </c>
      <c r="J19" s="51">
        <f t="shared" si="3"/>
        <v>8.7659417920209287E-2</v>
      </c>
      <c r="K19" s="51">
        <f t="shared" si="3"/>
        <v>5.5070121702964589E-2</v>
      </c>
      <c r="L19" s="51"/>
      <c r="M19" s="157" t="str">
        <f>'Exh CTM-8 (Schedule 24 Impacts)'!U24</f>
        <v>Schedule 95 PCA Imbalance</v>
      </c>
      <c r="N19" s="57">
        <v>3.6410000000000001E-3</v>
      </c>
      <c r="O19" s="54"/>
      <c r="P19" s="66">
        <v>3.6410000000000001E-3</v>
      </c>
      <c r="Q19" s="55"/>
      <c r="R19" s="54"/>
      <c r="S19" s="66">
        <v>3.6410000000000001E-3</v>
      </c>
      <c r="T19" s="55"/>
    </row>
    <row r="20" spans="1:20" x14ac:dyDescent="0.2">
      <c r="A20" s="35">
        <f t="shared" si="1"/>
        <v>11</v>
      </c>
      <c r="C20" s="23">
        <v>700</v>
      </c>
      <c r="D20" s="49">
        <f>ROUND((B$18*C20),0)</f>
        <v>2800000</v>
      </c>
      <c r="E20" s="49"/>
      <c r="F20" s="50">
        <f>ROUND(IF($B$10&gt;4400,$B$10*N$10,4400*$N$10)+$D20*N$11,0)</f>
        <v>200147</v>
      </c>
      <c r="G20" s="50">
        <f>ROUND(IF($B$10&gt;4400,$B$10*P$10,4400*$P$10)+$D20*P$11,0)</f>
        <v>216559</v>
      </c>
      <c r="H20" s="50">
        <f>ROUND(IF($B$10&gt;4400,$B$10*S$10,4400*$S$10)+$D20*S$11,0)</f>
        <v>226773</v>
      </c>
      <c r="J20" s="51">
        <f t="shared" si="3"/>
        <v>8.1999730198304241E-2</v>
      </c>
      <c r="K20" s="51">
        <f t="shared" si="3"/>
        <v>4.7164975826449143E-2</v>
      </c>
      <c r="L20" s="51"/>
      <c r="M20" s="157" t="str">
        <f>'Exh CTM-8 (Schedule 24 Impacts)'!U25</f>
        <v>Schedule 95A Federal Incentive Credit</v>
      </c>
      <c r="N20" s="57">
        <v>0</v>
      </c>
      <c r="O20" s="54"/>
      <c r="P20" s="66">
        <v>0</v>
      </c>
      <c r="Q20" s="55"/>
      <c r="R20" s="54"/>
      <c r="S20" s="66">
        <v>0</v>
      </c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157" t="str">
        <f>'Exh CTM-8 (Schedule 24 Impacts)'!U26</f>
        <v>Schedule 120 Conservation</v>
      </c>
      <c r="N21" s="57">
        <v>9.7300000000000002E-4</v>
      </c>
      <c r="P21" s="66">
        <v>9.7300000000000002E-4</v>
      </c>
      <c r="Q21" s="59"/>
      <c r="S21" s="66">
        <v>9.7300000000000002E-4</v>
      </c>
      <c r="T21" s="59"/>
    </row>
    <row r="22" spans="1:20" x14ac:dyDescent="0.2">
      <c r="A22" s="35">
        <f t="shared" si="1"/>
        <v>13</v>
      </c>
      <c r="B22" s="49">
        <v>6000</v>
      </c>
      <c r="C22" s="23">
        <v>300</v>
      </c>
      <c r="D22" s="49">
        <f>ROUND((B$22*C22),0)</f>
        <v>1800000</v>
      </c>
      <c r="E22" s="49"/>
      <c r="F22" s="50">
        <f>ROUND(IF($B$10&gt;4400,$B$10*N$10,4400*$N$10)+$D22*N$11,0)</f>
        <v>133443</v>
      </c>
      <c r="G22" s="50">
        <f>ROUND(IF($B$10&gt;4400,$B$10*P$10,4400*$P$10)+$D22*P$11,0)</f>
        <v>145424</v>
      </c>
      <c r="H22" s="50">
        <f>ROUND(IF($B$10&gt;4400,$B$10*S$10,4400*$S$10)+$D22*S$11,0)</f>
        <v>153860</v>
      </c>
      <c r="J22" s="51">
        <f t="shared" ref="J22:K24" si="4">(G22-F22)/F22</f>
        <v>8.9783652945452361E-2</v>
      </c>
      <c r="K22" s="51">
        <f t="shared" si="4"/>
        <v>5.8009682033226977E-2</v>
      </c>
      <c r="L22" s="51"/>
      <c r="M22" s="157" t="str">
        <f>'Exh CTM-8 (Schedule 24 Impacts)'!U27</f>
        <v>Schedule 129 Low Income</v>
      </c>
      <c r="N22" s="57">
        <v>8.12E-4</v>
      </c>
      <c r="O22" s="54"/>
      <c r="P22" s="66">
        <v>8.12E-4</v>
      </c>
      <c r="Q22" s="55"/>
      <c r="R22" s="54"/>
      <c r="S22" s="66">
        <v>8.12E-4</v>
      </c>
      <c r="T22" s="55"/>
    </row>
    <row r="23" spans="1:20" x14ac:dyDescent="0.2">
      <c r="A23" s="35">
        <f t="shared" si="1"/>
        <v>14</v>
      </c>
      <c r="C23" s="23">
        <v>500</v>
      </c>
      <c r="D23" s="49">
        <f>ROUND((B$22*C23),0)</f>
        <v>3000000</v>
      </c>
      <c r="E23" s="49"/>
      <c r="F23" s="50">
        <f>ROUND(IF($B$10&gt;4400,$B$10*N$10,4400*$N$10)+$D23*N$11,0)</f>
        <v>213488</v>
      </c>
      <c r="G23" s="50">
        <f>ROUND(IF($B$10&gt;4400,$B$10*P$10,4400*$P$10)+$D23*P$11,0)</f>
        <v>230786</v>
      </c>
      <c r="H23" s="50">
        <f>ROUND(IF($B$10&gt;4400,$B$10*S$10,4400*$S$10)+$D23*S$11,0)</f>
        <v>241356</v>
      </c>
      <c r="J23" s="51">
        <f t="shared" si="4"/>
        <v>8.1025631417222507E-2</v>
      </c>
      <c r="K23" s="51">
        <f t="shared" si="4"/>
        <v>4.5800005199622164E-2</v>
      </c>
      <c r="L23" s="51"/>
      <c r="M23" s="157" t="str">
        <f>'Exh CTM-8 (Schedule 24 Impacts)'!U28</f>
        <v>Schedule 129D Bill Discount</v>
      </c>
      <c r="N23" s="57">
        <v>3.4499999999999998E-4</v>
      </c>
      <c r="O23" s="54"/>
      <c r="P23" s="66">
        <v>3.4499999999999998E-4</v>
      </c>
      <c r="Q23" s="55"/>
      <c r="R23" s="54"/>
      <c r="S23" s="66">
        <v>3.4499999999999998E-4</v>
      </c>
      <c r="T23" s="55"/>
    </row>
    <row r="24" spans="1:20" x14ac:dyDescent="0.2">
      <c r="A24" s="35">
        <f t="shared" si="1"/>
        <v>15</v>
      </c>
      <c r="C24" s="23">
        <v>700</v>
      </c>
      <c r="D24" s="49">
        <f>ROUND((B$22*C24),0)</f>
        <v>4200000</v>
      </c>
      <c r="E24" s="49"/>
      <c r="F24" s="50">
        <f>ROUND(IF($B$10&gt;4400,$B$10*N$10,4400*$N$10)+$D24*N$11,0)</f>
        <v>293533</v>
      </c>
      <c r="G24" s="50">
        <f>ROUND(IF($B$10&gt;4400,$B$10*P$10,4400*$P$10)+$D24*P$11,0)</f>
        <v>316149</v>
      </c>
      <c r="H24" s="50">
        <f>ROUND(IF($B$10&gt;4400,$B$10*S$10,4400*$S$10)+$D24*S$11,0)</f>
        <v>328852</v>
      </c>
      <c r="J24" s="51">
        <f t="shared" si="4"/>
        <v>7.7047555130087583E-2</v>
      </c>
      <c r="K24" s="51">
        <f t="shared" si="4"/>
        <v>4.0180421257065495E-2</v>
      </c>
      <c r="L24" s="51"/>
      <c r="M24" s="157" t="str">
        <f>'Exh CTM-8 (Schedule 24 Impacts)'!U29</f>
        <v>Schedule 137 REC</v>
      </c>
      <c r="N24" s="57">
        <v>9.9999999999999995E-7</v>
      </c>
      <c r="O24" s="54"/>
      <c r="P24" s="66">
        <v>0</v>
      </c>
      <c r="Q24" s="55"/>
      <c r="R24" s="54"/>
      <c r="S24" s="66">
        <v>0</v>
      </c>
      <c r="T24" s="55"/>
    </row>
    <row r="25" spans="1:20" x14ac:dyDescent="0.2">
      <c r="A25" s="35">
        <f t="shared" si="1"/>
        <v>16</v>
      </c>
      <c r="D25" s="49"/>
      <c r="E25" s="49"/>
      <c r="F25" s="50"/>
      <c r="G25" s="50"/>
      <c r="H25" s="50"/>
      <c r="J25" s="51"/>
      <c r="K25" s="51"/>
      <c r="L25" s="51"/>
      <c r="M25" s="157" t="str">
        <f>'Exh CTM-8 (Schedule 24 Impacts)'!U30</f>
        <v>Schedule 140 Property Tax</v>
      </c>
      <c r="N25" s="57">
        <v>9.5E-4</v>
      </c>
      <c r="O25" s="54"/>
      <c r="P25" s="66">
        <v>9.5E-4</v>
      </c>
      <c r="Q25" s="55"/>
      <c r="R25" s="54"/>
      <c r="S25" s="66">
        <v>9.5E-4</v>
      </c>
      <c r="T25" s="55"/>
    </row>
    <row r="26" spans="1:20" x14ac:dyDescent="0.2">
      <c r="A26" s="35">
        <f t="shared" si="1"/>
        <v>17</v>
      </c>
      <c r="B26" s="49">
        <v>8000</v>
      </c>
      <c r="C26" s="23">
        <v>300</v>
      </c>
      <c r="D26" s="49">
        <f>ROUND((B$26*C26),0)</f>
        <v>2400000</v>
      </c>
      <c r="E26" s="49"/>
      <c r="F26" s="50">
        <f>ROUND(IF($B$10&gt;4400,$B$10*N$10,4400*$N$10)+$D26*N$11,0)</f>
        <v>173466</v>
      </c>
      <c r="G26" s="50">
        <f>ROUND(IF($B$10&gt;4400,$B$10*P$10,4400*$P$10)+$D26*P$11,0)</f>
        <v>188105</v>
      </c>
      <c r="H26" s="50">
        <f>ROUND(IF($B$10&gt;4400,$B$10*S$10,4400*$S$10)+$D26*S$11,0)</f>
        <v>197608</v>
      </c>
      <c r="J26" s="51">
        <f t="shared" ref="J26:K28" si="5">(G26-F26)/F26</f>
        <v>8.4391177521819835E-2</v>
      </c>
      <c r="K26" s="51">
        <f t="shared" si="5"/>
        <v>5.0519656574785361E-2</v>
      </c>
      <c r="L26" s="51"/>
      <c r="M26" s="157" t="str">
        <f>'Exh CTM-8 (Schedule 24 Impacts)'!U31</f>
        <v>Schedule 141 ERF</v>
      </c>
      <c r="N26" s="57">
        <v>0</v>
      </c>
      <c r="O26" s="54"/>
      <c r="P26" s="66">
        <v>0</v>
      </c>
      <c r="Q26" s="55"/>
      <c r="R26" s="54"/>
      <c r="S26" s="66">
        <v>0</v>
      </c>
      <c r="T26" s="55"/>
    </row>
    <row r="27" spans="1:20" x14ac:dyDescent="0.2">
      <c r="A27" s="35">
        <f t="shared" si="1"/>
        <v>18</v>
      </c>
      <c r="C27" s="23">
        <v>500</v>
      </c>
      <c r="D27" s="49">
        <f>ROUND((B$26*C27),0)</f>
        <v>4000000</v>
      </c>
      <c r="E27" s="49"/>
      <c r="F27" s="50">
        <f>ROUND(IF($B$10&gt;4400,$B$10*N$10,4400*$N$10)+$D27*N$11,0)</f>
        <v>280192</v>
      </c>
      <c r="G27" s="50">
        <f>ROUND(IF($B$10&gt;4400,$B$10*P$10,4400*$P$10)+$D27*P$11,0)</f>
        <v>301922</v>
      </c>
      <c r="H27" s="50">
        <f>ROUND(IF($B$10&gt;4400,$B$10*S$10,4400*$S$10)+$D27*S$11,0)</f>
        <v>314269</v>
      </c>
      <c r="J27" s="51">
        <f t="shared" si="5"/>
        <v>7.7553962996802187E-2</v>
      </c>
      <c r="K27" s="51">
        <f t="shared" si="5"/>
        <v>4.0894668159325916E-2</v>
      </c>
      <c r="L27" s="51"/>
      <c r="M27" s="157" t="str">
        <f>'Exh CTM-8 (Schedule 24 Impacts)'!U32</f>
        <v>Schedule 141A Energy Charge Credit</v>
      </c>
      <c r="N27" s="57">
        <v>1.5560000000000001E-3</v>
      </c>
      <c r="P27" s="66">
        <v>1.5560000000000001E-3</v>
      </c>
      <c r="Q27" s="59"/>
      <c r="S27" s="66">
        <v>1.5560000000000001E-3</v>
      </c>
      <c r="T27" s="59"/>
    </row>
    <row r="28" spans="1:20" x14ac:dyDescent="0.2">
      <c r="A28" s="35">
        <f t="shared" si="1"/>
        <v>19</v>
      </c>
      <c r="C28" s="23">
        <v>700</v>
      </c>
      <c r="D28" s="49">
        <f>ROUND((B$26*C28),0)</f>
        <v>5600000</v>
      </c>
      <c r="E28" s="49"/>
      <c r="F28" s="50">
        <f>ROUND(IF($B$10&gt;4400,$B$10*N$10,4400*$N$10)+$D28*N$11,0)</f>
        <v>386918</v>
      </c>
      <c r="G28" s="50">
        <f>ROUND(IF($B$10&gt;4400,$B$10*P$10,4400*$P$10)+$D28*P$11,0)</f>
        <v>415738</v>
      </c>
      <c r="H28" s="50">
        <f>ROUND(IF($B$10&gt;4400,$B$10*S$10,4400*$S$10)+$D28*S$11,0)</f>
        <v>430931</v>
      </c>
      <c r="J28" s="51">
        <f t="shared" si="5"/>
        <v>7.4486066815190821E-2</v>
      </c>
      <c r="K28" s="51">
        <f t="shared" si="5"/>
        <v>3.6544650717519209E-2</v>
      </c>
      <c r="L28" s="51"/>
      <c r="M28" s="157" t="str">
        <f>'Exh CTM-8 (Schedule 24 Impacts)'!U33</f>
        <v>Schedule 141CEI Clean Energy Implementation Plan</v>
      </c>
      <c r="N28" s="57">
        <v>3.5599999999999998E-4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D29" s="49"/>
      <c r="E29" s="49"/>
      <c r="F29" s="50"/>
      <c r="G29" s="50"/>
      <c r="H29" s="50"/>
      <c r="J29" s="51"/>
      <c r="K29" s="51"/>
      <c r="L29" s="51"/>
      <c r="M29" s="157" t="str">
        <f>'Exh CTM-8 (Schedule 24 Impacts)'!U34</f>
        <v>Schedule 141CGR Clean Generation Resources</v>
      </c>
      <c r="N29" s="57">
        <v>0</v>
      </c>
      <c r="O29" s="54"/>
      <c r="P29" s="66">
        <v>7.2747420206110221E-4</v>
      </c>
      <c r="Q29" s="55"/>
      <c r="R29" s="54"/>
      <c r="S29" s="66">
        <v>9.1441831227747066E-4</v>
      </c>
      <c r="T29" s="55"/>
    </row>
    <row r="30" spans="1:20" x14ac:dyDescent="0.2">
      <c r="A30" s="35">
        <f t="shared" si="1"/>
        <v>21</v>
      </c>
      <c r="B30" s="49">
        <v>10000</v>
      </c>
      <c r="C30" s="23">
        <v>300</v>
      </c>
      <c r="D30" s="49">
        <f>ROUND((B$30*C30),0)</f>
        <v>3000000</v>
      </c>
      <c r="E30" s="49"/>
      <c r="F30" s="50">
        <f>ROUND(IF($B$10&gt;4400,$B$10*N$10,4400*$N$10)+$D30*N$11,0)</f>
        <v>213488</v>
      </c>
      <c r="G30" s="50">
        <f>ROUND(IF($B$10&gt;4400,$B$10*P$10,4400*$P$10)+$D30*P$11,0)</f>
        <v>230786</v>
      </c>
      <c r="H30" s="50">
        <f>ROUND(IF($B$10&gt;4400,$B$10*S$10,4400*$S$10)+$D30*S$11,0)</f>
        <v>241356</v>
      </c>
      <c r="J30" s="51">
        <f t="shared" ref="J30:K32" si="6">(G30-F30)/F30</f>
        <v>8.1025631417222507E-2</v>
      </c>
      <c r="K30" s="51">
        <f t="shared" si="6"/>
        <v>4.5800005199622164E-2</v>
      </c>
      <c r="L30" s="51"/>
      <c r="M30" s="157" t="str">
        <f>'Exh CTM-8 (Schedule 24 Impacts)'!U35</f>
        <v>Schedule 141DCARB Decarbonization</v>
      </c>
      <c r="N30" s="57">
        <v>0</v>
      </c>
      <c r="O30" s="54"/>
      <c r="P30" s="66">
        <v>5.1948687657628185E-5</v>
      </c>
      <c r="Q30" s="55"/>
      <c r="R30" s="54"/>
      <c r="S30" s="66">
        <v>5.1956310943770761E-5</v>
      </c>
      <c r="T30" s="55"/>
    </row>
    <row r="31" spans="1:20" x14ac:dyDescent="0.2">
      <c r="A31" s="35">
        <f t="shared" si="1"/>
        <v>22</v>
      </c>
      <c r="C31" s="23">
        <v>500</v>
      </c>
      <c r="D31" s="49">
        <f>ROUND((B$30*C31),0)</f>
        <v>5000000</v>
      </c>
      <c r="E31" s="49"/>
      <c r="F31" s="50">
        <f>ROUND(IF($B$10&gt;4400,$B$10*N$10,4400*$N$10)+$D31*N$11,0)</f>
        <v>346896</v>
      </c>
      <c r="G31" s="50">
        <f>ROUND(IF($B$10&gt;4400,$B$10*P$10,4400*$P$10)+$D31*P$11,0)</f>
        <v>373057</v>
      </c>
      <c r="H31" s="50">
        <f>ROUND(IF($B$10&gt;4400,$B$10*S$10,4400*$S$10)+$D31*S$11,0)</f>
        <v>387183</v>
      </c>
      <c r="J31" s="51">
        <f t="shared" si="6"/>
        <v>7.5414533462478672E-2</v>
      </c>
      <c r="K31" s="51">
        <f t="shared" si="6"/>
        <v>3.7865527251867676E-2</v>
      </c>
      <c r="L31" s="51"/>
      <c r="M31" s="157" t="str">
        <f>'Exh CTM-8 (Schedule 24 Impacts)'!U36</f>
        <v>Schedule 141COL Colstrip Adjustment</v>
      </c>
      <c r="N31" s="57">
        <v>9.8999999999999994E-5</v>
      </c>
      <c r="P31" s="66">
        <v>9.8999999999999994E-5</v>
      </c>
      <c r="Q31" s="59"/>
      <c r="S31" s="66">
        <v>9.8999999999999994E-5</v>
      </c>
      <c r="T31" s="59"/>
    </row>
    <row r="32" spans="1:20" x14ac:dyDescent="0.2">
      <c r="A32" s="35">
        <f t="shared" si="1"/>
        <v>23</v>
      </c>
      <c r="C32" s="23">
        <v>700</v>
      </c>
      <c r="D32" s="49">
        <f>ROUND((B$30*C32),0)</f>
        <v>7000000</v>
      </c>
      <c r="E32" s="49"/>
      <c r="F32" s="50">
        <f>ROUND(IF($B$10&gt;4400,$B$10*N$10,4400*$N$10)+$D32*N$11,0)</f>
        <v>480304</v>
      </c>
      <c r="G32" s="50">
        <f>ROUND(IF($B$10&gt;4400,$B$10*P$10,4400*$P$10)+$D32*P$11,0)</f>
        <v>515328</v>
      </c>
      <c r="H32" s="50">
        <f>ROUND(IF($B$10&gt;4400,$B$10*S$10,4400*$S$10)+$D32*S$11,0)</f>
        <v>533010</v>
      </c>
      <c r="J32" s="51">
        <f t="shared" si="6"/>
        <v>7.2920483693660679E-2</v>
      </c>
      <c r="K32" s="51">
        <f t="shared" si="6"/>
        <v>3.431212742175857E-2</v>
      </c>
      <c r="L32" s="51"/>
      <c r="M32" s="157" t="str">
        <f>'Exh CTM-8 (Schedule 24 Impacts)'!U37</f>
        <v>Schedule 141N Rates Not Subject to Refund</v>
      </c>
      <c r="N32" s="57">
        <v>2.5899999999999999E-3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B33" s="44"/>
      <c r="C33" s="44"/>
      <c r="D33" s="44"/>
      <c r="E33" s="44"/>
      <c r="F33" s="44"/>
      <c r="G33" s="44"/>
      <c r="H33" s="44"/>
      <c r="I33" s="44"/>
      <c r="J33" s="44"/>
      <c r="M33" s="157" t="str">
        <f>'Exh CTM-8 (Schedule 24 Impacts)'!U38</f>
        <v>Schedule 141R Rates Subject to Refund</v>
      </c>
      <c r="N33" s="57">
        <v>2.4610000000000001E-3</v>
      </c>
      <c r="O33" s="54"/>
      <c r="P33" s="66">
        <v>0</v>
      </c>
      <c r="Q33" s="55"/>
      <c r="R33" s="54"/>
      <c r="S33" s="66">
        <v>0</v>
      </c>
      <c r="T33" s="55"/>
    </row>
    <row r="34" spans="1:20" x14ac:dyDescent="0.2">
      <c r="A34" s="35">
        <f t="shared" si="1"/>
        <v>25</v>
      </c>
      <c r="M34" s="157" t="str">
        <f>'Exh CTM-8 (Schedule 24 Impacts)'!U39</f>
        <v>Schedule 141 TEP</v>
      </c>
      <c r="N34" s="57">
        <v>3.1799999999999998E-4</v>
      </c>
      <c r="O34" s="54"/>
      <c r="P34" s="66">
        <v>3.1799999999999998E-4</v>
      </c>
      <c r="Q34" s="55"/>
      <c r="R34" s="54"/>
      <c r="S34" s="66">
        <v>3.1799999999999998E-4</v>
      </c>
      <c r="T34" s="55"/>
    </row>
    <row r="35" spans="1:20" x14ac:dyDescent="0.2">
      <c r="A35" s="35">
        <f t="shared" si="1"/>
        <v>26</v>
      </c>
      <c r="M35" s="157" t="str">
        <f>'Exh CTM-8 (Schedule 24 Impacts)'!U40</f>
        <v>Schedule 141WFP Wildfire Prevention Cost Recovery</v>
      </c>
      <c r="N35" s="57">
        <v>0</v>
      </c>
      <c r="P35" s="66">
        <v>1.0769742182156803E-5</v>
      </c>
      <c r="Q35" s="59"/>
      <c r="S35" s="66">
        <v>1.3448393705163386E-5</v>
      </c>
      <c r="T35" s="59"/>
    </row>
    <row r="36" spans="1:20" x14ac:dyDescent="0.2">
      <c r="A36" s="35">
        <f t="shared" si="1"/>
        <v>27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57" t="str">
        <f>'Exh CTM-8 (Schedule 24 Impacts)'!U41</f>
        <v>Schedule 141X (Protected) EDIT</v>
      </c>
      <c r="N36" s="57">
        <v>0</v>
      </c>
      <c r="O36" s="60"/>
      <c r="P36" s="66">
        <v>0</v>
      </c>
      <c r="Q36" s="61"/>
      <c r="R36" s="60"/>
      <c r="S36" s="66">
        <v>0</v>
      </c>
      <c r="T36" s="61"/>
    </row>
    <row r="37" spans="1:20" x14ac:dyDescent="0.2">
      <c r="A37" s="35">
        <f t="shared" si="1"/>
        <v>28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57" t="str">
        <f>'Exh CTM-8 (Schedule 24 Impacts)'!U42</f>
        <v>Schedule 141Z (Unprotected) EDIT</v>
      </c>
      <c r="N37" s="57">
        <v>0</v>
      </c>
      <c r="O37" s="60"/>
      <c r="P37" s="66">
        <v>0</v>
      </c>
      <c r="Q37" s="61"/>
      <c r="R37" s="60"/>
      <c r="S37" s="66">
        <v>0</v>
      </c>
      <c r="T37" s="61"/>
    </row>
    <row r="38" spans="1:20" x14ac:dyDescent="0.2">
      <c r="A38" s="35">
        <f t="shared" si="1"/>
        <v>29</v>
      </c>
      <c r="B38" s="30"/>
      <c r="C38" s="31"/>
      <c r="D38" s="30"/>
      <c r="E38" s="30"/>
      <c r="F38" s="30"/>
      <c r="G38" s="30"/>
      <c r="H38" s="30"/>
      <c r="I38" s="30"/>
      <c r="J38" s="30"/>
      <c r="K38" s="30"/>
      <c r="L38" s="30"/>
      <c r="M38" s="157" t="str">
        <f>'Exh CTM-8 (Schedule 24 Impacts)'!U43</f>
        <v>Schedule 142  Deocupling Deferral</v>
      </c>
      <c r="N38" s="57">
        <v>0</v>
      </c>
      <c r="O38" s="60"/>
      <c r="P38" s="66">
        <v>0</v>
      </c>
      <c r="Q38" s="61"/>
      <c r="R38" s="60"/>
      <c r="S38" s="66">
        <v>0</v>
      </c>
      <c r="T38" s="61"/>
    </row>
    <row r="39" spans="1:20" x14ac:dyDescent="0.2">
      <c r="A39" s="35">
        <f t="shared" si="1"/>
        <v>30</v>
      </c>
      <c r="B39" s="30"/>
      <c r="M39" s="157" t="str">
        <f>'Exh CTM-8 (Schedule 24 Impacts)'!U44</f>
        <v>Schedule 142 Deocupling Supplemental</v>
      </c>
      <c r="N39" s="57">
        <v>0</v>
      </c>
      <c r="O39" s="60"/>
      <c r="P39" s="66">
        <v>0</v>
      </c>
      <c r="Q39" s="61"/>
      <c r="R39" s="60"/>
      <c r="S39" s="66">
        <v>0</v>
      </c>
      <c r="T39" s="61"/>
    </row>
    <row r="40" spans="1:20" x14ac:dyDescent="0.2">
      <c r="A40" s="35">
        <f t="shared" si="1"/>
        <v>31</v>
      </c>
      <c r="B40" s="158"/>
      <c r="C40" s="79"/>
      <c r="M40" s="157" t="str">
        <f>'Exh CTM-8 (Schedule 24 Impacts)'!U45</f>
        <v>Schedule 194 BPA Res &amp; Farm Credit</v>
      </c>
      <c r="N40" s="159" t="s">
        <v>244</v>
      </c>
      <c r="P40" s="66"/>
      <c r="Q40" s="59"/>
      <c r="S40" s="66"/>
      <c r="T40" s="61"/>
    </row>
    <row r="41" spans="1:20" ht="12" thickBot="1" x14ac:dyDescent="0.25">
      <c r="A41" s="35">
        <f t="shared" si="1"/>
        <v>32</v>
      </c>
      <c r="M41" s="62" t="s">
        <v>170</v>
      </c>
      <c r="N41" s="63">
        <f>SUM(N18:N40)+N15</f>
        <v>7.2072999999999998E-2</v>
      </c>
      <c r="P41" s="64">
        <f>SUM(P18:P40)+P15</f>
        <v>7.1464192631900889E-2</v>
      </c>
      <c r="Q41" s="61"/>
      <c r="S41" s="64">
        <f>SUM(S18:S40)+S15</f>
        <v>7.3244823016926405E-2</v>
      </c>
      <c r="T41" s="61"/>
    </row>
    <row r="42" spans="1:20" ht="12" thickTop="1" x14ac:dyDescent="0.2">
      <c r="A42" s="35">
        <f t="shared" si="1"/>
        <v>33</v>
      </c>
      <c r="M42" s="62"/>
      <c r="N42" s="65"/>
      <c r="P42" s="66"/>
      <c r="Q42" s="57"/>
      <c r="S42" s="66"/>
      <c r="T42" s="57"/>
    </row>
    <row r="43" spans="1:20" x14ac:dyDescent="0.2">
      <c r="A43" s="35">
        <f t="shared" si="1"/>
        <v>34</v>
      </c>
      <c r="M43" s="67" t="s">
        <v>105</v>
      </c>
      <c r="N43" s="68"/>
      <c r="P43" s="58"/>
      <c r="Q43" s="160">
        <f>'Exh CTM-8 (Rate Impacts_RY#1)'!$H$18</f>
        <v>0.18114119163903467</v>
      </c>
      <c r="S43" s="58"/>
      <c r="T43" s="160">
        <f>'Exh CTM-8 (Rate Impacts_RY#2)'!$I$18</f>
        <v>7.7884392749647716E-2</v>
      </c>
    </row>
    <row r="44" spans="1:20" x14ac:dyDescent="0.2">
      <c r="A44" s="35">
        <f t="shared" si="1"/>
        <v>35</v>
      </c>
      <c r="M44" s="67" t="s">
        <v>104</v>
      </c>
      <c r="N44" s="68"/>
      <c r="P44" s="58"/>
      <c r="Q44" s="160">
        <f>'Exh CTM-8 (Rate Impacts_RY#1)'!$AI$18</f>
        <v>4.7763827836913554E-2</v>
      </c>
      <c r="S44" s="58"/>
      <c r="T44" s="160">
        <f>'Exh CTM-8 (Rate Impacts_RY#2)'!$V$18</f>
        <v>8.5681330602463482E-2</v>
      </c>
    </row>
    <row r="45" spans="1:20" ht="12" thickBot="1" x14ac:dyDescent="0.25">
      <c r="A45" s="35">
        <f t="shared" si="1"/>
        <v>36</v>
      </c>
      <c r="M45" s="70" t="s">
        <v>169</v>
      </c>
      <c r="N45" s="69"/>
      <c r="P45" s="70"/>
      <c r="Q45" s="69"/>
      <c r="S45" s="70"/>
      <c r="T45" s="69"/>
    </row>
  </sheetData>
  <mergeCells count="8">
    <mergeCell ref="F7:H7"/>
    <mergeCell ref="J7:K7"/>
    <mergeCell ref="P6:Q6"/>
    <mergeCell ref="S6:T6"/>
    <mergeCell ref="A1:Q1"/>
    <mergeCell ref="A2:Q2"/>
    <mergeCell ref="A3:Q3"/>
    <mergeCell ref="A4:Q4"/>
  </mergeCells>
  <pageMargins left="0.7" right="0.7" top="0.75" bottom="0.75" header="0.3" footer="0.3"/>
  <pageSetup scale="39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E301-7B45-494E-996D-485F62A1F539}">
  <sheetPr>
    <pageSetUpPr fitToPage="1"/>
  </sheetPr>
  <dimension ref="A1:T45"/>
  <sheetViews>
    <sheetView zoomScaleNormal="100" zoomScaleSheetLayoutView="100" workbookViewId="0">
      <pane xSplit="2" ySplit="11" topLeftCell="C1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7109375" style="23" customWidth="1"/>
    <col min="3" max="3" width="10.28515625" style="23" customWidth="1"/>
    <col min="4" max="4" width="10.85546875" style="23" bestFit="1" customWidth="1"/>
    <col min="5" max="5" width="1.140625" style="23" customWidth="1"/>
    <col min="6" max="6" width="11.5703125" style="23" customWidth="1"/>
    <col min="7" max="7" width="14.140625" style="23" customWidth="1"/>
    <col min="8" max="8" width="12.7109375" style="23" customWidth="1"/>
    <col min="9" max="9" width="1.140625" style="23" customWidth="1"/>
    <col min="10" max="10" width="9.5703125" style="23" bestFit="1" customWidth="1"/>
    <col min="11" max="11" width="9.5703125" style="23" customWidth="1"/>
    <col min="12" max="12" width="1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ht="11.25" customHeight="1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31"/>
      <c r="S1" s="31"/>
      <c r="T1" s="31"/>
    </row>
    <row r="2" spans="1:20" ht="11.25" customHeight="1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31"/>
      <c r="S2" s="31"/>
      <c r="T2" s="31"/>
    </row>
    <row r="3" spans="1:20" ht="12.75" customHeight="1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31"/>
      <c r="S3" s="31"/>
      <c r="T3" s="31"/>
    </row>
    <row r="4" spans="1:20" ht="12.75" x14ac:dyDescent="0.2">
      <c r="A4" s="207" t="s">
        <v>256</v>
      </c>
      <c r="B4" s="213" t="s">
        <v>250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31"/>
      <c r="S4" s="31"/>
      <c r="T4" s="31"/>
    </row>
    <row r="5" spans="1:20" ht="12" thickBot="1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A6" s="33"/>
      <c r="B6" s="31"/>
      <c r="C6" s="33"/>
      <c r="D6" s="33"/>
      <c r="E6" s="33"/>
      <c r="F6" s="33"/>
      <c r="G6" s="33"/>
      <c r="H6" s="33"/>
      <c r="I6" s="33"/>
      <c r="M6" s="34"/>
      <c r="N6" s="34"/>
      <c r="P6" s="192" t="s">
        <v>128</v>
      </c>
      <c r="Q6" s="225"/>
      <c r="S6" s="192" t="s">
        <v>127</v>
      </c>
      <c r="T6" s="225"/>
    </row>
    <row r="7" spans="1:20" ht="13.5" customHeight="1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33.7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255</v>
      </c>
      <c r="G8" s="117" t="s">
        <v>254</v>
      </c>
      <c r="H8" s="117" t="s">
        <v>253</v>
      </c>
      <c r="I8" s="34"/>
      <c r="J8" s="117" t="s">
        <v>184</v>
      </c>
      <c r="K8" s="117" t="s">
        <v>183</v>
      </c>
      <c r="L8" s="3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A9" s="44"/>
      <c r="B9" s="45" t="s">
        <v>43</v>
      </c>
      <c r="C9" s="45" t="s">
        <v>42</v>
      </c>
      <c r="D9" s="45" t="s">
        <v>41</v>
      </c>
      <c r="E9" s="45"/>
      <c r="F9" s="45" t="s">
        <v>40</v>
      </c>
      <c r="G9" s="45" t="s">
        <v>39</v>
      </c>
      <c r="H9" s="45" t="s">
        <v>83</v>
      </c>
      <c r="I9" s="45"/>
      <c r="J9" s="45" t="s">
        <v>37</v>
      </c>
      <c r="K9" s="45" t="s">
        <v>117</v>
      </c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49">
        <v>1000</v>
      </c>
      <c r="C10" s="23">
        <v>300</v>
      </c>
      <c r="D10" s="49">
        <f>ROUND((B$10*C10),0)</f>
        <v>300000</v>
      </c>
      <c r="E10" s="49"/>
      <c r="F10" s="50">
        <f>ROUND(IF($B$10&gt;4400,$B$10*N$10,4400*$N$10)+$D10*N$11,0)</f>
        <v>45448</v>
      </c>
      <c r="G10" s="50">
        <f>ROUND(IF($B$10&gt;4400,$B$10*P$10,4400*$P$10)+$D10*P$11,0)</f>
        <v>54428</v>
      </c>
      <c r="H10" s="50">
        <f>ROUND(IF($B$10&gt;4400,$B$10*S$10,4400*$S$10)+$D10*S$11,0)</f>
        <v>64666</v>
      </c>
      <c r="J10" s="51">
        <f t="shared" ref="J10:K12" si="0">(G10-F10)/F10</f>
        <v>0.19758845273719416</v>
      </c>
      <c r="K10" s="51">
        <f t="shared" si="0"/>
        <v>0.18810171235393547</v>
      </c>
      <c r="L10" s="51"/>
      <c r="M10" s="52" t="s">
        <v>246</v>
      </c>
      <c r="N10" s="53">
        <f>SUM(N14)</f>
        <v>5.65</v>
      </c>
      <c r="O10" s="54"/>
      <c r="P10" s="6">
        <f>SUM(P14)</f>
        <v>7.35</v>
      </c>
      <c r="Q10" s="55">
        <f>(P10-N10)/N10</f>
        <v>0.30088495575221225</v>
      </c>
      <c r="R10" s="54"/>
      <c r="S10" s="6">
        <f>SUM(S14)</f>
        <v>9.5500000000000007</v>
      </c>
      <c r="T10" s="55">
        <f>(S10-P10)/P10</f>
        <v>0.29931972789115663</v>
      </c>
    </row>
    <row r="11" spans="1:20" x14ac:dyDescent="0.2">
      <c r="A11" s="35">
        <f t="shared" ref="A11:A45" si="1">A10+1</f>
        <v>2</v>
      </c>
      <c r="C11" s="23">
        <v>500</v>
      </c>
      <c r="D11" s="49">
        <f>ROUND((B$10*C11),0)</f>
        <v>500000</v>
      </c>
      <c r="E11" s="49"/>
      <c r="F11" s="50">
        <f>ROUND(IF($B$10&gt;4400,$B$10*N$10,4400*$N$10)+$D11*N$11,0)</f>
        <v>59174</v>
      </c>
      <c r="G11" s="50">
        <f>ROUND(IF($B$10&gt;4400,$B$10*P$10,4400*$P$10)+$D11*P$11,0)</f>
        <v>69154</v>
      </c>
      <c r="H11" s="50">
        <f>ROUND(IF($B$10&gt;4400,$B$10*S$10,4400*$S$10)+$D11*S$11,0)</f>
        <v>79763</v>
      </c>
      <c r="J11" s="51">
        <f t="shared" si="0"/>
        <v>0.16865515260080441</v>
      </c>
      <c r="K11" s="51">
        <f t="shared" si="0"/>
        <v>0.15341122711629118</v>
      </c>
      <c r="L11" s="51"/>
      <c r="M11" s="52" t="s">
        <v>245</v>
      </c>
      <c r="N11" s="53">
        <f>SUM(N15,N17:N31)</f>
        <v>6.8628000000000008E-2</v>
      </c>
      <c r="O11" s="54"/>
      <c r="P11" s="6">
        <f>SUM(P15,P17:P31)</f>
        <v>7.3627150050660173E-2</v>
      </c>
      <c r="Q11" s="55">
        <f>(P11-N11)/N11</f>
        <v>7.2844175127647084E-2</v>
      </c>
      <c r="R11" s="54"/>
      <c r="S11" s="6">
        <f>SUM(S15,S17:S31)</f>
        <v>7.5485091367295698E-2</v>
      </c>
      <c r="T11" s="55">
        <f>(S11-P11)/P11</f>
        <v>2.5234459236261938E-2</v>
      </c>
    </row>
    <row r="12" spans="1:20" x14ac:dyDescent="0.2">
      <c r="A12" s="35">
        <f t="shared" si="1"/>
        <v>3</v>
      </c>
      <c r="C12" s="23">
        <v>700</v>
      </c>
      <c r="D12" s="49">
        <f>ROUND((B$10*C12),0)</f>
        <v>700000</v>
      </c>
      <c r="E12" s="49"/>
      <c r="F12" s="50">
        <f>ROUND(IF($B$10&gt;4400,$B$10*N$10,4400*$N$10)+$D12*N$11,0)</f>
        <v>72900</v>
      </c>
      <c r="G12" s="50">
        <f>ROUND(IF($B$10&gt;4400,$B$10*P$10,4400*$P$10)+$D12*P$11,0)</f>
        <v>83879</v>
      </c>
      <c r="H12" s="50">
        <f>ROUND(IF($B$10&gt;4400,$B$10*S$10,4400*$S$10)+$D12*S$11,0)</f>
        <v>94860</v>
      </c>
      <c r="J12" s="51">
        <f t="shared" si="0"/>
        <v>0.15060356652949244</v>
      </c>
      <c r="K12" s="51">
        <f t="shared" si="0"/>
        <v>0.13091477008548028</v>
      </c>
      <c r="L12" s="51"/>
      <c r="M12" s="56" t="s">
        <v>112</v>
      </c>
      <c r="N12" s="53" t="s">
        <v>112</v>
      </c>
      <c r="O12" s="54"/>
      <c r="P12" s="6" t="s">
        <v>112</v>
      </c>
      <c r="Q12" s="55"/>
      <c r="R12" s="54"/>
      <c r="S12" s="6" t="s">
        <v>112</v>
      </c>
      <c r="T12" s="55"/>
    </row>
    <row r="13" spans="1:20" x14ac:dyDescent="0.2">
      <c r="A13" s="35">
        <f t="shared" si="1"/>
        <v>4</v>
      </c>
      <c r="F13" s="50"/>
      <c r="G13" s="50"/>
      <c r="H13" s="50"/>
      <c r="J13" s="51"/>
      <c r="K13" s="51"/>
      <c r="L13" s="51"/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49">
        <v>2000</v>
      </c>
      <c r="C14" s="23">
        <v>300</v>
      </c>
      <c r="D14" s="49">
        <f>ROUND((B$14*C14),0)</f>
        <v>600000</v>
      </c>
      <c r="E14" s="49"/>
      <c r="F14" s="50">
        <f>ROUND(IF($B$10&gt;4400,$B$10*N$10,4400*$N$10)+$D14*N$11,0)</f>
        <v>66037</v>
      </c>
      <c r="G14" s="50">
        <f>ROUND(IF($B$10&gt;4400,$B$10*P$10,4400*$P$10)+$D14*P$11,0)</f>
        <v>76516</v>
      </c>
      <c r="H14" s="50">
        <f>ROUND(IF($B$10&gt;4400,$B$10*S$10,4400*$S$10)+$D14*S$11,0)</f>
        <v>87311</v>
      </c>
      <c r="J14" s="51">
        <f t="shared" ref="J14:K16" si="2">(G14-F14)/F14</f>
        <v>0.15868376819055985</v>
      </c>
      <c r="K14" s="51">
        <f t="shared" si="2"/>
        <v>0.1410816038475613</v>
      </c>
      <c r="L14" s="51"/>
      <c r="M14" s="56" t="s">
        <v>246</v>
      </c>
      <c r="N14" s="53">
        <v>5.65</v>
      </c>
      <c r="O14" s="54"/>
      <c r="P14" s="126">
        <v>7.35</v>
      </c>
      <c r="Q14" s="55">
        <f>(P14-N14)/N14</f>
        <v>0.30088495575221225</v>
      </c>
      <c r="R14" s="54"/>
      <c r="S14" s="126">
        <v>9.5500000000000007</v>
      </c>
      <c r="T14" s="55">
        <f>(S14-P14)/P14</f>
        <v>0.29931972789115663</v>
      </c>
    </row>
    <row r="15" spans="1:20" x14ac:dyDescent="0.2">
      <c r="A15" s="35">
        <f t="shared" si="1"/>
        <v>6</v>
      </c>
      <c r="C15" s="23">
        <v>500</v>
      </c>
      <c r="D15" s="49">
        <f>ROUND((B$14*C15),0)</f>
        <v>1000000</v>
      </c>
      <c r="E15" s="49"/>
      <c r="F15" s="50">
        <f>ROUND(IF($B$10&gt;4400,$B$10*N$10,4400*$N$10)+$D15*N$11,0)</f>
        <v>93488</v>
      </c>
      <c r="G15" s="50">
        <f>ROUND(IF($B$10&gt;4400,$B$10*P$10,4400*$P$10)+$D15*P$11,0)</f>
        <v>105967</v>
      </c>
      <c r="H15" s="50">
        <f>ROUND(IF($B$10&gt;4400,$B$10*S$10,4400*$S$10)+$D15*S$11,0)</f>
        <v>117505</v>
      </c>
      <c r="J15" s="51">
        <f t="shared" si="2"/>
        <v>0.13348237206914257</v>
      </c>
      <c r="K15" s="51">
        <f t="shared" si="2"/>
        <v>0.10888295412722829</v>
      </c>
      <c r="L15" s="51"/>
      <c r="M15" s="56" t="s">
        <v>245</v>
      </c>
      <c r="N15" s="57">
        <v>5.0422000000000002E-2</v>
      </c>
      <c r="O15" s="54"/>
      <c r="P15" s="66">
        <v>6.1994E-2</v>
      </c>
      <c r="Q15" s="55">
        <f>(P15-N15)/N15</f>
        <v>0.22950299472452498</v>
      </c>
      <c r="R15" s="54"/>
      <c r="S15" s="66">
        <v>6.3664999999999999E-2</v>
      </c>
      <c r="T15" s="55">
        <f>(S15-P15)/P15</f>
        <v>2.6954221376262199E-2</v>
      </c>
    </row>
    <row r="16" spans="1:20" x14ac:dyDescent="0.2">
      <c r="A16" s="35">
        <f t="shared" si="1"/>
        <v>7</v>
      </c>
      <c r="C16" s="23">
        <v>700</v>
      </c>
      <c r="D16" s="49">
        <f>ROUND((B$14*C16),0)</f>
        <v>1400000</v>
      </c>
      <c r="E16" s="49"/>
      <c r="F16" s="50">
        <f>ROUND(IF($B$10&gt;4400,$B$10*N$10,4400*$N$10)+$D16*N$11,0)</f>
        <v>120939</v>
      </c>
      <c r="G16" s="50">
        <f>ROUND(IF($B$10&gt;4400,$B$10*P$10,4400*$P$10)+$D16*P$11,0)</f>
        <v>135418</v>
      </c>
      <c r="H16" s="50">
        <f>ROUND(IF($B$10&gt;4400,$B$10*S$10,4400*$S$10)+$D16*S$11,0)</f>
        <v>147699</v>
      </c>
      <c r="J16" s="51">
        <f t="shared" si="2"/>
        <v>0.1197215124980362</v>
      </c>
      <c r="K16" s="51">
        <f t="shared" si="2"/>
        <v>9.0689568595016909E-2</v>
      </c>
      <c r="L16" s="51"/>
      <c r="M16" s="5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8"/>
      <c r="N17" s="59"/>
      <c r="P17" s="58"/>
      <c r="Q17" s="59"/>
      <c r="S17" s="58"/>
      <c r="T17" s="59"/>
    </row>
    <row r="18" spans="1:20" x14ac:dyDescent="0.2">
      <c r="A18" s="35">
        <f t="shared" si="1"/>
        <v>9</v>
      </c>
      <c r="B18" s="49">
        <v>4000</v>
      </c>
      <c r="C18" s="23">
        <v>300</v>
      </c>
      <c r="D18" s="49">
        <f>ROUND((B$18*C18),0)</f>
        <v>1200000</v>
      </c>
      <c r="E18" s="49"/>
      <c r="F18" s="50">
        <f>ROUND(IF($B$10&gt;4400,$B$10*N$10,4400*$N$10)+$D18*N$11,0)</f>
        <v>107214</v>
      </c>
      <c r="G18" s="50">
        <f>ROUND(IF($B$10&gt;4400,$B$10*P$10,4400*$P$10)+$D18*P$11,0)</f>
        <v>120693</v>
      </c>
      <c r="H18" s="50">
        <f>ROUND(IF($B$10&gt;4400,$B$10*S$10,4400*$S$10)+$D18*S$11,0)</f>
        <v>132602</v>
      </c>
      <c r="J18" s="51">
        <f t="shared" ref="J18:K20" si="3">(G18-F18)/F18</f>
        <v>0.12572052157367508</v>
      </c>
      <c r="K18" s="51">
        <f t="shared" si="3"/>
        <v>9.8671836809094152E-2</v>
      </c>
      <c r="L18" s="51"/>
      <c r="M18" s="157" t="str">
        <f>'Exh CTM-8 (Schedule 24 Impacts)'!U23</f>
        <v xml:space="preserve">Schedule 95 Power Cost
</v>
      </c>
      <c r="N18" s="57">
        <v>6.966E-3</v>
      </c>
      <c r="O18" s="54"/>
      <c r="P18" s="66">
        <v>0</v>
      </c>
      <c r="Q18" s="55"/>
      <c r="R18" s="54"/>
      <c r="S18" s="66">
        <v>0</v>
      </c>
      <c r="T18" s="55"/>
    </row>
    <row r="19" spans="1:20" x14ac:dyDescent="0.2">
      <c r="A19" s="35">
        <f t="shared" si="1"/>
        <v>10</v>
      </c>
      <c r="C19" s="23">
        <v>500</v>
      </c>
      <c r="D19" s="49">
        <f>ROUND((B$18*C19),0)</f>
        <v>2000000</v>
      </c>
      <c r="E19" s="49"/>
      <c r="F19" s="50">
        <f>ROUND(IF($B$10&gt;4400,$B$10*N$10,4400*$N$10)+$D19*N$11,0)</f>
        <v>162116</v>
      </c>
      <c r="G19" s="50">
        <f>ROUND(IF($B$10&gt;4400,$B$10*P$10,4400*$P$10)+$D19*P$11,0)</f>
        <v>179594</v>
      </c>
      <c r="H19" s="50">
        <f>ROUND(IF($B$10&gt;4400,$B$10*S$10,4400*$S$10)+$D19*S$11,0)</f>
        <v>192990</v>
      </c>
      <c r="J19" s="51">
        <f t="shared" si="3"/>
        <v>0.10781169039453231</v>
      </c>
      <c r="K19" s="51">
        <f t="shared" si="3"/>
        <v>7.4590465160306027E-2</v>
      </c>
      <c r="L19" s="51"/>
      <c r="M19" s="157" t="str">
        <f>'Exh CTM-8 (Schedule 24 Impacts)'!U24</f>
        <v>Schedule 95 PCA Imbalance</v>
      </c>
      <c r="N19" s="57">
        <v>3.2330000000000002E-3</v>
      </c>
      <c r="O19" s="54"/>
      <c r="P19" s="66">
        <v>3.2330000000000002E-3</v>
      </c>
      <c r="Q19" s="55"/>
      <c r="R19" s="54"/>
      <c r="S19" s="66">
        <v>3.2330000000000002E-3</v>
      </c>
      <c r="T19" s="55"/>
    </row>
    <row r="20" spans="1:20" x14ac:dyDescent="0.2">
      <c r="A20" s="35">
        <f t="shared" si="1"/>
        <v>11</v>
      </c>
      <c r="C20" s="23">
        <v>700</v>
      </c>
      <c r="D20" s="49">
        <f>ROUND((B$18*C20),0)</f>
        <v>2800000</v>
      </c>
      <c r="E20" s="49"/>
      <c r="F20" s="50">
        <f>ROUND(IF($B$10&gt;4400,$B$10*N$10,4400*$N$10)+$D20*N$11,0)</f>
        <v>217018</v>
      </c>
      <c r="G20" s="50">
        <f>ROUND(IF($B$10&gt;4400,$B$10*P$10,4400*$P$10)+$D20*P$11,0)</f>
        <v>238496</v>
      </c>
      <c r="H20" s="50">
        <f>ROUND(IF($B$10&gt;4400,$B$10*S$10,4400*$S$10)+$D20*S$11,0)</f>
        <v>253378</v>
      </c>
      <c r="J20" s="51">
        <f t="shared" si="3"/>
        <v>9.8968749136016373E-2</v>
      </c>
      <c r="K20" s="51">
        <f t="shared" si="3"/>
        <v>6.2399369381457133E-2</v>
      </c>
      <c r="L20" s="51"/>
      <c r="M20" s="157" t="str">
        <f>'Exh CTM-8 (Schedule 24 Impacts)'!U25</f>
        <v>Schedule 95A Federal Incentive Credit</v>
      </c>
      <c r="N20" s="57">
        <v>0</v>
      </c>
      <c r="O20" s="54"/>
      <c r="P20" s="66">
        <v>0</v>
      </c>
      <c r="Q20" s="55"/>
      <c r="R20" s="54"/>
      <c r="S20" s="66">
        <v>0</v>
      </c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157" t="str">
        <f>'Exh CTM-8 (Schedule 24 Impacts)'!U26</f>
        <v>Schedule 120 Conservation</v>
      </c>
      <c r="N21" s="57">
        <v>3.5690000000000001E-3</v>
      </c>
      <c r="P21" s="66">
        <v>3.5690000000000001E-3</v>
      </c>
      <c r="Q21" s="59"/>
      <c r="S21" s="66">
        <v>3.5690000000000001E-3</v>
      </c>
      <c r="T21" s="59"/>
    </row>
    <row r="22" spans="1:20" x14ac:dyDescent="0.2">
      <c r="A22" s="35">
        <f t="shared" si="1"/>
        <v>13</v>
      </c>
      <c r="B22" s="49">
        <v>6000</v>
      </c>
      <c r="C22" s="23">
        <v>300</v>
      </c>
      <c r="D22" s="49">
        <f>ROUND((B$22*C22),0)</f>
        <v>1800000</v>
      </c>
      <c r="E22" s="49"/>
      <c r="F22" s="50">
        <f>ROUND(IF($B$10&gt;4400,$B$10*N$10,4400*$N$10)+$D22*N$11,0)</f>
        <v>148390</v>
      </c>
      <c r="G22" s="50">
        <f>ROUND(IF($B$10&gt;4400,$B$10*P$10,4400*$P$10)+$D22*P$11,0)</f>
        <v>164869</v>
      </c>
      <c r="H22" s="50">
        <f>ROUND(IF($B$10&gt;4400,$B$10*S$10,4400*$S$10)+$D22*S$11,0)</f>
        <v>177893</v>
      </c>
      <c r="J22" s="51">
        <f t="shared" ref="J22:K24" si="4">(G22-F22)/F22</f>
        <v>0.11105195767908889</v>
      </c>
      <c r="K22" s="51">
        <f t="shared" si="4"/>
        <v>7.8996051410513801E-2</v>
      </c>
      <c r="L22" s="51"/>
      <c r="M22" s="157" t="str">
        <f>'Exh CTM-8 (Schedule 24 Impacts)'!U27</f>
        <v>Schedule 129 Low Income</v>
      </c>
      <c r="N22" s="57">
        <v>8.3699999999999996E-4</v>
      </c>
      <c r="O22" s="54"/>
      <c r="P22" s="66">
        <v>8.3699999999999996E-4</v>
      </c>
      <c r="Q22" s="55"/>
      <c r="R22" s="54"/>
      <c r="S22" s="66">
        <v>8.3699999999999996E-4</v>
      </c>
      <c r="T22" s="55"/>
    </row>
    <row r="23" spans="1:20" x14ac:dyDescent="0.2">
      <c r="A23" s="35">
        <f t="shared" si="1"/>
        <v>14</v>
      </c>
      <c r="C23" s="23">
        <v>500</v>
      </c>
      <c r="D23" s="49">
        <f>ROUND((B$22*C23),0)</f>
        <v>3000000</v>
      </c>
      <c r="E23" s="49"/>
      <c r="F23" s="50">
        <f>ROUND(IF($B$10&gt;4400,$B$10*N$10,4400*$N$10)+$D23*N$11,0)</f>
        <v>230744</v>
      </c>
      <c r="G23" s="50">
        <f>ROUND(IF($B$10&gt;4400,$B$10*P$10,4400*$P$10)+$D23*P$11,0)</f>
        <v>253221</v>
      </c>
      <c r="H23" s="50">
        <f>ROUND(IF($B$10&gt;4400,$B$10*S$10,4400*$S$10)+$D23*S$11,0)</f>
        <v>268475</v>
      </c>
      <c r="J23" s="51">
        <f t="shared" si="4"/>
        <v>9.7410983600873691E-2</v>
      </c>
      <c r="K23" s="51">
        <f t="shared" si="4"/>
        <v>6.023986952109027E-2</v>
      </c>
      <c r="L23" s="51"/>
      <c r="M23" s="157" t="str">
        <f>'Exh CTM-8 (Schedule 24 Impacts)'!U28</f>
        <v>Schedule 129D Bill Discount</v>
      </c>
      <c r="N23" s="57">
        <v>3.5599999999999998E-4</v>
      </c>
      <c r="O23" s="54"/>
      <c r="P23" s="66">
        <v>3.5599999999999998E-4</v>
      </c>
      <c r="Q23" s="55"/>
      <c r="R23" s="54"/>
      <c r="S23" s="66">
        <v>3.5599999999999998E-4</v>
      </c>
      <c r="T23" s="55"/>
    </row>
    <row r="24" spans="1:20" x14ac:dyDescent="0.2">
      <c r="A24" s="35">
        <f t="shared" si="1"/>
        <v>15</v>
      </c>
      <c r="C24" s="23">
        <v>700</v>
      </c>
      <c r="D24" s="49">
        <f>ROUND((B$22*C24),0)</f>
        <v>4200000</v>
      </c>
      <c r="E24" s="49"/>
      <c r="F24" s="50">
        <f>ROUND(IF($B$10&gt;4400,$B$10*N$10,4400*$N$10)+$D24*N$11,0)</f>
        <v>313098</v>
      </c>
      <c r="G24" s="50">
        <f>ROUND(IF($B$10&gt;4400,$B$10*P$10,4400*$P$10)+$D24*P$11,0)</f>
        <v>341574</v>
      </c>
      <c r="H24" s="50">
        <f>ROUND(IF($B$10&gt;4400,$B$10*S$10,4400*$S$10)+$D24*S$11,0)</f>
        <v>359057</v>
      </c>
      <c r="J24" s="51">
        <f t="shared" si="4"/>
        <v>9.0949159688021003E-2</v>
      </c>
      <c r="K24" s="51">
        <f t="shared" si="4"/>
        <v>5.1183638098918537E-2</v>
      </c>
      <c r="L24" s="51"/>
      <c r="M24" s="157" t="str">
        <f>'Exh CTM-8 (Schedule 24 Impacts)'!U29</f>
        <v>Schedule 137 REC</v>
      </c>
      <c r="N24" s="57">
        <v>5.0000000000000004E-6</v>
      </c>
      <c r="O24" s="54"/>
      <c r="P24" s="66">
        <v>0</v>
      </c>
      <c r="Q24" s="55"/>
      <c r="R24" s="54"/>
      <c r="S24" s="66">
        <v>0</v>
      </c>
      <c r="T24" s="55"/>
    </row>
    <row r="25" spans="1:20" x14ac:dyDescent="0.2">
      <c r="A25" s="35">
        <f t="shared" si="1"/>
        <v>16</v>
      </c>
      <c r="D25" s="49"/>
      <c r="E25" s="49"/>
      <c r="F25" s="50"/>
      <c r="G25" s="50"/>
      <c r="H25" s="50"/>
      <c r="J25" s="51"/>
      <c r="K25" s="51"/>
      <c r="L25" s="51"/>
      <c r="M25" s="157" t="str">
        <f>'Exh CTM-8 (Schedule 24 Impacts)'!U30</f>
        <v>Schedule 140 Property Tax</v>
      </c>
      <c r="N25" s="57">
        <v>9.5E-4</v>
      </c>
      <c r="O25" s="54"/>
      <c r="P25" s="66">
        <v>9.5E-4</v>
      </c>
      <c r="Q25" s="55"/>
      <c r="R25" s="54"/>
      <c r="S25" s="66">
        <v>9.5E-4</v>
      </c>
      <c r="T25" s="55"/>
    </row>
    <row r="26" spans="1:20" x14ac:dyDescent="0.2">
      <c r="A26" s="35">
        <f t="shared" si="1"/>
        <v>17</v>
      </c>
      <c r="B26" s="49">
        <v>8000</v>
      </c>
      <c r="C26" s="23">
        <v>300</v>
      </c>
      <c r="D26" s="49">
        <f>ROUND((B$26*C26),0)</f>
        <v>2400000</v>
      </c>
      <c r="E26" s="49"/>
      <c r="F26" s="50">
        <f>ROUND(IF($B$10&gt;4400,$B$10*N$10,4400*$N$10)+$D26*N$11,0)</f>
        <v>189567</v>
      </c>
      <c r="G26" s="50">
        <f>ROUND(IF($B$10&gt;4400,$B$10*P$10,4400*$P$10)+$D26*P$11,0)</f>
        <v>209045</v>
      </c>
      <c r="H26" s="50">
        <f>ROUND(IF($B$10&gt;4400,$B$10*S$10,4400*$S$10)+$D26*S$11,0)</f>
        <v>223184</v>
      </c>
      <c r="J26" s="51">
        <f t="shared" ref="J26:K28" si="5">(G26-F26)/F26</f>
        <v>0.1027499512045873</v>
      </c>
      <c r="K26" s="51">
        <f t="shared" si="5"/>
        <v>6.7636154894879091E-2</v>
      </c>
      <c r="L26" s="51"/>
      <c r="M26" s="157" t="str">
        <f>'Exh CTM-8 (Schedule 24 Impacts)'!U31</f>
        <v>Schedule 141 ERF</v>
      </c>
      <c r="N26" s="57">
        <v>0</v>
      </c>
      <c r="O26" s="54"/>
      <c r="P26" s="66">
        <v>0</v>
      </c>
      <c r="Q26" s="55"/>
      <c r="R26" s="54"/>
      <c r="S26" s="66">
        <v>0</v>
      </c>
      <c r="T26" s="55"/>
    </row>
    <row r="27" spans="1:20" x14ac:dyDescent="0.2">
      <c r="A27" s="35">
        <f t="shared" si="1"/>
        <v>18</v>
      </c>
      <c r="C27" s="23">
        <v>500</v>
      </c>
      <c r="D27" s="49">
        <f>ROUND((B$26*C27),0)</f>
        <v>4000000</v>
      </c>
      <c r="E27" s="49"/>
      <c r="F27" s="50">
        <f>ROUND(IF($B$10&gt;4400,$B$10*N$10,4400*$N$10)+$D27*N$11,0)</f>
        <v>299372</v>
      </c>
      <c r="G27" s="50">
        <f>ROUND(IF($B$10&gt;4400,$B$10*P$10,4400*$P$10)+$D27*P$11,0)</f>
        <v>326849</v>
      </c>
      <c r="H27" s="50">
        <f>ROUND(IF($B$10&gt;4400,$B$10*S$10,4400*$S$10)+$D27*S$11,0)</f>
        <v>343960</v>
      </c>
      <c r="J27" s="51">
        <f t="shared" si="5"/>
        <v>9.1782130593375463E-2</v>
      </c>
      <c r="K27" s="51">
        <f t="shared" si="5"/>
        <v>5.2351391621207347E-2</v>
      </c>
      <c r="L27" s="51"/>
      <c r="M27" s="157" t="str">
        <f>'Exh CTM-8 (Schedule 24 Impacts)'!U32</f>
        <v>Schedule 141A Energy Charge Credit</v>
      </c>
      <c r="N27" s="57">
        <v>1.5560000000000001E-3</v>
      </c>
      <c r="P27" s="66">
        <v>1.5560000000000001E-3</v>
      </c>
      <c r="Q27" s="59"/>
      <c r="S27" s="66">
        <v>1.5560000000000001E-3</v>
      </c>
      <c r="T27" s="59"/>
    </row>
    <row r="28" spans="1:20" x14ac:dyDescent="0.2">
      <c r="A28" s="35">
        <f t="shared" si="1"/>
        <v>19</v>
      </c>
      <c r="C28" s="23">
        <v>700</v>
      </c>
      <c r="D28" s="49">
        <f>ROUND((B$26*C28),0)</f>
        <v>5600000</v>
      </c>
      <c r="E28" s="49"/>
      <c r="F28" s="50">
        <f>ROUND(IF($B$10&gt;4400,$B$10*N$10,4400*$N$10)+$D28*N$11,0)</f>
        <v>409177</v>
      </c>
      <c r="G28" s="50">
        <f>ROUND(IF($B$10&gt;4400,$B$10*P$10,4400*$P$10)+$D28*P$11,0)</f>
        <v>444652</v>
      </c>
      <c r="H28" s="50">
        <f>ROUND(IF($B$10&gt;4400,$B$10*S$10,4400*$S$10)+$D28*S$11,0)</f>
        <v>464737</v>
      </c>
      <c r="J28" s="51">
        <f t="shared" si="5"/>
        <v>8.6698421465527142E-2</v>
      </c>
      <c r="K28" s="51">
        <f t="shared" si="5"/>
        <v>4.5170155537364053E-2</v>
      </c>
      <c r="L28" s="51"/>
      <c r="M28" s="157" t="str">
        <f>'Exh CTM-8 (Schedule 24 Impacts)'!U33</f>
        <v>Schedule 141CEI Clean Energy Implementation Plan</v>
      </c>
      <c r="N28" s="57">
        <v>3.5599999999999998E-4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D29" s="49"/>
      <c r="E29" s="49"/>
      <c r="F29" s="50"/>
      <c r="G29" s="50"/>
      <c r="H29" s="50"/>
      <c r="J29" s="51"/>
      <c r="K29" s="51"/>
      <c r="L29" s="51"/>
      <c r="M29" s="157" t="str">
        <f>'Exh CTM-8 (Schedule 24 Impacts)'!U34</f>
        <v>Schedule 141CGR Clean Generation Resources</v>
      </c>
      <c r="N29" s="57">
        <v>0</v>
      </c>
      <c r="O29" s="54"/>
      <c r="P29" s="66">
        <v>7.274742020611021E-4</v>
      </c>
      <c r="Q29" s="55"/>
      <c r="R29" s="54"/>
      <c r="S29" s="66">
        <v>9.1441831227747077E-4</v>
      </c>
      <c r="T29" s="55"/>
    </row>
    <row r="30" spans="1:20" x14ac:dyDescent="0.2">
      <c r="A30" s="35">
        <f t="shared" si="1"/>
        <v>21</v>
      </c>
      <c r="B30" s="49">
        <v>10000</v>
      </c>
      <c r="C30" s="23">
        <v>300</v>
      </c>
      <c r="D30" s="49">
        <f>ROUND((B$30*C30),0)</f>
        <v>3000000</v>
      </c>
      <c r="E30" s="49"/>
      <c r="F30" s="50">
        <f>ROUND(IF($B$10&gt;4400,$B$10*N$10,4400*$N$10)+$D30*N$11,0)</f>
        <v>230744</v>
      </c>
      <c r="G30" s="50">
        <f>ROUND(IF($B$10&gt;4400,$B$10*P$10,4400*$P$10)+$D30*P$11,0)</f>
        <v>253221</v>
      </c>
      <c r="H30" s="50">
        <f>ROUND(IF($B$10&gt;4400,$B$10*S$10,4400*$S$10)+$D30*S$11,0)</f>
        <v>268475</v>
      </c>
      <c r="J30" s="51">
        <f t="shared" ref="J30:K32" si="6">(G30-F30)/F30</f>
        <v>9.7410983600873691E-2</v>
      </c>
      <c r="K30" s="51">
        <f t="shared" si="6"/>
        <v>6.023986952109027E-2</v>
      </c>
      <c r="L30" s="51"/>
      <c r="M30" s="157" t="str">
        <f>'Exh CTM-8 (Schedule 24 Impacts)'!U35</f>
        <v>Schedule 141DCARB Decarbonization</v>
      </c>
      <c r="N30" s="57">
        <v>0</v>
      </c>
      <c r="O30" s="54"/>
      <c r="P30" s="66">
        <v>2.6675848599058547E-5</v>
      </c>
      <c r="Q30" s="55"/>
      <c r="R30" s="54"/>
      <c r="S30" s="66">
        <v>2.6673055018215156E-5</v>
      </c>
      <c r="T30" s="55"/>
    </row>
    <row r="31" spans="1:20" x14ac:dyDescent="0.2">
      <c r="A31" s="35">
        <f t="shared" si="1"/>
        <v>22</v>
      </c>
      <c r="C31" s="23">
        <v>500</v>
      </c>
      <c r="D31" s="49">
        <f>ROUND((B$30*C31),0)</f>
        <v>5000000</v>
      </c>
      <c r="E31" s="49"/>
      <c r="F31" s="50">
        <f>ROUND(IF($B$10&gt;4400,$B$10*N$10,4400*$N$10)+$D31*N$11,0)</f>
        <v>368000</v>
      </c>
      <c r="G31" s="50">
        <f>ROUND(IF($B$10&gt;4400,$B$10*P$10,4400*$P$10)+$D31*P$11,0)</f>
        <v>400476</v>
      </c>
      <c r="H31" s="50">
        <f>ROUND(IF($B$10&gt;4400,$B$10*S$10,4400*$S$10)+$D31*S$11,0)</f>
        <v>419445</v>
      </c>
      <c r="J31" s="51">
        <f t="shared" si="6"/>
        <v>8.8249999999999995E-2</v>
      </c>
      <c r="K31" s="51">
        <f t="shared" si="6"/>
        <v>4.7366134300182786E-2</v>
      </c>
      <c r="L31" s="51"/>
      <c r="M31" s="157" t="str">
        <f>'Exh CTM-8 (Schedule 24 Impacts)'!U36</f>
        <v>Schedule 141COL Colstrip Adjustment</v>
      </c>
      <c r="N31" s="57">
        <v>3.7800000000000003E-4</v>
      </c>
      <c r="P31" s="66">
        <v>3.7800000000000003E-4</v>
      </c>
      <c r="Q31" s="59"/>
      <c r="S31" s="66">
        <v>3.7800000000000003E-4</v>
      </c>
      <c r="T31" s="59"/>
    </row>
    <row r="32" spans="1:20" x14ac:dyDescent="0.2">
      <c r="A32" s="35">
        <f t="shared" si="1"/>
        <v>23</v>
      </c>
      <c r="C32" s="23">
        <v>700</v>
      </c>
      <c r="D32" s="49">
        <f>ROUND((B$30*C32),0)</f>
        <v>7000000</v>
      </c>
      <c r="E32" s="49"/>
      <c r="F32" s="50">
        <f>ROUND(IF($B$10&gt;4400,$B$10*N$10,4400*$N$10)+$D32*N$11,0)</f>
        <v>505256</v>
      </c>
      <c r="G32" s="50">
        <f>ROUND(IF($B$10&gt;4400,$B$10*P$10,4400*$P$10)+$D32*P$11,0)</f>
        <v>547730</v>
      </c>
      <c r="H32" s="50">
        <f>ROUND(IF($B$10&gt;4400,$B$10*S$10,4400*$S$10)+$D32*S$11,0)</f>
        <v>570416</v>
      </c>
      <c r="J32" s="51">
        <f t="shared" si="6"/>
        <v>8.4064315911142079E-2</v>
      </c>
      <c r="K32" s="51">
        <f t="shared" si="6"/>
        <v>4.1418217004728607E-2</v>
      </c>
      <c r="L32" s="51"/>
      <c r="M32" s="157" t="str">
        <f>'Exh CTM-8 (Schedule 24 Impacts)'!U37</f>
        <v>Schedule 141N Rates Not Subject to Refund</v>
      </c>
      <c r="N32" s="57">
        <v>2.5400000000000002E-3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B33" s="44"/>
      <c r="C33" s="44"/>
      <c r="D33" s="44"/>
      <c r="E33" s="44"/>
      <c r="F33" s="44"/>
      <c r="G33" s="44"/>
      <c r="H33" s="44"/>
      <c r="I33" s="44"/>
      <c r="J33" s="44"/>
      <c r="M33" s="157" t="str">
        <f>'Exh CTM-8 (Schedule 24 Impacts)'!U38</f>
        <v>Schedule 141R Rates Subject to Refund</v>
      </c>
      <c r="N33" s="57">
        <v>2.4139999999999999E-3</v>
      </c>
      <c r="O33" s="54"/>
      <c r="P33" s="66">
        <v>0</v>
      </c>
      <c r="Q33" s="55"/>
      <c r="R33" s="54"/>
      <c r="S33" s="66">
        <v>0</v>
      </c>
      <c r="T33" s="55"/>
    </row>
    <row r="34" spans="1:20" x14ac:dyDescent="0.2">
      <c r="A34" s="35">
        <f t="shared" si="1"/>
        <v>25</v>
      </c>
      <c r="M34" s="157" t="str">
        <f>'Exh CTM-8 (Schedule 24 Impacts)'!U39</f>
        <v>Schedule 141 TEP</v>
      </c>
      <c r="N34" s="57">
        <v>2.2000000000000001E-4</v>
      </c>
      <c r="O34" s="54"/>
      <c r="P34" s="66">
        <v>2.2000000000000001E-4</v>
      </c>
      <c r="Q34" s="55"/>
      <c r="R34" s="54"/>
      <c r="S34" s="66">
        <v>2.2000000000000001E-4</v>
      </c>
      <c r="T34" s="55"/>
    </row>
    <row r="35" spans="1:20" x14ac:dyDescent="0.2">
      <c r="A35" s="35">
        <f t="shared" si="1"/>
        <v>26</v>
      </c>
      <c r="M35" s="157" t="str">
        <f>'Exh CTM-8 (Schedule 24 Impacts)'!U40</f>
        <v>Schedule 141WFP Wildfire Prevention Cost Recovery</v>
      </c>
      <c r="N35" s="57">
        <v>0</v>
      </c>
      <c r="P35" s="66">
        <v>1.0769742182156803E-5</v>
      </c>
      <c r="Q35" s="59"/>
      <c r="S35" s="66">
        <v>1.3445012338031303E-5</v>
      </c>
      <c r="T35" s="59"/>
    </row>
    <row r="36" spans="1:20" x14ac:dyDescent="0.2">
      <c r="A36" s="35">
        <f t="shared" si="1"/>
        <v>27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57" t="str">
        <f>'Exh CTM-8 (Schedule 24 Impacts)'!U41</f>
        <v>Schedule 141X (Protected) EDIT</v>
      </c>
      <c r="N36" s="57">
        <v>0</v>
      </c>
      <c r="O36" s="60"/>
      <c r="P36" s="66">
        <v>0</v>
      </c>
      <c r="Q36" s="61"/>
      <c r="R36" s="60"/>
      <c r="S36" s="66">
        <v>0</v>
      </c>
      <c r="T36" s="61"/>
    </row>
    <row r="37" spans="1:20" x14ac:dyDescent="0.2">
      <c r="A37" s="35">
        <f t="shared" si="1"/>
        <v>28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57" t="str">
        <f>'Exh CTM-8 (Schedule 24 Impacts)'!U42</f>
        <v>Schedule 141Z (Unprotected) EDIT</v>
      </c>
      <c r="N37" s="57">
        <v>0</v>
      </c>
      <c r="O37" s="60"/>
      <c r="P37" s="66">
        <v>0</v>
      </c>
      <c r="Q37" s="61"/>
      <c r="R37" s="60"/>
      <c r="S37" s="66">
        <v>0</v>
      </c>
      <c r="T37" s="61"/>
    </row>
    <row r="38" spans="1:20" x14ac:dyDescent="0.2">
      <c r="A38" s="35">
        <f t="shared" si="1"/>
        <v>29</v>
      </c>
      <c r="B38" s="30"/>
      <c r="C38" s="31"/>
      <c r="D38" s="30"/>
      <c r="E38" s="30"/>
      <c r="F38" s="30"/>
      <c r="G38" s="30"/>
      <c r="H38" s="30"/>
      <c r="I38" s="30"/>
      <c r="J38" s="30"/>
      <c r="K38" s="30"/>
      <c r="L38" s="30"/>
      <c r="M38" s="157" t="str">
        <f>'Exh CTM-8 (Schedule 24 Impacts)'!U43</f>
        <v>Schedule 142  Deocupling Deferral</v>
      </c>
      <c r="N38" s="57">
        <v>0</v>
      </c>
      <c r="O38" s="60"/>
      <c r="P38" s="66">
        <v>0</v>
      </c>
      <c r="Q38" s="61"/>
      <c r="R38" s="60"/>
      <c r="S38" s="66">
        <v>0</v>
      </c>
      <c r="T38" s="61"/>
    </row>
    <row r="39" spans="1:20" x14ac:dyDescent="0.2">
      <c r="A39" s="35">
        <f t="shared" si="1"/>
        <v>30</v>
      </c>
      <c r="B39" s="30"/>
      <c r="M39" s="157" t="str">
        <f>'Exh CTM-8 (Schedule 24 Impacts)'!U44</f>
        <v>Schedule 142 Deocupling Supplemental</v>
      </c>
      <c r="N39" s="57">
        <v>0</v>
      </c>
      <c r="O39" s="60"/>
      <c r="P39" s="66">
        <v>0</v>
      </c>
      <c r="Q39" s="61"/>
      <c r="R39" s="60"/>
      <c r="S39" s="66">
        <v>0</v>
      </c>
      <c r="T39" s="61"/>
    </row>
    <row r="40" spans="1:20" x14ac:dyDescent="0.2">
      <c r="A40" s="35">
        <f t="shared" si="1"/>
        <v>31</v>
      </c>
      <c r="B40" s="158"/>
      <c r="C40" s="79"/>
      <c r="M40" s="157" t="str">
        <f>'Exh CTM-8 (Schedule 24 Impacts)'!U45</f>
        <v>Schedule 194 BPA Res &amp; Farm Credit</v>
      </c>
      <c r="N40" s="159" t="s">
        <v>252</v>
      </c>
      <c r="P40" s="66"/>
      <c r="Q40" s="59"/>
      <c r="S40" s="66"/>
      <c r="T40" s="61"/>
    </row>
    <row r="41" spans="1:20" ht="12" thickBot="1" x14ac:dyDescent="0.25">
      <c r="A41" s="35">
        <f t="shared" si="1"/>
        <v>32</v>
      </c>
      <c r="M41" s="62" t="s">
        <v>170</v>
      </c>
      <c r="N41" s="63">
        <f>SUM(N18:N40)+N15</f>
        <v>7.3802000000000006E-2</v>
      </c>
      <c r="P41" s="64">
        <f>SUM(P18:P40)+P15</f>
        <v>7.3857919792842314E-2</v>
      </c>
      <c r="Q41" s="61"/>
      <c r="S41" s="64">
        <f>SUM(S18:S40)+S15</f>
        <v>7.5718536379633716E-2</v>
      </c>
      <c r="T41" s="61"/>
    </row>
    <row r="42" spans="1:20" ht="12" thickTop="1" x14ac:dyDescent="0.2">
      <c r="A42" s="35">
        <f t="shared" si="1"/>
        <v>33</v>
      </c>
      <c r="M42" s="62"/>
      <c r="N42" s="65"/>
      <c r="P42" s="66"/>
      <c r="Q42" s="57"/>
      <c r="S42" s="66"/>
      <c r="T42" s="57"/>
    </row>
    <row r="43" spans="1:20" x14ac:dyDescent="0.2">
      <c r="A43" s="35">
        <f t="shared" si="1"/>
        <v>34</v>
      </c>
      <c r="M43" s="67" t="s">
        <v>105</v>
      </c>
      <c r="N43" s="68"/>
      <c r="P43" s="58"/>
      <c r="Q43" s="160">
        <f>'Exh CTM-8 (Rate Impacts_RY#1)'!$H$19</f>
        <v>0.17694820269619704</v>
      </c>
      <c r="S43" s="58"/>
      <c r="T43" s="160">
        <f>'Exh CTM-8 (Rate Impacts_RY#2)'!$I$19</f>
        <v>7.5614901742644042E-2</v>
      </c>
    </row>
    <row r="44" spans="1:20" x14ac:dyDescent="0.2">
      <c r="A44" s="35">
        <f t="shared" si="1"/>
        <v>35</v>
      </c>
      <c r="M44" s="67" t="s">
        <v>104</v>
      </c>
      <c r="N44" s="68"/>
      <c r="P44" s="58"/>
      <c r="Q44" s="160">
        <f>'Exh CTM-8 (Rate Impacts_RY#1)'!$AI$19</f>
        <v>5.4390472271986699E-2</v>
      </c>
      <c r="S44" s="58"/>
      <c r="T44" s="160">
        <f>'Exh CTM-8 (Rate Impacts_RY#2)'!$V$19</f>
        <v>8.3222848681698394E-2</v>
      </c>
    </row>
    <row r="45" spans="1:20" ht="12" thickBot="1" x14ac:dyDescent="0.25">
      <c r="A45" s="35">
        <f t="shared" si="1"/>
        <v>36</v>
      </c>
      <c r="M45" s="70" t="s">
        <v>169</v>
      </c>
      <c r="N45" s="69"/>
      <c r="P45" s="70"/>
      <c r="Q45" s="69"/>
      <c r="S45" s="70"/>
      <c r="T45" s="69"/>
    </row>
  </sheetData>
  <mergeCells count="8">
    <mergeCell ref="S6:T6"/>
    <mergeCell ref="F7:H7"/>
    <mergeCell ref="J7:K7"/>
    <mergeCell ref="A1:Q1"/>
    <mergeCell ref="A2:Q2"/>
    <mergeCell ref="A3:Q3"/>
    <mergeCell ref="A4:Q4"/>
    <mergeCell ref="P6:Q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DA70-1D07-4B35-A3C7-6E970E63FDC1}">
  <sheetPr>
    <pageSetUpPr fitToPage="1"/>
  </sheetPr>
  <dimension ref="A1:AO38"/>
  <sheetViews>
    <sheetView tabSelected="1" zoomScaleNormal="100" zoomScaleSheetLayoutView="100" workbookViewId="0">
      <pane xSplit="5" ySplit="8" topLeftCell="F9" activePane="bottomRight" state="frozen"/>
      <selection sqref="A1:XFD1048576"/>
      <selection pane="topRight" sqref="A1:XFD1048576"/>
      <selection pane="bottomLeft" sqref="A1:XFD1048576"/>
      <selection pane="bottomRight" activeCell="R10" sqref="R10"/>
    </sheetView>
  </sheetViews>
  <sheetFormatPr defaultColWidth="6.28515625" defaultRowHeight="11.25" x14ac:dyDescent="0.2"/>
  <cols>
    <col min="1" max="1" width="5" style="23" bestFit="1" customWidth="1"/>
    <col min="2" max="2" width="32.42578125" style="23" bestFit="1" customWidth="1"/>
    <col min="3" max="3" width="15.7109375" style="23" bestFit="1" customWidth="1"/>
    <col min="4" max="5" width="12.85546875" style="23" bestFit="1" customWidth="1"/>
    <col min="6" max="6" width="12.85546875" style="23" customWidth="1"/>
    <col min="7" max="7" width="13.7109375" style="23" customWidth="1"/>
    <col min="8" max="8" width="11.5703125" style="23" bestFit="1" customWidth="1"/>
    <col min="9" max="9" width="10.42578125" style="23" bestFit="1" customWidth="1"/>
    <col min="10" max="10" width="1" style="23" customWidth="1"/>
    <col min="11" max="11" width="11.28515625" style="23" bestFit="1" customWidth="1"/>
    <col min="12" max="12" width="10.7109375" style="23" bestFit="1" customWidth="1"/>
    <col min="13" max="13" width="1" style="23" customWidth="1"/>
    <col min="14" max="14" width="12.5703125" style="23" customWidth="1"/>
    <col min="15" max="15" width="12" style="23" customWidth="1"/>
    <col min="16" max="16" width="1" style="23" customWidth="1"/>
    <col min="17" max="18" width="12" style="23" customWidth="1"/>
    <col min="19" max="19" width="1" style="23" customWidth="1"/>
    <col min="20" max="20" width="12.85546875" style="23" bestFit="1" customWidth="1"/>
    <col min="21" max="21" width="11.5703125" style="23" bestFit="1" customWidth="1"/>
    <col min="22" max="22" width="12.85546875" style="23" customWidth="1"/>
    <col min="23" max="24" width="9.7109375" style="23" customWidth="1"/>
    <col min="25" max="25" width="6.28515625" style="23"/>
    <col min="26" max="27" width="9.7109375" style="23" customWidth="1"/>
    <col min="28" max="28" width="6.28515625" style="23"/>
    <col min="29" max="30" width="9.7109375" style="23" customWidth="1"/>
    <col min="31" max="31" width="6.28515625" style="23"/>
    <col min="32" max="33" width="9.7109375" style="23" customWidth="1"/>
    <col min="34" max="34" width="6.28515625" style="23"/>
    <col min="35" max="36" width="9.7109375" style="23" customWidth="1"/>
    <col min="37" max="37" width="6.28515625" style="23"/>
    <col min="38" max="39" width="9.5703125" style="23" customWidth="1"/>
    <col min="40" max="40" width="6.28515625" style="23"/>
    <col min="41" max="43" width="9.5703125" style="23" customWidth="1"/>
    <col min="44" max="16384" width="6.28515625" style="23"/>
  </cols>
  <sheetData>
    <row r="1" spans="1:41" s="7" customFormat="1" ht="12.75" x14ac:dyDescent="0.2">
      <c r="A1" s="179" t="s">
        <v>69</v>
      </c>
      <c r="B1" s="179"/>
      <c r="C1" s="180"/>
      <c r="D1" s="180"/>
      <c r="E1" s="180"/>
      <c r="F1" s="173"/>
    </row>
    <row r="2" spans="1:41" s="7" customFormat="1" ht="12.75" x14ac:dyDescent="0.2">
      <c r="A2" s="179" t="s">
        <v>269</v>
      </c>
      <c r="B2" s="180"/>
      <c r="C2" s="180"/>
      <c r="D2" s="180"/>
      <c r="E2" s="180"/>
      <c r="F2" s="173"/>
    </row>
    <row r="3" spans="1:41" s="7" customFormat="1" ht="12.75" x14ac:dyDescent="0.2">
      <c r="A3" s="179" t="s">
        <v>68</v>
      </c>
      <c r="B3" s="180"/>
      <c r="C3" s="180"/>
      <c r="D3" s="180"/>
      <c r="E3" s="180"/>
      <c r="F3" s="173"/>
    </row>
    <row r="4" spans="1:41" s="7" customFormat="1" ht="12.75" customHeight="1" thickBot="1" x14ac:dyDescent="0.25">
      <c r="A4" s="179" t="s">
        <v>98</v>
      </c>
      <c r="B4" s="180"/>
      <c r="C4" s="180"/>
      <c r="D4" s="180"/>
      <c r="E4" s="180"/>
      <c r="F4" s="173"/>
    </row>
    <row r="5" spans="1:41" s="7" customFormat="1" ht="13.5" customHeight="1" x14ac:dyDescent="0.2">
      <c r="A5" s="179"/>
      <c r="B5" s="180"/>
      <c r="C5" s="180"/>
      <c r="D5" s="180"/>
      <c r="E5" s="180"/>
      <c r="F5" s="173"/>
      <c r="K5" s="181" t="s">
        <v>167</v>
      </c>
      <c r="L5" s="182"/>
      <c r="M5" s="182"/>
      <c r="N5" s="182"/>
      <c r="O5" s="182"/>
      <c r="P5" s="182"/>
      <c r="Q5" s="182"/>
      <c r="R5" s="183"/>
    </row>
    <row r="6" spans="1:41" s="7" customFormat="1" ht="13.5" customHeight="1" thickBot="1" x14ac:dyDescent="0.25">
      <c r="A6" s="177"/>
      <c r="B6" s="178"/>
      <c r="C6" s="10"/>
      <c r="D6" s="10"/>
      <c r="E6" s="10"/>
      <c r="F6" s="10"/>
      <c r="G6" s="10"/>
      <c r="H6" s="10"/>
      <c r="I6" s="10"/>
      <c r="K6" s="184"/>
      <c r="L6" s="185"/>
      <c r="M6" s="185"/>
      <c r="N6" s="185"/>
      <c r="O6" s="185"/>
      <c r="P6" s="185"/>
      <c r="Q6" s="185"/>
      <c r="R6" s="186"/>
    </row>
    <row r="7" spans="1:41" s="7" customFormat="1" x14ac:dyDescent="0.2">
      <c r="A7" s="11"/>
      <c r="B7" s="10"/>
      <c r="C7" s="10"/>
      <c r="D7" s="10"/>
      <c r="E7" s="10"/>
      <c r="F7" s="10"/>
      <c r="G7" s="10"/>
      <c r="H7" s="10"/>
      <c r="I7" s="10"/>
      <c r="K7" s="10"/>
      <c r="L7" s="10"/>
    </row>
    <row r="8" spans="1:41" s="7" customFormat="1" ht="56.25" x14ac:dyDescent="0.2">
      <c r="A8" s="12" t="s">
        <v>66</v>
      </c>
      <c r="B8" s="12" t="s">
        <v>65</v>
      </c>
      <c r="C8" s="12" t="s">
        <v>64</v>
      </c>
      <c r="D8" s="151" t="s">
        <v>270</v>
      </c>
      <c r="E8" s="14" t="str">
        <f>'Exh CTM-8 (Rate Impacts_RY#1)'!AK8</f>
        <v>12 ME Dec 2025
Total Forecast
Revenue @ 
RY #1 Rates</v>
      </c>
      <c r="F8" s="143" t="s">
        <v>79</v>
      </c>
      <c r="G8" s="143" t="s">
        <v>78</v>
      </c>
      <c r="H8" s="14" t="s">
        <v>62</v>
      </c>
      <c r="I8" s="14" t="s">
        <v>61</v>
      </c>
      <c r="J8" s="13"/>
      <c r="K8" s="14" t="str">
        <f>'Exh CTM-8 (Rate Impacts_RY#1)'!Y8</f>
        <v>Sch 141CGR Rate Plan $ Change</v>
      </c>
      <c r="L8" s="14" t="str">
        <f>'Exh CTM-8 (Rate Impacts_RY#1)'!Z8</f>
        <v>Sch 141CGR Rate Plan % Change</v>
      </c>
      <c r="M8" s="13"/>
      <c r="N8" s="14" t="str">
        <f>'Exh CTM-8 (Rate Impacts_RY#1)'!AB8</f>
        <v>Sch 141DCARB Rate Plan $ Change</v>
      </c>
      <c r="O8" s="14" t="str">
        <f>'Exh CTM-8 (Rate Impacts_RY#1)'!AC8</f>
        <v>Sch 141DCARB Rate Plan % Change</v>
      </c>
      <c r="P8" s="13"/>
      <c r="Q8" s="14" t="str">
        <f>'Exh CTM-8 (Rate Impacts_RY#1)'!AE8</f>
        <v>Sch 141WFP Rate Plan $ Change</v>
      </c>
      <c r="R8" s="14" t="str">
        <f>'Exh CTM-8 (Rate Impacts_RY#1)'!AF8</f>
        <v>Sch 141WFP Rate Plan $ Change</v>
      </c>
      <c r="T8" s="143" t="s">
        <v>77</v>
      </c>
      <c r="U8" s="143" t="s">
        <v>76</v>
      </c>
      <c r="V8" s="143" t="s">
        <v>75</v>
      </c>
      <c r="AO8" s="144"/>
    </row>
    <row r="9" spans="1:41" s="147" customFormat="1" x14ac:dyDescent="0.2">
      <c r="A9" s="131"/>
      <c r="B9" s="131" t="s">
        <v>43</v>
      </c>
      <c r="C9" s="131" t="s">
        <v>42</v>
      </c>
      <c r="D9" s="145" t="s">
        <v>41</v>
      </c>
      <c r="E9" s="146" t="s">
        <v>40</v>
      </c>
      <c r="F9" s="146" t="s">
        <v>39</v>
      </c>
      <c r="G9" s="146" t="s">
        <v>74</v>
      </c>
      <c r="H9" s="131" t="s">
        <v>37</v>
      </c>
      <c r="I9" s="131" t="s">
        <v>299</v>
      </c>
      <c r="J9" s="131"/>
      <c r="K9" s="131" t="s">
        <v>35</v>
      </c>
      <c r="L9" s="131" t="s">
        <v>300</v>
      </c>
      <c r="M9" s="131"/>
      <c r="N9" s="131" t="s">
        <v>33</v>
      </c>
      <c r="O9" s="131" t="s">
        <v>301</v>
      </c>
      <c r="P9" s="131"/>
      <c r="Q9" s="131" t="s">
        <v>31</v>
      </c>
      <c r="R9" s="131" t="s">
        <v>302</v>
      </c>
      <c r="S9" s="131"/>
      <c r="T9" s="145" t="s">
        <v>73</v>
      </c>
      <c r="U9" s="145" t="s">
        <v>72</v>
      </c>
      <c r="V9" s="131" t="s">
        <v>71</v>
      </c>
    </row>
    <row r="10" spans="1:41" x14ac:dyDescent="0.2">
      <c r="A10" s="18">
        <v>1</v>
      </c>
      <c r="B10" s="24" t="str">
        <f>'Exh CTM-8 (Rate Impacts_RY#1)'!B10</f>
        <v>Residential</v>
      </c>
      <c r="C10" s="24" t="str">
        <f>'Exh CTM-8 (Rate Impacts_RY#1)'!C10</f>
        <v>7 (307) (317) (327)</v>
      </c>
      <c r="D10" s="28">
        <v>11447649239.71397</v>
      </c>
      <c r="E10" s="137">
        <f>'Exh CTM-8 (Rate Impacts_RY#1)'!AK10</f>
        <v>1682433932.4322238</v>
      </c>
      <c r="F10" s="137">
        <v>17613973.042186517</v>
      </c>
      <c r="G10" s="137">
        <f t="shared" ref="G10:G23" si="0">E10+F10</f>
        <v>1700047905.4744103</v>
      </c>
      <c r="H10" s="153">
        <v>149355197.03339386</v>
      </c>
      <c r="I10" s="20">
        <f t="shared" ref="I10:I24" si="1">+H10/$G10</f>
        <v>8.7853522569833253E-2</v>
      </c>
      <c r="J10" s="21"/>
      <c r="K10" s="22">
        <v>10595444.608402468</v>
      </c>
      <c r="L10" s="20">
        <f t="shared" ref="L10:L24" si="2">+K10/$G10</f>
        <v>6.2324388473310316E-3</v>
      </c>
      <c r="M10" s="21"/>
      <c r="N10" s="22">
        <v>0</v>
      </c>
      <c r="O10" s="20">
        <f t="shared" ref="O10:O24" si="3">+N10/$G10</f>
        <v>0</v>
      </c>
      <c r="P10" s="21"/>
      <c r="Q10" s="22">
        <v>3958360.3116448466</v>
      </c>
      <c r="R10" s="20">
        <f t="shared" ref="R10:R24" si="4">+Q10/$G10</f>
        <v>2.3283816290695868E-3</v>
      </c>
      <c r="S10" s="75"/>
      <c r="T10" s="137">
        <f>SUM(G10,H10,K10,N10,Q10)</f>
        <v>1863956907.4278514</v>
      </c>
      <c r="U10" s="137">
        <f t="shared" ref="U10:U23" si="5">+T10-G10</f>
        <v>163909001.95344114</v>
      </c>
      <c r="V10" s="51">
        <f t="shared" ref="V10:V24" si="6">+U10/G10</f>
        <v>9.6414343046233864E-2</v>
      </c>
    </row>
    <row r="11" spans="1:41" x14ac:dyDescent="0.2">
      <c r="A11" s="18">
        <f t="shared" ref="A11:A24" si="7">+A10+1</f>
        <v>2</v>
      </c>
      <c r="B11" s="24" t="str">
        <f>'Exh CTM-8 (Rate Impacts_RY#1)'!B11</f>
        <v>Sec Volt Gen Svc</v>
      </c>
      <c r="C11" s="24" t="str">
        <f>'Exh CTM-8 (Rate Impacts_RY#1)'!C11</f>
        <v>08 (24) (324)</v>
      </c>
      <c r="D11" s="28">
        <v>2774967422.2693906</v>
      </c>
      <c r="E11" s="137">
        <f>'Exh CTM-8 (Rate Impacts_RY#1)'!AK11</f>
        <v>399406260.30445385</v>
      </c>
      <c r="F11" s="137">
        <v>1404419.083049519</v>
      </c>
      <c r="G11" s="137">
        <f t="shared" si="0"/>
        <v>400810679.38750339</v>
      </c>
      <c r="H11" s="153">
        <v>34040192.49403353</v>
      </c>
      <c r="I11" s="20">
        <f t="shared" si="1"/>
        <v>8.4928357063868309E-2</v>
      </c>
      <c r="J11" s="21"/>
      <c r="K11" s="22">
        <v>2321821.3943402208</v>
      </c>
      <c r="L11" s="20">
        <f t="shared" si="2"/>
        <v>5.7928132002078867E-3</v>
      </c>
      <c r="M11" s="21"/>
      <c r="N11" s="22">
        <v>0</v>
      </c>
      <c r="O11" s="20">
        <f t="shared" si="3"/>
        <v>0</v>
      </c>
      <c r="P11" s="21"/>
      <c r="Q11" s="22">
        <v>846816.16009919159</v>
      </c>
      <c r="R11" s="20">
        <f t="shared" si="4"/>
        <v>2.1127584758800565E-3</v>
      </c>
      <c r="S11" s="75"/>
      <c r="T11" s="137">
        <f t="shared" ref="T11:T23" si="8">SUM(E11,F11,H11,K11,N11,Q11)</f>
        <v>438019509.43597633</v>
      </c>
      <c r="U11" s="137">
        <f t="shared" si="5"/>
        <v>37208830.048472941</v>
      </c>
      <c r="V11" s="51">
        <f t="shared" si="6"/>
        <v>9.2833928739956245E-2</v>
      </c>
    </row>
    <row r="12" spans="1:41" x14ac:dyDescent="0.2">
      <c r="A12" s="18">
        <f t="shared" si="7"/>
        <v>3</v>
      </c>
      <c r="B12" s="24" t="str">
        <f>'Exh CTM-8 (Rate Impacts_RY#1)'!B12</f>
        <v>Sec Volt Gen Med Dem Svc</v>
      </c>
      <c r="C12" s="24" t="str">
        <f>'Exh CTM-8 (Rate Impacts_RY#1)'!C12</f>
        <v>7A (11) (25)</v>
      </c>
      <c r="D12" s="28">
        <v>2968720174.6374388</v>
      </c>
      <c r="E12" s="137">
        <f>'Exh CTM-8 (Rate Impacts_RY#1)'!AK12</f>
        <v>410104305.30607402</v>
      </c>
      <c r="F12" s="137">
        <v>738152.25853139558</v>
      </c>
      <c r="G12" s="137">
        <f t="shared" si="0"/>
        <v>410842457.56460541</v>
      </c>
      <c r="H12" s="153">
        <v>33130966.507643618</v>
      </c>
      <c r="I12" s="20">
        <f t="shared" si="1"/>
        <v>8.0641535210449228E-2</v>
      </c>
      <c r="J12" s="21"/>
      <c r="K12" s="22">
        <v>2555832.8811250199</v>
      </c>
      <c r="L12" s="20">
        <f t="shared" si="2"/>
        <v>6.2209560722509124E-3</v>
      </c>
      <c r="M12" s="21"/>
      <c r="N12" s="22">
        <v>93.385066017901408</v>
      </c>
      <c r="O12" s="20">
        <f t="shared" si="3"/>
        <v>2.2730140056962468E-7</v>
      </c>
      <c r="P12" s="21"/>
      <c r="Q12" s="22">
        <v>884203.02174991788</v>
      </c>
      <c r="R12" s="20">
        <f t="shared" si="4"/>
        <v>2.1521705107872789E-3</v>
      </c>
      <c r="S12" s="75"/>
      <c r="T12" s="137">
        <f t="shared" si="8"/>
        <v>447413553.36019003</v>
      </c>
      <c r="U12" s="137">
        <f t="shared" si="5"/>
        <v>36571095.795584619</v>
      </c>
      <c r="V12" s="51">
        <f t="shared" si="6"/>
        <v>8.9014889094888097E-2</v>
      </c>
    </row>
    <row r="13" spans="1:41" x14ac:dyDescent="0.2">
      <c r="A13" s="18">
        <f t="shared" si="7"/>
        <v>4</v>
      </c>
      <c r="B13" s="24" t="str">
        <f>'Exh CTM-8 (Rate Impacts_RY#1)'!B13</f>
        <v>Sec Volt Gen Lg Dem Svc</v>
      </c>
      <c r="C13" s="24" t="str">
        <f>'Exh CTM-8 (Rate Impacts_RY#1)'!C13</f>
        <v>12 (26) (26P)</v>
      </c>
      <c r="D13" s="28">
        <v>2056791563.2414525</v>
      </c>
      <c r="E13" s="137">
        <f>'Exh CTM-8 (Rate Impacts_RY#1)'!AK13</f>
        <v>250844035.89377761</v>
      </c>
      <c r="F13" s="137">
        <v>3566058.9486056441</v>
      </c>
      <c r="G13" s="137">
        <f t="shared" si="0"/>
        <v>254410094.84238327</v>
      </c>
      <c r="H13" s="153">
        <v>20821961.690108303</v>
      </c>
      <c r="I13" s="20">
        <f t="shared" si="1"/>
        <v>8.1844086033646971E-2</v>
      </c>
      <c r="J13" s="21"/>
      <c r="K13" s="22">
        <v>1456579.7714686412</v>
      </c>
      <c r="L13" s="20">
        <f t="shared" si="2"/>
        <v>5.7253222297293186E-3</v>
      </c>
      <c r="M13" s="21"/>
      <c r="N13" s="22">
        <v>0</v>
      </c>
      <c r="O13" s="20">
        <f t="shared" si="3"/>
        <v>0</v>
      </c>
      <c r="P13" s="21"/>
      <c r="Q13" s="22">
        <v>474599.58436404401</v>
      </c>
      <c r="R13" s="20">
        <f t="shared" si="4"/>
        <v>1.8654903794524211E-3</v>
      </c>
      <c r="S13" s="75"/>
      <c r="T13" s="137">
        <f t="shared" si="8"/>
        <v>277163235.88832426</v>
      </c>
      <c r="U13" s="137">
        <f t="shared" si="5"/>
        <v>22753141.045940995</v>
      </c>
      <c r="V13" s="51">
        <f t="shared" si="6"/>
        <v>8.9434898642828747E-2</v>
      </c>
    </row>
    <row r="14" spans="1:41" x14ac:dyDescent="0.2">
      <c r="A14" s="18">
        <f t="shared" si="7"/>
        <v>5</v>
      </c>
      <c r="B14" s="24" t="str">
        <f>'Exh CTM-8 (Rate Impacts_RY#1)'!B14</f>
        <v>Sec Volt Irrig &amp; Pump Svc</v>
      </c>
      <c r="C14" s="24" t="str">
        <f>'Exh CTM-8 (Rate Impacts_RY#1)'!C14</f>
        <v>29</v>
      </c>
      <c r="D14" s="28">
        <v>14843026.361509496</v>
      </c>
      <c r="E14" s="137">
        <f>'Exh CTM-8 (Rate Impacts_RY#1)'!AK14</f>
        <v>1822920.0439626975</v>
      </c>
      <c r="F14" s="137">
        <v>-5971.5441845098003</v>
      </c>
      <c r="G14" s="137">
        <f t="shared" si="0"/>
        <v>1816948.4997781876</v>
      </c>
      <c r="H14" s="153">
        <v>147263.01954256935</v>
      </c>
      <c r="I14" s="20">
        <f t="shared" si="1"/>
        <v>8.1049638754509101E-2</v>
      </c>
      <c r="J14" s="21"/>
      <c r="K14" s="22">
        <v>12343.398914020734</v>
      </c>
      <c r="L14" s="20">
        <f t="shared" si="2"/>
        <v>6.7934775892258981E-3</v>
      </c>
      <c r="M14" s="21"/>
      <c r="N14" s="22">
        <v>-93.385066017900499</v>
      </c>
      <c r="O14" s="20">
        <f t="shared" si="3"/>
        <v>-5.1396649948691947E-5</v>
      </c>
      <c r="P14" s="21"/>
      <c r="Q14" s="22">
        <v>4459.5614133850577</v>
      </c>
      <c r="R14" s="20">
        <f t="shared" si="4"/>
        <v>2.4544236746002869E-3</v>
      </c>
      <c r="S14" s="75"/>
      <c r="T14" s="137">
        <f t="shared" si="8"/>
        <v>1980921.0945821446</v>
      </c>
      <c r="U14" s="137">
        <f t="shared" si="5"/>
        <v>163972.59480395704</v>
      </c>
      <c r="V14" s="51">
        <f t="shared" si="6"/>
        <v>9.0246143368386475E-2</v>
      </c>
    </row>
    <row r="15" spans="1:41" x14ac:dyDescent="0.2">
      <c r="A15" s="18">
        <f t="shared" si="7"/>
        <v>6</v>
      </c>
      <c r="B15" s="24" t="str">
        <f>'Exh CTM-8 (Rate Impacts_RY#1)'!B15</f>
        <v>Pri Volt Gen Svc</v>
      </c>
      <c r="C15" s="24" t="str">
        <f>'Exh CTM-8 (Rate Impacts_RY#1)'!C15</f>
        <v>10 (31)</v>
      </c>
      <c r="D15" s="28">
        <v>1411297972.0883911</v>
      </c>
      <c r="E15" s="137">
        <f>'Exh CTM-8 (Rate Impacts_RY#1)'!AK15</f>
        <v>171448917.19141838</v>
      </c>
      <c r="F15" s="137">
        <v>-1087945.2600072583</v>
      </c>
      <c r="G15" s="137">
        <f t="shared" si="0"/>
        <v>170360971.93141112</v>
      </c>
      <c r="H15" s="153">
        <v>13996740.487509873</v>
      </c>
      <c r="I15" s="20">
        <f t="shared" si="1"/>
        <v>8.2159313420359495E-2</v>
      </c>
      <c r="J15" s="21"/>
      <c r="K15" s="22">
        <v>1016830.1964719421</v>
      </c>
      <c r="L15" s="20">
        <f t="shared" si="2"/>
        <v>5.9686804139702093E-3</v>
      </c>
      <c r="M15" s="21"/>
      <c r="N15" s="22">
        <v>0</v>
      </c>
      <c r="O15" s="20">
        <f t="shared" si="3"/>
        <v>0</v>
      </c>
      <c r="P15" s="21"/>
      <c r="Q15" s="22">
        <v>333692.54684226355</v>
      </c>
      <c r="R15" s="20">
        <f t="shared" si="4"/>
        <v>1.9587382195530747E-3</v>
      </c>
      <c r="S15" s="75"/>
      <c r="T15" s="137">
        <f t="shared" si="8"/>
        <v>185708235.1622352</v>
      </c>
      <c r="U15" s="137">
        <f t="shared" si="5"/>
        <v>15347263.230824083</v>
      </c>
      <c r="V15" s="51">
        <f t="shared" si="6"/>
        <v>9.0086732053882804E-2</v>
      </c>
    </row>
    <row r="16" spans="1:41" x14ac:dyDescent="0.2">
      <c r="A16" s="18">
        <f t="shared" si="7"/>
        <v>7</v>
      </c>
      <c r="B16" s="24" t="str">
        <f>'Exh CTM-8 (Rate Impacts_RY#1)'!B16</f>
        <v>Pri Volt Irrig &amp; Pump Svc</v>
      </c>
      <c r="C16" s="24" t="str">
        <f>'Exh CTM-8 (Rate Impacts_RY#1)'!C16</f>
        <v>35</v>
      </c>
      <c r="D16" s="28">
        <v>4380281.1514552524</v>
      </c>
      <c r="E16" s="137">
        <f>'Exh CTM-8 (Rate Impacts_RY#1)'!AK16</f>
        <v>474221.6106465304</v>
      </c>
      <c r="F16" s="137">
        <v>-1637.810049453376</v>
      </c>
      <c r="G16" s="137">
        <f t="shared" si="0"/>
        <v>472583.800597077</v>
      </c>
      <c r="H16" s="153">
        <v>48536.218996328476</v>
      </c>
      <c r="I16" s="20">
        <f t="shared" si="1"/>
        <v>0.10270394147028805</v>
      </c>
      <c r="J16" s="21"/>
      <c r="K16" s="22">
        <v>2900.2963900684754</v>
      </c>
      <c r="L16" s="20">
        <f t="shared" si="2"/>
        <v>6.1371049672124837E-3</v>
      </c>
      <c r="M16" s="21"/>
      <c r="N16" s="22">
        <v>0</v>
      </c>
      <c r="O16" s="20">
        <f t="shared" si="3"/>
        <v>0</v>
      </c>
      <c r="P16" s="21"/>
      <c r="Q16" s="22">
        <v>5012.8568700329997</v>
      </c>
      <c r="R16" s="20">
        <f t="shared" si="4"/>
        <v>1.0607339616168818E-2</v>
      </c>
      <c r="S16" s="75"/>
      <c r="T16" s="137">
        <f t="shared" si="8"/>
        <v>529033.17285350699</v>
      </c>
      <c r="U16" s="137">
        <f t="shared" si="5"/>
        <v>56449.372256429982</v>
      </c>
      <c r="V16" s="51">
        <f t="shared" si="6"/>
        <v>0.11944838605366942</v>
      </c>
    </row>
    <row r="17" spans="1:22" x14ac:dyDescent="0.2">
      <c r="A17" s="18">
        <f t="shared" si="7"/>
        <v>8</v>
      </c>
      <c r="B17" s="24" t="str">
        <f>'Exh CTM-8 (Rate Impacts_RY#1)'!B17</f>
        <v>Pri Volt Interr Elec Sch</v>
      </c>
      <c r="C17" s="24">
        <f>'Exh CTM-8 (Rate Impacts_RY#1)'!C17</f>
        <v>43</v>
      </c>
      <c r="D17" s="28">
        <v>121633779.10385114</v>
      </c>
      <c r="E17" s="137">
        <f>'Exh CTM-8 (Rate Impacts_RY#1)'!AK17</f>
        <v>15325928.108140722</v>
      </c>
      <c r="F17" s="137">
        <v>-66814.719629107276</v>
      </c>
      <c r="G17" s="137">
        <f t="shared" si="0"/>
        <v>15259113.388511615</v>
      </c>
      <c r="H17" s="153">
        <v>1299119.5903784402</v>
      </c>
      <c r="I17" s="20">
        <f t="shared" si="1"/>
        <v>8.5137291879391244E-2</v>
      </c>
      <c r="J17" s="21"/>
      <c r="K17" s="22">
        <v>31010.746542239736</v>
      </c>
      <c r="L17" s="20">
        <f t="shared" si="2"/>
        <v>2.0322770892827443E-3</v>
      </c>
      <c r="M17" s="21"/>
      <c r="N17" s="22">
        <v>0</v>
      </c>
      <c r="O17" s="20">
        <f t="shared" si="3"/>
        <v>0</v>
      </c>
      <c r="P17" s="21"/>
      <c r="Q17" s="22">
        <v>37818.117378894123</v>
      </c>
      <c r="R17" s="20">
        <f t="shared" si="4"/>
        <v>2.4783954621745512E-3</v>
      </c>
      <c r="S17" s="75"/>
      <c r="T17" s="137">
        <f t="shared" si="8"/>
        <v>16627061.84281119</v>
      </c>
      <c r="U17" s="137">
        <f t="shared" si="5"/>
        <v>1367948.4542995747</v>
      </c>
      <c r="V17" s="51">
        <f t="shared" si="6"/>
        <v>8.964796443084859E-2</v>
      </c>
    </row>
    <row r="18" spans="1:22" x14ac:dyDescent="0.2">
      <c r="A18" s="18">
        <f t="shared" si="7"/>
        <v>9</v>
      </c>
      <c r="B18" s="24" t="str">
        <f>'Exh CTM-8 (Rate Impacts_RY#1)'!B18</f>
        <v>High Volt Interr Svc</v>
      </c>
      <c r="C18" s="24">
        <f>'Exh CTM-8 (Rate Impacts_RY#1)'!C18</f>
        <v>46</v>
      </c>
      <c r="D18" s="28">
        <v>96918964.527943105</v>
      </c>
      <c r="E18" s="137">
        <f>'Exh CTM-8 (Rate Impacts_RY#1)'!AK18</f>
        <v>8879903.2508084755</v>
      </c>
      <c r="F18" s="137">
        <v>-3792.9623170064297</v>
      </c>
      <c r="G18" s="137">
        <f t="shared" si="0"/>
        <v>8876110.2884914689</v>
      </c>
      <c r="H18" s="153">
        <v>691310.45979805849</v>
      </c>
      <c r="I18" s="20">
        <f t="shared" si="1"/>
        <v>7.7884392749647716E-2</v>
      </c>
      <c r="J18" s="21"/>
      <c r="K18" s="22">
        <v>60244.063198268763</v>
      </c>
      <c r="L18" s="20">
        <f t="shared" si="2"/>
        <v>6.7872143585664575E-3</v>
      </c>
      <c r="M18" s="21"/>
      <c r="N18" s="22">
        <v>0</v>
      </c>
      <c r="O18" s="20">
        <f t="shared" si="3"/>
        <v>0</v>
      </c>
      <c r="P18" s="21"/>
      <c r="Q18" s="22">
        <v>8962.417095837307</v>
      </c>
      <c r="R18" s="20">
        <f t="shared" si="4"/>
        <v>1.009723494249248E-3</v>
      </c>
      <c r="S18" s="75"/>
      <c r="T18" s="137">
        <f t="shared" si="8"/>
        <v>9636627.2285836339</v>
      </c>
      <c r="U18" s="137">
        <f t="shared" si="5"/>
        <v>760516.94009216502</v>
      </c>
      <c r="V18" s="51">
        <f t="shared" si="6"/>
        <v>8.5681330602463482E-2</v>
      </c>
    </row>
    <row r="19" spans="1:22" x14ac:dyDescent="0.2">
      <c r="A19" s="18">
        <f t="shared" si="7"/>
        <v>10</v>
      </c>
      <c r="B19" s="24" t="str">
        <f>'Exh CTM-8 (Rate Impacts_RY#1)'!B19</f>
        <v>High Volt Gen Svc</v>
      </c>
      <c r="C19" s="24">
        <f>'Exh CTM-8 (Rate Impacts_RY#1)'!C19</f>
        <v>49</v>
      </c>
      <c r="D19" s="28">
        <v>534899242.67952603</v>
      </c>
      <c r="E19" s="137">
        <f>'Exh CTM-8 (Rate Impacts_RY#1)'!AK19</f>
        <v>50264243.710205786</v>
      </c>
      <c r="F19" s="137">
        <v>-18604.044515703805</v>
      </c>
      <c r="G19" s="137">
        <f t="shared" si="0"/>
        <v>50245639.665690079</v>
      </c>
      <c r="H19" s="153">
        <v>3799319.1063174531</v>
      </c>
      <c r="I19" s="20">
        <f t="shared" si="1"/>
        <v>7.5614901742644042E-2</v>
      </c>
      <c r="J19" s="21"/>
      <c r="K19" s="22">
        <v>332814.69581890595</v>
      </c>
      <c r="L19" s="20">
        <f t="shared" si="2"/>
        <v>6.6237527879691093E-3</v>
      </c>
      <c r="M19" s="21"/>
      <c r="N19" s="22">
        <v>0</v>
      </c>
      <c r="O19" s="20">
        <f t="shared" si="3"/>
        <v>0</v>
      </c>
      <c r="P19" s="21"/>
      <c r="Q19" s="22">
        <v>49451.464676510164</v>
      </c>
      <c r="R19" s="20">
        <f t="shared" si="4"/>
        <v>9.8419415108526895E-4</v>
      </c>
      <c r="S19" s="75"/>
      <c r="T19" s="137">
        <f t="shared" si="8"/>
        <v>54427224.932502948</v>
      </c>
      <c r="U19" s="137">
        <f t="shared" si="5"/>
        <v>4181585.2668128684</v>
      </c>
      <c r="V19" s="51">
        <f t="shared" si="6"/>
        <v>8.3222848681698394E-2</v>
      </c>
    </row>
    <row r="20" spans="1:22" x14ac:dyDescent="0.2">
      <c r="A20" s="18">
        <f t="shared" si="7"/>
        <v>11</v>
      </c>
      <c r="B20" s="24" t="str">
        <f>'Exh CTM-8 (Rate Impacts_RY#1)'!B20</f>
        <v>Area &amp; Street Lighting</v>
      </c>
      <c r="C20" s="24" t="str">
        <f>'Exh CTM-8 (Rate Impacts_RY#1)'!C20</f>
        <v>03, 50-59</v>
      </c>
      <c r="D20" s="28">
        <v>67027608.143863305</v>
      </c>
      <c r="E20" s="137">
        <f>'Exh CTM-8 (Rate Impacts_RY#1)'!AK20</f>
        <v>23179928.019197069</v>
      </c>
      <c r="F20" s="137">
        <v>-56848.710061108693</v>
      </c>
      <c r="G20" s="137">
        <f t="shared" si="0"/>
        <v>23123079.309135959</v>
      </c>
      <c r="H20" s="153">
        <v>2051066.7858875326</v>
      </c>
      <c r="I20" s="20">
        <f t="shared" si="1"/>
        <v>8.87021472558438E-2</v>
      </c>
      <c r="J20" s="21"/>
      <c r="K20" s="22">
        <v>28908.411441377568</v>
      </c>
      <c r="L20" s="20">
        <f t="shared" si="2"/>
        <v>1.2501973052505952E-3</v>
      </c>
      <c r="M20" s="21"/>
      <c r="N20" s="22">
        <v>0</v>
      </c>
      <c r="O20" s="20">
        <f t="shared" si="3"/>
        <v>0</v>
      </c>
      <c r="P20" s="21"/>
      <c r="Q20" s="22">
        <v>38825.943731840322</v>
      </c>
      <c r="R20" s="20">
        <f t="shared" si="4"/>
        <v>1.6790991897216796E-3</v>
      </c>
      <c r="S20" s="75"/>
      <c r="T20" s="137">
        <f t="shared" si="8"/>
        <v>25241880.450196709</v>
      </c>
      <c r="U20" s="137">
        <f t="shared" si="5"/>
        <v>2118801.1410607509</v>
      </c>
      <c r="V20" s="51">
        <f t="shared" si="6"/>
        <v>9.1631443750816083E-2</v>
      </c>
    </row>
    <row r="21" spans="1:22" x14ac:dyDescent="0.2">
      <c r="A21" s="18">
        <f t="shared" si="7"/>
        <v>12</v>
      </c>
      <c r="B21" s="24" t="str">
        <f>'Exh CTM-8 (Rate Impacts_RY#1)'!B21</f>
        <v>Retail Wheeling</v>
      </c>
      <c r="C21" s="24" t="str">
        <f>'Exh CTM-8 (Rate Impacts_RY#1)'!C21</f>
        <v xml:space="preserve">449 / 459 </v>
      </c>
      <c r="D21" s="28">
        <v>1964993565.6779518</v>
      </c>
      <c r="E21" s="137">
        <f>'Exh CTM-8 (Rate Impacts_RY#1)'!AK21</f>
        <v>17380237.449417111</v>
      </c>
      <c r="F21" s="137">
        <v>0</v>
      </c>
      <c r="G21" s="137">
        <f t="shared" si="0"/>
        <v>17380237.449417111</v>
      </c>
      <c r="H21" s="153">
        <v>0</v>
      </c>
      <c r="I21" s="20">
        <f t="shared" si="1"/>
        <v>0</v>
      </c>
      <c r="J21" s="21"/>
      <c r="K21" s="22">
        <v>0</v>
      </c>
      <c r="L21" s="20">
        <f t="shared" si="2"/>
        <v>0</v>
      </c>
      <c r="M21" s="21"/>
      <c r="N21" s="22">
        <v>0</v>
      </c>
      <c r="O21" s="20">
        <f t="shared" si="3"/>
        <v>0</v>
      </c>
      <c r="P21" s="21"/>
      <c r="Q21" s="22">
        <v>102052.80033352424</v>
      </c>
      <c r="R21" s="20">
        <f t="shared" si="4"/>
        <v>5.8717725019888515E-3</v>
      </c>
      <c r="S21" s="75"/>
      <c r="T21" s="137">
        <f t="shared" si="8"/>
        <v>17482290.249750637</v>
      </c>
      <c r="U21" s="137">
        <f t="shared" si="5"/>
        <v>102052.80033352599</v>
      </c>
      <c r="V21" s="51">
        <f t="shared" si="6"/>
        <v>5.8717725019889521E-3</v>
      </c>
    </row>
    <row r="22" spans="1:22" x14ac:dyDescent="0.2">
      <c r="A22" s="18">
        <f t="shared" si="7"/>
        <v>13</v>
      </c>
      <c r="B22" s="24" t="str">
        <f>'Exh CTM-8 (Rate Impacts_RY#1)'!B22</f>
        <v>Special Contract</v>
      </c>
      <c r="C22" s="24" t="str">
        <f>'Exh CTM-8 (Rate Impacts_RY#1)'!C22</f>
        <v>Special Contract</v>
      </c>
      <c r="D22" s="28">
        <v>304773055.46200001</v>
      </c>
      <c r="E22" s="137">
        <f>'Exh CTM-8 (Rate Impacts_RY#1)'!AK22</f>
        <v>10552950.387455983</v>
      </c>
      <c r="F22" s="137">
        <v>308656.99493579194</v>
      </c>
      <c r="G22" s="137">
        <f t="shared" si="0"/>
        <v>10861607.382391775</v>
      </c>
      <c r="H22" s="153">
        <v>520250.60639040545</v>
      </c>
      <c r="I22" s="20">
        <f t="shared" si="1"/>
        <v>4.7898123001003184E-2</v>
      </c>
      <c r="J22" s="21"/>
      <c r="K22" s="22">
        <v>0</v>
      </c>
      <c r="L22" s="20">
        <f t="shared" si="2"/>
        <v>0</v>
      </c>
      <c r="M22" s="21"/>
      <c r="N22" s="22">
        <v>0</v>
      </c>
      <c r="O22" s="20">
        <f t="shared" si="3"/>
        <v>0</v>
      </c>
      <c r="P22" s="21"/>
      <c r="Q22" s="22">
        <v>100172.12531810754</v>
      </c>
      <c r="R22" s="20">
        <f t="shared" si="4"/>
        <v>9.2225875776453629E-3</v>
      </c>
      <c r="S22" s="75"/>
      <c r="T22" s="137">
        <f t="shared" si="8"/>
        <v>11482030.114100289</v>
      </c>
      <c r="U22" s="137">
        <f t="shared" si="5"/>
        <v>620422.73170851357</v>
      </c>
      <c r="V22" s="51">
        <f t="shared" si="6"/>
        <v>5.7120710578648599E-2</v>
      </c>
    </row>
    <row r="23" spans="1:22" x14ac:dyDescent="0.2">
      <c r="A23" s="18">
        <f t="shared" si="7"/>
        <v>14</v>
      </c>
      <c r="B23" s="24" t="str">
        <f>'Exh CTM-8 (Rate Impacts_RY#1)'!B23</f>
        <v>Firm Resale</v>
      </c>
      <c r="C23" s="24">
        <f>'Exh CTM-8 (Rate Impacts_RY#1)'!C23</f>
        <v>5</v>
      </c>
      <c r="D23" s="28">
        <v>6710049.8818741431</v>
      </c>
      <c r="E23" s="137">
        <f>'Exh CTM-8 (Rate Impacts_RY#1)'!AK23</f>
        <v>1203807.8312593109</v>
      </c>
      <c r="F23" s="137">
        <v>-564.28827922475568</v>
      </c>
      <c r="G23" s="137">
        <f t="shared" si="0"/>
        <v>1203243.5429800863</v>
      </c>
      <c r="H23" s="153">
        <v>0</v>
      </c>
      <c r="I23" s="20">
        <f t="shared" si="1"/>
        <v>0</v>
      </c>
      <c r="J23" s="21"/>
      <c r="K23" s="22">
        <v>5210.3083441186973</v>
      </c>
      <c r="L23" s="20">
        <f t="shared" si="2"/>
        <v>4.3302192432417052E-3</v>
      </c>
      <c r="M23" s="21"/>
      <c r="N23" s="22">
        <v>0</v>
      </c>
      <c r="O23" s="20">
        <f t="shared" si="3"/>
        <v>0</v>
      </c>
      <c r="P23" s="21"/>
      <c r="Q23" s="22">
        <v>1919.7896164892036</v>
      </c>
      <c r="R23" s="20">
        <f t="shared" si="4"/>
        <v>1.5955120870496757E-3</v>
      </c>
      <c r="S23" s="75"/>
      <c r="T23" s="137">
        <f t="shared" si="8"/>
        <v>1210373.6409406944</v>
      </c>
      <c r="U23" s="137">
        <f t="shared" si="5"/>
        <v>7130.09796060808</v>
      </c>
      <c r="V23" s="51">
        <f t="shared" si="6"/>
        <v>5.9257313302915294E-3</v>
      </c>
    </row>
    <row r="24" spans="1:22" ht="12" thickBot="1" x14ac:dyDescent="0.25">
      <c r="A24" s="18">
        <f t="shared" si="7"/>
        <v>15</v>
      </c>
      <c r="B24" s="24"/>
      <c r="C24" s="24" t="s">
        <v>4</v>
      </c>
      <c r="D24" s="148">
        <f>SUM(D10:D23)</f>
        <v>23775605944.94062</v>
      </c>
      <c r="E24" s="149">
        <f>SUM(E10:E23)</f>
        <v>3043321591.5390406</v>
      </c>
      <c r="F24" s="149">
        <f>SUM(F10:F23)</f>
        <v>22389080.988265499</v>
      </c>
      <c r="G24" s="149">
        <f>SUM(G10:G23)</f>
        <v>3065710672.527307</v>
      </c>
      <c r="H24" s="26">
        <f>SUM(H10:H23)</f>
        <v>259901923.99999997</v>
      </c>
      <c r="I24" s="20">
        <f t="shared" si="1"/>
        <v>8.4777055554868239E-2</v>
      </c>
      <c r="J24" s="21"/>
      <c r="K24" s="26">
        <f>SUM(K10:K23)</f>
        <v>18419940.77245729</v>
      </c>
      <c r="L24" s="27">
        <f t="shared" si="2"/>
        <v>6.0083754600600585E-3</v>
      </c>
      <c r="M24" s="21"/>
      <c r="N24" s="26">
        <f>SUM(N10:N23)</f>
        <v>9.0949470177292824E-13</v>
      </c>
      <c r="O24" s="27">
        <f t="shared" si="3"/>
        <v>2.9666684136998488E-22</v>
      </c>
      <c r="P24" s="21"/>
      <c r="Q24" s="26">
        <f>SUM(Q10:Q23)</f>
        <v>6846346.7011348838</v>
      </c>
      <c r="R24" s="27">
        <f t="shared" si="4"/>
        <v>2.2332005307894565E-3</v>
      </c>
      <c r="S24" s="137"/>
      <c r="T24" s="149">
        <f>SUM(T10:T23)</f>
        <v>3350878884.0008988</v>
      </c>
      <c r="U24" s="149">
        <f>SUM(U10:U23)</f>
        <v>285168211.47359216</v>
      </c>
      <c r="V24" s="51">
        <f t="shared" si="6"/>
        <v>9.3018631545717753E-2</v>
      </c>
    </row>
    <row r="25" spans="1:22" ht="12" thickTop="1" x14ac:dyDescent="0.2">
      <c r="E25" s="137"/>
      <c r="F25" s="137"/>
      <c r="G25" s="137"/>
      <c r="H25" s="28"/>
      <c r="I25" s="28"/>
      <c r="K25" s="137"/>
      <c r="L25" s="137"/>
      <c r="T25" s="154"/>
      <c r="U25" s="154" t="s">
        <v>3</v>
      </c>
    </row>
    <row r="26" spans="1:22" x14ac:dyDescent="0.2">
      <c r="D26" s="28">
        <v>23775605944.94062</v>
      </c>
      <c r="E26" s="137">
        <v>3065710672.5273075</v>
      </c>
      <c r="F26" s="137"/>
      <c r="G26" s="137"/>
      <c r="H26" s="155">
        <v>259901924</v>
      </c>
      <c r="I26" s="29"/>
      <c r="K26" s="155">
        <v>18419940.772457272</v>
      </c>
      <c r="L26" s="155"/>
      <c r="M26" s="155"/>
      <c r="N26" s="155">
        <v>0</v>
      </c>
      <c r="O26" s="155"/>
      <c r="P26" s="155"/>
      <c r="Q26" s="155">
        <v>6846346.701134894</v>
      </c>
      <c r="R26" s="155"/>
      <c r="T26" s="137">
        <v>3350878884.0071573</v>
      </c>
      <c r="U26" s="137">
        <v>285168211.51727557</v>
      </c>
    </row>
    <row r="27" spans="1:22" x14ac:dyDescent="0.2">
      <c r="C27" s="23" t="s">
        <v>1</v>
      </c>
      <c r="D27" s="28">
        <f>+D26-D24</f>
        <v>0</v>
      </c>
      <c r="E27" s="137">
        <f>+E26-E24-F24</f>
        <v>1.4454126358032227E-6</v>
      </c>
      <c r="F27" s="137"/>
      <c r="G27" s="137"/>
      <c r="H27" s="137">
        <f>+H26-H24</f>
        <v>0</v>
      </c>
      <c r="I27" s="29"/>
      <c r="K27" s="137">
        <f>+K26-K24</f>
        <v>0</v>
      </c>
      <c r="L27" s="137"/>
      <c r="N27" s="137">
        <f>+N26-N24</f>
        <v>-9.0949470177292824E-13</v>
      </c>
      <c r="Q27" s="137">
        <f>+Q26-Q24</f>
        <v>1.0244548320770264E-8</v>
      </c>
      <c r="T27" s="28">
        <f>+T26-T24</f>
        <v>6.2584877014160156E-3</v>
      </c>
      <c r="U27" s="28">
        <f>+U26-U24</f>
        <v>4.3683409690856934E-2</v>
      </c>
    </row>
    <row r="28" spans="1:22" ht="12.75" customHeight="1" x14ac:dyDescent="0.2">
      <c r="B28" s="30"/>
      <c r="F28" s="137"/>
      <c r="U28" s="137"/>
      <c r="V28" s="137"/>
    </row>
    <row r="29" spans="1:22" x14ac:dyDescent="0.2">
      <c r="B29" s="30" t="s">
        <v>70</v>
      </c>
      <c r="U29" s="137"/>
      <c r="V29" s="137"/>
    </row>
    <row r="30" spans="1:22" x14ac:dyDescent="0.2">
      <c r="U30" s="137"/>
    </row>
    <row r="32" spans="1:22" x14ac:dyDescent="0.2">
      <c r="B32" s="150"/>
    </row>
    <row r="38" spans="3:3" x14ac:dyDescent="0.2">
      <c r="C38" s="79"/>
    </row>
  </sheetData>
  <mergeCells count="7">
    <mergeCell ref="K5:R6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5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D226-FDF1-4862-8440-082178645DDC}">
  <sheetPr>
    <pageSetUpPr fitToPage="1"/>
  </sheetPr>
  <dimension ref="A1:N51"/>
  <sheetViews>
    <sheetView zoomScaleNormal="100" zoomScaleSheetLayoutView="100" workbookViewId="0">
      <pane ySplit="9" topLeftCell="A10" activePane="bottomLeft" state="frozen"/>
      <selection sqref="A1:XFD1048576"/>
      <selection pane="bottomLeft" sqref="A1:XFD1048576"/>
    </sheetView>
  </sheetViews>
  <sheetFormatPr defaultRowHeight="11.25" x14ac:dyDescent="0.2"/>
  <cols>
    <col min="1" max="1" width="9.140625" style="23"/>
    <col min="2" max="2" width="35.7109375" style="23" bestFit="1" customWidth="1"/>
    <col min="3" max="3" width="14" style="23" bestFit="1" customWidth="1"/>
    <col min="4" max="5" width="15.28515625" style="23" bestFit="1" customWidth="1"/>
    <col min="6" max="6" width="12" style="23" bestFit="1" customWidth="1"/>
    <col min="7" max="7" width="0.7109375" style="23" customWidth="1"/>
    <col min="8" max="9" width="15.28515625" style="23" bestFit="1" customWidth="1"/>
    <col min="10" max="10" width="12" style="23" bestFit="1" customWidth="1"/>
    <col min="11" max="11" width="0.7109375" style="23" customWidth="1"/>
    <col min="12" max="12" width="11.140625" style="23" bestFit="1" customWidth="1"/>
    <col min="13" max="13" width="0.7109375" style="23" customWidth="1"/>
    <col min="14" max="16384" width="9.140625" style="23"/>
  </cols>
  <sheetData>
    <row r="1" spans="1:14" s="7" customFormat="1" ht="12.75" x14ac:dyDescent="0.2">
      <c r="A1" s="179" t="s">
        <v>69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1:14" s="7" customFormat="1" ht="12.75" x14ac:dyDescent="0.2">
      <c r="A2" s="179" t="s">
        <v>269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</row>
    <row r="3" spans="1:14" s="7" customFormat="1" ht="12.75" x14ac:dyDescent="0.2">
      <c r="A3" s="179" t="s">
        <v>103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</row>
    <row r="4" spans="1:14" s="7" customFormat="1" ht="12.75" x14ac:dyDescent="0.2">
      <c r="A4" s="179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</row>
    <row r="5" spans="1:14" s="7" customFormat="1" ht="12.75" x14ac:dyDescent="0.2">
      <c r="A5" s="189" t="s">
        <v>102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1"/>
    </row>
    <row r="6" spans="1:14" s="7" customFormat="1" x14ac:dyDescent="0.2">
      <c r="D6" s="187" t="s">
        <v>101</v>
      </c>
      <c r="E6" s="187"/>
      <c r="F6" s="187"/>
      <c r="G6" s="10"/>
      <c r="H6" s="187" t="s">
        <v>96</v>
      </c>
      <c r="I6" s="187"/>
      <c r="J6" s="187"/>
    </row>
    <row r="7" spans="1:14" s="7" customFormat="1" x14ac:dyDescent="0.2">
      <c r="B7" s="10"/>
      <c r="C7" s="10"/>
      <c r="D7" s="10" t="s">
        <v>95</v>
      </c>
      <c r="E7" s="10" t="s">
        <v>95</v>
      </c>
      <c r="F7" s="10"/>
      <c r="G7" s="10"/>
      <c r="H7" s="10" t="s">
        <v>95</v>
      </c>
      <c r="I7" s="10" t="s">
        <v>95</v>
      </c>
      <c r="J7" s="10"/>
      <c r="K7" s="10"/>
      <c r="L7" s="10"/>
    </row>
    <row r="8" spans="1:14" s="7" customFormat="1" x14ac:dyDescent="0.2">
      <c r="B8" s="10"/>
      <c r="C8" s="10" t="s">
        <v>94</v>
      </c>
      <c r="D8" s="11" t="s">
        <v>93</v>
      </c>
      <c r="E8" s="10" t="s">
        <v>91</v>
      </c>
      <c r="F8" s="10" t="s">
        <v>90</v>
      </c>
      <c r="G8" s="10"/>
      <c r="H8" s="10" t="s">
        <v>92</v>
      </c>
      <c r="I8" s="10" t="s">
        <v>91</v>
      </c>
      <c r="J8" s="10" t="s">
        <v>90</v>
      </c>
      <c r="K8" s="10"/>
      <c r="L8" s="10" t="s">
        <v>89</v>
      </c>
    </row>
    <row r="9" spans="1:14" s="7" customFormat="1" x14ac:dyDescent="0.2">
      <c r="A9" s="12" t="s">
        <v>66</v>
      </c>
      <c r="B9" s="12" t="s">
        <v>65</v>
      </c>
      <c r="C9" s="12" t="s">
        <v>64</v>
      </c>
      <c r="D9" s="107" t="s">
        <v>100</v>
      </c>
      <c r="E9" s="107" t="str">
        <f>D9</f>
        <v>12ME Dec. 2025</v>
      </c>
      <c r="F9" s="130" t="s">
        <v>87</v>
      </c>
      <c r="G9" s="10"/>
      <c r="H9" s="107" t="str">
        <f>D9</f>
        <v>12ME Dec. 2025</v>
      </c>
      <c r="I9" s="107" t="str">
        <f>D9</f>
        <v>12ME Dec. 2025</v>
      </c>
      <c r="J9" s="130" t="s">
        <v>87</v>
      </c>
      <c r="K9" s="10"/>
      <c r="L9" s="107" t="s">
        <v>86</v>
      </c>
      <c r="N9" s="107" t="s">
        <v>85</v>
      </c>
    </row>
    <row r="10" spans="1:14" x14ac:dyDescent="0.2">
      <c r="A10" s="131"/>
      <c r="B10" s="131" t="s">
        <v>43</v>
      </c>
      <c r="C10" s="131" t="s">
        <v>42</v>
      </c>
      <c r="D10" s="132" t="s">
        <v>41</v>
      </c>
      <c r="E10" s="132" t="s">
        <v>40</v>
      </c>
      <c r="F10" s="133" t="s">
        <v>84</v>
      </c>
      <c r="G10" s="132"/>
      <c r="H10" s="132" t="s">
        <v>83</v>
      </c>
      <c r="I10" s="132" t="s">
        <v>37</v>
      </c>
      <c r="J10" s="133" t="s">
        <v>82</v>
      </c>
      <c r="K10" s="133"/>
      <c r="L10" s="134" t="s">
        <v>81</v>
      </c>
      <c r="M10" s="44"/>
      <c r="N10" s="44"/>
    </row>
    <row r="11" spans="1:14" x14ac:dyDescent="0.2">
      <c r="A11" s="18">
        <v>1</v>
      </c>
      <c r="B11" s="24" t="s">
        <v>18</v>
      </c>
      <c r="C11" s="24" t="s">
        <v>260</v>
      </c>
      <c r="D11" s="136">
        <v>11278205851.395365</v>
      </c>
      <c r="E11" s="170">
        <v>1573549058.3641579</v>
      </c>
      <c r="F11" s="29">
        <f t="shared" ref="F11:F25" si="0">E11/D11</f>
        <v>0.13952122164621378</v>
      </c>
      <c r="G11" s="135"/>
      <c r="H11" s="136">
        <f t="shared" ref="H11:H24" si="1">+D11</f>
        <v>11278205851.395365</v>
      </c>
      <c r="I11" s="170">
        <v>1682433932.4322236</v>
      </c>
      <c r="J11" s="29">
        <f t="shared" ref="J11:J25" si="2">I11/H11</f>
        <v>0.14917567160951128</v>
      </c>
      <c r="K11" s="137"/>
      <c r="L11" s="51">
        <f t="shared" ref="L11:L25" si="3">(I11-E11)/E11</f>
        <v>6.9196999921477514E-2</v>
      </c>
      <c r="N11" s="171">
        <f>'Exh CTM-8 (Rate Impacts_RY#1)'!AI10-L11</f>
        <v>1.5265566588595902E-16</v>
      </c>
    </row>
    <row r="12" spans="1:14" x14ac:dyDescent="0.2">
      <c r="A12" s="18">
        <f t="shared" ref="A12:A25" si="4">+A11+1</f>
        <v>2</v>
      </c>
      <c r="B12" s="24" t="s">
        <v>17</v>
      </c>
      <c r="C12" s="24" t="s">
        <v>261</v>
      </c>
      <c r="D12" s="136">
        <v>2762635966.1696987</v>
      </c>
      <c r="E12" s="170">
        <v>370402221.86186469</v>
      </c>
      <c r="F12" s="29">
        <f t="shared" si="0"/>
        <v>0.13407565325206955</v>
      </c>
      <c r="G12" s="135"/>
      <c r="H12" s="136">
        <f t="shared" si="1"/>
        <v>2762635966.1696987</v>
      </c>
      <c r="I12" s="170">
        <v>399406260.30445379</v>
      </c>
      <c r="J12" s="29">
        <f t="shared" si="2"/>
        <v>0.14457433595864497</v>
      </c>
      <c r="K12" s="137"/>
      <c r="L12" s="51">
        <f t="shared" si="3"/>
        <v>7.8304169712582541E-2</v>
      </c>
      <c r="N12" s="171">
        <f>'Exh CTM-8 (Rate Impacts_RY#1)'!AI11-L12</f>
        <v>1.6653345369377348E-16</v>
      </c>
    </row>
    <row r="13" spans="1:14" x14ac:dyDescent="0.2">
      <c r="A13" s="18">
        <f t="shared" si="4"/>
        <v>3</v>
      </c>
      <c r="B13" s="30" t="s">
        <v>16</v>
      </c>
      <c r="C13" s="24" t="s">
        <v>262</v>
      </c>
      <c r="D13" s="136">
        <v>2960202274.8054705</v>
      </c>
      <c r="E13" s="170">
        <v>388306969.90820646</v>
      </c>
      <c r="F13" s="29">
        <f t="shared" si="0"/>
        <v>0.1311758230892259</v>
      </c>
      <c r="G13" s="135"/>
      <c r="H13" s="136">
        <f t="shared" si="1"/>
        <v>2960202274.8054705</v>
      </c>
      <c r="I13" s="170">
        <v>410104305.30607408</v>
      </c>
      <c r="J13" s="29">
        <f t="shared" si="2"/>
        <v>0.13853928456055392</v>
      </c>
      <c r="K13" s="137"/>
      <c r="L13" s="51">
        <f t="shared" si="3"/>
        <v>5.6134288300362947E-2</v>
      </c>
      <c r="N13" s="171">
        <f>'Exh CTM-8 (Rate Impacts_RY#1)'!AI12-L13</f>
        <v>-7.6327832942979512E-17</v>
      </c>
    </row>
    <row r="14" spans="1:14" x14ac:dyDescent="0.2">
      <c r="A14" s="18">
        <f t="shared" si="4"/>
        <v>4</v>
      </c>
      <c r="B14" s="30" t="s">
        <v>15</v>
      </c>
      <c r="C14" s="24" t="s">
        <v>263</v>
      </c>
      <c r="D14" s="136">
        <v>2013891730.8000479</v>
      </c>
      <c r="E14" s="170">
        <v>237836418.96857327</v>
      </c>
      <c r="F14" s="29">
        <f t="shared" si="0"/>
        <v>0.11809791724706535</v>
      </c>
      <c r="G14" s="135"/>
      <c r="H14" s="136">
        <f t="shared" si="1"/>
        <v>2013891730.8000479</v>
      </c>
      <c r="I14" s="170">
        <v>250844035.89377761</v>
      </c>
      <c r="J14" s="29">
        <f t="shared" si="2"/>
        <v>0.12455686274362235</v>
      </c>
      <c r="K14" s="137"/>
      <c r="L14" s="51">
        <f t="shared" si="3"/>
        <v>5.4691442890094595E-2</v>
      </c>
      <c r="N14" s="171">
        <f>'Exh CTM-8 (Rate Impacts_RY#1)'!AI13-L14</f>
        <v>0</v>
      </c>
    </row>
    <row r="15" spans="1:14" x14ac:dyDescent="0.2">
      <c r="A15" s="18">
        <f t="shared" si="4"/>
        <v>5</v>
      </c>
      <c r="B15" s="24" t="s">
        <v>14</v>
      </c>
      <c r="C15" s="24" t="s">
        <v>264</v>
      </c>
      <c r="D15" s="136">
        <v>14930059.630887466</v>
      </c>
      <c r="E15" s="170">
        <v>1728149.0568922446</v>
      </c>
      <c r="F15" s="29">
        <f t="shared" si="0"/>
        <v>0.11574964197175955</v>
      </c>
      <c r="G15" s="135"/>
      <c r="H15" s="136">
        <f t="shared" si="1"/>
        <v>14930059.630887466</v>
      </c>
      <c r="I15" s="170">
        <v>1822920.0439626977</v>
      </c>
      <c r="J15" s="29">
        <f t="shared" si="2"/>
        <v>0.12209730496932654</v>
      </c>
      <c r="K15" s="137"/>
      <c r="L15" s="51">
        <f t="shared" si="3"/>
        <v>5.483959077053293E-2</v>
      </c>
      <c r="N15" s="171">
        <f>'Exh CTM-8 (Rate Impacts_RY#1)'!AI14-L15</f>
        <v>-1.1796119636642288E-16</v>
      </c>
    </row>
    <row r="16" spans="1:14" x14ac:dyDescent="0.2">
      <c r="A16" s="18">
        <f t="shared" si="4"/>
        <v>6</v>
      </c>
      <c r="B16" s="30" t="s">
        <v>13</v>
      </c>
      <c r="C16" s="24" t="s">
        <v>265</v>
      </c>
      <c r="D16" s="136">
        <v>1423586019.4788036</v>
      </c>
      <c r="E16" s="170">
        <v>162042122.3188971</v>
      </c>
      <c r="F16" s="29">
        <f t="shared" si="0"/>
        <v>0.11382671654658646</v>
      </c>
      <c r="G16" s="135"/>
      <c r="H16" s="136">
        <f t="shared" si="1"/>
        <v>1423586019.4788036</v>
      </c>
      <c r="I16" s="170">
        <v>171448917.19141841</v>
      </c>
      <c r="J16" s="29">
        <f t="shared" si="2"/>
        <v>0.1204345328244994</v>
      </c>
      <c r="K16" s="137"/>
      <c r="L16" s="51">
        <f t="shared" si="3"/>
        <v>5.8051540783999628E-2</v>
      </c>
      <c r="N16" s="171">
        <f>'Exh CTM-8 (Rate Impacts_RY#1)'!AI15-L16</f>
        <v>-2.4286128663675299E-16</v>
      </c>
    </row>
    <row r="17" spans="1:14" x14ac:dyDescent="0.2">
      <c r="A17" s="18">
        <f t="shared" si="4"/>
        <v>7</v>
      </c>
      <c r="B17" s="30" t="s">
        <v>12</v>
      </c>
      <c r="C17" s="24" t="s">
        <v>266</v>
      </c>
      <c r="D17" s="136">
        <v>4407260.1568774413</v>
      </c>
      <c r="E17" s="170">
        <v>418551.29387898021</v>
      </c>
      <c r="F17" s="29">
        <f t="shared" si="0"/>
        <v>9.49685924997732E-2</v>
      </c>
      <c r="G17" s="135"/>
      <c r="H17" s="136">
        <f t="shared" si="1"/>
        <v>4407260.1568774413</v>
      </c>
      <c r="I17" s="170">
        <v>474221.61064653046</v>
      </c>
      <c r="J17" s="29">
        <f t="shared" si="2"/>
        <v>0.10760009479052811</v>
      </c>
      <c r="K17" s="137"/>
      <c r="L17" s="51">
        <f t="shared" si="3"/>
        <v>0.13300715487370288</v>
      </c>
      <c r="N17" s="171">
        <f>'Exh CTM-8 (Rate Impacts_RY#1)'!AI16-L17</f>
        <v>0</v>
      </c>
    </row>
    <row r="18" spans="1:14" x14ac:dyDescent="0.2">
      <c r="A18" s="18">
        <f t="shared" si="4"/>
        <v>8</v>
      </c>
      <c r="B18" s="24" t="s">
        <v>11</v>
      </c>
      <c r="C18" s="24">
        <v>43</v>
      </c>
      <c r="D18" s="136">
        <v>122267424.6450724</v>
      </c>
      <c r="E18" s="170">
        <v>14286105.037436888</v>
      </c>
      <c r="F18" s="29">
        <f t="shared" si="0"/>
        <v>0.11684310092330585</v>
      </c>
      <c r="G18" s="135"/>
      <c r="H18" s="136">
        <f t="shared" si="1"/>
        <v>122267424.6450724</v>
      </c>
      <c r="I18" s="170">
        <v>15325928.108140722</v>
      </c>
      <c r="J18" s="29">
        <f t="shared" si="2"/>
        <v>0.12534759894248237</v>
      </c>
      <c r="K18" s="137"/>
      <c r="L18" s="51">
        <f t="shared" si="3"/>
        <v>7.278562407170934E-2</v>
      </c>
      <c r="N18" s="171">
        <f>'Exh CTM-8 (Rate Impacts_RY#1)'!AI17-L18</f>
        <v>0</v>
      </c>
    </row>
    <row r="19" spans="1:14" x14ac:dyDescent="0.2">
      <c r="A19" s="18">
        <f t="shared" si="4"/>
        <v>9</v>
      </c>
      <c r="B19" s="24" t="s">
        <v>10</v>
      </c>
      <c r="C19" s="24">
        <v>46</v>
      </c>
      <c r="D19" s="136">
        <v>96933187.043131709</v>
      </c>
      <c r="E19" s="170">
        <v>8475100.031980345</v>
      </c>
      <c r="F19" s="29">
        <f t="shared" si="0"/>
        <v>8.7432388127393734E-2</v>
      </c>
      <c r="G19" s="135"/>
      <c r="H19" s="136">
        <f t="shared" si="1"/>
        <v>96933187.043131709</v>
      </c>
      <c r="I19" s="170">
        <v>8879903.2508084737</v>
      </c>
      <c r="J19" s="29">
        <f t="shared" si="2"/>
        <v>9.1608493661280765E-2</v>
      </c>
      <c r="K19" s="137"/>
      <c r="L19" s="51">
        <f t="shared" si="3"/>
        <v>4.7763827836913422E-2</v>
      </c>
      <c r="N19" s="171">
        <f>'Exh CTM-8 (Rate Impacts_RY#1)'!AI18-L19</f>
        <v>1.3183898417423734E-16</v>
      </c>
    </row>
    <row r="20" spans="1:14" x14ac:dyDescent="0.2">
      <c r="A20" s="18">
        <f t="shared" si="4"/>
        <v>10</v>
      </c>
      <c r="B20" s="30" t="s">
        <v>9</v>
      </c>
      <c r="C20" s="24">
        <v>49</v>
      </c>
      <c r="D20" s="136">
        <v>534843226.30681556</v>
      </c>
      <c r="E20" s="170">
        <v>47671375.10442128</v>
      </c>
      <c r="F20" s="29">
        <f t="shared" si="0"/>
        <v>8.9131492668609313E-2</v>
      </c>
      <c r="G20" s="135"/>
      <c r="H20" s="136">
        <f t="shared" si="1"/>
        <v>534843226.30681556</v>
      </c>
      <c r="I20" s="170">
        <v>50264243.710205793</v>
      </c>
      <c r="J20" s="29">
        <f t="shared" si="2"/>
        <v>9.3979396649162106E-2</v>
      </c>
      <c r="K20" s="137"/>
      <c r="L20" s="51">
        <f t="shared" si="3"/>
        <v>5.4390472271986914E-2</v>
      </c>
      <c r="N20" s="171">
        <f>'Exh CTM-8 (Rate Impacts_RY#1)'!AI19-L20</f>
        <v>-2.1510571102112408E-16</v>
      </c>
    </row>
    <row r="21" spans="1:14" x14ac:dyDescent="0.2">
      <c r="A21" s="18">
        <f t="shared" si="4"/>
        <v>11</v>
      </c>
      <c r="B21" s="24" t="s">
        <v>8</v>
      </c>
      <c r="C21" s="24" t="s">
        <v>267</v>
      </c>
      <c r="D21" s="136">
        <v>67255417.982360825</v>
      </c>
      <c r="E21" s="170">
        <v>23183450.840163715</v>
      </c>
      <c r="F21" s="29">
        <f t="shared" si="0"/>
        <v>0.34470755718511886</v>
      </c>
      <c r="G21" s="135"/>
      <c r="H21" s="136">
        <f t="shared" si="1"/>
        <v>67255417.982360825</v>
      </c>
      <c r="I21" s="170">
        <v>23179928.019197065</v>
      </c>
      <c r="J21" s="29">
        <f t="shared" si="2"/>
        <v>0.34465517745018698</v>
      </c>
      <c r="K21" s="137"/>
      <c r="L21" s="51">
        <f t="shared" si="3"/>
        <v>-1.5195412412662737E-4</v>
      </c>
      <c r="N21" s="171">
        <f>'Exh CTM-8 (Rate Impacts_RY#1)'!AI20-L21</f>
        <v>2.1843963270151701E-16</v>
      </c>
    </row>
    <row r="22" spans="1:14" x14ac:dyDescent="0.2">
      <c r="A22" s="18">
        <f t="shared" si="4"/>
        <v>12</v>
      </c>
      <c r="B22" s="24" t="s">
        <v>7</v>
      </c>
      <c r="C22" s="24" t="s">
        <v>268</v>
      </c>
      <c r="D22" s="136">
        <v>1967511960.3194919</v>
      </c>
      <c r="E22" s="170">
        <v>16604465.294621985</v>
      </c>
      <c r="F22" s="29">
        <f t="shared" si="0"/>
        <v>8.4393211474687504E-3</v>
      </c>
      <c r="G22" s="135"/>
      <c r="H22" s="136">
        <f t="shared" si="1"/>
        <v>1967511960.3194919</v>
      </c>
      <c r="I22" s="170">
        <v>17380237.449417111</v>
      </c>
      <c r="J22" s="29">
        <f t="shared" si="2"/>
        <v>8.8336120948382148E-3</v>
      </c>
      <c r="K22" s="137"/>
      <c r="L22" s="51">
        <f t="shared" si="3"/>
        <v>4.6720694766749865E-2</v>
      </c>
      <c r="N22" s="171">
        <f>'Exh CTM-8 (Rate Impacts_RY#1)'!AI21-L22</f>
        <v>0</v>
      </c>
    </row>
    <row r="23" spans="1:14" x14ac:dyDescent="0.2">
      <c r="A23" s="18">
        <f t="shared" si="4"/>
        <v>13</v>
      </c>
      <c r="B23" s="24" t="s">
        <v>6</v>
      </c>
      <c r="C23" s="24" t="s">
        <v>6</v>
      </c>
      <c r="D23" s="136">
        <v>304773055.46200001</v>
      </c>
      <c r="E23" s="170">
        <v>6112058.4304764047</v>
      </c>
      <c r="F23" s="29">
        <f t="shared" si="0"/>
        <v>2.0054457967786047E-2</v>
      </c>
      <c r="G23" s="135"/>
      <c r="H23" s="136">
        <f t="shared" si="1"/>
        <v>304773055.46200001</v>
      </c>
      <c r="I23" s="170">
        <v>10552950.387455981</v>
      </c>
      <c r="J23" s="29">
        <f t="shared" si="2"/>
        <v>3.462560156920353E-2</v>
      </c>
      <c r="K23" s="137"/>
      <c r="L23" s="51">
        <f t="shared" si="3"/>
        <v>0.7265787798814336</v>
      </c>
      <c r="N23" s="171">
        <f>'Exh CTM-8 (Rate Impacts_RY#1)'!AI22-L23</f>
        <v>0</v>
      </c>
    </row>
    <row r="24" spans="1:14" x14ac:dyDescent="0.2">
      <c r="A24" s="18">
        <f t="shared" si="4"/>
        <v>14</v>
      </c>
      <c r="B24" s="24" t="s">
        <v>5</v>
      </c>
      <c r="C24" s="24">
        <v>5</v>
      </c>
      <c r="D24" s="136">
        <v>6714960.2368700616</v>
      </c>
      <c r="E24" s="170">
        <v>487506.15298651473</v>
      </c>
      <c r="F24" s="29">
        <f t="shared" si="0"/>
        <v>7.2600005925537434E-2</v>
      </c>
      <c r="G24" s="135"/>
      <c r="H24" s="136">
        <f t="shared" si="1"/>
        <v>6714960.2368700616</v>
      </c>
      <c r="I24" s="170">
        <v>1203807.8312593112</v>
      </c>
      <c r="J24" s="29">
        <f t="shared" si="2"/>
        <v>0.17927251819743062</v>
      </c>
      <c r="K24" s="137"/>
      <c r="L24" s="51">
        <f t="shared" si="3"/>
        <v>1.4693182309282784</v>
      </c>
      <c r="M24" s="138"/>
      <c r="N24" s="171">
        <f>'Exh CTM-8 (Rate Impacts_RY#1)'!AI23-L24</f>
        <v>0</v>
      </c>
    </row>
    <row r="25" spans="1:14" x14ac:dyDescent="0.2">
      <c r="A25" s="18">
        <f t="shared" si="4"/>
        <v>15</v>
      </c>
      <c r="B25" s="24"/>
      <c r="C25" s="24" t="s">
        <v>4</v>
      </c>
      <c r="D25" s="139">
        <f>SUM(D11:D24)</f>
        <v>23558158394.432896</v>
      </c>
      <c r="E25" s="140">
        <f>SUM(E11:E24)</f>
        <v>2851103552.6645579</v>
      </c>
      <c r="F25" s="172">
        <f t="shared" si="0"/>
        <v>0.12102404207190964</v>
      </c>
      <c r="G25" s="113"/>
      <c r="H25" s="139">
        <f>SUM(H11:H24)</f>
        <v>23558158394.432896</v>
      </c>
      <c r="I25" s="140">
        <f>SUM(I11:I24)</f>
        <v>3043321591.5390415</v>
      </c>
      <c r="J25" s="172">
        <f t="shared" si="2"/>
        <v>0.12918334025032358</v>
      </c>
      <c r="K25" s="137"/>
      <c r="L25" s="141">
        <f t="shared" si="3"/>
        <v>6.7418820580838687E-2</v>
      </c>
      <c r="N25" s="171">
        <f>'Exh CTM-8 (Rate Impacts_RY#1)'!AI24-L25</f>
        <v>0</v>
      </c>
    </row>
    <row r="26" spans="1:14" x14ac:dyDescent="0.2">
      <c r="B26" s="82"/>
      <c r="F26" s="142"/>
      <c r="I26" s="137"/>
      <c r="N26" s="171"/>
    </row>
    <row r="27" spans="1:14" x14ac:dyDescent="0.2">
      <c r="B27" s="82" t="s">
        <v>99</v>
      </c>
      <c r="F27" s="142"/>
    </row>
    <row r="28" spans="1:14" x14ac:dyDescent="0.2">
      <c r="B28" s="82"/>
      <c r="F28" s="142"/>
    </row>
    <row r="29" spans="1:14" ht="12.75" x14ac:dyDescent="0.2">
      <c r="A29" s="189" t="s">
        <v>98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1"/>
    </row>
    <row r="30" spans="1:14" x14ac:dyDescent="0.2">
      <c r="A30" s="7"/>
      <c r="B30" s="7"/>
      <c r="C30" s="7"/>
      <c r="D30" s="187" t="s">
        <v>97</v>
      </c>
      <c r="E30" s="187"/>
      <c r="F30" s="187"/>
      <c r="G30" s="10"/>
      <c r="H30" s="187" t="s">
        <v>96</v>
      </c>
      <c r="I30" s="187"/>
      <c r="J30" s="187"/>
      <c r="K30" s="7"/>
      <c r="L30" s="7"/>
      <c r="M30" s="7"/>
      <c r="N30" s="7"/>
    </row>
    <row r="31" spans="1:14" x14ac:dyDescent="0.2">
      <c r="A31" s="7"/>
      <c r="B31" s="10"/>
      <c r="C31" s="10"/>
      <c r="D31" s="10" t="s">
        <v>95</v>
      </c>
      <c r="E31" s="10" t="s">
        <v>95</v>
      </c>
      <c r="F31" s="10"/>
      <c r="G31" s="10"/>
      <c r="H31" s="10" t="s">
        <v>95</v>
      </c>
      <c r="I31" s="10" t="s">
        <v>95</v>
      </c>
      <c r="J31" s="10"/>
      <c r="K31" s="10"/>
      <c r="L31" s="10"/>
      <c r="M31" s="7"/>
      <c r="N31" s="7"/>
    </row>
    <row r="32" spans="1:14" x14ac:dyDescent="0.2">
      <c r="A32" s="7"/>
      <c r="B32" s="10"/>
      <c r="C32" s="10" t="s">
        <v>94</v>
      </c>
      <c r="D32" s="11" t="s">
        <v>93</v>
      </c>
      <c r="E32" s="10" t="s">
        <v>91</v>
      </c>
      <c r="F32" s="10" t="s">
        <v>90</v>
      </c>
      <c r="G32" s="10"/>
      <c r="H32" s="10" t="s">
        <v>92</v>
      </c>
      <c r="I32" s="10" t="s">
        <v>91</v>
      </c>
      <c r="J32" s="10" t="s">
        <v>90</v>
      </c>
      <c r="K32" s="10"/>
      <c r="L32" s="10" t="s">
        <v>89</v>
      </c>
      <c r="M32" s="7"/>
      <c r="N32" s="7"/>
    </row>
    <row r="33" spans="1:14" x14ac:dyDescent="0.2">
      <c r="A33" s="12" t="s">
        <v>66</v>
      </c>
      <c r="B33" s="12" t="s">
        <v>65</v>
      </c>
      <c r="C33" s="12" t="s">
        <v>64</v>
      </c>
      <c r="D33" s="130" t="s">
        <v>88</v>
      </c>
      <c r="E33" s="107" t="str">
        <f>D33</f>
        <v>12ME Dec. 2026</v>
      </c>
      <c r="F33" s="130" t="s">
        <v>87</v>
      </c>
      <c r="G33" s="10"/>
      <c r="H33" s="107" t="str">
        <f>D33</f>
        <v>12ME Dec. 2026</v>
      </c>
      <c r="I33" s="107" t="str">
        <f>D33</f>
        <v>12ME Dec. 2026</v>
      </c>
      <c r="J33" s="130" t="s">
        <v>87</v>
      </c>
      <c r="K33" s="10"/>
      <c r="L33" s="107" t="s">
        <v>86</v>
      </c>
      <c r="M33" s="7"/>
      <c r="N33" s="107" t="s">
        <v>85</v>
      </c>
    </row>
    <row r="34" spans="1:14" x14ac:dyDescent="0.2">
      <c r="A34" s="131"/>
      <c r="B34" s="131" t="s">
        <v>43</v>
      </c>
      <c r="C34" s="131" t="s">
        <v>42</v>
      </c>
      <c r="D34" s="132" t="s">
        <v>41</v>
      </c>
      <c r="E34" s="132" t="s">
        <v>40</v>
      </c>
      <c r="F34" s="133" t="s">
        <v>84</v>
      </c>
      <c r="G34" s="132"/>
      <c r="H34" s="132" t="s">
        <v>83</v>
      </c>
      <c r="I34" s="132" t="s">
        <v>37</v>
      </c>
      <c r="J34" s="133" t="s">
        <v>82</v>
      </c>
      <c r="K34" s="133"/>
      <c r="L34" s="134" t="s">
        <v>81</v>
      </c>
      <c r="M34" s="44"/>
      <c r="N34" s="44"/>
    </row>
    <row r="35" spans="1:14" x14ac:dyDescent="0.2">
      <c r="A35" s="18">
        <v>1</v>
      </c>
      <c r="B35" s="24" t="s">
        <v>18</v>
      </c>
      <c r="C35" s="24" t="str">
        <f t="shared" ref="C35:C48" si="5">C11</f>
        <v>7 (307) (317) (327)</v>
      </c>
      <c r="D35" s="136">
        <v>11447649239.71397</v>
      </c>
      <c r="E35" s="170">
        <v>1700047905.4744103</v>
      </c>
      <c r="F35" s="29">
        <f t="shared" ref="F35:F49" si="6">E35/D35</f>
        <v>0.14850628892232617</v>
      </c>
      <c r="G35" s="135"/>
      <c r="H35" s="136">
        <f t="shared" ref="H35:H48" si="7">+D35</f>
        <v>11447649239.71397</v>
      </c>
      <c r="I35" s="170">
        <v>1863956907.4278517</v>
      </c>
      <c r="J35" s="29">
        <f t="shared" ref="J35:J49" si="8">I35/H35</f>
        <v>0.16282442520700646</v>
      </c>
      <c r="K35" s="137"/>
      <c r="L35" s="51">
        <f t="shared" ref="L35:L49" si="9">(I35-E35)/E35</f>
        <v>9.6414343046234002E-2</v>
      </c>
      <c r="N35" s="171">
        <f>'Exh CTM-8 (Rate Impacts_RY#2)'!V10-L35</f>
        <v>-1.3877787807814457E-16</v>
      </c>
    </row>
    <row r="36" spans="1:14" x14ac:dyDescent="0.2">
      <c r="A36" s="18">
        <f t="shared" ref="A36:A49" si="10">+A35+1</f>
        <v>2</v>
      </c>
      <c r="B36" s="24" t="s">
        <v>17</v>
      </c>
      <c r="C36" s="24" t="str">
        <f t="shared" si="5"/>
        <v>08 (24) (324)</v>
      </c>
      <c r="D36" s="136">
        <v>2774967422.2693906</v>
      </c>
      <c r="E36" s="170">
        <v>400810679.38750339</v>
      </c>
      <c r="F36" s="29">
        <f t="shared" si="6"/>
        <v>0.14443797652215939</v>
      </c>
      <c r="G36" s="135"/>
      <c r="H36" s="136">
        <f t="shared" si="7"/>
        <v>2774967422.2693906</v>
      </c>
      <c r="I36" s="170">
        <v>438019509.43597627</v>
      </c>
      <c r="J36" s="29">
        <f t="shared" si="8"/>
        <v>0.15784672134196098</v>
      </c>
      <c r="K36" s="137"/>
      <c r="L36" s="51">
        <f t="shared" si="9"/>
        <v>9.2833928739956106E-2</v>
      </c>
      <c r="N36" s="171">
        <f>'Exh CTM-8 (Rate Impacts_RY#2)'!V11-L36</f>
        <v>1.3877787807814457E-16</v>
      </c>
    </row>
    <row r="37" spans="1:14" x14ac:dyDescent="0.2">
      <c r="A37" s="18">
        <f t="shared" si="10"/>
        <v>3</v>
      </c>
      <c r="B37" s="30" t="s">
        <v>16</v>
      </c>
      <c r="C37" s="24" t="str">
        <f t="shared" si="5"/>
        <v>7A (11) (25)</v>
      </c>
      <c r="D37" s="136">
        <v>2968720174.6374388</v>
      </c>
      <c r="E37" s="170">
        <v>410842457.56460553</v>
      </c>
      <c r="F37" s="29">
        <f t="shared" si="6"/>
        <v>0.13839042866840104</v>
      </c>
      <c r="G37" s="135"/>
      <c r="H37" s="136">
        <f t="shared" si="7"/>
        <v>2968720174.6374388</v>
      </c>
      <c r="I37" s="170">
        <v>447413553.36019003</v>
      </c>
      <c r="J37" s="29">
        <f t="shared" si="8"/>
        <v>0.15070923732811273</v>
      </c>
      <c r="K37" s="137"/>
      <c r="L37" s="51">
        <f t="shared" si="9"/>
        <v>8.9014889094887778E-2</v>
      </c>
      <c r="N37" s="171">
        <f>'Exh CTM-8 (Rate Impacts_RY#2)'!V12-L37</f>
        <v>3.1918911957973251E-16</v>
      </c>
    </row>
    <row r="38" spans="1:14" x14ac:dyDescent="0.2">
      <c r="A38" s="18">
        <f t="shared" si="10"/>
        <v>4</v>
      </c>
      <c r="B38" s="30" t="s">
        <v>15</v>
      </c>
      <c r="C38" s="24" t="str">
        <f t="shared" si="5"/>
        <v>12 (26) (26P)</v>
      </c>
      <c r="D38" s="136">
        <v>2056791563.2414525</v>
      </c>
      <c r="E38" s="170">
        <v>254410094.84238327</v>
      </c>
      <c r="F38" s="29">
        <f t="shared" si="6"/>
        <v>0.12369269661989438</v>
      </c>
      <c r="G38" s="135"/>
      <c r="H38" s="136">
        <f t="shared" si="7"/>
        <v>2056791563.2414525</v>
      </c>
      <c r="I38" s="170">
        <v>277163235.88832426</v>
      </c>
      <c r="J38" s="29">
        <f t="shared" si="8"/>
        <v>0.13475514040495279</v>
      </c>
      <c r="K38" s="137"/>
      <c r="L38" s="51">
        <f t="shared" si="9"/>
        <v>8.9434898642828747E-2</v>
      </c>
      <c r="N38" s="171">
        <f>'Exh CTM-8 (Rate Impacts_RY#2)'!V13-L38</f>
        <v>0</v>
      </c>
    </row>
    <row r="39" spans="1:14" x14ac:dyDescent="0.2">
      <c r="A39" s="18">
        <f t="shared" si="10"/>
        <v>5</v>
      </c>
      <c r="B39" s="24" t="s">
        <v>14</v>
      </c>
      <c r="C39" s="24" t="str">
        <f t="shared" si="5"/>
        <v>29</v>
      </c>
      <c r="D39" s="136">
        <v>14843026.361509496</v>
      </c>
      <c r="E39" s="170">
        <v>1816948.4997781876</v>
      </c>
      <c r="F39" s="29">
        <f t="shared" si="6"/>
        <v>0.12241091914313684</v>
      </c>
      <c r="G39" s="135"/>
      <c r="H39" s="136">
        <f t="shared" si="7"/>
        <v>14843026.361509496</v>
      </c>
      <c r="I39" s="170">
        <v>1980921.0945821451</v>
      </c>
      <c r="J39" s="29">
        <f t="shared" si="8"/>
        <v>0.13345803250198437</v>
      </c>
      <c r="K39" s="137"/>
      <c r="L39" s="51">
        <f t="shared" si="9"/>
        <v>9.0246143368386725E-2</v>
      </c>
      <c r="N39" s="171">
        <f>'Exh CTM-8 (Rate Impacts_RY#2)'!V14-L39</f>
        <v>-2.4980018054066022E-16</v>
      </c>
    </row>
    <row r="40" spans="1:14" x14ac:dyDescent="0.2">
      <c r="A40" s="18">
        <f t="shared" si="10"/>
        <v>6</v>
      </c>
      <c r="B40" s="30" t="s">
        <v>13</v>
      </c>
      <c r="C40" s="24" t="str">
        <f t="shared" si="5"/>
        <v>10 (31)</v>
      </c>
      <c r="D40" s="136">
        <v>1411297972.0883911</v>
      </c>
      <c r="E40" s="170">
        <v>170360971.93141115</v>
      </c>
      <c r="F40" s="29">
        <f t="shared" si="6"/>
        <v>0.12071226296691742</v>
      </c>
      <c r="G40" s="135"/>
      <c r="H40" s="136">
        <f t="shared" si="7"/>
        <v>1411297972.0883911</v>
      </c>
      <c r="I40" s="170">
        <v>185708235.16223523</v>
      </c>
      <c r="J40" s="29">
        <f t="shared" si="8"/>
        <v>0.13158683625643594</v>
      </c>
      <c r="K40" s="137"/>
      <c r="L40" s="51">
        <f t="shared" si="9"/>
        <v>9.008673205388279E-2</v>
      </c>
      <c r="N40" s="171">
        <f>'Exh CTM-8 (Rate Impacts_RY#2)'!V15-L40</f>
        <v>0</v>
      </c>
    </row>
    <row r="41" spans="1:14" x14ac:dyDescent="0.2">
      <c r="A41" s="18">
        <f t="shared" si="10"/>
        <v>7</v>
      </c>
      <c r="B41" s="30" t="s">
        <v>12</v>
      </c>
      <c r="C41" s="24" t="str">
        <f t="shared" si="5"/>
        <v>35</v>
      </c>
      <c r="D41" s="136">
        <v>4380281.1514552524</v>
      </c>
      <c r="E41" s="170">
        <v>472583.800597077</v>
      </c>
      <c r="F41" s="29">
        <f t="shared" si="6"/>
        <v>0.10788891951377856</v>
      </c>
      <c r="G41" s="135"/>
      <c r="H41" s="136">
        <f t="shared" si="7"/>
        <v>4380281.1514552524</v>
      </c>
      <c r="I41" s="170">
        <v>529033.1728535071</v>
      </c>
      <c r="J41" s="29">
        <f t="shared" si="8"/>
        <v>0.12077607682277368</v>
      </c>
      <c r="K41" s="137"/>
      <c r="L41" s="51">
        <f t="shared" si="9"/>
        <v>0.11944838605366967</v>
      </c>
      <c r="N41" s="171">
        <f>'Exh CTM-8 (Rate Impacts_RY#2)'!V16-L41</f>
        <v>-2.4980018054066022E-16</v>
      </c>
    </row>
    <row r="42" spans="1:14" x14ac:dyDescent="0.2">
      <c r="A42" s="18">
        <f t="shared" si="10"/>
        <v>8</v>
      </c>
      <c r="B42" s="24" t="s">
        <v>11</v>
      </c>
      <c r="C42" s="24">
        <f t="shared" si="5"/>
        <v>43</v>
      </c>
      <c r="D42" s="136">
        <v>121633779.10385114</v>
      </c>
      <c r="E42" s="170">
        <v>15259113.388511615</v>
      </c>
      <c r="F42" s="29">
        <f t="shared" si="6"/>
        <v>0.12545128089363528</v>
      </c>
      <c r="G42" s="135"/>
      <c r="H42" s="136">
        <f t="shared" si="7"/>
        <v>121633779.10385114</v>
      </c>
      <c r="I42" s="170">
        <v>16627061.842811188</v>
      </c>
      <c r="J42" s="29">
        <f t="shared" si="8"/>
        <v>0.13669773286099227</v>
      </c>
      <c r="K42" s="137"/>
      <c r="L42" s="51">
        <f t="shared" si="9"/>
        <v>8.9647964430848465E-2</v>
      </c>
      <c r="N42" s="171">
        <f>'Exh CTM-8 (Rate Impacts_RY#2)'!V17-L42</f>
        <v>1.2490009027033011E-16</v>
      </c>
    </row>
    <row r="43" spans="1:14" x14ac:dyDescent="0.2">
      <c r="A43" s="18">
        <f t="shared" si="10"/>
        <v>9</v>
      </c>
      <c r="B43" s="24" t="s">
        <v>10</v>
      </c>
      <c r="C43" s="24">
        <f t="shared" si="5"/>
        <v>46</v>
      </c>
      <c r="D43" s="136">
        <v>96918964.527943105</v>
      </c>
      <c r="E43" s="170">
        <v>8876110.2884914689</v>
      </c>
      <c r="F43" s="29">
        <f t="shared" si="6"/>
        <v>9.1582801484970069E-2</v>
      </c>
      <c r="G43" s="135"/>
      <c r="H43" s="136">
        <f t="shared" si="7"/>
        <v>96918964.527943105</v>
      </c>
      <c r="I43" s="170">
        <v>9636627.2285836339</v>
      </c>
      <c r="J43" s="29">
        <f t="shared" si="8"/>
        <v>9.9429737776503574E-2</v>
      </c>
      <c r="K43" s="137"/>
      <c r="L43" s="51">
        <f t="shared" si="9"/>
        <v>8.5681330602463482E-2</v>
      </c>
      <c r="N43" s="171">
        <f>'Exh CTM-8 (Rate Impacts_RY#2)'!V18-L43</f>
        <v>0</v>
      </c>
    </row>
    <row r="44" spans="1:14" x14ac:dyDescent="0.2">
      <c r="A44" s="18">
        <f t="shared" si="10"/>
        <v>10</v>
      </c>
      <c r="B44" s="30" t="s">
        <v>9</v>
      </c>
      <c r="C44" s="24">
        <f t="shared" si="5"/>
        <v>49</v>
      </c>
      <c r="D44" s="136">
        <v>534899242.67952603</v>
      </c>
      <c r="E44" s="170">
        <v>50245639.665690087</v>
      </c>
      <c r="F44" s="29">
        <f t="shared" si="6"/>
        <v>9.3934774358605214E-2</v>
      </c>
      <c r="G44" s="135"/>
      <c r="H44" s="136">
        <f t="shared" si="7"/>
        <v>534899242.67952603</v>
      </c>
      <c r="I44" s="170">
        <v>54427224.932502955</v>
      </c>
      <c r="J44" s="29">
        <f t="shared" si="8"/>
        <v>0.10175229387100089</v>
      </c>
      <c r="K44" s="137"/>
      <c r="L44" s="51">
        <f t="shared" si="9"/>
        <v>8.322284868169838E-2</v>
      </c>
      <c r="N44" s="171">
        <f>'Exh CTM-8 (Rate Impacts_RY#2)'!V19-L44</f>
        <v>0</v>
      </c>
    </row>
    <row r="45" spans="1:14" x14ac:dyDescent="0.2">
      <c r="A45" s="18">
        <f t="shared" si="10"/>
        <v>11</v>
      </c>
      <c r="B45" s="24" t="s">
        <v>8</v>
      </c>
      <c r="C45" s="24" t="str">
        <f t="shared" si="5"/>
        <v>03, 50-59</v>
      </c>
      <c r="D45" s="136">
        <v>67027608.143863305</v>
      </c>
      <c r="E45" s="170">
        <v>23123079.309135959</v>
      </c>
      <c r="F45" s="29">
        <f t="shared" si="6"/>
        <v>0.34497843425214009</v>
      </c>
      <c r="G45" s="135"/>
      <c r="H45" s="136">
        <f t="shared" si="7"/>
        <v>67027608.143863305</v>
      </c>
      <c r="I45" s="170">
        <v>25241880.450196709</v>
      </c>
      <c r="J45" s="29">
        <f t="shared" si="8"/>
        <v>0.3765893062455597</v>
      </c>
      <c r="K45" s="137"/>
      <c r="L45" s="51">
        <f t="shared" si="9"/>
        <v>9.1631443750816083E-2</v>
      </c>
      <c r="N45" s="171">
        <f>'Exh CTM-8 (Rate Impacts_RY#2)'!V20-L45</f>
        <v>0</v>
      </c>
    </row>
    <row r="46" spans="1:14" x14ac:dyDescent="0.2">
      <c r="A46" s="18">
        <f t="shared" si="10"/>
        <v>12</v>
      </c>
      <c r="B46" s="24" t="s">
        <v>7</v>
      </c>
      <c r="C46" s="24" t="str">
        <f t="shared" si="5"/>
        <v xml:space="preserve">449 / 459 </v>
      </c>
      <c r="D46" s="136">
        <v>1964993565.6779518</v>
      </c>
      <c r="E46" s="170">
        <v>17380237.449417111</v>
      </c>
      <c r="F46" s="29">
        <f t="shared" si="6"/>
        <v>8.8449335168284231E-3</v>
      </c>
      <c r="G46" s="135"/>
      <c r="H46" s="136">
        <f t="shared" si="7"/>
        <v>1964993565.6779518</v>
      </c>
      <c r="I46" s="170">
        <v>17482290.249750633</v>
      </c>
      <c r="J46" s="29">
        <f t="shared" si="8"/>
        <v>8.8968689542344558E-3</v>
      </c>
      <c r="K46" s="137"/>
      <c r="L46" s="51">
        <f t="shared" si="9"/>
        <v>5.8717725019887378E-3</v>
      </c>
      <c r="N46" s="171">
        <f>'Exh CTM-8 (Rate Impacts_RY#2)'!V21-L46</f>
        <v>2.1423834928313568E-16</v>
      </c>
    </row>
    <row r="47" spans="1:14" x14ac:dyDescent="0.2">
      <c r="A47" s="18">
        <f t="shared" si="10"/>
        <v>13</v>
      </c>
      <c r="B47" s="24" t="s">
        <v>6</v>
      </c>
      <c r="C47" s="24" t="str">
        <f t="shared" si="5"/>
        <v>Special Contract</v>
      </c>
      <c r="D47" s="136">
        <v>304773055.46200001</v>
      </c>
      <c r="E47" s="170">
        <v>10861607.382391775</v>
      </c>
      <c r="F47" s="29">
        <f t="shared" si="6"/>
        <v>3.5638345279332059E-2</v>
      </c>
      <c r="G47" s="135"/>
      <c r="H47" s="136">
        <f t="shared" si="7"/>
        <v>304773055.46200001</v>
      </c>
      <c r="I47" s="170">
        <v>11482030.119164497</v>
      </c>
      <c r="J47" s="29">
        <f t="shared" si="8"/>
        <v>3.7674032902151051E-2</v>
      </c>
      <c r="K47" s="137"/>
      <c r="L47" s="51">
        <f t="shared" si="9"/>
        <v>5.7120711044897091E-2</v>
      </c>
      <c r="N47" s="171">
        <f>'Exh CTM-8 (Rate Impacts_RY#2)'!V22-L47</f>
        <v>-4.6624849120435741E-10</v>
      </c>
    </row>
    <row r="48" spans="1:14" x14ac:dyDescent="0.2">
      <c r="A48" s="18">
        <f t="shared" si="10"/>
        <v>14</v>
      </c>
      <c r="B48" s="24" t="s">
        <v>5</v>
      </c>
      <c r="C48" s="24">
        <f t="shared" si="5"/>
        <v>5</v>
      </c>
      <c r="D48" s="136">
        <v>6710049.8818741431</v>
      </c>
      <c r="E48" s="170">
        <v>1203243.5429800865</v>
      </c>
      <c r="F48" s="29">
        <f t="shared" si="6"/>
        <v>0.1793196122476538</v>
      </c>
      <c r="G48" s="135"/>
      <c r="H48" s="136">
        <f t="shared" si="7"/>
        <v>6710049.8818741431</v>
      </c>
      <c r="I48" s="170">
        <v>1210373.6421349915</v>
      </c>
      <c r="J48" s="29">
        <f t="shared" si="8"/>
        <v>0.18038221227007173</v>
      </c>
      <c r="K48" s="137"/>
      <c r="L48" s="51">
        <f t="shared" si="9"/>
        <v>5.9257323228560661E-3</v>
      </c>
      <c r="M48" s="138"/>
      <c r="N48" s="171">
        <f>'Exh CTM-8 (Rate Impacts_RY#2)'!V23-L48</f>
        <v>-9.9256453663792987E-10</v>
      </c>
    </row>
    <row r="49" spans="1:14" x14ac:dyDescent="0.2">
      <c r="A49" s="18">
        <f t="shared" si="10"/>
        <v>15</v>
      </c>
      <c r="B49" s="24"/>
      <c r="C49" s="24" t="s">
        <v>4</v>
      </c>
      <c r="D49" s="139">
        <f>SUM(D35:D48)</f>
        <v>23775605944.94062</v>
      </c>
      <c r="E49" s="140">
        <f>SUM(E35:E48)</f>
        <v>3065710672.5273075</v>
      </c>
      <c r="F49" s="172">
        <f t="shared" si="6"/>
        <v>0.12894353479893883</v>
      </c>
      <c r="G49" s="113"/>
      <c r="H49" s="139">
        <f>SUM(H35:H48)</f>
        <v>23775605944.94062</v>
      </c>
      <c r="I49" s="140">
        <f>SUM(I35:I48)</f>
        <v>3350878884.0071573</v>
      </c>
      <c r="J49" s="172">
        <f t="shared" si="8"/>
        <v>0.14093768595286693</v>
      </c>
      <c r="K49" s="137"/>
      <c r="L49" s="141">
        <f t="shared" si="9"/>
        <v>9.3018631547758912E-2</v>
      </c>
      <c r="N49" s="171">
        <f>'Exh CTM-8 (Rate Impacts_RY#2)'!V24-L49</f>
        <v>-2.0411589085611581E-12</v>
      </c>
    </row>
    <row r="50" spans="1:14" x14ac:dyDescent="0.2">
      <c r="E50" s="138"/>
      <c r="I50" s="138"/>
      <c r="N50" s="171"/>
    </row>
    <row r="51" spans="1:14" x14ac:dyDescent="0.2">
      <c r="B51" s="30" t="s">
        <v>80</v>
      </c>
      <c r="E51" s="138"/>
    </row>
  </sheetData>
  <mergeCells count="10">
    <mergeCell ref="D6:F6"/>
    <mergeCell ref="H6:J6"/>
    <mergeCell ref="D30:F30"/>
    <mergeCell ref="H30:J30"/>
    <mergeCell ref="A1:N1"/>
    <mergeCell ref="A2:N2"/>
    <mergeCell ref="A3:N3"/>
    <mergeCell ref="A4:N4"/>
    <mergeCell ref="A29:N29"/>
    <mergeCell ref="A5:N5"/>
  </mergeCells>
  <pageMargins left="0.7" right="0.7" top="0.75" bottom="0.75" header="0.3" footer="0.3"/>
  <pageSetup scale="7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4BC52-0C74-4258-A260-9C5B52EB5E08}">
  <sheetPr>
    <pageSetUpPr fitToPage="1"/>
  </sheetPr>
  <dimension ref="A1:X53"/>
  <sheetViews>
    <sheetView zoomScaleNormal="100" zoomScaleSheetLayoutView="100" workbookViewId="0">
      <pane ySplit="8" topLeftCell="A9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5703125" style="35" customWidth="1"/>
    <col min="2" max="2" width="6.85546875" style="35" bestFit="1" customWidth="1"/>
    <col min="3" max="3" width="7.140625" style="35" bestFit="1" customWidth="1"/>
    <col min="4" max="4" width="10" style="35" bestFit="1" customWidth="1"/>
    <col min="5" max="5" width="9.7109375" style="35" bestFit="1" customWidth="1"/>
    <col min="6" max="6" width="0.85546875" style="35" customWidth="1"/>
    <col min="7" max="7" width="9.140625" style="35" bestFit="1" customWidth="1"/>
    <col min="8" max="8" width="9.42578125" style="35" customWidth="1"/>
    <col min="9" max="9" width="10.7109375" style="35" customWidth="1"/>
    <col min="10" max="10" width="0.85546875" style="35" customWidth="1"/>
    <col min="11" max="12" width="11.140625" style="35" bestFit="1" customWidth="1"/>
    <col min="13" max="13" width="0.85546875" style="35" customWidth="1"/>
    <col min="14" max="15" width="11.140625" style="35" bestFit="1" customWidth="1"/>
    <col min="16" max="16" width="0.85546875" style="35" customWidth="1"/>
    <col min="17" max="17" width="36.7109375" style="35" bestFit="1" customWidth="1"/>
    <col min="18" max="18" width="16.7109375" style="35" bestFit="1" customWidth="1"/>
    <col min="19" max="19" width="0.7109375" style="35" customWidth="1"/>
    <col min="20" max="20" width="13.7109375" style="35" bestFit="1" customWidth="1"/>
    <col min="21" max="21" width="9.42578125" style="35" customWidth="1"/>
    <col min="22" max="22" width="0.85546875" style="35" customWidth="1"/>
    <col min="23" max="23" width="13.7109375" style="35" bestFit="1" customWidth="1"/>
    <col min="24" max="24" width="10.28515625" style="35" customWidth="1"/>
    <col min="25" max="16384" width="9.42578125" style="35"/>
  </cols>
  <sheetData>
    <row r="1" spans="1:24" x14ac:dyDescent="0.2">
      <c r="A1" s="197" t="s">
        <v>69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24" x14ac:dyDescent="0.2">
      <c r="A2" s="197" t="s">
        <v>269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</row>
    <row r="3" spans="1:24" x14ac:dyDescent="0.2">
      <c r="A3" s="198" t="s">
        <v>133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24" x14ac:dyDescent="0.2">
      <c r="A4" s="198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</row>
    <row r="5" spans="1:24" s="34" customFormat="1" ht="12" thickBot="1" x14ac:dyDescent="0.25">
      <c r="S5" s="35"/>
      <c r="V5" s="35"/>
    </row>
    <row r="6" spans="1:24" s="34" customFormat="1" ht="13.5" thickBot="1" x14ac:dyDescent="0.25">
      <c r="C6" s="194" t="s">
        <v>132</v>
      </c>
      <c r="D6" s="195"/>
      <c r="E6" s="196"/>
      <c r="G6" s="199" t="s">
        <v>131</v>
      </c>
      <c r="H6" s="200"/>
      <c r="I6" s="201"/>
      <c r="K6" s="199" t="s">
        <v>130</v>
      </c>
      <c r="L6" s="201"/>
      <c r="N6" s="199" t="s">
        <v>129</v>
      </c>
      <c r="O6" s="201"/>
      <c r="S6" s="35"/>
      <c r="T6" s="192" t="s">
        <v>128</v>
      </c>
      <c r="U6" s="193"/>
      <c r="V6" s="35"/>
      <c r="W6" s="192" t="s">
        <v>127</v>
      </c>
      <c r="X6" s="193"/>
    </row>
    <row r="7" spans="1:24" s="34" customFormat="1" ht="56.25" x14ac:dyDescent="0.2">
      <c r="A7" s="39" t="s">
        <v>126</v>
      </c>
      <c r="B7" s="40" t="s">
        <v>125</v>
      </c>
      <c r="C7" s="116" t="s">
        <v>124</v>
      </c>
      <c r="D7" s="116" t="s">
        <v>123</v>
      </c>
      <c r="E7" s="116" t="s">
        <v>122</v>
      </c>
      <c r="F7" s="71"/>
      <c r="G7" s="117" t="s">
        <v>121</v>
      </c>
      <c r="H7" s="117" t="s">
        <v>297</v>
      </c>
      <c r="I7" s="117" t="s">
        <v>298</v>
      </c>
      <c r="J7" s="116"/>
      <c r="K7" s="39" t="str">
        <f>+H7</f>
        <v>Proposed Bill Effective January 2025</v>
      </c>
      <c r="L7" s="39" t="str">
        <f>+I7</f>
        <v>Proposed Bill Effective January 2026</v>
      </c>
      <c r="M7" s="118"/>
      <c r="N7" s="116" t="str">
        <f>+K7</f>
        <v>Proposed Bill Effective January 2025</v>
      </c>
      <c r="O7" s="116" t="str">
        <f>+L7</f>
        <v>Proposed Bill Effective January 2026</v>
      </c>
      <c r="Q7" s="165"/>
      <c r="R7" s="119" t="s">
        <v>120</v>
      </c>
      <c r="S7" s="35"/>
      <c r="T7" s="120" t="s">
        <v>119</v>
      </c>
      <c r="U7" s="119" t="s">
        <v>118</v>
      </c>
      <c r="V7" s="35"/>
      <c r="W7" s="120" t="s">
        <v>119</v>
      </c>
      <c r="X7" s="119" t="s">
        <v>118</v>
      </c>
    </row>
    <row r="8" spans="1:24" s="48" customFormat="1" x14ac:dyDescent="0.2">
      <c r="B8" s="48" t="s">
        <v>43</v>
      </c>
      <c r="C8" s="121" t="s">
        <v>42</v>
      </c>
      <c r="D8" s="121" t="s">
        <v>41</v>
      </c>
      <c r="E8" s="121" t="s">
        <v>40</v>
      </c>
      <c r="G8" s="122" t="s">
        <v>39</v>
      </c>
      <c r="H8" s="122" t="s">
        <v>83</v>
      </c>
      <c r="I8" s="122" t="s">
        <v>37</v>
      </c>
      <c r="J8" s="121"/>
      <c r="K8" s="121" t="s">
        <v>117</v>
      </c>
      <c r="L8" s="121" t="s">
        <v>35</v>
      </c>
      <c r="N8" s="121" t="s">
        <v>116</v>
      </c>
      <c r="O8" s="121" t="s">
        <v>33</v>
      </c>
      <c r="Q8" s="166" t="s">
        <v>115</v>
      </c>
      <c r="R8" s="123" t="s">
        <v>31</v>
      </c>
      <c r="S8" s="35"/>
      <c r="T8" s="124" t="s">
        <v>114</v>
      </c>
      <c r="U8" s="125" t="s">
        <v>29</v>
      </c>
      <c r="V8" s="35"/>
      <c r="W8" s="124" t="s">
        <v>113</v>
      </c>
      <c r="X8" s="125" t="s">
        <v>27</v>
      </c>
    </row>
    <row r="9" spans="1:24" x14ac:dyDescent="0.2">
      <c r="A9" s="35">
        <v>1</v>
      </c>
      <c r="B9" s="84">
        <v>0</v>
      </c>
      <c r="C9" s="167">
        <v>8.7413060204101483E-3</v>
      </c>
      <c r="D9" s="167">
        <v>6.2677909054665408E-3</v>
      </c>
      <c r="E9" s="167">
        <v>1.1215790026819559E-2</v>
      </c>
      <c r="G9" s="97">
        <f t="shared" ref="G9:G17" si="0">ROUND((($B9*R$10+$R$9)),2)</f>
        <v>7.49</v>
      </c>
      <c r="H9" s="97">
        <f t="shared" ref="H9:H17" si="1">ROUND((($B9*T$10+$T$9)),2)</f>
        <v>9.74</v>
      </c>
      <c r="I9" s="97">
        <f t="shared" ref="I9:I17" si="2">ROUND((($B9*W$10+$W$9)),2)</f>
        <v>12.66</v>
      </c>
      <c r="J9" s="97"/>
      <c r="K9" s="97">
        <f t="shared" ref="K9:K31" si="3">+H9-G9</f>
        <v>2.25</v>
      </c>
      <c r="L9" s="97">
        <f t="shared" ref="L9:L31" si="4">+I9-H9</f>
        <v>2.92</v>
      </c>
      <c r="N9" s="54">
        <f t="shared" ref="N9:N31" si="5">+K9/G9</f>
        <v>0.30040053404539385</v>
      </c>
      <c r="O9" s="54">
        <f t="shared" ref="O9:O31" si="6">+L9/H9</f>
        <v>0.29979466119096509</v>
      </c>
      <c r="Q9" s="76" t="str">
        <f>Q16</f>
        <v>Basic Charge - Single Phase</v>
      </c>
      <c r="R9" s="53">
        <f>SUM(R16)</f>
        <v>7.49</v>
      </c>
      <c r="T9" s="126">
        <f>SUM(T16)</f>
        <v>9.74</v>
      </c>
      <c r="U9" s="127">
        <f>(T9-R9)/R9</f>
        <v>0.30040053404539385</v>
      </c>
      <c r="W9" s="126">
        <f>SUM(W16)</f>
        <v>12.66</v>
      </c>
      <c r="X9" s="127">
        <f>(W9-T9)/T9</f>
        <v>0.29979466119096509</v>
      </c>
    </row>
    <row r="10" spans="1:24" x14ac:dyDescent="0.2">
      <c r="A10" s="35">
        <f t="shared" ref="A10:A53" si="7">A9+1</f>
        <v>2</v>
      </c>
      <c r="B10" s="84">
        <v>50</v>
      </c>
      <c r="C10" s="167">
        <v>7.4180257017194273E-3</v>
      </c>
      <c r="D10" s="167">
        <v>5.7136977983011216E-3</v>
      </c>
      <c r="E10" s="167">
        <v>9.1230212011231288E-3</v>
      </c>
      <c r="G10" s="97">
        <f t="shared" si="0"/>
        <v>13.6</v>
      </c>
      <c r="H10" s="97">
        <f t="shared" si="1"/>
        <v>16.2</v>
      </c>
      <c r="I10" s="97">
        <f t="shared" si="2"/>
        <v>19.63</v>
      </c>
      <c r="J10" s="97"/>
      <c r="K10" s="97">
        <f t="shared" si="3"/>
        <v>2.5999999999999996</v>
      </c>
      <c r="L10" s="97">
        <f t="shared" si="4"/>
        <v>3.4299999999999997</v>
      </c>
      <c r="N10" s="54">
        <f t="shared" si="5"/>
        <v>0.19117647058823528</v>
      </c>
      <c r="O10" s="54">
        <f t="shared" si="6"/>
        <v>0.21172839506172839</v>
      </c>
      <c r="Q10" s="76" t="str">
        <f>Q17</f>
        <v>First 600 kWh</v>
      </c>
      <c r="R10" s="57">
        <f>SUM(R17,R22:R46)</f>
        <v>0.12213900000000001</v>
      </c>
      <c r="T10" s="66">
        <f>SUM(T17,T22:T46)</f>
        <v>0.12912108746935702</v>
      </c>
      <c r="U10" s="127">
        <f>(T10-R10)/R10</f>
        <v>5.7165094436314436E-2</v>
      </c>
      <c r="W10" s="66">
        <f>SUM(W17,W22:W46)</f>
        <v>0.13946770407167641</v>
      </c>
      <c r="X10" s="127">
        <f>(W10-T10)/T10</f>
        <v>8.0131114174319881E-2</v>
      </c>
    </row>
    <row r="11" spans="1:24" x14ac:dyDescent="0.2">
      <c r="A11" s="35">
        <f t="shared" si="7"/>
        <v>3</v>
      </c>
      <c r="B11" s="84">
        <v>100</v>
      </c>
      <c r="C11" s="167">
        <v>1.1465588163890247E-2</v>
      </c>
      <c r="D11" s="167">
        <v>7.6771955203369683E-3</v>
      </c>
      <c r="E11" s="167">
        <v>1.5255464744727465E-2</v>
      </c>
      <c r="G11" s="97">
        <f t="shared" si="0"/>
        <v>19.7</v>
      </c>
      <c r="H11" s="97">
        <f t="shared" si="1"/>
        <v>22.65</v>
      </c>
      <c r="I11" s="97">
        <f t="shared" si="2"/>
        <v>26.61</v>
      </c>
      <c r="J11" s="97"/>
      <c r="K11" s="97">
        <f t="shared" si="3"/>
        <v>2.9499999999999993</v>
      </c>
      <c r="L11" s="97">
        <f t="shared" si="4"/>
        <v>3.9600000000000009</v>
      </c>
      <c r="N11" s="54">
        <f t="shared" si="5"/>
        <v>0.14974619289340099</v>
      </c>
      <c r="O11" s="54">
        <f t="shared" si="6"/>
        <v>0.17483443708609275</v>
      </c>
      <c r="Q11" s="76" t="str">
        <f>Q18</f>
        <v>Over 600 kWh</v>
      </c>
      <c r="R11" s="57">
        <f>SUM(R18,R22:R46)</f>
        <v>0.14155600000000002</v>
      </c>
      <c r="T11" s="66">
        <f>SUM(T18,T22:T46)</f>
        <v>0.14853808746935704</v>
      </c>
      <c r="U11" s="127">
        <f>(T11-R11)/R11</f>
        <v>4.9323853947250716E-2</v>
      </c>
      <c r="W11" s="66">
        <f>SUM(W18,W22:W46)</f>
        <v>0.1588847040716764</v>
      </c>
      <c r="X11" s="127">
        <f>(W11-T11)/T11</f>
        <v>6.9656320332344659E-2</v>
      </c>
    </row>
    <row r="12" spans="1:24" x14ac:dyDescent="0.2">
      <c r="A12" s="35">
        <f t="shared" si="7"/>
        <v>4</v>
      </c>
      <c r="B12" s="84">
        <v>150</v>
      </c>
      <c r="C12" s="167">
        <v>1.59062525208153E-2</v>
      </c>
      <c r="D12" s="167">
        <v>1.0364918964657816E-2</v>
      </c>
      <c r="E12" s="167">
        <v>2.1449756652264316E-2</v>
      </c>
      <c r="G12" s="97">
        <f t="shared" si="0"/>
        <v>25.81</v>
      </c>
      <c r="H12" s="97">
        <f t="shared" si="1"/>
        <v>29.11</v>
      </c>
      <c r="I12" s="97">
        <f t="shared" si="2"/>
        <v>33.58</v>
      </c>
      <c r="K12" s="97">
        <f t="shared" si="3"/>
        <v>3.3000000000000007</v>
      </c>
      <c r="L12" s="97">
        <f t="shared" si="4"/>
        <v>4.4699999999999989</v>
      </c>
      <c r="N12" s="54">
        <f t="shared" si="5"/>
        <v>0.12785741960480437</v>
      </c>
      <c r="O12" s="54">
        <f t="shared" si="6"/>
        <v>0.15355547921676396</v>
      </c>
      <c r="Q12" s="76"/>
      <c r="R12" s="53"/>
      <c r="T12" s="126"/>
      <c r="U12" s="127"/>
      <c r="W12" s="126"/>
      <c r="X12" s="127"/>
    </row>
    <row r="13" spans="1:24" x14ac:dyDescent="0.2">
      <c r="A13" s="35">
        <f t="shared" si="7"/>
        <v>5</v>
      </c>
      <c r="B13" s="84">
        <v>200</v>
      </c>
      <c r="C13" s="167">
        <v>2.1705919643401642E-2</v>
      </c>
      <c r="D13" s="167">
        <v>1.3999682976930296E-2</v>
      </c>
      <c r="E13" s="167">
        <v>2.941517489136234E-2</v>
      </c>
      <c r="G13" s="97">
        <f t="shared" si="0"/>
        <v>31.92</v>
      </c>
      <c r="H13" s="97">
        <f t="shared" si="1"/>
        <v>35.56</v>
      </c>
      <c r="I13" s="97">
        <f t="shared" si="2"/>
        <v>40.549999999999997</v>
      </c>
      <c r="J13" s="97"/>
      <c r="K13" s="97">
        <f t="shared" si="3"/>
        <v>3.6400000000000006</v>
      </c>
      <c r="L13" s="97">
        <f t="shared" si="4"/>
        <v>4.9899999999999949</v>
      </c>
      <c r="N13" s="54">
        <f t="shared" si="5"/>
        <v>0.11403508771929825</v>
      </c>
      <c r="O13" s="54">
        <f t="shared" si="6"/>
        <v>0.14032620922384687</v>
      </c>
      <c r="Q13" s="58"/>
      <c r="R13" s="59"/>
      <c r="T13" s="58"/>
      <c r="U13" s="127"/>
      <c r="W13" s="58"/>
      <c r="X13" s="127"/>
    </row>
    <row r="14" spans="1:24" x14ac:dyDescent="0.2">
      <c r="A14" s="35">
        <f t="shared" si="7"/>
        <v>6</v>
      </c>
      <c r="B14" s="84">
        <v>300</v>
      </c>
      <c r="C14" s="167">
        <v>6.3706683530347918E-2</v>
      </c>
      <c r="D14" s="167">
        <v>4.3985014074677684E-2</v>
      </c>
      <c r="E14" s="167">
        <v>8.3436078088287222E-2</v>
      </c>
      <c r="G14" s="97">
        <f t="shared" si="0"/>
        <v>44.13</v>
      </c>
      <c r="H14" s="97">
        <f t="shared" si="1"/>
        <v>48.48</v>
      </c>
      <c r="I14" s="97">
        <f t="shared" si="2"/>
        <v>54.5</v>
      </c>
      <c r="J14" s="97"/>
      <c r="K14" s="97">
        <f t="shared" si="3"/>
        <v>4.3499999999999943</v>
      </c>
      <c r="L14" s="97">
        <f t="shared" si="4"/>
        <v>6.0200000000000031</v>
      </c>
      <c r="N14" s="54">
        <f t="shared" si="5"/>
        <v>9.8572399728076007E-2</v>
      </c>
      <c r="O14" s="54">
        <f t="shared" si="6"/>
        <v>0.12417491749174925</v>
      </c>
      <c r="Q14" s="58"/>
      <c r="R14" s="59"/>
      <c r="T14" s="58"/>
      <c r="U14" s="59"/>
      <c r="W14" s="58"/>
      <c r="X14" s="59"/>
    </row>
    <row r="15" spans="1:24" x14ac:dyDescent="0.2">
      <c r="A15" s="35">
        <f t="shared" si="7"/>
        <v>7</v>
      </c>
      <c r="B15" s="84">
        <v>400</v>
      </c>
      <c r="C15" s="167">
        <v>8.5613764718946092E-2</v>
      </c>
      <c r="D15" s="167">
        <v>6.6852510982308225E-2</v>
      </c>
      <c r="E15" s="167">
        <v>0.10438236735696055</v>
      </c>
      <c r="G15" s="97">
        <f t="shared" si="0"/>
        <v>56.35</v>
      </c>
      <c r="H15" s="97">
        <f t="shared" si="1"/>
        <v>61.39</v>
      </c>
      <c r="I15" s="97">
        <f t="shared" si="2"/>
        <v>68.45</v>
      </c>
      <c r="J15" s="97"/>
      <c r="K15" s="97">
        <f t="shared" si="3"/>
        <v>5.0399999999999991</v>
      </c>
      <c r="L15" s="97">
        <f t="shared" si="4"/>
        <v>7.0600000000000023</v>
      </c>
      <c r="N15" s="54">
        <f t="shared" si="5"/>
        <v>8.9440993788819853E-2</v>
      </c>
      <c r="O15" s="54">
        <f t="shared" si="6"/>
        <v>0.11500244339468972</v>
      </c>
      <c r="Q15" s="58"/>
      <c r="R15" s="59"/>
      <c r="T15" s="58"/>
      <c r="U15" s="59" t="s">
        <v>112</v>
      </c>
      <c r="W15" s="58"/>
      <c r="X15" s="59" t="s">
        <v>112</v>
      </c>
    </row>
    <row r="16" spans="1:24" x14ac:dyDescent="0.2">
      <c r="A16" s="35">
        <f t="shared" si="7"/>
        <v>8</v>
      </c>
      <c r="B16" s="84">
        <v>500</v>
      </c>
      <c r="C16" s="167">
        <v>9.501814444592277E-2</v>
      </c>
      <c r="D16" s="167">
        <v>8.1092827794649006E-2</v>
      </c>
      <c r="E16" s="167">
        <v>0.10894891573152664</v>
      </c>
      <c r="G16" s="97">
        <f t="shared" si="0"/>
        <v>68.56</v>
      </c>
      <c r="H16" s="97">
        <f t="shared" si="1"/>
        <v>74.3</v>
      </c>
      <c r="I16" s="97">
        <f t="shared" si="2"/>
        <v>82.39</v>
      </c>
      <c r="J16" s="97"/>
      <c r="K16" s="97">
        <f t="shared" si="3"/>
        <v>5.7399999999999949</v>
      </c>
      <c r="L16" s="97">
        <f t="shared" si="4"/>
        <v>8.0900000000000034</v>
      </c>
      <c r="N16" s="54">
        <f t="shared" si="5"/>
        <v>8.3722287047841223E-2</v>
      </c>
      <c r="O16" s="54">
        <f t="shared" si="6"/>
        <v>0.10888290713324365</v>
      </c>
      <c r="Q16" s="126" t="s">
        <v>111</v>
      </c>
      <c r="R16" s="53">
        <v>7.49</v>
      </c>
      <c r="T16" s="126">
        <v>9.74</v>
      </c>
      <c r="U16" s="127">
        <f>(T16-R16)/R16</f>
        <v>0.30040053404539385</v>
      </c>
      <c r="W16" s="126">
        <v>12.66</v>
      </c>
      <c r="X16" s="127">
        <f>(W16-T16)/T16</f>
        <v>0.29979466119096509</v>
      </c>
    </row>
    <row r="17" spans="1:24" x14ac:dyDescent="0.2">
      <c r="A17" s="35">
        <f t="shared" si="7"/>
        <v>9</v>
      </c>
      <c r="B17" s="84">
        <v>600</v>
      </c>
      <c r="C17" s="167">
        <v>9.3135393265784072E-2</v>
      </c>
      <c r="D17" s="167">
        <v>8.3256363045026732E-2</v>
      </c>
      <c r="E17" s="167">
        <v>0.10301829316496525</v>
      </c>
      <c r="G17" s="97">
        <f t="shared" si="0"/>
        <v>80.77</v>
      </c>
      <c r="H17" s="97">
        <f t="shared" si="1"/>
        <v>87.21</v>
      </c>
      <c r="I17" s="97">
        <f t="shared" si="2"/>
        <v>96.34</v>
      </c>
      <c r="J17" s="97"/>
      <c r="K17" s="97">
        <f t="shared" si="3"/>
        <v>6.4399999999999977</v>
      </c>
      <c r="L17" s="97">
        <f t="shared" si="4"/>
        <v>9.1300000000000097</v>
      </c>
      <c r="N17" s="54">
        <f t="shared" si="5"/>
        <v>7.9732573975485929E-2</v>
      </c>
      <c r="O17" s="54">
        <f t="shared" si="6"/>
        <v>0.1046898291480336</v>
      </c>
      <c r="Q17" s="66" t="s">
        <v>257</v>
      </c>
      <c r="R17" s="57">
        <v>8.9437000000000003E-2</v>
      </c>
      <c r="T17" s="66">
        <v>0.11651599999999999</v>
      </c>
      <c r="U17" s="127">
        <f>(T17-R17)/R17</f>
        <v>0.30277178349005435</v>
      </c>
      <c r="W17" s="66">
        <v>0.12567500000000001</v>
      </c>
      <c r="X17" s="127">
        <f>(W17-T17)/T17</f>
        <v>7.8607229908338891E-2</v>
      </c>
    </row>
    <row r="18" spans="1:24" x14ac:dyDescent="0.2">
      <c r="A18" s="35">
        <f t="shared" si="7"/>
        <v>10</v>
      </c>
      <c r="B18" s="84">
        <v>700</v>
      </c>
      <c r="C18" s="167">
        <v>8.4971535563865649E-2</v>
      </c>
      <c r="D18" s="167">
        <v>7.8287034174808007E-2</v>
      </c>
      <c r="E18" s="167">
        <v>9.1658655314262538E-2</v>
      </c>
      <c r="G18" s="97">
        <f t="shared" ref="G18:G31" si="8">ROUND((((600*R$10)+(($B18-600)*R$11)+$R$9)),2)</f>
        <v>94.93</v>
      </c>
      <c r="H18" s="97">
        <f t="shared" ref="H18:H31" si="9">ROUND((((600*T$10)+(($B18-600)*T$11)+$T$9)),2)</f>
        <v>102.07</v>
      </c>
      <c r="I18" s="97">
        <f t="shared" ref="I18:I31" si="10">ROUND((((600*W$10)+(($B18-600)*W$11)+$W$9)),2)</f>
        <v>112.23</v>
      </c>
      <c r="J18" s="97"/>
      <c r="K18" s="97">
        <f t="shared" si="3"/>
        <v>7.1399999999999864</v>
      </c>
      <c r="L18" s="97">
        <f t="shared" si="4"/>
        <v>10.160000000000011</v>
      </c>
      <c r="N18" s="54">
        <f t="shared" si="5"/>
        <v>7.5213315074265097E-2</v>
      </c>
      <c r="O18" s="54">
        <f t="shared" si="6"/>
        <v>9.9539531693935646E-2</v>
      </c>
      <c r="Q18" s="66" t="s">
        <v>258</v>
      </c>
      <c r="R18" s="57">
        <v>0.10885400000000001</v>
      </c>
      <c r="T18" s="66">
        <v>0.135933</v>
      </c>
      <c r="U18" s="127">
        <f>(T18-R18)/R18</f>
        <v>0.2487644000220478</v>
      </c>
      <c r="W18" s="66">
        <v>0.145092</v>
      </c>
      <c r="X18" s="127">
        <f>(W18-T18)/T18</f>
        <v>6.7378782194169193E-2</v>
      </c>
    </row>
    <row r="19" spans="1:24" x14ac:dyDescent="0.2">
      <c r="A19" s="35">
        <f t="shared" si="7"/>
        <v>11</v>
      </c>
      <c r="B19" s="84">
        <v>800</v>
      </c>
      <c r="C19" s="167">
        <v>7.4813187487596911E-2</v>
      </c>
      <c r="D19" s="167">
        <v>7.0958935905713685E-2</v>
      </c>
      <c r="E19" s="167">
        <v>7.8668948804125463E-2</v>
      </c>
      <c r="G19" s="97">
        <f t="shared" si="8"/>
        <v>109.08</v>
      </c>
      <c r="H19" s="97">
        <f t="shared" si="9"/>
        <v>116.92</v>
      </c>
      <c r="I19" s="97">
        <f t="shared" si="10"/>
        <v>128.12</v>
      </c>
      <c r="J19" s="97"/>
      <c r="K19" s="97">
        <f t="shared" si="3"/>
        <v>7.8400000000000034</v>
      </c>
      <c r="L19" s="97">
        <f t="shared" si="4"/>
        <v>11.200000000000003</v>
      </c>
      <c r="N19" s="54">
        <f t="shared" si="5"/>
        <v>7.1873854052071903E-2</v>
      </c>
      <c r="O19" s="54">
        <f t="shared" si="6"/>
        <v>9.5791994526171764E-2</v>
      </c>
      <c r="Q19" s="58"/>
      <c r="R19" s="53"/>
      <c r="T19" s="168"/>
      <c r="U19" s="59"/>
      <c r="W19" s="168"/>
      <c r="X19" s="59"/>
    </row>
    <row r="20" spans="1:24" x14ac:dyDescent="0.2">
      <c r="A20" s="35">
        <f t="shared" si="7"/>
        <v>12</v>
      </c>
      <c r="B20" s="84">
        <v>900</v>
      </c>
      <c r="C20" s="167">
        <v>6.4425936790176191E-2</v>
      </c>
      <c r="D20" s="167">
        <v>6.3129116864527185E-2</v>
      </c>
      <c r="E20" s="167">
        <v>6.5723264688366395E-2</v>
      </c>
      <c r="G20" s="97">
        <f t="shared" si="8"/>
        <v>123.24</v>
      </c>
      <c r="H20" s="97">
        <f t="shared" si="9"/>
        <v>131.77000000000001</v>
      </c>
      <c r="I20" s="97">
        <f t="shared" si="10"/>
        <v>144.01</v>
      </c>
      <c r="J20" s="97"/>
      <c r="K20" s="97">
        <f t="shared" si="3"/>
        <v>8.5300000000000153</v>
      </c>
      <c r="L20" s="97">
        <f t="shared" si="4"/>
        <v>12.239999999999981</v>
      </c>
      <c r="N20" s="54">
        <f t="shared" si="5"/>
        <v>6.9214540733528201E-2</v>
      </c>
      <c r="O20" s="54">
        <f t="shared" si="6"/>
        <v>9.2889124990513619E-2</v>
      </c>
      <c r="Q20" s="58"/>
      <c r="R20" s="59"/>
      <c r="T20" s="58"/>
      <c r="U20" s="59"/>
      <c r="W20" s="58"/>
      <c r="X20" s="59"/>
    </row>
    <row r="21" spans="1:24" x14ac:dyDescent="0.2">
      <c r="A21" s="35">
        <f t="shared" si="7"/>
        <v>13</v>
      </c>
      <c r="B21" s="84">
        <v>1000</v>
      </c>
      <c r="C21" s="167">
        <v>5.5155535611598902E-2</v>
      </c>
      <c r="D21" s="167">
        <v>5.609851825028677E-2</v>
      </c>
      <c r="E21" s="167">
        <v>5.4212183600666042E-2</v>
      </c>
      <c r="G21" s="97">
        <f t="shared" si="8"/>
        <v>137.4</v>
      </c>
      <c r="H21" s="97">
        <f t="shared" si="9"/>
        <v>146.63</v>
      </c>
      <c r="I21" s="97">
        <f t="shared" si="10"/>
        <v>159.88999999999999</v>
      </c>
      <c r="J21" s="97"/>
      <c r="K21" s="97">
        <f t="shared" si="3"/>
        <v>9.2299999999999898</v>
      </c>
      <c r="L21" s="97">
        <f t="shared" si="4"/>
        <v>13.259999999999991</v>
      </c>
      <c r="N21" s="54">
        <f t="shared" si="5"/>
        <v>6.717612809315858E-2</v>
      </c>
      <c r="O21" s="54">
        <f t="shared" si="6"/>
        <v>9.0431698833799298E-2</v>
      </c>
      <c r="Q21" s="58"/>
      <c r="R21" s="59"/>
      <c r="T21" s="58"/>
      <c r="U21" s="59"/>
      <c r="W21" s="58"/>
      <c r="X21" s="59"/>
    </row>
    <row r="22" spans="1:24" x14ac:dyDescent="0.2">
      <c r="A22" s="35">
        <f t="shared" si="7"/>
        <v>14</v>
      </c>
      <c r="B22" s="84">
        <v>1100</v>
      </c>
      <c r="C22" s="167">
        <v>4.6807796420176878E-2</v>
      </c>
      <c r="D22" s="167">
        <v>4.9647889015274595E-2</v>
      </c>
      <c r="E22" s="167">
        <v>4.3966591342903143E-2</v>
      </c>
      <c r="G22" s="97">
        <f t="shared" si="8"/>
        <v>151.55000000000001</v>
      </c>
      <c r="H22" s="97">
        <f t="shared" si="9"/>
        <v>161.47999999999999</v>
      </c>
      <c r="I22" s="97">
        <f t="shared" si="10"/>
        <v>175.78</v>
      </c>
      <c r="J22" s="97"/>
      <c r="K22" s="97">
        <f t="shared" si="3"/>
        <v>9.9299999999999784</v>
      </c>
      <c r="L22" s="97">
        <f t="shared" si="4"/>
        <v>14.300000000000011</v>
      </c>
      <c r="N22" s="54">
        <f t="shared" si="5"/>
        <v>6.5522929726162832E-2</v>
      </c>
      <c r="O22" s="54">
        <f t="shared" si="6"/>
        <v>8.8555858310626775E-2</v>
      </c>
      <c r="Q22" s="169" t="s">
        <v>271</v>
      </c>
      <c r="R22" s="57">
        <v>7.8630000000000002E-3</v>
      </c>
      <c r="T22" s="66">
        <v>0</v>
      </c>
      <c r="U22" s="59"/>
      <c r="W22" s="66">
        <v>0</v>
      </c>
      <c r="X22" s="59"/>
    </row>
    <row r="23" spans="1:24" x14ac:dyDescent="0.2">
      <c r="A23" s="35">
        <f t="shared" si="7"/>
        <v>15</v>
      </c>
      <c r="B23" s="84">
        <v>1200</v>
      </c>
      <c r="C23" s="167">
        <v>3.9513443224672262E-2</v>
      </c>
      <c r="D23" s="167">
        <v>4.373849222526488E-2</v>
      </c>
      <c r="E23" s="167">
        <v>3.528673924574758E-2</v>
      </c>
      <c r="G23" s="97">
        <f t="shared" si="8"/>
        <v>165.71</v>
      </c>
      <c r="H23" s="97">
        <f t="shared" si="9"/>
        <v>176.34</v>
      </c>
      <c r="I23" s="97">
        <f t="shared" si="10"/>
        <v>191.67</v>
      </c>
      <c r="J23" s="97"/>
      <c r="K23" s="97">
        <f t="shared" si="3"/>
        <v>10.629999999999995</v>
      </c>
      <c r="L23" s="97">
        <f t="shared" si="4"/>
        <v>15.329999999999984</v>
      </c>
      <c r="N23" s="54">
        <f t="shared" si="5"/>
        <v>6.4148210729587804E-2</v>
      </c>
      <c r="O23" s="54">
        <f t="shared" si="6"/>
        <v>8.693433140523979E-2</v>
      </c>
      <c r="Q23" s="169" t="s">
        <v>272</v>
      </c>
      <c r="R23" s="57">
        <v>3.4810000000000002E-3</v>
      </c>
      <c r="T23" s="66">
        <v>3.4810000000000002E-3</v>
      </c>
      <c r="U23" s="59"/>
      <c r="W23" s="66">
        <v>3.4810000000000002E-3</v>
      </c>
      <c r="X23" s="59"/>
    </row>
    <row r="24" spans="1:24" x14ac:dyDescent="0.2">
      <c r="A24" s="35">
        <f t="shared" si="7"/>
        <v>16</v>
      </c>
      <c r="B24" s="84">
        <v>1300</v>
      </c>
      <c r="C24" s="167">
        <v>3.3297969918910042E-2</v>
      </c>
      <c r="D24" s="167">
        <v>3.8428898124806994E-2</v>
      </c>
      <c r="E24" s="167">
        <v>2.8165031896084828E-2</v>
      </c>
      <c r="G24" s="97">
        <f t="shared" si="8"/>
        <v>179.86</v>
      </c>
      <c r="H24" s="97">
        <f t="shared" si="9"/>
        <v>191.19</v>
      </c>
      <c r="I24" s="97">
        <f t="shared" si="10"/>
        <v>207.56</v>
      </c>
      <c r="J24" s="97"/>
      <c r="K24" s="97">
        <f t="shared" si="3"/>
        <v>11.329999999999984</v>
      </c>
      <c r="L24" s="97">
        <f t="shared" si="4"/>
        <v>16.370000000000005</v>
      </c>
      <c r="N24" s="54">
        <f t="shared" si="5"/>
        <v>6.2993439341710131E-2</v>
      </c>
      <c r="O24" s="54">
        <f t="shared" si="6"/>
        <v>8.5621632930592634E-2</v>
      </c>
      <c r="Q24" s="169" t="s">
        <v>273</v>
      </c>
      <c r="R24" s="57">
        <v>0</v>
      </c>
      <c r="T24" s="66">
        <v>0</v>
      </c>
      <c r="U24" s="59"/>
      <c r="W24" s="66">
        <v>0</v>
      </c>
      <c r="X24" s="59"/>
    </row>
    <row r="25" spans="1:24" x14ac:dyDescent="0.2">
      <c r="A25" s="35">
        <f t="shared" si="7"/>
        <v>17</v>
      </c>
      <c r="B25" s="84">
        <v>1400</v>
      </c>
      <c r="C25" s="167">
        <v>2.8227087207946717E-2</v>
      </c>
      <c r="D25" s="167">
        <v>3.3834077934683023E-2</v>
      </c>
      <c r="E25" s="167">
        <v>2.2617900187591203E-2</v>
      </c>
      <c r="G25" s="97">
        <f t="shared" si="8"/>
        <v>194.02</v>
      </c>
      <c r="H25" s="97">
        <f t="shared" si="9"/>
        <v>206.04</v>
      </c>
      <c r="I25" s="97">
        <f t="shared" si="10"/>
        <v>223.45</v>
      </c>
      <c r="J25" s="97"/>
      <c r="K25" s="97">
        <f t="shared" si="3"/>
        <v>12.019999999999982</v>
      </c>
      <c r="L25" s="97">
        <f t="shared" si="4"/>
        <v>17.409999999999997</v>
      </c>
      <c r="N25" s="54">
        <f t="shared" si="5"/>
        <v>6.1952376043706736E-2</v>
      </c>
      <c r="O25" s="54">
        <f t="shared" si="6"/>
        <v>8.4498155697922725E-2</v>
      </c>
      <c r="Q25" s="169" t="s">
        <v>274</v>
      </c>
      <c r="R25" s="57">
        <v>5.0439999999999999E-3</v>
      </c>
      <c r="T25" s="66">
        <v>5.0439999999999999E-3</v>
      </c>
      <c r="U25" s="59"/>
      <c r="W25" s="66">
        <v>5.0439999999999999E-3</v>
      </c>
      <c r="X25" s="59"/>
    </row>
    <row r="26" spans="1:24" x14ac:dyDescent="0.2">
      <c r="A26" s="35">
        <f t="shared" si="7"/>
        <v>18</v>
      </c>
      <c r="B26" s="84">
        <v>1600</v>
      </c>
      <c r="C26" s="167">
        <v>4.371908332636578E-2</v>
      </c>
      <c r="D26" s="167">
        <v>5.5376926639529117E-2</v>
      </c>
      <c r="E26" s="167">
        <v>3.205667356247506E-2</v>
      </c>
      <c r="G26" s="97">
        <f t="shared" si="8"/>
        <v>222.33</v>
      </c>
      <c r="H26" s="97">
        <f t="shared" si="9"/>
        <v>235.75</v>
      </c>
      <c r="I26" s="97">
        <f t="shared" si="10"/>
        <v>255.23</v>
      </c>
      <c r="J26" s="97"/>
      <c r="K26" s="97">
        <f t="shared" si="3"/>
        <v>13.419999999999987</v>
      </c>
      <c r="L26" s="97">
        <f t="shared" si="4"/>
        <v>19.47999999999999</v>
      </c>
      <c r="N26" s="54">
        <f t="shared" si="5"/>
        <v>6.0360725048351486E-2</v>
      </c>
      <c r="O26" s="54">
        <f t="shared" si="6"/>
        <v>8.2629904559915118E-2</v>
      </c>
      <c r="Q26" s="169" t="s">
        <v>275</v>
      </c>
      <c r="R26" s="57">
        <v>1.428E-3</v>
      </c>
      <c r="T26" s="66">
        <v>1.428E-3</v>
      </c>
      <c r="U26" s="59"/>
      <c r="W26" s="66">
        <v>1.428E-3</v>
      </c>
      <c r="X26" s="59"/>
    </row>
    <row r="27" spans="1:24" x14ac:dyDescent="0.2">
      <c r="A27" s="35">
        <f t="shared" si="7"/>
        <v>19</v>
      </c>
      <c r="B27" s="84">
        <v>2000</v>
      </c>
      <c r="C27" s="167">
        <v>5.4584596372381639E-2</v>
      </c>
      <c r="D27" s="167">
        <v>7.5787572230824399E-2</v>
      </c>
      <c r="E27" s="167">
        <v>3.3373315174612346E-2</v>
      </c>
      <c r="G27" s="97">
        <f t="shared" si="8"/>
        <v>278.95</v>
      </c>
      <c r="H27" s="97">
        <f t="shared" si="9"/>
        <v>295.17</v>
      </c>
      <c r="I27" s="97">
        <f t="shared" si="10"/>
        <v>318.77999999999997</v>
      </c>
      <c r="J27" s="97"/>
      <c r="K27" s="97">
        <f t="shared" si="3"/>
        <v>16.220000000000027</v>
      </c>
      <c r="L27" s="97">
        <f t="shared" si="4"/>
        <v>23.609999999999957</v>
      </c>
      <c r="N27" s="54">
        <f t="shared" si="5"/>
        <v>5.8146621258290114E-2</v>
      </c>
      <c r="O27" s="54">
        <f t="shared" si="6"/>
        <v>7.9987803638581004E-2</v>
      </c>
      <c r="Q27" s="169" t="s">
        <v>276</v>
      </c>
      <c r="R27" s="57">
        <v>6.0700000000000001E-4</v>
      </c>
      <c r="T27" s="66">
        <v>6.0700000000000001E-4</v>
      </c>
      <c r="U27" s="59"/>
      <c r="W27" s="66">
        <v>6.0700000000000001E-4</v>
      </c>
      <c r="X27" s="59"/>
    </row>
    <row r="28" spans="1:24" x14ac:dyDescent="0.2">
      <c r="A28" s="35">
        <f t="shared" si="7"/>
        <v>20</v>
      </c>
      <c r="B28" s="84">
        <v>2500</v>
      </c>
      <c r="C28" s="167">
        <v>3.4969098533589676E-2</v>
      </c>
      <c r="D28" s="167">
        <v>5.3860453138458664E-2</v>
      </c>
      <c r="E28" s="167">
        <v>1.607034406601375E-2</v>
      </c>
      <c r="G28" s="97">
        <f t="shared" si="8"/>
        <v>349.73</v>
      </c>
      <c r="H28" s="97">
        <f t="shared" si="9"/>
        <v>369.44</v>
      </c>
      <c r="I28" s="97">
        <f t="shared" si="10"/>
        <v>398.22</v>
      </c>
      <c r="J28" s="97"/>
      <c r="K28" s="97">
        <f t="shared" si="3"/>
        <v>19.70999999999998</v>
      </c>
      <c r="L28" s="97">
        <f t="shared" si="4"/>
        <v>28.78000000000003</v>
      </c>
      <c r="N28" s="54">
        <f t="shared" si="5"/>
        <v>5.6357761701884251E-2</v>
      </c>
      <c r="O28" s="54">
        <f t="shared" si="6"/>
        <v>7.7901689042875782E-2</v>
      </c>
      <c r="Q28" s="169" t="s">
        <v>277</v>
      </c>
      <c r="R28" s="57">
        <v>6.9999999999999999E-6</v>
      </c>
      <c r="T28" s="66">
        <v>0</v>
      </c>
      <c r="U28" s="59"/>
      <c r="W28" s="66">
        <v>0</v>
      </c>
      <c r="X28" s="59"/>
    </row>
    <row r="29" spans="1:24" x14ac:dyDescent="0.2">
      <c r="A29" s="35">
        <f t="shared" si="7"/>
        <v>21</v>
      </c>
      <c r="B29" s="84">
        <v>3000</v>
      </c>
      <c r="C29" s="167">
        <v>1.7092144773391441E-2</v>
      </c>
      <c r="D29" s="167">
        <v>2.8184063656249064E-2</v>
      </c>
      <c r="E29" s="167">
        <v>5.9958811159738978E-3</v>
      </c>
      <c r="G29" s="97">
        <f t="shared" si="8"/>
        <v>420.51</v>
      </c>
      <c r="H29" s="97">
        <f t="shared" si="9"/>
        <v>443.7</v>
      </c>
      <c r="I29" s="97">
        <f t="shared" si="10"/>
        <v>477.66</v>
      </c>
      <c r="J29" s="97"/>
      <c r="K29" s="97">
        <f t="shared" si="3"/>
        <v>23.189999999999998</v>
      </c>
      <c r="L29" s="97">
        <f t="shared" si="4"/>
        <v>33.960000000000036</v>
      </c>
      <c r="N29" s="54">
        <f t="shared" si="5"/>
        <v>5.514732111008061E-2</v>
      </c>
      <c r="O29" s="54">
        <f t="shared" si="6"/>
        <v>7.6538201487491631E-2</v>
      </c>
      <c r="Q29" s="169" t="s">
        <v>278</v>
      </c>
      <c r="R29" s="57">
        <v>0</v>
      </c>
      <c r="T29" s="66">
        <v>0</v>
      </c>
      <c r="U29" s="59"/>
      <c r="W29" s="66">
        <v>0</v>
      </c>
      <c r="X29" s="59"/>
    </row>
    <row r="30" spans="1:24" x14ac:dyDescent="0.2">
      <c r="A30" s="35">
        <f t="shared" si="7"/>
        <v>22</v>
      </c>
      <c r="B30" s="84">
        <v>4000</v>
      </c>
      <c r="C30" s="167">
        <v>1.3259459416316913E-2</v>
      </c>
      <c r="D30" s="167">
        <v>2.2680629936925423E-2</v>
      </c>
      <c r="E30" s="167">
        <v>3.8345985638158857E-3</v>
      </c>
      <c r="G30" s="97">
        <f t="shared" si="8"/>
        <v>562.05999999999995</v>
      </c>
      <c r="H30" s="97">
        <f t="shared" si="9"/>
        <v>592.24</v>
      </c>
      <c r="I30" s="97">
        <f t="shared" si="10"/>
        <v>636.54999999999995</v>
      </c>
      <c r="J30" s="97"/>
      <c r="K30" s="97">
        <f t="shared" si="3"/>
        <v>30.180000000000064</v>
      </c>
      <c r="L30" s="97">
        <f t="shared" si="4"/>
        <v>44.309999999999945</v>
      </c>
      <c r="N30" s="54">
        <f t="shared" si="5"/>
        <v>5.3695335017613893E-2</v>
      </c>
      <c r="O30" s="54">
        <f t="shared" si="6"/>
        <v>7.4817641496690443E-2</v>
      </c>
      <c r="Q30" s="169" t="s">
        <v>279</v>
      </c>
      <c r="R30" s="57">
        <v>0</v>
      </c>
      <c r="T30" s="66">
        <v>0</v>
      </c>
      <c r="U30" s="59"/>
      <c r="W30" s="66">
        <v>0</v>
      </c>
      <c r="X30" s="59"/>
    </row>
    <row r="31" spans="1:24" x14ac:dyDescent="0.2">
      <c r="A31" s="35">
        <f t="shared" si="7"/>
        <v>23</v>
      </c>
      <c r="B31" s="84">
        <v>5000</v>
      </c>
      <c r="C31" s="167">
        <v>3.85174766066403E-3</v>
      </c>
      <c r="D31" s="167">
        <v>6.6694154395193269E-3</v>
      </c>
      <c r="E31" s="167">
        <v>1.0329761835746246E-3</v>
      </c>
      <c r="G31" s="97">
        <f t="shared" si="8"/>
        <v>703.62</v>
      </c>
      <c r="H31" s="97">
        <f t="shared" si="9"/>
        <v>740.78</v>
      </c>
      <c r="I31" s="97">
        <f t="shared" si="10"/>
        <v>795.43</v>
      </c>
      <c r="J31" s="97"/>
      <c r="K31" s="97">
        <f t="shared" si="3"/>
        <v>37.159999999999968</v>
      </c>
      <c r="L31" s="97">
        <f t="shared" si="4"/>
        <v>54.649999999999977</v>
      </c>
      <c r="N31" s="54">
        <f t="shared" si="5"/>
        <v>5.2812597708990605E-2</v>
      </c>
      <c r="O31" s="54">
        <f t="shared" si="6"/>
        <v>7.377358999972998E-2</v>
      </c>
      <c r="Q31" s="169" t="s">
        <v>280</v>
      </c>
      <c r="R31" s="57">
        <v>2.6120000000000002E-3</v>
      </c>
      <c r="T31" s="66">
        <v>2.6120000000000002E-3</v>
      </c>
      <c r="U31" s="59"/>
      <c r="W31" s="66">
        <v>2.6120000000000002E-3</v>
      </c>
      <c r="X31" s="59"/>
    </row>
    <row r="32" spans="1:24" x14ac:dyDescent="0.2">
      <c r="A32" s="35">
        <f t="shared" si="7"/>
        <v>24</v>
      </c>
      <c r="B32" s="84" t="s">
        <v>110</v>
      </c>
      <c r="C32" s="167">
        <v>2.6002996811093581E-3</v>
      </c>
      <c r="D32" s="167">
        <v>4.1079744007744912E-3</v>
      </c>
      <c r="E32" s="167">
        <v>1.092034395750785E-3</v>
      </c>
      <c r="G32" s="97"/>
      <c r="H32" s="97"/>
      <c r="I32" s="97"/>
      <c r="J32" s="97"/>
      <c r="K32" s="97"/>
      <c r="L32" s="97"/>
      <c r="N32" s="97"/>
      <c r="Q32" s="169" t="s">
        <v>281</v>
      </c>
      <c r="R32" s="57">
        <v>0</v>
      </c>
      <c r="T32" s="66">
        <v>0</v>
      </c>
      <c r="U32" s="59"/>
      <c r="W32" s="66">
        <v>0</v>
      </c>
      <c r="X32" s="59"/>
    </row>
    <row r="33" spans="1:24" ht="12" thickBot="1" x14ac:dyDescent="0.25">
      <c r="A33" s="35">
        <f t="shared" si="7"/>
        <v>25</v>
      </c>
      <c r="B33" s="84"/>
      <c r="C33" s="128">
        <f>SUM(C9:C32)</f>
        <v>0.99999999999999978</v>
      </c>
      <c r="D33" s="128">
        <f>SUM(D9:D32)</f>
        <v>1</v>
      </c>
      <c r="E33" s="128">
        <f>SUM(E9:E32)</f>
        <v>1.0000000000000002</v>
      </c>
      <c r="G33" s="97"/>
      <c r="H33" s="97"/>
      <c r="I33" s="97"/>
      <c r="J33" s="97"/>
      <c r="K33" s="97"/>
      <c r="L33" s="97"/>
      <c r="N33" s="97"/>
      <c r="Q33" s="169" t="s">
        <v>282</v>
      </c>
      <c r="R33" s="57">
        <v>1.7420000000000001E-3</v>
      </c>
      <c r="T33" s="66">
        <v>1.7420000000000001E-3</v>
      </c>
      <c r="U33" s="59"/>
      <c r="W33" s="66">
        <v>1.7420000000000001E-3</v>
      </c>
      <c r="X33" s="59"/>
    </row>
    <row r="34" spans="1:24" ht="12" thickTop="1" x14ac:dyDescent="0.2">
      <c r="A34" s="35">
        <f t="shared" si="7"/>
        <v>26</v>
      </c>
      <c r="B34" s="84"/>
      <c r="C34" s="167"/>
      <c r="D34" s="167"/>
      <c r="E34" s="167"/>
      <c r="G34" s="97"/>
      <c r="H34" s="97"/>
      <c r="I34" s="97"/>
      <c r="J34" s="97"/>
      <c r="K34" s="97"/>
      <c r="L34" s="97"/>
      <c r="N34" s="97"/>
      <c r="Q34" s="169" t="s">
        <v>283</v>
      </c>
      <c r="R34" s="57">
        <v>1.25E-3</v>
      </c>
      <c r="T34" s="66">
        <v>0</v>
      </c>
      <c r="U34" s="59"/>
      <c r="W34" s="66">
        <v>0</v>
      </c>
      <c r="X34" s="59"/>
    </row>
    <row r="35" spans="1:24" x14ac:dyDescent="0.2">
      <c r="A35" s="35">
        <f t="shared" si="7"/>
        <v>27</v>
      </c>
      <c r="B35" s="84"/>
      <c r="C35" s="167"/>
      <c r="D35" s="167"/>
      <c r="E35" s="167"/>
      <c r="G35" s="97"/>
      <c r="H35" s="97"/>
      <c r="I35" s="97"/>
      <c r="J35" s="97"/>
      <c r="K35" s="97"/>
      <c r="L35" s="97"/>
      <c r="N35" s="97"/>
      <c r="Q35" s="169" t="s">
        <v>284</v>
      </c>
      <c r="R35" s="57">
        <v>0</v>
      </c>
      <c r="T35" s="66">
        <v>3.6546388924765497E-3</v>
      </c>
      <c r="U35" s="59"/>
      <c r="W35" s="66">
        <v>4.5261007972291056E-3</v>
      </c>
      <c r="X35" s="59"/>
    </row>
    <row r="36" spans="1:24" x14ac:dyDescent="0.2">
      <c r="A36" s="35">
        <f t="shared" si="7"/>
        <v>28</v>
      </c>
      <c r="B36" s="84"/>
      <c r="C36" s="167"/>
      <c r="D36" s="167"/>
      <c r="E36" s="167"/>
      <c r="G36" s="97"/>
      <c r="H36" s="97"/>
      <c r="I36" s="97"/>
      <c r="J36" s="97"/>
      <c r="K36" s="97"/>
      <c r="L36" s="97"/>
      <c r="N36" s="97"/>
      <c r="Q36" s="169" t="s">
        <v>285</v>
      </c>
      <c r="R36" s="57">
        <v>0</v>
      </c>
      <c r="T36" s="66">
        <v>5.8928686002258457E-4</v>
      </c>
      <c r="U36" s="59"/>
      <c r="W36" s="66">
        <v>5.8056447867048497E-4</v>
      </c>
      <c r="X36" s="59"/>
    </row>
    <row r="37" spans="1:24" x14ac:dyDescent="0.2">
      <c r="A37" s="35">
        <f t="shared" si="7"/>
        <v>29</v>
      </c>
      <c r="B37" s="84"/>
      <c r="C37" s="167"/>
      <c r="D37" s="167"/>
      <c r="E37" s="167"/>
      <c r="G37" s="97"/>
      <c r="H37" s="97"/>
      <c r="I37" s="97"/>
      <c r="J37" s="97"/>
      <c r="K37" s="97"/>
      <c r="L37" s="97"/>
      <c r="N37" s="97"/>
      <c r="Q37" s="169" t="s">
        <v>286</v>
      </c>
      <c r="R37" s="57">
        <v>2.7260000000000001E-3</v>
      </c>
      <c r="T37" s="66">
        <v>2.7260000000000001E-3</v>
      </c>
      <c r="U37" s="59"/>
      <c r="W37" s="66">
        <v>2.7260000000000001E-3</v>
      </c>
      <c r="X37" s="59"/>
    </row>
    <row r="38" spans="1:24" x14ac:dyDescent="0.2">
      <c r="A38" s="35">
        <f t="shared" si="7"/>
        <v>30</v>
      </c>
      <c r="B38" s="84"/>
      <c r="C38" s="167"/>
      <c r="D38" s="167"/>
      <c r="E38" s="167"/>
      <c r="G38" s="97"/>
      <c r="H38" s="97"/>
      <c r="I38" s="97"/>
      <c r="J38" s="97"/>
      <c r="K38" s="97"/>
      <c r="L38" s="97"/>
      <c r="N38" s="97"/>
      <c r="Q38" s="169" t="s">
        <v>287</v>
      </c>
      <c r="R38" s="57">
        <v>8.5280000000000009E-3</v>
      </c>
      <c r="T38" s="66">
        <v>0</v>
      </c>
      <c r="U38" s="59"/>
      <c r="W38" s="66">
        <v>0</v>
      </c>
      <c r="X38" s="59"/>
    </row>
    <row r="39" spans="1:24" x14ac:dyDescent="0.2">
      <c r="A39" s="35">
        <f t="shared" si="7"/>
        <v>31</v>
      </c>
      <c r="B39" s="84"/>
      <c r="C39" s="167"/>
      <c r="D39" s="167"/>
      <c r="E39" s="167"/>
      <c r="G39" s="97"/>
      <c r="H39" s="97"/>
      <c r="I39" s="97"/>
      <c r="J39" s="97"/>
      <c r="K39" s="97"/>
      <c r="L39" s="97"/>
      <c r="N39" s="97"/>
      <c r="Q39" s="169" t="s">
        <v>288</v>
      </c>
      <c r="R39" s="57">
        <v>8.1049999999999994E-3</v>
      </c>
      <c r="T39" s="66">
        <v>0</v>
      </c>
      <c r="U39" s="59"/>
      <c r="W39" s="66">
        <v>0</v>
      </c>
      <c r="X39" s="59"/>
    </row>
    <row r="40" spans="1:24" x14ac:dyDescent="0.2">
      <c r="A40" s="35">
        <f t="shared" si="7"/>
        <v>32</v>
      </c>
      <c r="B40" s="84"/>
      <c r="C40" s="167"/>
      <c r="D40" s="167"/>
      <c r="E40" s="167"/>
      <c r="G40" s="97"/>
      <c r="H40" s="97"/>
      <c r="I40" s="97"/>
      <c r="J40" s="97"/>
      <c r="K40" s="97"/>
      <c r="L40" s="97"/>
      <c r="N40" s="97"/>
      <c r="Q40" s="169" t="s">
        <v>289</v>
      </c>
      <c r="R40" s="57">
        <v>3.19E-4</v>
      </c>
      <c r="T40" s="66">
        <v>3.19E-4</v>
      </c>
      <c r="U40" s="59"/>
      <c r="W40" s="66">
        <v>3.19E-4</v>
      </c>
      <c r="X40" s="59"/>
    </row>
    <row r="41" spans="1:24" x14ac:dyDescent="0.2">
      <c r="A41" s="35">
        <f t="shared" si="7"/>
        <v>33</v>
      </c>
      <c r="B41" s="84"/>
      <c r="C41" s="167"/>
      <c r="D41" s="167"/>
      <c r="E41" s="167"/>
      <c r="G41" s="97"/>
      <c r="H41" s="97"/>
      <c r="I41" s="97"/>
      <c r="J41" s="97"/>
      <c r="K41" s="97"/>
      <c r="L41" s="97"/>
      <c r="N41" s="97"/>
      <c r="Q41" s="169" t="s">
        <v>290</v>
      </c>
      <c r="R41" s="57">
        <v>0</v>
      </c>
      <c r="T41" s="66">
        <v>1.4121617168578967E-3</v>
      </c>
      <c r="U41" s="59"/>
      <c r="W41" s="66">
        <v>1.7370387957768129E-3</v>
      </c>
      <c r="X41" s="59"/>
    </row>
    <row r="42" spans="1:24" x14ac:dyDescent="0.2">
      <c r="A42" s="35">
        <f t="shared" si="7"/>
        <v>34</v>
      </c>
      <c r="Q42" s="169" t="s">
        <v>291</v>
      </c>
      <c r="R42" s="57">
        <v>0</v>
      </c>
      <c r="T42" s="66">
        <v>0</v>
      </c>
      <c r="U42" s="59"/>
      <c r="W42" s="66">
        <v>0</v>
      </c>
      <c r="X42" s="59"/>
    </row>
    <row r="43" spans="1:24" x14ac:dyDescent="0.2">
      <c r="A43" s="35">
        <f t="shared" si="7"/>
        <v>35</v>
      </c>
      <c r="B43" s="87" t="s">
        <v>109</v>
      </c>
      <c r="Q43" s="169" t="s">
        <v>292</v>
      </c>
      <c r="R43" s="57">
        <v>0</v>
      </c>
      <c r="T43" s="66">
        <v>0</v>
      </c>
      <c r="U43" s="59"/>
      <c r="W43" s="66">
        <v>0</v>
      </c>
      <c r="X43" s="59"/>
    </row>
    <row r="44" spans="1:24" x14ac:dyDescent="0.2">
      <c r="A44" s="35">
        <f t="shared" si="7"/>
        <v>36</v>
      </c>
      <c r="B44" s="129" t="s">
        <v>108</v>
      </c>
      <c r="Q44" s="169" t="s">
        <v>293</v>
      </c>
      <c r="R44" s="57">
        <v>-3.4759999999999999E-3</v>
      </c>
      <c r="T44" s="66">
        <v>-3.4759999999999999E-3</v>
      </c>
      <c r="U44" s="59"/>
      <c r="W44" s="66">
        <v>-3.4759999999999999E-3</v>
      </c>
      <c r="X44" s="59"/>
    </row>
    <row r="45" spans="1:24" x14ac:dyDescent="0.2">
      <c r="A45" s="35">
        <f t="shared" si="7"/>
        <v>37</v>
      </c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Q45" s="169" t="s">
        <v>294</v>
      </c>
      <c r="R45" s="57">
        <v>0</v>
      </c>
      <c r="T45" s="66">
        <v>0</v>
      </c>
      <c r="U45" s="59"/>
      <c r="W45" s="66">
        <v>0</v>
      </c>
      <c r="X45" s="59"/>
    </row>
    <row r="46" spans="1:24" x14ac:dyDescent="0.2">
      <c r="A46" s="35">
        <f t="shared" si="7"/>
        <v>38</v>
      </c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Q46" s="169" t="s">
        <v>295</v>
      </c>
      <c r="R46" s="57">
        <v>-7.5339999999999999E-3</v>
      </c>
      <c r="T46" s="66">
        <v>-7.5339999999999999E-3</v>
      </c>
      <c r="U46" s="59"/>
      <c r="W46" s="66">
        <v>-7.5339999999999999E-3</v>
      </c>
      <c r="X46" s="59"/>
    </row>
    <row r="47" spans="1:24" ht="12" thickBot="1" x14ac:dyDescent="0.25">
      <c r="A47" s="35">
        <f t="shared" si="7"/>
        <v>39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Q47" s="62" t="s">
        <v>107</v>
      </c>
      <c r="R47" s="63">
        <f>SUM(R22:R46)+R17</f>
        <v>0.122139</v>
      </c>
      <c r="T47" s="64">
        <f>SUM(T22:T46)+T17</f>
        <v>0.12912108746935702</v>
      </c>
      <c r="U47" s="59"/>
      <c r="W47" s="64">
        <f>SUM(W22:W46)+W17</f>
        <v>0.13946770407167641</v>
      </c>
      <c r="X47" s="59"/>
    </row>
    <row r="48" spans="1:24" ht="12.75" thickTop="1" thickBot="1" x14ac:dyDescent="0.25">
      <c r="A48" s="35">
        <f t="shared" si="7"/>
        <v>40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Q48" s="62" t="s">
        <v>106</v>
      </c>
      <c r="R48" s="63">
        <f>SUM(R22:R46)+R18</f>
        <v>0.14155600000000002</v>
      </c>
      <c r="T48" s="64">
        <f>SUM(T22:T46)+T18</f>
        <v>0.14853808746935704</v>
      </c>
      <c r="U48" s="59"/>
      <c r="W48" s="64">
        <f>SUM(W22:W46)+W18</f>
        <v>0.1588847040716764</v>
      </c>
      <c r="X48" s="59"/>
    </row>
    <row r="49" spans="1:24" ht="12" thickTop="1" x14ac:dyDescent="0.2">
      <c r="A49" s="35">
        <f t="shared" si="7"/>
        <v>41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Q49" s="62"/>
      <c r="R49" s="57"/>
      <c r="T49" s="66"/>
      <c r="U49" s="59"/>
      <c r="W49" s="66"/>
      <c r="X49" s="59"/>
    </row>
    <row r="50" spans="1:24" x14ac:dyDescent="0.2">
      <c r="A50" s="35">
        <f t="shared" si="7"/>
        <v>42</v>
      </c>
      <c r="Q50" s="67" t="s">
        <v>105</v>
      </c>
      <c r="R50" s="160"/>
      <c r="T50" s="58"/>
      <c r="U50" s="160">
        <f>'Exh CTM-8 (Rate Impacts_RY#1)'!$H$10</f>
        <v>0.21323897642884396</v>
      </c>
      <c r="W50" s="58"/>
      <c r="X50" s="160">
        <f>'Exh CTM-8 (Rate Impacts_RY#2)'!$I$10</f>
        <v>8.7853522569833253E-2</v>
      </c>
    </row>
    <row r="51" spans="1:24" x14ac:dyDescent="0.2">
      <c r="A51" s="35">
        <f t="shared" si="7"/>
        <v>43</v>
      </c>
      <c r="Q51" s="67" t="s">
        <v>104</v>
      </c>
      <c r="R51" s="160"/>
      <c r="T51" s="58"/>
      <c r="U51" s="160">
        <f>'Exh CTM-8 (Rate Impacts_RY#1)'!$AI$10</f>
        <v>6.9196999921477667E-2</v>
      </c>
      <c r="W51" s="58"/>
      <c r="X51" s="160">
        <f>'Exh CTM-8 (Rate Impacts_RY#2)'!$V$10</f>
        <v>9.6414343046233864E-2</v>
      </c>
    </row>
    <row r="52" spans="1:24" ht="12" thickBot="1" x14ac:dyDescent="0.25">
      <c r="A52" s="35">
        <f t="shared" si="7"/>
        <v>44</v>
      </c>
      <c r="Q52" s="70"/>
      <c r="R52" s="69"/>
      <c r="T52" s="70"/>
      <c r="U52" s="69"/>
      <c r="W52" s="70"/>
      <c r="X52" s="69"/>
    </row>
    <row r="53" spans="1:24" x14ac:dyDescent="0.2">
      <c r="A53" s="35">
        <f t="shared" si="7"/>
        <v>45</v>
      </c>
    </row>
  </sheetData>
  <mergeCells count="10">
    <mergeCell ref="W6:X6"/>
    <mergeCell ref="T6:U6"/>
    <mergeCell ref="C6:E6"/>
    <mergeCell ref="A1:O1"/>
    <mergeCell ref="A2:O2"/>
    <mergeCell ref="A3:O3"/>
    <mergeCell ref="A4:O4"/>
    <mergeCell ref="G6:I6"/>
    <mergeCell ref="K6:L6"/>
    <mergeCell ref="N6:O6"/>
  </mergeCells>
  <pageMargins left="0.7" right="0.7" top="0.75" bottom="0.75" header="0.3" footer="0.3"/>
  <pageSetup scale="35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2C64-0DC5-45F4-9E03-E7CF6131457D}">
  <sheetPr>
    <pageSetUpPr fitToPage="1"/>
  </sheetPr>
  <dimension ref="A1:AI55"/>
  <sheetViews>
    <sheetView zoomScaleNormal="100" zoomScaleSheetLayoutView="100" workbookViewId="0">
      <pane xSplit="5" ySplit="8" topLeftCell="F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 x14ac:dyDescent="0.2"/>
  <cols>
    <col min="1" max="1" width="4.85546875" style="23" bestFit="1" customWidth="1"/>
    <col min="2" max="2" width="39.42578125" style="23" customWidth="1"/>
    <col min="3" max="3" width="12" style="23" bestFit="1" customWidth="1"/>
    <col min="4" max="4" width="7.7109375" style="23" bestFit="1" customWidth="1"/>
    <col min="5" max="5" width="0.5703125" style="23" customWidth="1"/>
    <col min="6" max="6" width="10" style="23" bestFit="1" customWidth="1"/>
    <col min="7" max="7" width="7.7109375" style="23" bestFit="1" customWidth="1"/>
    <col min="8" max="8" width="0.5703125" style="23" customWidth="1"/>
    <col min="9" max="9" width="10" style="23" bestFit="1" customWidth="1"/>
    <col min="10" max="10" width="7.7109375" style="23" bestFit="1" customWidth="1"/>
    <col min="11" max="11" width="0.5703125" style="23" customWidth="1"/>
    <col min="12" max="12" width="10" style="23" bestFit="1" customWidth="1"/>
    <col min="13" max="13" width="7.7109375" style="23" bestFit="1" customWidth="1"/>
    <col min="14" max="14" width="0.5703125" style="23" customWidth="1"/>
    <col min="15" max="15" width="10" style="23" bestFit="1" customWidth="1"/>
    <col min="16" max="16" width="11" style="23" customWidth="1"/>
    <col min="17" max="17" width="0.5703125" style="23" customWidth="1"/>
    <col min="18" max="18" width="10" style="23" bestFit="1" customWidth="1"/>
    <col min="19" max="19" width="11.140625" style="23" customWidth="1"/>
    <col min="20" max="20" width="0.5703125" style="23" customWidth="1"/>
    <col min="21" max="21" width="10" style="23" bestFit="1" customWidth="1"/>
    <col min="22" max="22" width="10.5703125" style="23" customWidth="1"/>
    <col min="23" max="23" width="0.5703125" style="23" customWidth="1"/>
    <col min="24" max="24" width="11" style="23" customWidth="1"/>
    <col min="25" max="25" width="12" style="23" customWidth="1"/>
    <col min="26" max="26" width="0.5703125" style="23" customWidth="1"/>
    <col min="27" max="27" width="11.42578125" style="23" customWidth="1"/>
    <col min="28" max="28" width="12.42578125" style="23" customWidth="1"/>
    <col min="29" max="29" width="0.5703125" style="23" customWidth="1"/>
    <col min="30" max="30" width="10" style="23" bestFit="1" customWidth="1"/>
    <col min="31" max="31" width="10.7109375" style="23" customWidth="1"/>
    <col min="32" max="32" width="0.5703125" style="23" customWidth="1"/>
    <col min="33" max="33" width="10" style="23" bestFit="1" customWidth="1"/>
    <col min="34" max="34" width="7.7109375" style="23" bestFit="1" customWidth="1"/>
    <col min="35" max="16384" width="9.140625" style="23"/>
  </cols>
  <sheetData>
    <row r="1" spans="1:35" s="7" customFormat="1" x14ac:dyDescent="0.2">
      <c r="A1" s="178" t="s">
        <v>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</row>
    <row r="2" spans="1:35" s="7" customFormat="1" x14ac:dyDescent="0.2">
      <c r="A2" s="178" t="s">
        <v>269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</row>
    <row r="3" spans="1:35" s="7" customFormat="1" x14ac:dyDescent="0.2">
      <c r="A3" s="177" t="s">
        <v>165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</row>
    <row r="4" spans="1:35" s="7" customFormat="1" x14ac:dyDescent="0.2">
      <c r="A4" s="178" t="s">
        <v>102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</row>
    <row r="5" spans="1:35" s="7" customFormat="1" x14ac:dyDescent="0.2">
      <c r="I5" s="115"/>
      <c r="L5" s="115"/>
      <c r="O5" s="115"/>
      <c r="R5" s="115"/>
      <c r="U5" s="115"/>
    </row>
    <row r="6" spans="1:35" s="106" customFormat="1" ht="11.25" customHeight="1" x14ac:dyDescent="0.2">
      <c r="C6" s="189" t="s">
        <v>164</v>
      </c>
      <c r="D6" s="203"/>
      <c r="F6" s="189" t="s">
        <v>163</v>
      </c>
      <c r="G6" s="202"/>
      <c r="I6" s="189" t="s">
        <v>162</v>
      </c>
      <c r="J6" s="202"/>
      <c r="L6" s="189" t="s">
        <v>161</v>
      </c>
      <c r="M6" s="202"/>
      <c r="O6" s="189" t="s">
        <v>160</v>
      </c>
      <c r="P6" s="202"/>
      <c r="R6" s="189" t="s">
        <v>159</v>
      </c>
      <c r="S6" s="202"/>
      <c r="U6" s="189" t="s">
        <v>158</v>
      </c>
      <c r="V6" s="202"/>
      <c r="X6" s="189" t="s">
        <v>157</v>
      </c>
      <c r="Y6" s="202"/>
      <c r="AA6" s="189" t="s">
        <v>156</v>
      </c>
      <c r="AB6" s="202"/>
      <c r="AD6" s="189" t="s">
        <v>155</v>
      </c>
      <c r="AE6" s="202"/>
      <c r="AG6" s="189" t="s">
        <v>154</v>
      </c>
      <c r="AH6" s="202"/>
    </row>
    <row r="7" spans="1:35" s="7" customFormat="1" x14ac:dyDescent="0.2">
      <c r="A7" s="107" t="s">
        <v>153</v>
      </c>
      <c r="B7" s="107"/>
      <c r="C7" s="107" t="s">
        <v>152</v>
      </c>
      <c r="D7" s="107" t="s">
        <v>150</v>
      </c>
      <c r="F7" s="107" t="s">
        <v>151</v>
      </c>
      <c r="G7" s="107" t="s">
        <v>150</v>
      </c>
      <c r="I7" s="107" t="s">
        <v>151</v>
      </c>
      <c r="J7" s="107" t="s">
        <v>150</v>
      </c>
      <c r="L7" s="107" t="s">
        <v>151</v>
      </c>
      <c r="M7" s="107" t="s">
        <v>150</v>
      </c>
      <c r="O7" s="107" t="s">
        <v>151</v>
      </c>
      <c r="P7" s="107" t="s">
        <v>150</v>
      </c>
      <c r="R7" s="107" t="s">
        <v>151</v>
      </c>
      <c r="S7" s="107" t="s">
        <v>150</v>
      </c>
      <c r="U7" s="107" t="s">
        <v>151</v>
      </c>
      <c r="V7" s="107" t="s">
        <v>150</v>
      </c>
      <c r="X7" s="107" t="s">
        <v>151</v>
      </c>
      <c r="Y7" s="107" t="s">
        <v>150</v>
      </c>
      <c r="AA7" s="107" t="s">
        <v>151</v>
      </c>
      <c r="AB7" s="107" t="s">
        <v>150</v>
      </c>
      <c r="AD7" s="107" t="s">
        <v>151</v>
      </c>
      <c r="AE7" s="107" t="s">
        <v>150</v>
      </c>
      <c r="AG7" s="107" t="s">
        <v>151</v>
      </c>
      <c r="AH7" s="107" t="s">
        <v>150</v>
      </c>
    </row>
    <row r="8" spans="1:35" x14ac:dyDescent="0.2">
      <c r="A8" s="18"/>
      <c r="B8" s="18" t="s">
        <v>43</v>
      </c>
      <c r="C8" s="18" t="s">
        <v>42</v>
      </c>
      <c r="D8" s="18" t="s">
        <v>41</v>
      </c>
      <c r="F8" s="18" t="s">
        <v>40</v>
      </c>
      <c r="G8" s="18" t="s">
        <v>39</v>
      </c>
      <c r="I8" s="18" t="s">
        <v>83</v>
      </c>
      <c r="J8" s="18" t="s">
        <v>37</v>
      </c>
      <c r="L8" s="18" t="s">
        <v>117</v>
      </c>
      <c r="M8" s="18" t="s">
        <v>35</v>
      </c>
      <c r="O8" s="18" t="s">
        <v>116</v>
      </c>
      <c r="P8" s="18" t="s">
        <v>33</v>
      </c>
      <c r="R8" s="18" t="s">
        <v>115</v>
      </c>
      <c r="S8" s="18" t="s">
        <v>31</v>
      </c>
      <c r="U8" s="18" t="s">
        <v>114</v>
      </c>
      <c r="V8" s="18" t="s">
        <v>29</v>
      </c>
      <c r="X8" s="18" t="s">
        <v>113</v>
      </c>
      <c r="Y8" s="18" t="s">
        <v>27</v>
      </c>
      <c r="AA8" s="18" t="s">
        <v>149</v>
      </c>
      <c r="AB8" s="18" t="s">
        <v>25</v>
      </c>
      <c r="AD8" s="18" t="s">
        <v>148</v>
      </c>
      <c r="AE8" s="18" t="s">
        <v>23</v>
      </c>
      <c r="AG8" s="18" t="s">
        <v>147</v>
      </c>
      <c r="AH8" s="18" t="s">
        <v>146</v>
      </c>
    </row>
    <row r="9" spans="1:35" x14ac:dyDescent="0.2">
      <c r="A9" s="18">
        <v>1</v>
      </c>
      <c r="B9" s="30" t="s">
        <v>93</v>
      </c>
      <c r="C9" s="28">
        <f>'Exh CTM-8 (Res Bill Summary)'!B19</f>
        <v>800</v>
      </c>
      <c r="D9" s="108"/>
      <c r="F9" s="23">
        <f>+$C$9</f>
        <v>800</v>
      </c>
      <c r="G9" s="108"/>
      <c r="H9" s="24"/>
      <c r="I9" s="23">
        <f>+$C$9</f>
        <v>800</v>
      </c>
      <c r="J9" s="108"/>
      <c r="L9" s="23">
        <f>+$C$9</f>
        <v>800</v>
      </c>
      <c r="M9" s="108"/>
      <c r="O9" s="23">
        <f>+$C$9</f>
        <v>800</v>
      </c>
      <c r="P9" s="108"/>
      <c r="R9" s="23">
        <f>+$C$9</f>
        <v>800</v>
      </c>
      <c r="S9" s="108"/>
      <c r="U9" s="23">
        <f>+$C$9</f>
        <v>800</v>
      </c>
      <c r="V9" s="108"/>
      <c r="X9" s="23">
        <f>+$C$9</f>
        <v>800</v>
      </c>
      <c r="Y9" s="108"/>
      <c r="Z9" s="108"/>
      <c r="AA9" s="23">
        <f>+$C$9</f>
        <v>800</v>
      </c>
      <c r="AB9" s="108"/>
      <c r="AC9" s="108"/>
      <c r="AD9" s="23">
        <f>+$C$9</f>
        <v>800</v>
      </c>
      <c r="AE9" s="108"/>
      <c r="AG9" s="23">
        <f>+$C$9</f>
        <v>800</v>
      </c>
      <c r="AH9" s="108"/>
    </row>
    <row r="10" spans="1:35" x14ac:dyDescent="0.2">
      <c r="A10" s="18">
        <f t="shared" ref="A10:A53" si="0">+A9+1</f>
        <v>2</v>
      </c>
      <c r="D10" s="108"/>
      <c r="G10" s="108"/>
      <c r="H10" s="24"/>
      <c r="J10" s="108"/>
      <c r="M10" s="108"/>
      <c r="P10" s="108"/>
      <c r="S10" s="108"/>
      <c r="V10" s="108"/>
      <c r="Y10" s="108"/>
      <c r="Z10" s="108"/>
      <c r="AB10" s="108"/>
      <c r="AC10" s="108"/>
      <c r="AE10" s="108"/>
      <c r="AH10" s="108"/>
    </row>
    <row r="11" spans="1:35" x14ac:dyDescent="0.2">
      <c r="A11" s="18">
        <f t="shared" si="0"/>
        <v>3</v>
      </c>
      <c r="B11" s="23" t="s">
        <v>145</v>
      </c>
      <c r="D11" s="108"/>
      <c r="G11" s="108"/>
      <c r="H11" s="24"/>
      <c r="J11" s="108"/>
      <c r="M11" s="108"/>
      <c r="P11" s="108"/>
      <c r="S11" s="108"/>
      <c r="V11" s="108"/>
      <c r="Y11" s="108"/>
      <c r="Z11" s="108"/>
      <c r="AB11" s="108"/>
      <c r="AC11" s="108"/>
      <c r="AE11" s="108"/>
      <c r="AH11" s="108"/>
    </row>
    <row r="12" spans="1:35" x14ac:dyDescent="0.2">
      <c r="A12" s="18">
        <f t="shared" si="0"/>
        <v>4</v>
      </c>
      <c r="B12" s="112" t="s">
        <v>144</v>
      </c>
      <c r="C12" s="109">
        <f>'Exh CTM-8 (Res Bill Summary)'!R16</f>
        <v>7.49</v>
      </c>
      <c r="D12" s="108">
        <f>C12</f>
        <v>7.49</v>
      </c>
      <c r="E12" s="109"/>
      <c r="F12" s="109">
        <f>'Exh CTM-8 (Res Bill Summary)'!T16</f>
        <v>9.74</v>
      </c>
      <c r="G12" s="108">
        <f>F12</f>
        <v>9.74</v>
      </c>
      <c r="I12" s="108">
        <f>+$C$12</f>
        <v>7.49</v>
      </c>
      <c r="J12" s="108">
        <f>+$C$12</f>
        <v>7.49</v>
      </c>
      <c r="L12" s="108">
        <f>+$C$12</f>
        <v>7.49</v>
      </c>
      <c r="M12" s="108">
        <f>L12</f>
        <v>7.49</v>
      </c>
      <c r="O12" s="108">
        <f>+$C$12</f>
        <v>7.49</v>
      </c>
      <c r="P12" s="108">
        <f>O12</f>
        <v>7.49</v>
      </c>
      <c r="R12" s="108">
        <f>+$C$12</f>
        <v>7.49</v>
      </c>
      <c r="S12" s="108">
        <f>R12</f>
        <v>7.49</v>
      </c>
      <c r="U12" s="108">
        <f>+$C$12</f>
        <v>7.49</v>
      </c>
      <c r="V12" s="108">
        <f>U12</f>
        <v>7.49</v>
      </c>
      <c r="X12" s="108">
        <f>+$C$12</f>
        <v>7.49</v>
      </c>
      <c r="Y12" s="108">
        <f>X12</f>
        <v>7.49</v>
      </c>
      <c r="Z12" s="108"/>
      <c r="AA12" s="108">
        <f>+$C$12</f>
        <v>7.49</v>
      </c>
      <c r="AB12" s="108">
        <f>AA12</f>
        <v>7.49</v>
      </c>
      <c r="AC12" s="108"/>
      <c r="AD12" s="108">
        <f>+$C$12</f>
        <v>7.49</v>
      </c>
      <c r="AE12" s="108">
        <f>AD12</f>
        <v>7.49</v>
      </c>
      <c r="AG12" s="109">
        <f>+F12</f>
        <v>9.74</v>
      </c>
      <c r="AH12" s="108">
        <f>AG12</f>
        <v>9.74</v>
      </c>
    </row>
    <row r="13" spans="1:35" x14ac:dyDescent="0.2">
      <c r="A13" s="18">
        <f t="shared" si="0"/>
        <v>5</v>
      </c>
      <c r="B13" s="110" t="s">
        <v>143</v>
      </c>
      <c r="C13" s="109"/>
      <c r="D13" s="111">
        <f>SUM(D12:D12)</f>
        <v>7.49</v>
      </c>
      <c r="E13" s="109"/>
      <c r="F13" s="109"/>
      <c r="G13" s="111">
        <f>SUM(G12:G12)</f>
        <v>9.74</v>
      </c>
      <c r="I13" s="109"/>
      <c r="J13" s="111">
        <f>SUM(J12:J12)</f>
        <v>7.49</v>
      </c>
      <c r="L13" s="109"/>
      <c r="M13" s="111">
        <f>SUM(M12:M12)</f>
        <v>7.49</v>
      </c>
      <c r="O13" s="109"/>
      <c r="P13" s="111">
        <f>SUM(P12:P12)</f>
        <v>7.49</v>
      </c>
      <c r="R13" s="109"/>
      <c r="S13" s="111">
        <f>SUM(S12:S12)</f>
        <v>7.49</v>
      </c>
      <c r="U13" s="109"/>
      <c r="V13" s="111">
        <f>SUM(V12:V12)</f>
        <v>7.49</v>
      </c>
      <c r="X13" s="109"/>
      <c r="Y13" s="111">
        <f>SUM(Y12:Y12)</f>
        <v>7.49</v>
      </c>
      <c r="Z13" s="109"/>
      <c r="AA13" s="109"/>
      <c r="AB13" s="111">
        <f>SUM(AB12:AB12)</f>
        <v>7.49</v>
      </c>
      <c r="AC13" s="109"/>
      <c r="AD13" s="109"/>
      <c r="AE13" s="111">
        <f>SUM(AE12:AE12)</f>
        <v>7.49</v>
      </c>
      <c r="AG13" s="111">
        <f>SUM(AG12:AG12)</f>
        <v>9.74</v>
      </c>
      <c r="AH13" s="111">
        <f>SUM(AH12:AH12)</f>
        <v>9.74</v>
      </c>
    </row>
    <row r="14" spans="1:35" x14ac:dyDescent="0.2">
      <c r="A14" s="18">
        <f t="shared" si="0"/>
        <v>6</v>
      </c>
      <c r="C14" s="109"/>
      <c r="D14" s="108"/>
      <c r="E14" s="109"/>
      <c r="F14" s="109"/>
      <c r="G14" s="108"/>
      <c r="I14" s="109"/>
      <c r="J14" s="108"/>
      <c r="L14" s="109"/>
      <c r="M14" s="108"/>
      <c r="O14" s="109"/>
      <c r="P14" s="108"/>
      <c r="R14" s="109"/>
      <c r="S14" s="108"/>
      <c r="U14" s="109"/>
      <c r="V14" s="108"/>
      <c r="X14" s="109"/>
      <c r="Y14" s="108"/>
      <c r="Z14" s="108"/>
      <c r="AA14" s="109"/>
      <c r="AB14" s="108"/>
      <c r="AC14" s="108"/>
      <c r="AD14" s="109"/>
      <c r="AE14" s="108"/>
      <c r="AG14" s="109"/>
      <c r="AH14" s="108"/>
    </row>
    <row r="15" spans="1:35" x14ac:dyDescent="0.2">
      <c r="A15" s="18">
        <f t="shared" si="0"/>
        <v>7</v>
      </c>
      <c r="B15" s="30" t="s">
        <v>142</v>
      </c>
      <c r="D15" s="108"/>
      <c r="G15" s="108"/>
      <c r="J15" s="108"/>
      <c r="M15" s="108"/>
      <c r="P15" s="108"/>
      <c r="S15" s="108"/>
      <c r="V15" s="108"/>
      <c r="Y15" s="108"/>
      <c r="Z15" s="108"/>
      <c r="AB15" s="108"/>
      <c r="AC15" s="108"/>
      <c r="AE15" s="108"/>
      <c r="AH15" s="108"/>
    </row>
    <row r="16" spans="1:35" x14ac:dyDescent="0.2">
      <c r="A16" s="18">
        <f t="shared" si="0"/>
        <v>8</v>
      </c>
      <c r="B16" s="112" t="s">
        <v>141</v>
      </c>
      <c r="C16" s="29">
        <f>'Exh CTM-8 (Res Bill Summary)'!R17</f>
        <v>8.9437000000000003E-2</v>
      </c>
      <c r="D16" s="108"/>
      <c r="E16" s="113"/>
      <c r="F16" s="29">
        <f>'Exh CTM-8 (Res Bill Summary)'!T17</f>
        <v>0.11651599999999999</v>
      </c>
      <c r="G16" s="108"/>
      <c r="I16" s="29">
        <f>+$C$16</f>
        <v>8.9437000000000003E-2</v>
      </c>
      <c r="J16" s="108"/>
      <c r="L16" s="29">
        <f>+$C$16</f>
        <v>8.9437000000000003E-2</v>
      </c>
      <c r="M16" s="108"/>
      <c r="O16" s="29">
        <f>+$C$16</f>
        <v>8.9437000000000003E-2</v>
      </c>
      <c r="P16" s="108"/>
      <c r="R16" s="29">
        <f>+$C$16</f>
        <v>8.9437000000000003E-2</v>
      </c>
      <c r="S16" s="108"/>
      <c r="U16" s="29">
        <f>+$C$16</f>
        <v>8.9437000000000003E-2</v>
      </c>
      <c r="V16" s="108"/>
      <c r="X16" s="29">
        <f>+$C$16</f>
        <v>8.9437000000000003E-2</v>
      </c>
      <c r="Y16" s="108"/>
      <c r="Z16" s="108"/>
      <c r="AA16" s="29">
        <f>+$C$16</f>
        <v>8.9437000000000003E-2</v>
      </c>
      <c r="AB16" s="108"/>
      <c r="AC16" s="108"/>
      <c r="AD16" s="29">
        <f>+$C$16</f>
        <v>8.9437000000000003E-2</v>
      </c>
      <c r="AE16" s="108"/>
      <c r="AG16" s="29">
        <f>+F16</f>
        <v>0.11651599999999999</v>
      </c>
      <c r="AH16" s="108"/>
    </row>
    <row r="17" spans="1:34" x14ac:dyDescent="0.2">
      <c r="A17" s="18">
        <f t="shared" si="0"/>
        <v>9</v>
      </c>
      <c r="B17" s="112" t="s">
        <v>140</v>
      </c>
      <c r="C17" s="29">
        <f>'Exh CTM-8 (Res Bill Summary)'!R18</f>
        <v>0.10885400000000001</v>
      </c>
      <c r="D17" s="108"/>
      <c r="E17" s="113"/>
      <c r="F17" s="29">
        <f>'Exh CTM-8 (Res Bill Summary)'!T18</f>
        <v>0.135933</v>
      </c>
      <c r="G17" s="108"/>
      <c r="I17" s="29">
        <f>+$C$17</f>
        <v>0.10885400000000001</v>
      </c>
      <c r="J17" s="108"/>
      <c r="L17" s="29">
        <f>+$C$17</f>
        <v>0.10885400000000001</v>
      </c>
      <c r="M17" s="108"/>
      <c r="O17" s="29">
        <f>+$C$17</f>
        <v>0.10885400000000001</v>
      </c>
      <c r="P17" s="108"/>
      <c r="R17" s="29">
        <f>+$C$17</f>
        <v>0.10885400000000001</v>
      </c>
      <c r="S17" s="108"/>
      <c r="U17" s="29">
        <f>+$C$17</f>
        <v>0.10885400000000001</v>
      </c>
      <c r="V17" s="108"/>
      <c r="X17" s="29">
        <f>+$C$17</f>
        <v>0.10885400000000001</v>
      </c>
      <c r="Y17" s="108"/>
      <c r="Z17" s="108"/>
      <c r="AA17" s="29">
        <f>+$C$17</f>
        <v>0.10885400000000001</v>
      </c>
      <c r="AB17" s="108"/>
      <c r="AC17" s="108"/>
      <c r="AD17" s="29">
        <f>+$C$17</f>
        <v>0.10885400000000001</v>
      </c>
      <c r="AE17" s="108"/>
      <c r="AG17" s="29">
        <f>+F17</f>
        <v>0.135933</v>
      </c>
      <c r="AH17" s="108"/>
    </row>
    <row r="18" spans="1:34" x14ac:dyDescent="0.2">
      <c r="A18" s="18">
        <f t="shared" si="0"/>
        <v>10</v>
      </c>
      <c r="B18" s="112"/>
      <c r="C18" s="29"/>
      <c r="D18" s="108"/>
      <c r="E18" s="113"/>
      <c r="F18" s="113"/>
      <c r="G18" s="108"/>
      <c r="I18" s="113"/>
      <c r="J18" s="108"/>
      <c r="L18" s="113"/>
      <c r="M18" s="108"/>
      <c r="O18" s="113"/>
      <c r="P18" s="108"/>
      <c r="R18" s="113"/>
      <c r="S18" s="108"/>
      <c r="U18" s="113"/>
      <c r="V18" s="108"/>
      <c r="X18" s="113"/>
      <c r="Y18" s="108"/>
      <c r="Z18" s="108"/>
      <c r="AA18" s="113"/>
      <c r="AB18" s="108"/>
      <c r="AC18" s="108"/>
      <c r="AD18" s="113"/>
      <c r="AE18" s="108"/>
      <c r="AG18" s="113"/>
      <c r="AH18" s="108"/>
    </row>
    <row r="19" spans="1:34" x14ac:dyDescent="0.2">
      <c r="A19" s="18">
        <f t="shared" si="0"/>
        <v>11</v>
      </c>
      <c r="B19" s="164" t="str">
        <f>'Exh CTM-8 (Res Bill Summary)'!Q22</f>
        <v xml:space="preserve">Schedule 95 Power Cost
</v>
      </c>
      <c r="C19" s="29">
        <f>'Exh CTM-8 (Res Bill Summary)'!R22</f>
        <v>7.8630000000000002E-3</v>
      </c>
      <c r="D19" s="108"/>
      <c r="E19" s="113"/>
      <c r="F19" s="29">
        <f t="shared" ref="F19:F43" si="1">+C19</f>
        <v>7.8630000000000002E-3</v>
      </c>
      <c r="G19" s="108"/>
      <c r="I19" s="29">
        <f>'Exh CTM-8 (Res Bill Summary)'!T22</f>
        <v>0</v>
      </c>
      <c r="J19" s="108"/>
      <c r="L19" s="29">
        <f t="shared" ref="L19:L24" si="2">+$C19</f>
        <v>7.8630000000000002E-3</v>
      </c>
      <c r="M19" s="108"/>
      <c r="O19" s="29">
        <f t="shared" ref="O19:O30" si="3">+$C19</f>
        <v>7.8630000000000002E-3</v>
      </c>
      <c r="P19" s="108"/>
      <c r="R19" s="29">
        <f t="shared" ref="R19:R34" si="4">+$C19</f>
        <v>7.8630000000000002E-3</v>
      </c>
      <c r="S19" s="108"/>
      <c r="U19" s="29">
        <f t="shared" ref="U19:U35" si="5">+$C19</f>
        <v>7.8630000000000002E-3</v>
      </c>
      <c r="V19" s="108"/>
      <c r="X19" s="29">
        <f t="shared" ref="X19:X31" si="6">+$C19</f>
        <v>7.8630000000000002E-3</v>
      </c>
      <c r="Y19" s="108"/>
      <c r="Z19" s="108"/>
      <c r="AA19" s="29">
        <f t="shared" ref="AA19:AA32" si="7">+$C19</f>
        <v>7.8630000000000002E-3</v>
      </c>
      <c r="AB19" s="108"/>
      <c r="AC19" s="108"/>
      <c r="AD19" s="29">
        <f t="shared" ref="AD19:AD37" si="8">+$C19</f>
        <v>7.8630000000000002E-3</v>
      </c>
      <c r="AE19" s="108"/>
      <c r="AG19" s="29">
        <f>+I19</f>
        <v>0</v>
      </c>
      <c r="AH19" s="108"/>
    </row>
    <row r="20" spans="1:34" x14ac:dyDescent="0.2">
      <c r="A20" s="18">
        <f t="shared" si="0"/>
        <v>12</v>
      </c>
      <c r="B20" s="164" t="str">
        <f>'Exh CTM-8 (Res Bill Summary)'!Q23</f>
        <v>Schedule 95 PCA Imbalance</v>
      </c>
      <c r="C20" s="29">
        <f>'Exh CTM-8 (Res Bill Summary)'!R23</f>
        <v>3.4810000000000002E-3</v>
      </c>
      <c r="D20" s="108"/>
      <c r="E20" s="113"/>
      <c r="F20" s="29">
        <f t="shared" si="1"/>
        <v>3.4810000000000002E-3</v>
      </c>
      <c r="G20" s="108"/>
      <c r="I20" s="29">
        <f t="shared" ref="I20:I43" si="9">+$C20</f>
        <v>3.4810000000000002E-3</v>
      </c>
      <c r="J20" s="108"/>
      <c r="L20" s="29">
        <f t="shared" si="2"/>
        <v>3.4810000000000002E-3</v>
      </c>
      <c r="M20" s="108"/>
      <c r="O20" s="29">
        <f t="shared" si="3"/>
        <v>3.4810000000000002E-3</v>
      </c>
      <c r="P20" s="108"/>
      <c r="R20" s="29">
        <f t="shared" si="4"/>
        <v>3.4810000000000002E-3</v>
      </c>
      <c r="S20" s="108"/>
      <c r="U20" s="29">
        <f t="shared" si="5"/>
        <v>3.4810000000000002E-3</v>
      </c>
      <c r="V20" s="108"/>
      <c r="X20" s="29">
        <f t="shared" si="6"/>
        <v>3.4810000000000002E-3</v>
      </c>
      <c r="Y20" s="108"/>
      <c r="Z20" s="108"/>
      <c r="AA20" s="29">
        <f t="shared" si="7"/>
        <v>3.4810000000000002E-3</v>
      </c>
      <c r="AB20" s="108"/>
      <c r="AC20" s="108"/>
      <c r="AD20" s="29">
        <f t="shared" si="8"/>
        <v>3.4810000000000002E-3</v>
      </c>
      <c r="AE20" s="108"/>
      <c r="AG20" s="29">
        <f>+C20</f>
        <v>3.4810000000000002E-3</v>
      </c>
      <c r="AH20" s="108"/>
    </row>
    <row r="21" spans="1:34" x14ac:dyDescent="0.2">
      <c r="A21" s="18">
        <f t="shared" si="0"/>
        <v>13</v>
      </c>
      <c r="B21" s="164" t="str">
        <f>'Exh CTM-8 (Res Bill Summary)'!Q24</f>
        <v>Schedule 95A Federal Incentive Credit</v>
      </c>
      <c r="C21" s="29">
        <f>'Exh CTM-8 (Res Bill Summary)'!R24</f>
        <v>0</v>
      </c>
      <c r="D21" s="108"/>
      <c r="E21" s="113"/>
      <c r="F21" s="29">
        <f t="shared" si="1"/>
        <v>0</v>
      </c>
      <c r="G21" s="108"/>
      <c r="I21" s="29">
        <f t="shared" si="9"/>
        <v>0</v>
      </c>
      <c r="J21" s="108"/>
      <c r="L21" s="29">
        <f t="shared" si="2"/>
        <v>0</v>
      </c>
      <c r="M21" s="108"/>
      <c r="O21" s="29">
        <f t="shared" si="3"/>
        <v>0</v>
      </c>
      <c r="P21" s="108"/>
      <c r="R21" s="29">
        <f t="shared" si="4"/>
        <v>0</v>
      </c>
      <c r="S21" s="108"/>
      <c r="U21" s="29">
        <f t="shared" si="5"/>
        <v>0</v>
      </c>
      <c r="V21" s="108"/>
      <c r="X21" s="29">
        <f t="shared" si="6"/>
        <v>0</v>
      </c>
      <c r="Y21" s="108"/>
      <c r="Z21" s="108"/>
      <c r="AA21" s="29">
        <f t="shared" si="7"/>
        <v>0</v>
      </c>
      <c r="AB21" s="108"/>
      <c r="AC21" s="108"/>
      <c r="AD21" s="29">
        <f t="shared" si="8"/>
        <v>0</v>
      </c>
      <c r="AE21" s="108"/>
      <c r="AG21" s="29">
        <f>+C21</f>
        <v>0</v>
      </c>
      <c r="AH21" s="108"/>
    </row>
    <row r="22" spans="1:34" x14ac:dyDescent="0.2">
      <c r="A22" s="18">
        <f t="shared" si="0"/>
        <v>14</v>
      </c>
      <c r="B22" s="164" t="str">
        <f>'Exh CTM-8 (Res Bill Summary)'!Q25</f>
        <v>Schedule 120 Conservation</v>
      </c>
      <c r="C22" s="29">
        <f>'Exh CTM-8 (Res Bill Summary)'!R25</f>
        <v>5.0439999999999999E-3</v>
      </c>
      <c r="D22" s="108"/>
      <c r="E22" s="113"/>
      <c r="F22" s="29">
        <f t="shared" si="1"/>
        <v>5.0439999999999999E-3</v>
      </c>
      <c r="G22" s="108"/>
      <c r="I22" s="29">
        <f t="shared" si="9"/>
        <v>5.0439999999999999E-3</v>
      </c>
      <c r="J22" s="108"/>
      <c r="L22" s="29">
        <f t="shared" si="2"/>
        <v>5.0439999999999999E-3</v>
      </c>
      <c r="M22" s="108"/>
      <c r="O22" s="29">
        <f t="shared" si="3"/>
        <v>5.0439999999999999E-3</v>
      </c>
      <c r="P22" s="108"/>
      <c r="R22" s="29">
        <f t="shared" si="4"/>
        <v>5.0439999999999999E-3</v>
      </c>
      <c r="S22" s="108"/>
      <c r="U22" s="29">
        <f t="shared" si="5"/>
        <v>5.0439999999999999E-3</v>
      </c>
      <c r="V22" s="108"/>
      <c r="X22" s="29">
        <f t="shared" si="6"/>
        <v>5.0439999999999999E-3</v>
      </c>
      <c r="Y22" s="108"/>
      <c r="Z22" s="108"/>
      <c r="AA22" s="29">
        <f t="shared" si="7"/>
        <v>5.0439999999999999E-3</v>
      </c>
      <c r="AB22" s="108"/>
      <c r="AC22" s="108"/>
      <c r="AD22" s="29">
        <f t="shared" si="8"/>
        <v>5.0439999999999999E-3</v>
      </c>
      <c r="AE22" s="108"/>
      <c r="AG22" s="29">
        <f>+C22</f>
        <v>5.0439999999999999E-3</v>
      </c>
      <c r="AH22" s="108"/>
    </row>
    <row r="23" spans="1:34" x14ac:dyDescent="0.2">
      <c r="A23" s="18">
        <f t="shared" si="0"/>
        <v>15</v>
      </c>
      <c r="B23" s="164" t="str">
        <f>'Exh CTM-8 (Res Bill Summary)'!Q26</f>
        <v>Schedule 129 Low Income</v>
      </c>
      <c r="C23" s="29">
        <f>'Exh CTM-8 (Res Bill Summary)'!R26</f>
        <v>1.428E-3</v>
      </c>
      <c r="D23" s="108"/>
      <c r="E23" s="113"/>
      <c r="F23" s="29">
        <f t="shared" si="1"/>
        <v>1.428E-3</v>
      </c>
      <c r="G23" s="108"/>
      <c r="I23" s="29">
        <f t="shared" si="9"/>
        <v>1.428E-3</v>
      </c>
      <c r="J23" s="108"/>
      <c r="L23" s="29">
        <f t="shared" si="2"/>
        <v>1.428E-3</v>
      </c>
      <c r="M23" s="108"/>
      <c r="O23" s="29">
        <f t="shared" si="3"/>
        <v>1.428E-3</v>
      </c>
      <c r="P23" s="108"/>
      <c r="R23" s="29">
        <f t="shared" si="4"/>
        <v>1.428E-3</v>
      </c>
      <c r="S23" s="108"/>
      <c r="U23" s="29">
        <f t="shared" si="5"/>
        <v>1.428E-3</v>
      </c>
      <c r="V23" s="108"/>
      <c r="X23" s="29">
        <f t="shared" si="6"/>
        <v>1.428E-3</v>
      </c>
      <c r="Y23" s="108"/>
      <c r="Z23" s="108"/>
      <c r="AA23" s="29">
        <f t="shared" si="7"/>
        <v>1.428E-3</v>
      </c>
      <c r="AB23" s="108"/>
      <c r="AC23" s="108"/>
      <c r="AD23" s="29">
        <f t="shared" si="8"/>
        <v>1.428E-3</v>
      </c>
      <c r="AE23" s="108"/>
      <c r="AG23" s="29">
        <f>+C23</f>
        <v>1.428E-3</v>
      </c>
      <c r="AH23" s="108"/>
    </row>
    <row r="24" spans="1:34" x14ac:dyDescent="0.2">
      <c r="A24" s="18">
        <f t="shared" si="0"/>
        <v>16</v>
      </c>
      <c r="B24" s="164" t="str">
        <f>'Exh CTM-8 (Res Bill Summary)'!Q27</f>
        <v>Schedule 129D Bill Discount</v>
      </c>
      <c r="C24" s="29">
        <f>'Exh CTM-8 (Res Bill Summary)'!R27</f>
        <v>6.0700000000000001E-4</v>
      </c>
      <c r="D24" s="108"/>
      <c r="E24" s="113"/>
      <c r="F24" s="29">
        <f t="shared" si="1"/>
        <v>6.0700000000000001E-4</v>
      </c>
      <c r="G24" s="108"/>
      <c r="I24" s="29">
        <f t="shared" si="9"/>
        <v>6.0700000000000001E-4</v>
      </c>
      <c r="J24" s="108"/>
      <c r="L24" s="29">
        <f t="shared" si="2"/>
        <v>6.0700000000000001E-4</v>
      </c>
      <c r="M24" s="108"/>
      <c r="O24" s="29">
        <f t="shared" si="3"/>
        <v>6.0700000000000001E-4</v>
      </c>
      <c r="P24" s="108"/>
      <c r="R24" s="29">
        <f t="shared" si="4"/>
        <v>6.0700000000000001E-4</v>
      </c>
      <c r="S24" s="108"/>
      <c r="U24" s="29">
        <f t="shared" si="5"/>
        <v>6.0700000000000001E-4</v>
      </c>
      <c r="V24" s="108"/>
      <c r="X24" s="29">
        <f t="shared" si="6"/>
        <v>6.0700000000000001E-4</v>
      </c>
      <c r="Y24" s="108"/>
      <c r="Z24" s="108"/>
      <c r="AA24" s="29">
        <f t="shared" si="7"/>
        <v>6.0700000000000001E-4</v>
      </c>
      <c r="AB24" s="108"/>
      <c r="AC24" s="108"/>
      <c r="AD24" s="29">
        <f t="shared" si="8"/>
        <v>6.0700000000000001E-4</v>
      </c>
      <c r="AE24" s="108"/>
      <c r="AG24" s="29">
        <f>+C24</f>
        <v>6.0700000000000001E-4</v>
      </c>
      <c r="AH24" s="108"/>
    </row>
    <row r="25" spans="1:34" x14ac:dyDescent="0.2">
      <c r="A25" s="18">
        <f t="shared" si="0"/>
        <v>17</v>
      </c>
      <c r="B25" s="164" t="str">
        <f>'Exh CTM-8 (Res Bill Summary)'!Q28</f>
        <v>Schedule 137 REC</v>
      </c>
      <c r="C25" s="29">
        <f>'Exh CTM-8 (Res Bill Summary)'!R28</f>
        <v>6.9999999999999999E-6</v>
      </c>
      <c r="D25" s="108"/>
      <c r="E25" s="113"/>
      <c r="F25" s="29">
        <f t="shared" si="1"/>
        <v>6.9999999999999999E-6</v>
      </c>
      <c r="G25" s="108"/>
      <c r="I25" s="29">
        <f t="shared" si="9"/>
        <v>6.9999999999999999E-6</v>
      </c>
      <c r="J25" s="108"/>
      <c r="L25" s="29">
        <f>'Exh CTM-8 (Res Bill Summary)'!T28</f>
        <v>0</v>
      </c>
      <c r="M25" s="108"/>
      <c r="O25" s="29">
        <f t="shared" si="3"/>
        <v>6.9999999999999999E-6</v>
      </c>
      <c r="P25" s="108"/>
      <c r="R25" s="29">
        <f t="shared" si="4"/>
        <v>6.9999999999999999E-6</v>
      </c>
      <c r="S25" s="108"/>
      <c r="U25" s="29">
        <f t="shared" si="5"/>
        <v>6.9999999999999999E-6</v>
      </c>
      <c r="V25" s="108"/>
      <c r="X25" s="29">
        <f t="shared" si="6"/>
        <v>6.9999999999999999E-6</v>
      </c>
      <c r="Y25" s="108"/>
      <c r="Z25" s="108"/>
      <c r="AA25" s="29">
        <f t="shared" si="7"/>
        <v>6.9999999999999999E-6</v>
      </c>
      <c r="AB25" s="108"/>
      <c r="AC25" s="108"/>
      <c r="AD25" s="29">
        <f t="shared" si="8"/>
        <v>6.9999999999999999E-6</v>
      </c>
      <c r="AE25" s="108"/>
      <c r="AG25" s="29">
        <f>L25</f>
        <v>0</v>
      </c>
      <c r="AH25" s="108"/>
    </row>
    <row r="26" spans="1:34" x14ac:dyDescent="0.2">
      <c r="A26" s="18">
        <f t="shared" si="0"/>
        <v>18</v>
      </c>
      <c r="B26" s="164" t="str">
        <f>'Exh CTM-8 (Res Bill Summary)'!Q29</f>
        <v>Schedule 139 Green Direct</v>
      </c>
      <c r="C26" s="29">
        <f>'Exh CTM-8 (Res Bill Summary)'!R29</f>
        <v>0</v>
      </c>
      <c r="D26" s="108"/>
      <c r="E26" s="113"/>
      <c r="F26" s="29">
        <f t="shared" si="1"/>
        <v>0</v>
      </c>
      <c r="G26" s="108"/>
      <c r="I26" s="29">
        <f t="shared" si="9"/>
        <v>0</v>
      </c>
      <c r="J26" s="108"/>
      <c r="L26" s="29">
        <f t="shared" ref="L26:L43" si="10">+$C26</f>
        <v>0</v>
      </c>
      <c r="M26" s="108"/>
      <c r="O26" s="29">
        <f t="shared" si="3"/>
        <v>0</v>
      </c>
      <c r="P26" s="108"/>
      <c r="R26" s="29">
        <f t="shared" si="4"/>
        <v>0</v>
      </c>
      <c r="S26" s="108"/>
      <c r="U26" s="29">
        <f t="shared" si="5"/>
        <v>0</v>
      </c>
      <c r="V26" s="108"/>
      <c r="X26" s="29">
        <f t="shared" si="6"/>
        <v>0</v>
      </c>
      <c r="Y26" s="108"/>
      <c r="Z26" s="108"/>
      <c r="AA26" s="29">
        <f t="shared" si="7"/>
        <v>0</v>
      </c>
      <c r="AB26" s="108"/>
      <c r="AC26" s="108"/>
      <c r="AD26" s="29">
        <f t="shared" si="8"/>
        <v>0</v>
      </c>
      <c r="AE26" s="108"/>
      <c r="AG26" s="29">
        <f>+C26</f>
        <v>0</v>
      </c>
      <c r="AH26" s="108"/>
    </row>
    <row r="27" spans="1:34" x14ac:dyDescent="0.2">
      <c r="A27" s="18">
        <f t="shared" si="0"/>
        <v>19</v>
      </c>
      <c r="B27" s="164" t="str">
        <f>'Exh CTM-8 (Res Bill Summary)'!Q30</f>
        <v xml:space="preserve">Schedule 139 Green Direct Supplemental </v>
      </c>
      <c r="C27" s="29">
        <f>'Exh CTM-8 (Res Bill Summary)'!R30</f>
        <v>0</v>
      </c>
      <c r="D27" s="108"/>
      <c r="E27" s="113"/>
      <c r="F27" s="29">
        <f t="shared" si="1"/>
        <v>0</v>
      </c>
      <c r="G27" s="108"/>
      <c r="I27" s="29">
        <f t="shared" si="9"/>
        <v>0</v>
      </c>
      <c r="J27" s="108"/>
      <c r="L27" s="29">
        <f t="shared" si="10"/>
        <v>0</v>
      </c>
      <c r="M27" s="108"/>
      <c r="O27" s="29">
        <f t="shared" si="3"/>
        <v>0</v>
      </c>
      <c r="P27" s="108"/>
      <c r="R27" s="29">
        <f t="shared" si="4"/>
        <v>0</v>
      </c>
      <c r="S27" s="108"/>
      <c r="U27" s="29">
        <f t="shared" si="5"/>
        <v>0</v>
      </c>
      <c r="V27" s="108"/>
      <c r="X27" s="29">
        <f t="shared" si="6"/>
        <v>0</v>
      </c>
      <c r="Y27" s="108"/>
      <c r="Z27" s="108"/>
      <c r="AA27" s="29">
        <f t="shared" si="7"/>
        <v>0</v>
      </c>
      <c r="AB27" s="108"/>
      <c r="AC27" s="108"/>
      <c r="AD27" s="29">
        <f t="shared" si="8"/>
        <v>0</v>
      </c>
      <c r="AE27" s="108"/>
      <c r="AG27" s="29">
        <f>+C27</f>
        <v>0</v>
      </c>
      <c r="AH27" s="108"/>
    </row>
    <row r="28" spans="1:34" x14ac:dyDescent="0.2">
      <c r="A28" s="18">
        <f t="shared" si="0"/>
        <v>20</v>
      </c>
      <c r="B28" s="164" t="str">
        <f>'Exh CTM-8 (Res Bill Summary)'!Q31</f>
        <v>Schedule 140 Property Tax</v>
      </c>
      <c r="C28" s="29">
        <f>'Exh CTM-8 (Res Bill Summary)'!R31</f>
        <v>2.6120000000000002E-3</v>
      </c>
      <c r="D28" s="108"/>
      <c r="E28" s="113"/>
      <c r="F28" s="29">
        <f t="shared" si="1"/>
        <v>2.6120000000000002E-3</v>
      </c>
      <c r="G28" s="108"/>
      <c r="I28" s="29">
        <f t="shared" si="9"/>
        <v>2.6120000000000002E-3</v>
      </c>
      <c r="J28" s="108"/>
      <c r="L28" s="29">
        <f t="shared" si="10"/>
        <v>2.6120000000000002E-3</v>
      </c>
      <c r="M28" s="108"/>
      <c r="O28" s="29">
        <f t="shared" si="3"/>
        <v>2.6120000000000002E-3</v>
      </c>
      <c r="P28" s="108"/>
      <c r="R28" s="29">
        <f t="shared" si="4"/>
        <v>2.6120000000000002E-3</v>
      </c>
      <c r="S28" s="108"/>
      <c r="U28" s="29">
        <f t="shared" si="5"/>
        <v>2.6120000000000002E-3</v>
      </c>
      <c r="V28" s="108"/>
      <c r="X28" s="29">
        <f t="shared" si="6"/>
        <v>2.6120000000000002E-3</v>
      </c>
      <c r="Y28" s="108"/>
      <c r="Z28" s="108"/>
      <c r="AA28" s="29">
        <f t="shared" si="7"/>
        <v>2.6120000000000002E-3</v>
      </c>
      <c r="AB28" s="108"/>
      <c r="AC28" s="108"/>
      <c r="AD28" s="29">
        <f t="shared" si="8"/>
        <v>2.6120000000000002E-3</v>
      </c>
      <c r="AE28" s="108"/>
      <c r="AG28" s="29">
        <f>+C28</f>
        <v>2.6120000000000002E-3</v>
      </c>
      <c r="AH28" s="108"/>
    </row>
    <row r="29" spans="1:34" x14ac:dyDescent="0.2">
      <c r="A29" s="18">
        <f t="shared" si="0"/>
        <v>21</v>
      </c>
      <c r="B29" s="164" t="str">
        <f>'Exh CTM-8 (Res Bill Summary)'!Q32</f>
        <v>Schedule 141 ERF</v>
      </c>
      <c r="C29" s="29">
        <f>'Exh CTM-8 (Res Bill Summary)'!R32</f>
        <v>0</v>
      </c>
      <c r="D29" s="108"/>
      <c r="E29" s="113"/>
      <c r="F29" s="29">
        <f t="shared" si="1"/>
        <v>0</v>
      </c>
      <c r="G29" s="108"/>
      <c r="I29" s="29">
        <f t="shared" si="9"/>
        <v>0</v>
      </c>
      <c r="J29" s="108"/>
      <c r="L29" s="29">
        <f t="shared" si="10"/>
        <v>0</v>
      </c>
      <c r="M29" s="108"/>
      <c r="O29" s="29">
        <f t="shared" si="3"/>
        <v>0</v>
      </c>
      <c r="P29" s="108"/>
      <c r="R29" s="29">
        <f t="shared" si="4"/>
        <v>0</v>
      </c>
      <c r="S29" s="108"/>
      <c r="U29" s="29">
        <f t="shared" si="5"/>
        <v>0</v>
      </c>
      <c r="V29" s="108"/>
      <c r="X29" s="29">
        <f t="shared" si="6"/>
        <v>0</v>
      </c>
      <c r="Y29" s="108"/>
      <c r="Z29" s="108"/>
      <c r="AA29" s="29">
        <f t="shared" si="7"/>
        <v>0</v>
      </c>
      <c r="AB29" s="108"/>
      <c r="AC29" s="108"/>
      <c r="AD29" s="29">
        <f t="shared" si="8"/>
        <v>0</v>
      </c>
      <c r="AE29" s="108"/>
      <c r="AG29" s="29">
        <f>+C29</f>
        <v>0</v>
      </c>
      <c r="AH29" s="108"/>
    </row>
    <row r="30" spans="1:34" x14ac:dyDescent="0.2">
      <c r="A30" s="18">
        <f t="shared" si="0"/>
        <v>22</v>
      </c>
      <c r="B30" s="164" t="str">
        <f>'Exh CTM-8 (Res Bill Summary)'!Q33</f>
        <v>Schedule 141A Energy Charge Credit</v>
      </c>
      <c r="C30" s="29">
        <f>'Exh CTM-8 (Res Bill Summary)'!R33</f>
        <v>1.7420000000000001E-3</v>
      </c>
      <c r="D30" s="108"/>
      <c r="E30" s="113"/>
      <c r="F30" s="29">
        <f t="shared" si="1"/>
        <v>1.7420000000000001E-3</v>
      </c>
      <c r="G30" s="108"/>
      <c r="I30" s="29">
        <f t="shared" si="9"/>
        <v>1.7420000000000001E-3</v>
      </c>
      <c r="J30" s="108"/>
      <c r="L30" s="29">
        <f t="shared" si="10"/>
        <v>1.7420000000000001E-3</v>
      </c>
      <c r="M30" s="108"/>
      <c r="O30" s="29">
        <f t="shared" si="3"/>
        <v>1.7420000000000001E-3</v>
      </c>
      <c r="P30" s="108"/>
      <c r="R30" s="29">
        <f t="shared" si="4"/>
        <v>1.7420000000000001E-3</v>
      </c>
      <c r="S30" s="108"/>
      <c r="U30" s="29">
        <f t="shared" si="5"/>
        <v>1.7420000000000001E-3</v>
      </c>
      <c r="V30" s="108"/>
      <c r="X30" s="29">
        <f t="shared" si="6"/>
        <v>1.7420000000000001E-3</v>
      </c>
      <c r="Y30" s="108"/>
      <c r="Z30" s="108"/>
      <c r="AA30" s="29">
        <f t="shared" si="7"/>
        <v>1.7420000000000001E-3</v>
      </c>
      <c r="AB30" s="108"/>
      <c r="AC30" s="108"/>
      <c r="AD30" s="29">
        <f t="shared" si="8"/>
        <v>1.7420000000000001E-3</v>
      </c>
      <c r="AE30" s="108"/>
      <c r="AG30" s="29">
        <f>+C30</f>
        <v>1.7420000000000001E-3</v>
      </c>
      <c r="AH30" s="108"/>
    </row>
    <row r="31" spans="1:34" x14ac:dyDescent="0.2">
      <c r="A31" s="18">
        <f t="shared" si="0"/>
        <v>23</v>
      </c>
      <c r="B31" s="164" t="str">
        <f>'Exh CTM-8 (Res Bill Summary)'!Q34</f>
        <v>Schedule 141CEI Clean Energy Implementation Plan</v>
      </c>
      <c r="C31" s="29">
        <f>'Exh CTM-8 (Res Bill Summary)'!R34</f>
        <v>1.25E-3</v>
      </c>
      <c r="D31" s="108"/>
      <c r="E31" s="113"/>
      <c r="F31" s="29">
        <f t="shared" si="1"/>
        <v>1.25E-3</v>
      </c>
      <c r="G31" s="108"/>
      <c r="I31" s="29">
        <f t="shared" si="9"/>
        <v>1.25E-3</v>
      </c>
      <c r="J31" s="108"/>
      <c r="L31" s="29">
        <f t="shared" si="10"/>
        <v>1.25E-3</v>
      </c>
      <c r="M31" s="108"/>
      <c r="O31" s="29">
        <f>'Exh CTM-8 (Res Bill Summary)'!T34</f>
        <v>0</v>
      </c>
      <c r="P31" s="108"/>
      <c r="R31" s="29">
        <f t="shared" si="4"/>
        <v>1.25E-3</v>
      </c>
      <c r="S31" s="108"/>
      <c r="U31" s="29">
        <f t="shared" si="5"/>
        <v>1.25E-3</v>
      </c>
      <c r="V31" s="108"/>
      <c r="X31" s="29">
        <f t="shared" si="6"/>
        <v>1.25E-3</v>
      </c>
      <c r="Y31" s="108"/>
      <c r="Z31" s="108"/>
      <c r="AA31" s="29">
        <f t="shared" si="7"/>
        <v>1.25E-3</v>
      </c>
      <c r="AB31" s="108"/>
      <c r="AC31" s="108"/>
      <c r="AD31" s="29">
        <f t="shared" si="8"/>
        <v>1.25E-3</v>
      </c>
      <c r="AE31" s="108"/>
      <c r="AG31" s="29">
        <f>O31</f>
        <v>0</v>
      </c>
      <c r="AH31" s="108"/>
    </row>
    <row r="32" spans="1:34" x14ac:dyDescent="0.2">
      <c r="A32" s="18">
        <f t="shared" si="0"/>
        <v>24</v>
      </c>
      <c r="B32" s="164" t="str">
        <f>'Exh CTM-8 (Res Bill Summary)'!Q35</f>
        <v>Schedule 141CGR Clean Generation Resources</v>
      </c>
      <c r="C32" s="29">
        <f>'Exh CTM-8 (Res Bill Summary)'!R35</f>
        <v>0</v>
      </c>
      <c r="D32" s="108"/>
      <c r="E32" s="113"/>
      <c r="F32" s="29">
        <f t="shared" si="1"/>
        <v>0</v>
      </c>
      <c r="G32" s="108"/>
      <c r="I32" s="29">
        <f t="shared" si="9"/>
        <v>0</v>
      </c>
      <c r="J32" s="108"/>
      <c r="L32" s="29">
        <f t="shared" si="10"/>
        <v>0</v>
      </c>
      <c r="M32" s="108"/>
      <c r="O32" s="29">
        <f t="shared" ref="O32:O43" si="11">+$C32</f>
        <v>0</v>
      </c>
      <c r="P32" s="108"/>
      <c r="R32" s="29">
        <f t="shared" si="4"/>
        <v>0</v>
      </c>
      <c r="S32" s="108"/>
      <c r="U32" s="29">
        <f t="shared" si="5"/>
        <v>0</v>
      </c>
      <c r="V32" s="108"/>
      <c r="X32" s="29">
        <f>'Exh CTM-8 (Res Bill Summary)'!T35</f>
        <v>3.6546388924765497E-3</v>
      </c>
      <c r="Y32" s="108"/>
      <c r="Z32" s="108"/>
      <c r="AA32" s="29">
        <f t="shared" si="7"/>
        <v>0</v>
      </c>
      <c r="AB32" s="108"/>
      <c r="AC32" s="108"/>
      <c r="AD32" s="29">
        <f t="shared" si="8"/>
        <v>0</v>
      </c>
      <c r="AE32" s="108"/>
      <c r="AG32" s="29">
        <f>X32</f>
        <v>3.6546388924765497E-3</v>
      </c>
      <c r="AH32" s="108"/>
    </row>
    <row r="33" spans="1:34" x14ac:dyDescent="0.2">
      <c r="A33" s="18">
        <f t="shared" si="0"/>
        <v>25</v>
      </c>
      <c r="B33" s="164" t="str">
        <f>'Exh CTM-8 (Res Bill Summary)'!Q36</f>
        <v>Schedule 141DCARB Decarbonization</v>
      </c>
      <c r="C33" s="29">
        <f>'Exh CTM-8 (Res Bill Summary)'!R36</f>
        <v>0</v>
      </c>
      <c r="D33" s="108"/>
      <c r="E33" s="113"/>
      <c r="F33" s="29">
        <f t="shared" si="1"/>
        <v>0</v>
      </c>
      <c r="G33" s="108"/>
      <c r="I33" s="29">
        <f t="shared" si="9"/>
        <v>0</v>
      </c>
      <c r="J33" s="108"/>
      <c r="L33" s="29">
        <f t="shared" si="10"/>
        <v>0</v>
      </c>
      <c r="M33" s="108"/>
      <c r="O33" s="29">
        <f t="shared" si="11"/>
        <v>0</v>
      </c>
      <c r="P33" s="108"/>
      <c r="R33" s="29">
        <f t="shared" si="4"/>
        <v>0</v>
      </c>
      <c r="S33" s="108"/>
      <c r="U33" s="29">
        <f t="shared" si="5"/>
        <v>0</v>
      </c>
      <c r="V33" s="108"/>
      <c r="X33" s="29">
        <f t="shared" ref="X33:X43" si="12">+$C33</f>
        <v>0</v>
      </c>
      <c r="Y33" s="108"/>
      <c r="Z33" s="108"/>
      <c r="AA33" s="29">
        <f>'Exh CTM-8 (Res Bill Summary)'!T36</f>
        <v>5.8928686002258457E-4</v>
      </c>
      <c r="AB33" s="108"/>
      <c r="AC33" s="108"/>
      <c r="AD33" s="29">
        <f t="shared" si="8"/>
        <v>0</v>
      </c>
      <c r="AE33" s="108"/>
      <c r="AG33" s="29">
        <f>AA33</f>
        <v>5.8928686002258457E-4</v>
      </c>
      <c r="AH33" s="108"/>
    </row>
    <row r="34" spans="1:34" x14ac:dyDescent="0.2">
      <c r="A34" s="18">
        <f t="shared" si="0"/>
        <v>26</v>
      </c>
      <c r="B34" s="164" t="str">
        <f>'Exh CTM-8 (Res Bill Summary)'!Q37</f>
        <v>Schedule 141COL Colstrip Adjustment</v>
      </c>
      <c r="C34" s="29">
        <f>'Exh CTM-8 (Res Bill Summary)'!R37</f>
        <v>2.7260000000000001E-3</v>
      </c>
      <c r="D34" s="108"/>
      <c r="E34" s="113"/>
      <c r="F34" s="29">
        <f t="shared" si="1"/>
        <v>2.7260000000000001E-3</v>
      </c>
      <c r="G34" s="108"/>
      <c r="I34" s="29">
        <f t="shared" si="9"/>
        <v>2.7260000000000001E-3</v>
      </c>
      <c r="J34" s="108"/>
      <c r="L34" s="29">
        <f t="shared" si="10"/>
        <v>2.7260000000000001E-3</v>
      </c>
      <c r="M34" s="108"/>
      <c r="O34" s="29">
        <f t="shared" si="11"/>
        <v>2.7260000000000001E-3</v>
      </c>
      <c r="P34" s="108"/>
      <c r="R34" s="29">
        <f t="shared" si="4"/>
        <v>2.7260000000000001E-3</v>
      </c>
      <c r="S34" s="108"/>
      <c r="U34" s="29">
        <f t="shared" si="5"/>
        <v>2.7260000000000001E-3</v>
      </c>
      <c r="V34" s="108"/>
      <c r="X34" s="29">
        <f t="shared" si="12"/>
        <v>2.7260000000000001E-3</v>
      </c>
      <c r="Y34" s="108"/>
      <c r="Z34" s="108"/>
      <c r="AA34" s="29">
        <f t="shared" ref="AA34:AA43" si="13">+$C34</f>
        <v>2.7260000000000001E-3</v>
      </c>
      <c r="AB34" s="108"/>
      <c r="AC34" s="108"/>
      <c r="AD34" s="29">
        <f t="shared" si="8"/>
        <v>2.7260000000000001E-3</v>
      </c>
      <c r="AE34" s="108"/>
      <c r="AG34" s="29">
        <f>+C34</f>
        <v>2.7260000000000001E-3</v>
      </c>
      <c r="AH34" s="108"/>
    </row>
    <row r="35" spans="1:34" x14ac:dyDescent="0.2">
      <c r="A35" s="18">
        <f t="shared" si="0"/>
        <v>27</v>
      </c>
      <c r="B35" s="164" t="str">
        <f>'Exh CTM-8 (Res Bill Summary)'!Q38</f>
        <v>Schedule 141N Rates Not Subject to Refund</v>
      </c>
      <c r="C35" s="29">
        <f>'Exh CTM-8 (Res Bill Summary)'!R38</f>
        <v>8.5280000000000009E-3</v>
      </c>
      <c r="D35" s="108"/>
      <c r="E35" s="113"/>
      <c r="F35" s="29">
        <f t="shared" si="1"/>
        <v>8.5280000000000009E-3</v>
      </c>
      <c r="G35" s="108"/>
      <c r="I35" s="29">
        <f t="shared" si="9"/>
        <v>8.5280000000000009E-3</v>
      </c>
      <c r="J35" s="108"/>
      <c r="L35" s="29">
        <f t="shared" si="10"/>
        <v>8.5280000000000009E-3</v>
      </c>
      <c r="M35" s="108"/>
      <c r="O35" s="29">
        <f t="shared" si="11"/>
        <v>8.5280000000000009E-3</v>
      </c>
      <c r="P35" s="108"/>
      <c r="R35" s="29">
        <f>'Exh CTM-8 (Res Bill Summary)'!T38</f>
        <v>0</v>
      </c>
      <c r="S35" s="108"/>
      <c r="U35" s="29">
        <f t="shared" si="5"/>
        <v>8.5280000000000009E-3</v>
      </c>
      <c r="V35" s="108"/>
      <c r="X35" s="29">
        <f t="shared" si="12"/>
        <v>8.5280000000000009E-3</v>
      </c>
      <c r="Y35" s="108"/>
      <c r="Z35" s="108"/>
      <c r="AA35" s="29">
        <f t="shared" si="13"/>
        <v>8.5280000000000009E-3</v>
      </c>
      <c r="AB35" s="108"/>
      <c r="AC35" s="108"/>
      <c r="AD35" s="29">
        <f t="shared" si="8"/>
        <v>8.5280000000000009E-3</v>
      </c>
      <c r="AE35" s="108"/>
      <c r="AG35" s="29">
        <f>R35</f>
        <v>0</v>
      </c>
      <c r="AH35" s="108"/>
    </row>
    <row r="36" spans="1:34" x14ac:dyDescent="0.2">
      <c r="A36" s="18">
        <f t="shared" si="0"/>
        <v>28</v>
      </c>
      <c r="B36" s="164" t="str">
        <f>'Exh CTM-8 (Res Bill Summary)'!Q39</f>
        <v>Schedule 141R Rates Subject to Refund</v>
      </c>
      <c r="C36" s="29">
        <f>'Exh CTM-8 (Res Bill Summary)'!R39</f>
        <v>8.1049999999999994E-3</v>
      </c>
      <c r="D36" s="108"/>
      <c r="E36" s="113"/>
      <c r="F36" s="29">
        <f t="shared" si="1"/>
        <v>8.1049999999999994E-3</v>
      </c>
      <c r="G36" s="108"/>
      <c r="I36" s="29">
        <f t="shared" si="9"/>
        <v>8.1049999999999994E-3</v>
      </c>
      <c r="J36" s="108"/>
      <c r="L36" s="29">
        <f t="shared" si="10"/>
        <v>8.1049999999999994E-3</v>
      </c>
      <c r="M36" s="108"/>
      <c r="O36" s="29">
        <f t="shared" si="11"/>
        <v>8.1049999999999994E-3</v>
      </c>
      <c r="P36" s="108"/>
      <c r="R36" s="29">
        <f t="shared" ref="R36:R43" si="14">+$C36</f>
        <v>8.1049999999999994E-3</v>
      </c>
      <c r="S36" s="108"/>
      <c r="U36" s="29">
        <f>'Exh CTM-8 (Res Bill Summary)'!T39</f>
        <v>0</v>
      </c>
      <c r="V36" s="108"/>
      <c r="X36" s="29">
        <f t="shared" si="12"/>
        <v>8.1049999999999994E-3</v>
      </c>
      <c r="Y36" s="108"/>
      <c r="Z36" s="108"/>
      <c r="AA36" s="29">
        <f t="shared" si="13"/>
        <v>8.1049999999999994E-3</v>
      </c>
      <c r="AB36" s="108"/>
      <c r="AC36" s="108"/>
      <c r="AD36" s="29">
        <f t="shared" si="8"/>
        <v>8.1049999999999994E-3</v>
      </c>
      <c r="AE36" s="108"/>
      <c r="AG36" s="29">
        <f>U36</f>
        <v>0</v>
      </c>
      <c r="AH36" s="108"/>
    </row>
    <row r="37" spans="1:34" x14ac:dyDescent="0.2">
      <c r="A37" s="18">
        <f t="shared" si="0"/>
        <v>29</v>
      </c>
      <c r="B37" s="164" t="str">
        <f>'Exh CTM-8 (Res Bill Summary)'!Q40</f>
        <v>Schedule 141 TEP</v>
      </c>
      <c r="C37" s="29">
        <f>'Exh CTM-8 (Res Bill Summary)'!R40</f>
        <v>3.19E-4</v>
      </c>
      <c r="D37" s="108"/>
      <c r="E37" s="113"/>
      <c r="F37" s="29">
        <f t="shared" si="1"/>
        <v>3.19E-4</v>
      </c>
      <c r="G37" s="108"/>
      <c r="I37" s="29">
        <f t="shared" si="9"/>
        <v>3.19E-4</v>
      </c>
      <c r="J37" s="108"/>
      <c r="L37" s="29">
        <f t="shared" si="10"/>
        <v>3.19E-4</v>
      </c>
      <c r="M37" s="108"/>
      <c r="O37" s="29">
        <f t="shared" si="11"/>
        <v>3.19E-4</v>
      </c>
      <c r="P37" s="108"/>
      <c r="R37" s="29">
        <f t="shared" si="14"/>
        <v>3.19E-4</v>
      </c>
      <c r="S37" s="108"/>
      <c r="U37" s="29">
        <f t="shared" ref="U37:U43" si="15">+$C37</f>
        <v>3.19E-4</v>
      </c>
      <c r="V37" s="108"/>
      <c r="X37" s="29">
        <f t="shared" si="12"/>
        <v>3.19E-4</v>
      </c>
      <c r="Y37" s="108"/>
      <c r="Z37" s="108"/>
      <c r="AA37" s="29">
        <f t="shared" si="13"/>
        <v>3.19E-4</v>
      </c>
      <c r="AB37" s="108"/>
      <c r="AC37" s="108"/>
      <c r="AD37" s="29">
        <f t="shared" si="8"/>
        <v>3.19E-4</v>
      </c>
      <c r="AE37" s="108"/>
      <c r="AG37" s="29">
        <f>+C37</f>
        <v>3.19E-4</v>
      </c>
      <c r="AH37" s="108"/>
    </row>
    <row r="38" spans="1:34" x14ac:dyDescent="0.2">
      <c r="A38" s="18">
        <f t="shared" si="0"/>
        <v>30</v>
      </c>
      <c r="B38" s="164" t="str">
        <f>'Exh CTM-8 (Res Bill Summary)'!Q41</f>
        <v>Schedule 141WFP Wildfire Prevention Cost Recovery</v>
      </c>
      <c r="C38" s="29">
        <f>'Exh CTM-8 (Res Bill Summary)'!R41</f>
        <v>0</v>
      </c>
      <c r="D38" s="108"/>
      <c r="E38" s="113"/>
      <c r="F38" s="29">
        <f t="shared" si="1"/>
        <v>0</v>
      </c>
      <c r="G38" s="108"/>
      <c r="I38" s="29">
        <f t="shared" si="9"/>
        <v>0</v>
      </c>
      <c r="J38" s="108"/>
      <c r="L38" s="29">
        <f t="shared" si="10"/>
        <v>0</v>
      </c>
      <c r="M38" s="108"/>
      <c r="O38" s="29">
        <f t="shared" si="11"/>
        <v>0</v>
      </c>
      <c r="P38" s="108"/>
      <c r="R38" s="29">
        <f t="shared" si="14"/>
        <v>0</v>
      </c>
      <c r="S38" s="108"/>
      <c r="U38" s="29">
        <f t="shared" si="15"/>
        <v>0</v>
      </c>
      <c r="V38" s="108"/>
      <c r="X38" s="29">
        <f t="shared" si="12"/>
        <v>0</v>
      </c>
      <c r="Y38" s="108"/>
      <c r="Z38" s="108"/>
      <c r="AA38" s="29">
        <f t="shared" si="13"/>
        <v>0</v>
      </c>
      <c r="AB38" s="108"/>
      <c r="AC38" s="108"/>
      <c r="AD38" s="29">
        <f>'Exh CTM-8 (Res Bill Summary)'!T41</f>
        <v>1.4121617168578967E-3</v>
      </c>
      <c r="AE38" s="108"/>
      <c r="AG38" s="29">
        <f>AD38</f>
        <v>1.4121617168578967E-3</v>
      </c>
      <c r="AH38" s="108"/>
    </row>
    <row r="39" spans="1:34" x14ac:dyDescent="0.2">
      <c r="A39" s="18">
        <f t="shared" si="0"/>
        <v>31</v>
      </c>
      <c r="B39" s="164" t="str">
        <f>'Exh CTM-8 (Res Bill Summary)'!Q42</f>
        <v>Schedule 141X (Protected) EDIT</v>
      </c>
      <c r="C39" s="29">
        <f>'Exh CTM-8 (Res Bill Summary)'!R42</f>
        <v>0</v>
      </c>
      <c r="D39" s="108"/>
      <c r="E39" s="113"/>
      <c r="F39" s="29">
        <f t="shared" si="1"/>
        <v>0</v>
      </c>
      <c r="G39" s="108"/>
      <c r="I39" s="29">
        <f t="shared" si="9"/>
        <v>0</v>
      </c>
      <c r="J39" s="108"/>
      <c r="L39" s="29">
        <f t="shared" si="10"/>
        <v>0</v>
      </c>
      <c r="M39" s="108"/>
      <c r="O39" s="29">
        <f t="shared" si="11"/>
        <v>0</v>
      </c>
      <c r="P39" s="108"/>
      <c r="R39" s="29">
        <f t="shared" si="14"/>
        <v>0</v>
      </c>
      <c r="S39" s="108"/>
      <c r="U39" s="29">
        <f t="shared" si="15"/>
        <v>0</v>
      </c>
      <c r="V39" s="108"/>
      <c r="X39" s="29">
        <f t="shared" si="12"/>
        <v>0</v>
      </c>
      <c r="Y39" s="108"/>
      <c r="Z39" s="108"/>
      <c r="AA39" s="29">
        <f t="shared" si="13"/>
        <v>0</v>
      </c>
      <c r="AB39" s="108"/>
      <c r="AC39" s="108"/>
      <c r="AD39" s="29">
        <f>+$C39</f>
        <v>0</v>
      </c>
      <c r="AE39" s="108"/>
      <c r="AG39" s="29">
        <f>+C39</f>
        <v>0</v>
      </c>
      <c r="AH39" s="108"/>
    </row>
    <row r="40" spans="1:34" x14ac:dyDescent="0.2">
      <c r="A40" s="18">
        <f t="shared" si="0"/>
        <v>32</v>
      </c>
      <c r="B40" s="164" t="str">
        <f>'Exh CTM-8 (Res Bill Summary)'!Q43</f>
        <v>Schedule 141Z (Unprotected) EDIT</v>
      </c>
      <c r="C40" s="29">
        <f>'Exh CTM-8 (Res Bill Summary)'!R43</f>
        <v>0</v>
      </c>
      <c r="D40" s="108"/>
      <c r="E40" s="113"/>
      <c r="F40" s="29">
        <f t="shared" si="1"/>
        <v>0</v>
      </c>
      <c r="G40" s="108"/>
      <c r="I40" s="29">
        <f t="shared" si="9"/>
        <v>0</v>
      </c>
      <c r="J40" s="108"/>
      <c r="L40" s="29">
        <f t="shared" si="10"/>
        <v>0</v>
      </c>
      <c r="M40" s="108"/>
      <c r="O40" s="29">
        <f t="shared" si="11"/>
        <v>0</v>
      </c>
      <c r="P40" s="108"/>
      <c r="R40" s="29">
        <f t="shared" si="14"/>
        <v>0</v>
      </c>
      <c r="S40" s="108"/>
      <c r="U40" s="29">
        <f t="shared" si="15"/>
        <v>0</v>
      </c>
      <c r="V40" s="108"/>
      <c r="X40" s="29">
        <f t="shared" si="12"/>
        <v>0</v>
      </c>
      <c r="Y40" s="108"/>
      <c r="Z40" s="108"/>
      <c r="AA40" s="29">
        <f t="shared" si="13"/>
        <v>0</v>
      </c>
      <c r="AB40" s="108"/>
      <c r="AC40" s="108"/>
      <c r="AD40" s="29">
        <f>+$C40</f>
        <v>0</v>
      </c>
      <c r="AE40" s="108"/>
      <c r="AG40" s="29">
        <f>+C40</f>
        <v>0</v>
      </c>
      <c r="AH40" s="108"/>
    </row>
    <row r="41" spans="1:34" x14ac:dyDescent="0.2">
      <c r="A41" s="18">
        <f t="shared" si="0"/>
        <v>33</v>
      </c>
      <c r="B41" s="164" t="str">
        <f>'Exh CTM-8 (Res Bill Summary)'!Q44</f>
        <v>Schedule 142  Deocupling Deferral</v>
      </c>
      <c r="C41" s="29">
        <f>'Exh CTM-8 (Res Bill Summary)'!R44</f>
        <v>-3.4759999999999999E-3</v>
      </c>
      <c r="D41" s="108"/>
      <c r="F41" s="29">
        <f t="shared" si="1"/>
        <v>-3.4759999999999999E-3</v>
      </c>
      <c r="G41" s="108"/>
      <c r="I41" s="29">
        <f t="shared" si="9"/>
        <v>-3.4759999999999999E-3</v>
      </c>
      <c r="L41" s="29">
        <f t="shared" si="10"/>
        <v>-3.4759999999999999E-3</v>
      </c>
      <c r="O41" s="29">
        <f t="shared" si="11"/>
        <v>-3.4759999999999999E-3</v>
      </c>
      <c r="R41" s="29">
        <f t="shared" si="14"/>
        <v>-3.4759999999999999E-3</v>
      </c>
      <c r="U41" s="29">
        <f t="shared" si="15"/>
        <v>-3.4759999999999999E-3</v>
      </c>
      <c r="X41" s="29">
        <f t="shared" si="12"/>
        <v>-3.4759999999999999E-3</v>
      </c>
      <c r="AA41" s="29">
        <f t="shared" si="13"/>
        <v>-3.4759999999999999E-3</v>
      </c>
      <c r="AD41" s="29">
        <f>+$C41</f>
        <v>-3.4759999999999999E-3</v>
      </c>
      <c r="AG41" s="29">
        <f>+C41</f>
        <v>-3.4759999999999999E-3</v>
      </c>
    </row>
    <row r="42" spans="1:34" x14ac:dyDescent="0.2">
      <c r="A42" s="18">
        <f t="shared" si="0"/>
        <v>34</v>
      </c>
      <c r="B42" s="164" t="str">
        <f>'Exh CTM-8 (Res Bill Summary)'!Q45</f>
        <v>Schedule 142 Deocupling Supplemental</v>
      </c>
      <c r="C42" s="29">
        <f>'Exh CTM-8 (Res Bill Summary)'!R45</f>
        <v>0</v>
      </c>
      <c r="D42" s="108"/>
      <c r="E42" s="113"/>
      <c r="F42" s="29">
        <f t="shared" si="1"/>
        <v>0</v>
      </c>
      <c r="G42" s="108"/>
      <c r="I42" s="29">
        <f t="shared" si="9"/>
        <v>0</v>
      </c>
      <c r="J42" s="108"/>
      <c r="L42" s="29">
        <f t="shared" si="10"/>
        <v>0</v>
      </c>
      <c r="M42" s="108"/>
      <c r="O42" s="29">
        <f t="shared" si="11"/>
        <v>0</v>
      </c>
      <c r="P42" s="108"/>
      <c r="R42" s="29">
        <f t="shared" si="14"/>
        <v>0</v>
      </c>
      <c r="S42" s="108"/>
      <c r="U42" s="29">
        <f t="shared" si="15"/>
        <v>0</v>
      </c>
      <c r="V42" s="108"/>
      <c r="X42" s="29">
        <f t="shared" si="12"/>
        <v>0</v>
      </c>
      <c r="Y42" s="108"/>
      <c r="Z42" s="108"/>
      <c r="AA42" s="29">
        <f t="shared" si="13"/>
        <v>0</v>
      </c>
      <c r="AB42" s="108"/>
      <c r="AC42" s="108"/>
      <c r="AD42" s="29">
        <f>+$C42</f>
        <v>0</v>
      </c>
      <c r="AE42" s="108"/>
      <c r="AG42" s="29">
        <f>+C42</f>
        <v>0</v>
      </c>
      <c r="AH42" s="108"/>
    </row>
    <row r="43" spans="1:34" x14ac:dyDescent="0.2">
      <c r="A43" s="18">
        <f t="shared" si="0"/>
        <v>35</v>
      </c>
      <c r="B43" s="164" t="str">
        <f>'Exh CTM-8 (Res Bill Summary)'!Q46</f>
        <v>Schedule 194 BPA Res &amp; Farm Credit</v>
      </c>
      <c r="C43" s="29">
        <f>'Exh CTM-8 (Res Bill Summary)'!R46</f>
        <v>-7.5339999999999999E-3</v>
      </c>
      <c r="D43" s="108"/>
      <c r="E43" s="113"/>
      <c r="F43" s="29">
        <f t="shared" si="1"/>
        <v>-7.5339999999999999E-3</v>
      </c>
      <c r="G43" s="108"/>
      <c r="I43" s="29">
        <f t="shared" si="9"/>
        <v>-7.5339999999999999E-3</v>
      </c>
      <c r="J43" s="108"/>
      <c r="L43" s="29">
        <f t="shared" si="10"/>
        <v>-7.5339999999999999E-3</v>
      </c>
      <c r="M43" s="108"/>
      <c r="O43" s="29">
        <f t="shared" si="11"/>
        <v>-7.5339999999999999E-3</v>
      </c>
      <c r="P43" s="108"/>
      <c r="R43" s="29">
        <f t="shared" si="14"/>
        <v>-7.5339999999999999E-3</v>
      </c>
      <c r="S43" s="108"/>
      <c r="U43" s="29">
        <f t="shared" si="15"/>
        <v>-7.5339999999999999E-3</v>
      </c>
      <c r="V43" s="108"/>
      <c r="X43" s="29">
        <f t="shared" si="12"/>
        <v>-7.5339999999999999E-3</v>
      </c>
      <c r="Y43" s="108"/>
      <c r="Z43" s="108"/>
      <c r="AA43" s="29">
        <f t="shared" si="13"/>
        <v>-7.5339999999999999E-3</v>
      </c>
      <c r="AB43" s="108"/>
      <c r="AC43" s="108"/>
      <c r="AD43" s="29">
        <f>+$C43</f>
        <v>-7.5339999999999999E-3</v>
      </c>
      <c r="AE43" s="108"/>
      <c r="AG43" s="29">
        <f>+C43</f>
        <v>-7.5339999999999999E-3</v>
      </c>
      <c r="AH43" s="108"/>
    </row>
    <row r="44" spans="1:34" x14ac:dyDescent="0.2">
      <c r="A44" s="18">
        <f t="shared" si="0"/>
        <v>36</v>
      </c>
      <c r="B44" s="30"/>
      <c r="C44" s="29"/>
      <c r="D44" s="108"/>
      <c r="E44" s="113"/>
      <c r="F44" s="29"/>
      <c r="G44" s="108"/>
      <c r="I44" s="29"/>
      <c r="J44" s="108"/>
      <c r="L44" s="29"/>
      <c r="M44" s="108"/>
      <c r="O44" s="29"/>
      <c r="P44" s="108"/>
      <c r="R44" s="29"/>
      <c r="S44" s="108"/>
      <c r="U44" s="29"/>
      <c r="V44" s="108"/>
      <c r="X44" s="29"/>
      <c r="Y44" s="108"/>
      <c r="Z44" s="108"/>
      <c r="AA44" s="29"/>
      <c r="AB44" s="108"/>
      <c r="AC44" s="108"/>
      <c r="AD44" s="29"/>
      <c r="AE44" s="108"/>
      <c r="AG44" s="29"/>
      <c r="AH44" s="108"/>
    </row>
    <row r="45" spans="1:34" x14ac:dyDescent="0.2">
      <c r="A45" s="18">
        <f t="shared" si="0"/>
        <v>37</v>
      </c>
      <c r="B45" s="114" t="s">
        <v>139</v>
      </c>
      <c r="C45" s="29">
        <f>SUM(C16,C19:C43)</f>
        <v>0.12213900000000001</v>
      </c>
      <c r="D45" s="108">
        <f>ROUND(IF(C9&lt;600,C9*C45,600*C45),2)</f>
        <v>73.28</v>
      </c>
      <c r="E45" s="113"/>
      <c r="F45" s="29">
        <f>SUM(F16,F19:F43)</f>
        <v>0.14921800000000002</v>
      </c>
      <c r="G45" s="108">
        <f>ROUND(IF(F9&lt;600,F9*F45,600*F45),2)</f>
        <v>89.53</v>
      </c>
      <c r="I45" s="29">
        <f>SUM(I16,I19:I43)</f>
        <v>0.114276</v>
      </c>
      <c r="J45" s="108">
        <f>ROUND(IF(I9&lt;600,I9*I45,600*I45),2)</f>
        <v>68.569999999999993</v>
      </c>
      <c r="L45" s="29">
        <f>SUM(L16,L19:L43)</f>
        <v>0.122132</v>
      </c>
      <c r="M45" s="108">
        <f>ROUND(IF(L9&lt;600,L9*L45,600*L45),2)</f>
        <v>73.28</v>
      </c>
      <c r="O45" s="29">
        <f>SUM(O16,O19:O43)</f>
        <v>0.12088900000000001</v>
      </c>
      <c r="P45" s="108">
        <f>ROUND(IF(O9&lt;600,O9*O45,600*O45),2)</f>
        <v>72.53</v>
      </c>
      <c r="R45" s="29">
        <f>SUM(R16,R19:R43)</f>
        <v>0.113611</v>
      </c>
      <c r="S45" s="108">
        <f>ROUND(IF(R9&lt;600,R9*R45,600*R45),2)</f>
        <v>68.17</v>
      </c>
      <c r="U45" s="29">
        <f>SUM(U16,U19:U43)</f>
        <v>0.11403400000000001</v>
      </c>
      <c r="V45" s="108">
        <f>ROUND(IF(U9&lt;600,U9*U45,600*U45),2)</f>
        <v>68.42</v>
      </c>
      <c r="X45" s="29">
        <f>SUM(X16,X19:X43)</f>
        <v>0.12579363889247655</v>
      </c>
      <c r="Y45" s="108">
        <f>ROUND(IF(X9&lt;600,X9*X45,600*X45),2)</f>
        <v>75.48</v>
      </c>
      <c r="Z45" s="108"/>
      <c r="AA45" s="29">
        <f>SUM(AA16,AA19:AA43)</f>
        <v>0.12272828686002259</v>
      </c>
      <c r="AB45" s="108">
        <f>ROUND(IF(AA9&lt;600,AA9*AA45,600*AA45),2)</f>
        <v>73.64</v>
      </c>
      <c r="AC45" s="108"/>
      <c r="AD45" s="29">
        <f>SUM(AD16,AD19:AD43)</f>
        <v>0.12355116171685791</v>
      </c>
      <c r="AE45" s="108">
        <f>ROUND(IF(AD9&lt;600,AD9*AD45,600*AD45),2)</f>
        <v>74.13</v>
      </c>
      <c r="AG45" s="29">
        <f>SUM(AG16,AG19:AG43)</f>
        <v>0.12912108746935702</v>
      </c>
      <c r="AH45" s="108">
        <f>ROUND(IF(AG9&lt;600,AG9*AG45,600*AG45),2)</f>
        <v>77.47</v>
      </c>
    </row>
    <row r="46" spans="1:34" x14ac:dyDescent="0.2">
      <c r="A46" s="18">
        <f t="shared" si="0"/>
        <v>38</v>
      </c>
      <c r="B46" s="114" t="s">
        <v>138</v>
      </c>
      <c r="C46" s="29">
        <f>SUM(C17,C19:C43)</f>
        <v>0.14155600000000002</v>
      </c>
      <c r="D46" s="108">
        <f>ROUND(IF(C9&lt;600,0,(C9-600)*C46),2)</f>
        <v>28.31</v>
      </c>
      <c r="E46" s="113"/>
      <c r="F46" s="29">
        <f>SUM(F17,F19:F43)</f>
        <v>0.16863500000000003</v>
      </c>
      <c r="G46" s="108">
        <f>ROUND(IF(F9&lt;600,0,(F9-600)*F46),2)</f>
        <v>33.729999999999997</v>
      </c>
      <c r="I46" s="29">
        <f>SUM(I17,I19:I43)</f>
        <v>0.13369300000000001</v>
      </c>
      <c r="J46" s="108">
        <f>ROUND(IF(I9&lt;600,0,(I9-600)*I46),2)</f>
        <v>26.74</v>
      </c>
      <c r="L46" s="29">
        <f>SUM(L17,L19:L43)</f>
        <v>0.14154900000000001</v>
      </c>
      <c r="M46" s="108">
        <f>ROUND(IF(L9&lt;600,0,(L9-600)*L46),2)</f>
        <v>28.31</v>
      </c>
      <c r="O46" s="29">
        <f>SUM(O17,O19:O43)</f>
        <v>0.14030600000000001</v>
      </c>
      <c r="P46" s="108">
        <f>ROUND(IF(O9&lt;600,0,(O9-600)*O46),2)</f>
        <v>28.06</v>
      </c>
      <c r="R46" s="29">
        <f>SUM(R17,R19:R43)</f>
        <v>0.13302800000000001</v>
      </c>
      <c r="S46" s="108">
        <f>ROUND(IF(R9&lt;600,0,(R9-600)*R46),2)</f>
        <v>26.61</v>
      </c>
      <c r="U46" s="29">
        <f>SUM(U17,U19:U43)</f>
        <v>0.13345100000000001</v>
      </c>
      <c r="V46" s="108">
        <f>ROUND(IF(U9&lt;600,0,(U9-600)*U46),2)</f>
        <v>26.69</v>
      </c>
      <c r="X46" s="29">
        <f>SUM(X17,X19:X43)</f>
        <v>0.14521063889247657</v>
      </c>
      <c r="Y46" s="108">
        <f>ROUND(IF(X9&lt;600,0,(X9-600)*X46),2)</f>
        <v>29.04</v>
      </c>
      <c r="Z46" s="108"/>
      <c r="AA46" s="29">
        <f>SUM(AA17,AA19:AA43)</f>
        <v>0.14214528686002259</v>
      </c>
      <c r="AB46" s="108">
        <f>ROUND(IF(AA9&lt;600,0,(AA9-600)*AA46),2)</f>
        <v>28.43</v>
      </c>
      <c r="AC46" s="108"/>
      <c r="AD46" s="29">
        <f>SUM(AD17,AD19:AD43)</f>
        <v>0.14296816171685792</v>
      </c>
      <c r="AE46" s="108">
        <f>ROUND(IF(AD9&lt;600,0,(AD9-600)*AD46),2)</f>
        <v>28.59</v>
      </c>
      <c r="AG46" s="29">
        <f>SUM(AG17,AG19:AG43)</f>
        <v>0.14853808746935704</v>
      </c>
      <c r="AH46" s="108">
        <f>ROUND(IF(AG9&lt;600,0,(AG9-600)*AG46),2)</f>
        <v>29.71</v>
      </c>
    </row>
    <row r="47" spans="1:34" x14ac:dyDescent="0.2">
      <c r="A47" s="18">
        <f t="shared" si="0"/>
        <v>39</v>
      </c>
      <c r="B47" s="110" t="s">
        <v>137</v>
      </c>
      <c r="D47" s="111">
        <f>SUM(D45:D46)</f>
        <v>101.59</v>
      </c>
      <c r="G47" s="111">
        <f>SUM(G45:G46)</f>
        <v>123.25999999999999</v>
      </c>
      <c r="J47" s="111">
        <f>SUM(J45:J46)</f>
        <v>95.309999999999988</v>
      </c>
      <c r="M47" s="111">
        <f>SUM(M45:M46)</f>
        <v>101.59</v>
      </c>
      <c r="P47" s="111">
        <f>SUM(P45:P46)</f>
        <v>100.59</v>
      </c>
      <c r="S47" s="111">
        <f>SUM(S45:S46)</f>
        <v>94.78</v>
      </c>
      <c r="V47" s="111">
        <f>SUM(V45:V46)</f>
        <v>95.11</v>
      </c>
      <c r="Y47" s="111">
        <f>SUM(Y45:Y46)</f>
        <v>104.52000000000001</v>
      </c>
      <c r="Z47" s="108"/>
      <c r="AB47" s="111">
        <f>SUM(AB45:AB46)</f>
        <v>102.07</v>
      </c>
      <c r="AC47" s="108"/>
      <c r="AE47" s="111">
        <f>SUM(AE45:AE46)</f>
        <v>102.72</v>
      </c>
      <c r="AH47" s="111">
        <f>SUM(AH45:AH46)</f>
        <v>107.18</v>
      </c>
    </row>
    <row r="48" spans="1:34" x14ac:dyDescent="0.2">
      <c r="A48" s="18">
        <f t="shared" si="0"/>
        <v>40</v>
      </c>
      <c r="D48" s="109"/>
      <c r="G48" s="108"/>
      <c r="J48" s="108"/>
      <c r="M48" s="108"/>
      <c r="P48" s="108"/>
      <c r="S48" s="108"/>
      <c r="V48" s="108"/>
      <c r="Y48" s="108"/>
      <c r="Z48" s="108"/>
      <c r="AB48" s="108"/>
      <c r="AC48" s="108"/>
      <c r="AE48" s="108"/>
      <c r="AH48" s="108"/>
    </row>
    <row r="49" spans="1:34" x14ac:dyDescent="0.2">
      <c r="A49" s="18">
        <f t="shared" si="0"/>
        <v>41</v>
      </c>
      <c r="B49" s="23" t="s">
        <v>136</v>
      </c>
      <c r="C49" s="109"/>
      <c r="D49" s="108">
        <f>D13+D47</f>
        <v>109.08</v>
      </c>
      <c r="E49" s="109"/>
      <c r="F49" s="109"/>
      <c r="G49" s="108">
        <f>G13+G47</f>
        <v>133</v>
      </c>
      <c r="I49" s="109"/>
      <c r="J49" s="108">
        <f>J13+J47</f>
        <v>102.79999999999998</v>
      </c>
      <c r="L49" s="109"/>
      <c r="M49" s="108">
        <f>M13+M47</f>
        <v>109.08</v>
      </c>
      <c r="O49" s="109"/>
      <c r="P49" s="108">
        <f>P13+P47</f>
        <v>108.08</v>
      </c>
      <c r="R49" s="109"/>
      <c r="S49" s="108">
        <f>S13+S47</f>
        <v>102.27</v>
      </c>
      <c r="U49" s="109"/>
      <c r="V49" s="108">
        <f>V13+V47</f>
        <v>102.6</v>
      </c>
      <c r="X49" s="109"/>
      <c r="Y49" s="108">
        <f>Y13+Y47</f>
        <v>112.01</v>
      </c>
      <c r="Z49" s="108"/>
      <c r="AA49" s="109"/>
      <c r="AB49" s="108">
        <f>AB13+AB47</f>
        <v>109.55999999999999</v>
      </c>
      <c r="AC49" s="108"/>
      <c r="AD49" s="109"/>
      <c r="AE49" s="108">
        <f>AE13+AE47</f>
        <v>110.21</v>
      </c>
      <c r="AG49" s="109"/>
      <c r="AH49" s="108">
        <f>AH13+AH47</f>
        <v>116.92</v>
      </c>
    </row>
    <row r="50" spans="1:34" x14ac:dyDescent="0.2">
      <c r="A50" s="18">
        <f t="shared" si="0"/>
        <v>42</v>
      </c>
      <c r="B50" s="23" t="s">
        <v>135</v>
      </c>
      <c r="C50" s="109"/>
      <c r="D50" s="108"/>
      <c r="E50" s="109"/>
      <c r="F50" s="109"/>
      <c r="G50" s="108">
        <f>G49-$D49</f>
        <v>23.92</v>
      </c>
      <c r="I50" s="109"/>
      <c r="J50" s="108">
        <f>J49-$D49</f>
        <v>-6.2800000000000153</v>
      </c>
      <c r="L50" s="109"/>
      <c r="M50" s="108">
        <f>M49-$D49</f>
        <v>0</v>
      </c>
      <c r="O50" s="109"/>
      <c r="P50" s="108">
        <f>P49-$D49</f>
        <v>-1</v>
      </c>
      <c r="R50" s="109"/>
      <c r="S50" s="108">
        <f>S49-$D49</f>
        <v>-6.8100000000000023</v>
      </c>
      <c r="U50" s="109"/>
      <c r="V50" s="108">
        <f>V49-$D49</f>
        <v>-6.480000000000004</v>
      </c>
      <c r="X50" s="109"/>
      <c r="Y50" s="108">
        <f>Y49-$D49</f>
        <v>2.9300000000000068</v>
      </c>
      <c r="Z50" s="108"/>
      <c r="AA50" s="109"/>
      <c r="AB50" s="108">
        <f>AB49-$D49</f>
        <v>0.47999999999998977</v>
      </c>
      <c r="AC50" s="108"/>
      <c r="AD50" s="109"/>
      <c r="AE50" s="108">
        <f>AE49-$D49</f>
        <v>1.1299999999999955</v>
      </c>
      <c r="AG50" s="109"/>
      <c r="AH50" s="108">
        <f>AH49-$D49</f>
        <v>7.8400000000000034</v>
      </c>
    </row>
    <row r="51" spans="1:34" x14ac:dyDescent="0.2">
      <c r="A51" s="18">
        <f t="shared" si="0"/>
        <v>43</v>
      </c>
      <c r="B51" s="23" t="s">
        <v>134</v>
      </c>
      <c r="C51" s="75"/>
      <c r="D51" s="75"/>
      <c r="E51" s="75"/>
      <c r="F51" s="75"/>
      <c r="G51" s="51">
        <f>G50/$D49</f>
        <v>0.21928859552621932</v>
      </c>
      <c r="I51" s="75"/>
      <c r="J51" s="51">
        <f>J50/$D49</f>
        <v>-5.7572423909057716E-2</v>
      </c>
      <c r="L51" s="75"/>
      <c r="M51" s="51">
        <f>M50/$D49</f>
        <v>0</v>
      </c>
      <c r="O51" s="75"/>
      <c r="P51" s="51">
        <f>P50/$D49</f>
        <v>-9.1675834250091685E-3</v>
      </c>
      <c r="R51" s="75"/>
      <c r="S51" s="51">
        <f>S50/$D49</f>
        <v>-6.2431243124312454E-2</v>
      </c>
      <c r="U51" s="75"/>
      <c r="V51" s="51">
        <f>V50/$D49</f>
        <v>-5.9405940594059445E-2</v>
      </c>
      <c r="X51" s="75"/>
      <c r="Y51" s="51">
        <f>Y50/$D49</f>
        <v>2.6861019435276925E-2</v>
      </c>
      <c r="Z51" s="51"/>
      <c r="AA51" s="75"/>
      <c r="AB51" s="51">
        <f>AB50/$D49</f>
        <v>4.4004400440043065E-3</v>
      </c>
      <c r="AC51" s="51"/>
      <c r="AD51" s="75"/>
      <c r="AE51" s="51">
        <f>AE50/$D49</f>
        <v>1.0359369270260318E-2</v>
      </c>
      <c r="AG51" s="75"/>
      <c r="AH51" s="51">
        <f>AH50/$D49</f>
        <v>7.1873854052071903E-2</v>
      </c>
    </row>
    <row r="52" spans="1:34" x14ac:dyDescent="0.2">
      <c r="A52" s="18">
        <f t="shared" si="0"/>
        <v>44</v>
      </c>
      <c r="D52" s="108"/>
    </row>
    <row r="53" spans="1:34" x14ac:dyDescent="0.2">
      <c r="A53" s="18">
        <f t="shared" si="0"/>
        <v>45</v>
      </c>
      <c r="B53" s="82" t="s">
        <v>99</v>
      </c>
      <c r="C53" s="79"/>
    </row>
    <row r="55" spans="1:34" x14ac:dyDescent="0.2">
      <c r="B55" s="158"/>
    </row>
  </sheetData>
  <mergeCells count="15">
    <mergeCell ref="AA6:AB6"/>
    <mergeCell ref="AD6:AE6"/>
    <mergeCell ref="AG6:AH6"/>
    <mergeCell ref="A1:AI1"/>
    <mergeCell ref="A2:AI2"/>
    <mergeCell ref="A3:AI3"/>
    <mergeCell ref="A4:AI4"/>
    <mergeCell ref="F6:G6"/>
    <mergeCell ref="I6:J6"/>
    <mergeCell ref="L6:M6"/>
    <mergeCell ref="R6:S6"/>
    <mergeCell ref="U6:V6"/>
    <mergeCell ref="X6:Y6"/>
    <mergeCell ref="O6:P6"/>
    <mergeCell ref="C6:D6"/>
  </mergeCells>
  <pageMargins left="0.7" right="0.7" top="0.75" bottom="0.75" header="0.3" footer="0.3"/>
  <pageSetup scale="4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C5B3-56D2-4461-8A3D-EFB5BF9D207E}">
  <sheetPr>
    <pageSetUpPr fitToPage="1"/>
  </sheetPr>
  <dimension ref="A1:T55"/>
  <sheetViews>
    <sheetView zoomScaleNormal="100" zoomScaleSheetLayoutView="100" workbookViewId="0">
      <pane ySplit="8" topLeftCell="A9" activePane="bottomLeft" state="frozen"/>
      <selection sqref="A1:XFD1048576"/>
      <selection pane="bottomLeft" sqref="A1:XFD1048576"/>
    </sheetView>
  </sheetViews>
  <sheetFormatPr defaultRowHeight="11.25" x14ac:dyDescent="0.2"/>
  <cols>
    <col min="1" max="1" width="4.85546875" style="23" bestFit="1" customWidth="1"/>
    <col min="2" max="2" width="39.42578125" style="23" customWidth="1"/>
    <col min="3" max="3" width="12" style="23" bestFit="1" customWidth="1"/>
    <col min="4" max="4" width="7.7109375" style="23" bestFit="1" customWidth="1"/>
    <col min="5" max="5" width="0.5703125" style="23" customWidth="1"/>
    <col min="6" max="6" width="10" style="23" bestFit="1" customWidth="1"/>
    <col min="7" max="7" width="7.7109375" style="23" bestFit="1" customWidth="1"/>
    <col min="8" max="8" width="0.5703125" style="23" customWidth="1"/>
    <col min="9" max="9" width="11" style="23" customWidth="1"/>
    <col min="10" max="10" width="12" style="23" customWidth="1"/>
    <col min="11" max="11" width="0.5703125" style="23" customWidth="1"/>
    <col min="12" max="12" width="11.42578125" style="23" customWidth="1"/>
    <col min="13" max="13" width="12.42578125" style="23" customWidth="1"/>
    <col min="14" max="14" width="0.5703125" style="23" customWidth="1"/>
    <col min="15" max="15" width="10" style="23" bestFit="1" customWidth="1"/>
    <col min="16" max="16" width="10.7109375" style="23" customWidth="1"/>
    <col min="17" max="17" width="0.5703125" style="23" customWidth="1"/>
    <col min="18" max="18" width="10" style="23" bestFit="1" customWidth="1"/>
    <col min="19" max="19" width="7.7109375" style="23" bestFit="1" customWidth="1"/>
    <col min="20" max="16384" width="9.140625" style="23"/>
  </cols>
  <sheetData>
    <row r="1" spans="1:20" s="7" customFormat="1" x14ac:dyDescent="0.2">
      <c r="A1" s="178" t="s">
        <v>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</row>
    <row r="2" spans="1:20" s="7" customFormat="1" x14ac:dyDescent="0.2">
      <c r="A2" s="178" t="s">
        <v>269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</row>
    <row r="3" spans="1:20" s="7" customFormat="1" x14ac:dyDescent="0.2">
      <c r="A3" s="177" t="s">
        <v>168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</row>
    <row r="4" spans="1:20" s="7" customFormat="1" x14ac:dyDescent="0.2">
      <c r="A4" s="178" t="s">
        <v>98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</row>
    <row r="5" spans="1:20" s="7" customFormat="1" ht="12.75" x14ac:dyDescent="0.2">
      <c r="I5" s="189" t="s">
        <v>167</v>
      </c>
      <c r="J5" s="206"/>
      <c r="K5" s="206"/>
      <c r="L5" s="206"/>
      <c r="M5" s="206"/>
      <c r="N5" s="206"/>
      <c r="O5" s="206"/>
      <c r="P5" s="203"/>
    </row>
    <row r="6" spans="1:20" s="106" customFormat="1" ht="11.25" customHeight="1" x14ac:dyDescent="0.2">
      <c r="C6" s="189" t="s">
        <v>164</v>
      </c>
      <c r="D6" s="203"/>
      <c r="F6" s="189" t="s">
        <v>163</v>
      </c>
      <c r="G6" s="202"/>
      <c r="I6" s="204" t="s">
        <v>157</v>
      </c>
      <c r="J6" s="205"/>
      <c r="L6" s="204" t="s">
        <v>156</v>
      </c>
      <c r="M6" s="205"/>
      <c r="O6" s="204" t="s">
        <v>155</v>
      </c>
      <c r="P6" s="205"/>
      <c r="R6" s="189" t="s">
        <v>154</v>
      </c>
      <c r="S6" s="202"/>
    </row>
    <row r="7" spans="1:20" s="7" customFormat="1" x14ac:dyDescent="0.2">
      <c r="A7" s="107" t="s">
        <v>153</v>
      </c>
      <c r="B7" s="107"/>
      <c r="C7" s="107" t="s">
        <v>152</v>
      </c>
      <c r="D7" s="107" t="s">
        <v>150</v>
      </c>
      <c r="F7" s="107" t="s">
        <v>151</v>
      </c>
      <c r="G7" s="107" t="s">
        <v>150</v>
      </c>
      <c r="I7" s="107" t="s">
        <v>151</v>
      </c>
      <c r="J7" s="107" t="s">
        <v>150</v>
      </c>
      <c r="L7" s="107" t="s">
        <v>151</v>
      </c>
      <c r="M7" s="107" t="s">
        <v>150</v>
      </c>
      <c r="O7" s="107" t="s">
        <v>151</v>
      </c>
      <c r="P7" s="107" t="s">
        <v>150</v>
      </c>
      <c r="R7" s="107" t="s">
        <v>151</v>
      </c>
      <c r="S7" s="107" t="s">
        <v>150</v>
      </c>
    </row>
    <row r="8" spans="1:20" x14ac:dyDescent="0.2">
      <c r="A8" s="18"/>
      <c r="B8" s="18" t="s">
        <v>43</v>
      </c>
      <c r="C8" s="18" t="s">
        <v>42</v>
      </c>
      <c r="D8" s="18" t="s">
        <v>41</v>
      </c>
      <c r="F8" s="18" t="s">
        <v>40</v>
      </c>
      <c r="G8" s="18" t="s">
        <v>39</v>
      </c>
      <c r="I8" s="18" t="s">
        <v>83</v>
      </c>
      <c r="J8" s="18" t="s">
        <v>37</v>
      </c>
      <c r="L8" s="18" t="s">
        <v>117</v>
      </c>
      <c r="M8" s="18" t="s">
        <v>35</v>
      </c>
      <c r="O8" s="18" t="s">
        <v>116</v>
      </c>
      <c r="P8" s="18" t="s">
        <v>33</v>
      </c>
      <c r="R8" s="18" t="s">
        <v>115</v>
      </c>
      <c r="S8" s="18" t="s">
        <v>31</v>
      </c>
    </row>
    <row r="9" spans="1:20" x14ac:dyDescent="0.2">
      <c r="A9" s="18">
        <v>1</v>
      </c>
      <c r="B9" s="30" t="s">
        <v>93</v>
      </c>
      <c r="C9" s="28">
        <f>'Exh CTM-8 (Res Bill Summary)'!B19</f>
        <v>800</v>
      </c>
      <c r="D9" s="108"/>
      <c r="F9" s="23">
        <f>+$C$9</f>
        <v>800</v>
      </c>
      <c r="G9" s="108"/>
      <c r="H9" s="24"/>
      <c r="I9" s="23">
        <f>+$C$9</f>
        <v>800</v>
      </c>
      <c r="J9" s="108"/>
      <c r="K9" s="108"/>
      <c r="L9" s="23">
        <f>+$C$9</f>
        <v>800</v>
      </c>
      <c r="M9" s="108"/>
      <c r="N9" s="108"/>
      <c r="O9" s="23">
        <f>+$C$9</f>
        <v>800</v>
      </c>
      <c r="P9" s="108"/>
      <c r="R9" s="23">
        <f>+$C$9</f>
        <v>800</v>
      </c>
      <c r="S9" s="108"/>
    </row>
    <row r="10" spans="1:20" x14ac:dyDescent="0.2">
      <c r="A10" s="18">
        <f t="shared" ref="A10:A53" si="0">+A9+1</f>
        <v>2</v>
      </c>
      <c r="D10" s="108"/>
      <c r="G10" s="108"/>
      <c r="H10" s="24"/>
      <c r="J10" s="108"/>
      <c r="K10" s="108"/>
      <c r="M10" s="108"/>
      <c r="N10" s="108"/>
      <c r="P10" s="108"/>
      <c r="S10" s="108"/>
    </row>
    <row r="11" spans="1:20" x14ac:dyDescent="0.2">
      <c r="A11" s="18">
        <f t="shared" si="0"/>
        <v>3</v>
      </c>
      <c r="B11" s="23" t="s">
        <v>145</v>
      </c>
      <c r="D11" s="108"/>
      <c r="G11" s="108"/>
      <c r="H11" s="24"/>
      <c r="J11" s="108"/>
      <c r="K11" s="108"/>
      <c r="M11" s="108"/>
      <c r="N11" s="108"/>
      <c r="P11" s="108"/>
      <c r="S11" s="108"/>
    </row>
    <row r="12" spans="1:20" x14ac:dyDescent="0.2">
      <c r="A12" s="18">
        <f t="shared" si="0"/>
        <v>4</v>
      </c>
      <c r="B12" s="112" t="s">
        <v>144</v>
      </c>
      <c r="C12" s="109">
        <f>'Exh CTM-8 Typical Res Bill RY#1'!AG12</f>
        <v>9.74</v>
      </c>
      <c r="D12" s="108">
        <f>C12</f>
        <v>9.74</v>
      </c>
      <c r="E12" s="109"/>
      <c r="F12" s="109">
        <f>'Exh CTM-8 (Res Bill Summary)'!W16</f>
        <v>12.66</v>
      </c>
      <c r="G12" s="108">
        <f>F12</f>
        <v>12.66</v>
      </c>
      <c r="I12" s="108">
        <f>+$C$12</f>
        <v>9.74</v>
      </c>
      <c r="J12" s="108">
        <f>I12</f>
        <v>9.74</v>
      </c>
      <c r="K12" s="108"/>
      <c r="L12" s="108">
        <f>+$C$12</f>
        <v>9.74</v>
      </c>
      <c r="M12" s="108">
        <f>L12</f>
        <v>9.74</v>
      </c>
      <c r="N12" s="108"/>
      <c r="O12" s="108">
        <f>+$C$12</f>
        <v>9.74</v>
      </c>
      <c r="P12" s="108">
        <f>O12</f>
        <v>9.74</v>
      </c>
      <c r="R12" s="109">
        <f>+F12</f>
        <v>12.66</v>
      </c>
      <c r="S12" s="108">
        <f>R12</f>
        <v>12.66</v>
      </c>
    </row>
    <row r="13" spans="1:20" x14ac:dyDescent="0.2">
      <c r="A13" s="18">
        <f t="shared" si="0"/>
        <v>5</v>
      </c>
      <c r="B13" s="110" t="s">
        <v>143</v>
      </c>
      <c r="C13" s="109"/>
      <c r="D13" s="111">
        <f>SUM(D12:D12)</f>
        <v>9.74</v>
      </c>
      <c r="E13" s="109"/>
      <c r="F13" s="109"/>
      <c r="G13" s="111">
        <f>SUM(G12:G12)</f>
        <v>12.66</v>
      </c>
      <c r="I13" s="109"/>
      <c r="J13" s="111">
        <f>SUM(J12:J12)</f>
        <v>9.74</v>
      </c>
      <c r="K13" s="109"/>
      <c r="L13" s="109"/>
      <c r="M13" s="111">
        <f>SUM(M12:M12)</f>
        <v>9.74</v>
      </c>
      <c r="N13" s="109"/>
      <c r="O13" s="109"/>
      <c r="P13" s="111">
        <f>SUM(P12:P12)</f>
        <v>9.74</v>
      </c>
      <c r="R13" s="111">
        <f>SUM(R12:R12)</f>
        <v>12.66</v>
      </c>
      <c r="S13" s="111">
        <f>SUM(S12:S12)</f>
        <v>12.66</v>
      </c>
    </row>
    <row r="14" spans="1:20" x14ac:dyDescent="0.2">
      <c r="A14" s="18">
        <f t="shared" si="0"/>
        <v>6</v>
      </c>
      <c r="C14" s="109"/>
      <c r="D14" s="108"/>
      <c r="E14" s="109"/>
      <c r="F14" s="109"/>
      <c r="G14" s="108"/>
      <c r="I14" s="109"/>
      <c r="J14" s="108"/>
      <c r="K14" s="108"/>
      <c r="L14" s="109"/>
      <c r="M14" s="108"/>
      <c r="N14" s="108"/>
      <c r="O14" s="109"/>
      <c r="P14" s="108"/>
      <c r="R14" s="109"/>
      <c r="S14" s="108"/>
    </row>
    <row r="15" spans="1:20" x14ac:dyDescent="0.2">
      <c r="A15" s="18">
        <f t="shared" si="0"/>
        <v>7</v>
      </c>
      <c r="B15" s="30" t="s">
        <v>142</v>
      </c>
      <c r="D15" s="108"/>
      <c r="G15" s="108"/>
      <c r="J15" s="108"/>
      <c r="K15" s="108"/>
      <c r="M15" s="108"/>
      <c r="N15" s="108"/>
      <c r="P15" s="108"/>
      <c r="S15" s="108"/>
    </row>
    <row r="16" spans="1:20" x14ac:dyDescent="0.2">
      <c r="A16" s="18">
        <f t="shared" si="0"/>
        <v>8</v>
      </c>
      <c r="B16" s="112" t="s">
        <v>141</v>
      </c>
      <c r="C16" s="29">
        <f>'Exh CTM-8 Typical Res Bill RY#1'!AG16</f>
        <v>0.11651599999999999</v>
      </c>
      <c r="D16" s="108"/>
      <c r="E16" s="113"/>
      <c r="F16" s="29">
        <f>'Exh CTM-8 (Res Bill Summary)'!W17</f>
        <v>0.12567500000000001</v>
      </c>
      <c r="G16" s="108"/>
      <c r="I16" s="29">
        <f>+$C$16</f>
        <v>0.11651599999999999</v>
      </c>
      <c r="J16" s="108"/>
      <c r="K16" s="108"/>
      <c r="L16" s="29">
        <f>+$C$16</f>
        <v>0.11651599999999999</v>
      </c>
      <c r="M16" s="108"/>
      <c r="N16" s="108"/>
      <c r="O16" s="29">
        <f>+$C$16</f>
        <v>0.11651599999999999</v>
      </c>
      <c r="P16" s="108"/>
      <c r="R16" s="29">
        <f>+F16</f>
        <v>0.12567500000000001</v>
      </c>
      <c r="S16" s="108"/>
    </row>
    <row r="17" spans="1:19" x14ac:dyDescent="0.2">
      <c r="A17" s="18">
        <f t="shared" si="0"/>
        <v>9</v>
      </c>
      <c r="B17" s="112" t="s">
        <v>140</v>
      </c>
      <c r="C17" s="29">
        <f>'Exh CTM-8 Typical Res Bill RY#1'!AG17</f>
        <v>0.135933</v>
      </c>
      <c r="D17" s="108"/>
      <c r="E17" s="113"/>
      <c r="F17" s="29">
        <f>'Exh CTM-8 (Res Bill Summary)'!W18</f>
        <v>0.145092</v>
      </c>
      <c r="G17" s="108"/>
      <c r="I17" s="29">
        <f>+$C$17</f>
        <v>0.135933</v>
      </c>
      <c r="J17" s="108"/>
      <c r="K17" s="108"/>
      <c r="L17" s="29">
        <f>+$C$17</f>
        <v>0.135933</v>
      </c>
      <c r="M17" s="108"/>
      <c r="N17" s="108"/>
      <c r="O17" s="29">
        <f>+$C$17</f>
        <v>0.135933</v>
      </c>
      <c r="P17" s="108"/>
      <c r="R17" s="29">
        <f>+F17</f>
        <v>0.145092</v>
      </c>
      <c r="S17" s="108"/>
    </row>
    <row r="18" spans="1:19" x14ac:dyDescent="0.2">
      <c r="A18" s="18">
        <f t="shared" si="0"/>
        <v>10</v>
      </c>
      <c r="B18" s="112"/>
      <c r="C18" s="29"/>
      <c r="D18" s="108"/>
      <c r="E18" s="113"/>
      <c r="F18" s="113"/>
      <c r="G18" s="108"/>
      <c r="I18" s="113"/>
      <c r="J18" s="108"/>
      <c r="K18" s="108"/>
      <c r="L18" s="113"/>
      <c r="M18" s="108"/>
      <c r="N18" s="108"/>
      <c r="O18" s="113"/>
      <c r="P18" s="108"/>
      <c r="R18" s="113"/>
      <c r="S18" s="108"/>
    </row>
    <row r="19" spans="1:19" x14ac:dyDescent="0.2">
      <c r="A19" s="18">
        <f t="shared" si="0"/>
        <v>11</v>
      </c>
      <c r="B19" s="164" t="str">
        <f>'Exh CTM-8 (Res Bill Summary)'!Q22</f>
        <v xml:space="preserve">Schedule 95 Power Cost
</v>
      </c>
      <c r="C19" s="29">
        <f>'Exh CTM-8 Typical Res Bill RY#1'!AG19</f>
        <v>0</v>
      </c>
      <c r="D19" s="108"/>
      <c r="E19" s="113"/>
      <c r="F19" s="29">
        <f t="shared" ref="F19:F43" si="1">+C19</f>
        <v>0</v>
      </c>
      <c r="G19" s="108"/>
      <c r="I19" s="29">
        <f t="shared" ref="I19:I31" si="2">+$C19</f>
        <v>0</v>
      </c>
      <c r="J19" s="108"/>
      <c r="K19" s="108"/>
      <c r="L19" s="29">
        <f t="shared" ref="L19:L32" si="3">+$C19</f>
        <v>0</v>
      </c>
      <c r="M19" s="108"/>
      <c r="N19" s="108"/>
      <c r="O19" s="29">
        <f t="shared" ref="O19:O37" si="4">+$C19</f>
        <v>0</v>
      </c>
      <c r="P19" s="108"/>
      <c r="R19" s="29">
        <f t="shared" ref="R19:R31" si="5">+C19</f>
        <v>0</v>
      </c>
      <c r="S19" s="108"/>
    </row>
    <row r="20" spans="1:19" x14ac:dyDescent="0.2">
      <c r="A20" s="18">
        <f t="shared" si="0"/>
        <v>12</v>
      </c>
      <c r="B20" s="164" t="str">
        <f>'Exh CTM-8 (Res Bill Summary)'!Q23</f>
        <v>Schedule 95 PCA Imbalance</v>
      </c>
      <c r="C20" s="29">
        <f>'Exh CTM-8 Typical Res Bill RY#1'!AG20</f>
        <v>3.4810000000000002E-3</v>
      </c>
      <c r="D20" s="108"/>
      <c r="E20" s="113"/>
      <c r="F20" s="29">
        <f t="shared" si="1"/>
        <v>3.4810000000000002E-3</v>
      </c>
      <c r="G20" s="108"/>
      <c r="I20" s="29">
        <f t="shared" si="2"/>
        <v>3.4810000000000002E-3</v>
      </c>
      <c r="J20" s="108"/>
      <c r="K20" s="108"/>
      <c r="L20" s="29">
        <f t="shared" si="3"/>
        <v>3.4810000000000002E-3</v>
      </c>
      <c r="M20" s="108"/>
      <c r="N20" s="108"/>
      <c r="O20" s="29">
        <f t="shared" si="4"/>
        <v>3.4810000000000002E-3</v>
      </c>
      <c r="P20" s="108"/>
      <c r="R20" s="29">
        <f t="shared" si="5"/>
        <v>3.4810000000000002E-3</v>
      </c>
      <c r="S20" s="108"/>
    </row>
    <row r="21" spans="1:19" x14ac:dyDescent="0.2">
      <c r="A21" s="18">
        <f t="shared" si="0"/>
        <v>13</v>
      </c>
      <c r="B21" s="164" t="str">
        <f>'Exh CTM-8 (Res Bill Summary)'!Q24</f>
        <v>Schedule 95A Federal Incentive Credit</v>
      </c>
      <c r="C21" s="29">
        <f>'Exh CTM-8 Typical Res Bill RY#1'!AG21</f>
        <v>0</v>
      </c>
      <c r="D21" s="108"/>
      <c r="E21" s="113"/>
      <c r="F21" s="29">
        <f t="shared" si="1"/>
        <v>0</v>
      </c>
      <c r="G21" s="108"/>
      <c r="I21" s="29">
        <f t="shared" si="2"/>
        <v>0</v>
      </c>
      <c r="J21" s="108"/>
      <c r="K21" s="108"/>
      <c r="L21" s="29">
        <f t="shared" si="3"/>
        <v>0</v>
      </c>
      <c r="M21" s="108"/>
      <c r="N21" s="108"/>
      <c r="O21" s="29">
        <f t="shared" si="4"/>
        <v>0</v>
      </c>
      <c r="P21" s="108"/>
      <c r="R21" s="29">
        <f t="shared" si="5"/>
        <v>0</v>
      </c>
      <c r="S21" s="108"/>
    </row>
    <row r="22" spans="1:19" x14ac:dyDescent="0.2">
      <c r="A22" s="18">
        <f t="shared" si="0"/>
        <v>14</v>
      </c>
      <c r="B22" s="164" t="str">
        <f>'Exh CTM-8 (Res Bill Summary)'!Q25</f>
        <v>Schedule 120 Conservation</v>
      </c>
      <c r="C22" s="29">
        <f>'Exh CTM-8 Typical Res Bill RY#1'!AG22</f>
        <v>5.0439999999999999E-3</v>
      </c>
      <c r="D22" s="108"/>
      <c r="E22" s="113"/>
      <c r="F22" s="29">
        <f t="shared" si="1"/>
        <v>5.0439999999999999E-3</v>
      </c>
      <c r="G22" s="108"/>
      <c r="I22" s="29">
        <f t="shared" si="2"/>
        <v>5.0439999999999999E-3</v>
      </c>
      <c r="J22" s="108"/>
      <c r="K22" s="108"/>
      <c r="L22" s="29">
        <f t="shared" si="3"/>
        <v>5.0439999999999999E-3</v>
      </c>
      <c r="M22" s="108"/>
      <c r="N22" s="108"/>
      <c r="O22" s="29">
        <f t="shared" si="4"/>
        <v>5.0439999999999999E-3</v>
      </c>
      <c r="P22" s="108"/>
      <c r="R22" s="29">
        <f t="shared" si="5"/>
        <v>5.0439999999999999E-3</v>
      </c>
      <c r="S22" s="108"/>
    </row>
    <row r="23" spans="1:19" x14ac:dyDescent="0.2">
      <c r="A23" s="18">
        <f t="shared" si="0"/>
        <v>15</v>
      </c>
      <c r="B23" s="164" t="str">
        <f>'Exh CTM-8 (Res Bill Summary)'!Q26</f>
        <v>Schedule 129 Low Income</v>
      </c>
      <c r="C23" s="29">
        <f>'Exh CTM-8 Typical Res Bill RY#1'!AG23</f>
        <v>1.428E-3</v>
      </c>
      <c r="D23" s="108"/>
      <c r="E23" s="113"/>
      <c r="F23" s="29">
        <f t="shared" si="1"/>
        <v>1.428E-3</v>
      </c>
      <c r="G23" s="108"/>
      <c r="I23" s="29">
        <f t="shared" si="2"/>
        <v>1.428E-3</v>
      </c>
      <c r="J23" s="108"/>
      <c r="K23" s="108"/>
      <c r="L23" s="29">
        <f t="shared" si="3"/>
        <v>1.428E-3</v>
      </c>
      <c r="M23" s="108"/>
      <c r="N23" s="108"/>
      <c r="O23" s="29">
        <f t="shared" si="4"/>
        <v>1.428E-3</v>
      </c>
      <c r="P23" s="108"/>
      <c r="R23" s="29">
        <f t="shared" si="5"/>
        <v>1.428E-3</v>
      </c>
      <c r="S23" s="108"/>
    </row>
    <row r="24" spans="1:19" x14ac:dyDescent="0.2">
      <c r="A24" s="18">
        <f t="shared" si="0"/>
        <v>16</v>
      </c>
      <c r="B24" s="164" t="str">
        <f>'Exh CTM-8 (Res Bill Summary)'!Q27</f>
        <v>Schedule 129D Bill Discount</v>
      </c>
      <c r="C24" s="29">
        <f>'Exh CTM-8 Typical Res Bill RY#1'!AG24</f>
        <v>6.0700000000000001E-4</v>
      </c>
      <c r="D24" s="108"/>
      <c r="E24" s="113"/>
      <c r="F24" s="29">
        <f t="shared" si="1"/>
        <v>6.0700000000000001E-4</v>
      </c>
      <c r="G24" s="108"/>
      <c r="I24" s="29">
        <f t="shared" si="2"/>
        <v>6.0700000000000001E-4</v>
      </c>
      <c r="J24" s="108"/>
      <c r="K24" s="108"/>
      <c r="L24" s="29">
        <f t="shared" si="3"/>
        <v>6.0700000000000001E-4</v>
      </c>
      <c r="M24" s="108"/>
      <c r="N24" s="108"/>
      <c r="O24" s="29">
        <f t="shared" si="4"/>
        <v>6.0700000000000001E-4</v>
      </c>
      <c r="P24" s="108"/>
      <c r="R24" s="29">
        <f t="shared" si="5"/>
        <v>6.0700000000000001E-4</v>
      </c>
      <c r="S24" s="108"/>
    </row>
    <row r="25" spans="1:19" x14ac:dyDescent="0.2">
      <c r="A25" s="18">
        <f t="shared" si="0"/>
        <v>17</v>
      </c>
      <c r="B25" s="164" t="str">
        <f>'Exh CTM-8 (Res Bill Summary)'!Q28</f>
        <v>Schedule 137 REC</v>
      </c>
      <c r="C25" s="29">
        <f>'Exh CTM-8 Typical Res Bill RY#1'!AG25</f>
        <v>0</v>
      </c>
      <c r="D25" s="108"/>
      <c r="E25" s="113"/>
      <c r="F25" s="29">
        <f t="shared" si="1"/>
        <v>0</v>
      </c>
      <c r="G25" s="108"/>
      <c r="I25" s="29">
        <f t="shared" si="2"/>
        <v>0</v>
      </c>
      <c r="J25" s="108"/>
      <c r="K25" s="108"/>
      <c r="L25" s="29">
        <f t="shared" si="3"/>
        <v>0</v>
      </c>
      <c r="M25" s="108"/>
      <c r="N25" s="108"/>
      <c r="O25" s="29">
        <f t="shared" si="4"/>
        <v>0</v>
      </c>
      <c r="P25" s="108"/>
      <c r="R25" s="29">
        <f t="shared" si="5"/>
        <v>0</v>
      </c>
      <c r="S25" s="108"/>
    </row>
    <row r="26" spans="1:19" x14ac:dyDescent="0.2">
      <c r="A26" s="18">
        <f t="shared" si="0"/>
        <v>18</v>
      </c>
      <c r="B26" s="164" t="str">
        <f>'Exh CTM-8 (Res Bill Summary)'!Q29</f>
        <v>Schedule 139 Green Direct</v>
      </c>
      <c r="C26" s="29">
        <f>'Exh CTM-8 Typical Res Bill RY#1'!AG26</f>
        <v>0</v>
      </c>
      <c r="D26" s="108"/>
      <c r="E26" s="113"/>
      <c r="F26" s="29">
        <f t="shared" si="1"/>
        <v>0</v>
      </c>
      <c r="G26" s="108"/>
      <c r="I26" s="29">
        <f t="shared" si="2"/>
        <v>0</v>
      </c>
      <c r="J26" s="108"/>
      <c r="K26" s="108"/>
      <c r="L26" s="29">
        <f t="shared" si="3"/>
        <v>0</v>
      </c>
      <c r="M26" s="108"/>
      <c r="N26" s="108"/>
      <c r="O26" s="29">
        <f t="shared" si="4"/>
        <v>0</v>
      </c>
      <c r="P26" s="108"/>
      <c r="R26" s="29">
        <f t="shared" si="5"/>
        <v>0</v>
      </c>
      <c r="S26" s="108"/>
    </row>
    <row r="27" spans="1:19" x14ac:dyDescent="0.2">
      <c r="A27" s="18">
        <f t="shared" si="0"/>
        <v>19</v>
      </c>
      <c r="B27" s="164" t="str">
        <f>'Exh CTM-8 (Res Bill Summary)'!Q30</f>
        <v xml:space="preserve">Schedule 139 Green Direct Supplemental </v>
      </c>
      <c r="C27" s="29">
        <f>'Exh CTM-8 Typical Res Bill RY#1'!AG27</f>
        <v>0</v>
      </c>
      <c r="D27" s="108"/>
      <c r="E27" s="113"/>
      <c r="F27" s="29">
        <f t="shared" si="1"/>
        <v>0</v>
      </c>
      <c r="G27" s="108"/>
      <c r="I27" s="29">
        <f t="shared" si="2"/>
        <v>0</v>
      </c>
      <c r="J27" s="108"/>
      <c r="K27" s="108"/>
      <c r="L27" s="29">
        <f t="shared" si="3"/>
        <v>0</v>
      </c>
      <c r="M27" s="108"/>
      <c r="N27" s="108"/>
      <c r="O27" s="29">
        <f t="shared" si="4"/>
        <v>0</v>
      </c>
      <c r="P27" s="108"/>
      <c r="R27" s="29">
        <f t="shared" si="5"/>
        <v>0</v>
      </c>
      <c r="S27" s="108"/>
    </row>
    <row r="28" spans="1:19" x14ac:dyDescent="0.2">
      <c r="A28" s="18">
        <f t="shared" si="0"/>
        <v>20</v>
      </c>
      <c r="B28" s="164" t="str">
        <f>'Exh CTM-8 (Res Bill Summary)'!Q31</f>
        <v>Schedule 140 Property Tax</v>
      </c>
      <c r="C28" s="29">
        <f>'Exh CTM-8 Typical Res Bill RY#1'!AG28</f>
        <v>2.6120000000000002E-3</v>
      </c>
      <c r="D28" s="108"/>
      <c r="E28" s="113"/>
      <c r="F28" s="29">
        <f t="shared" si="1"/>
        <v>2.6120000000000002E-3</v>
      </c>
      <c r="G28" s="108"/>
      <c r="I28" s="29">
        <f t="shared" si="2"/>
        <v>2.6120000000000002E-3</v>
      </c>
      <c r="J28" s="108"/>
      <c r="K28" s="108"/>
      <c r="L28" s="29">
        <f t="shared" si="3"/>
        <v>2.6120000000000002E-3</v>
      </c>
      <c r="M28" s="108"/>
      <c r="N28" s="108"/>
      <c r="O28" s="29">
        <f t="shared" si="4"/>
        <v>2.6120000000000002E-3</v>
      </c>
      <c r="P28" s="108"/>
      <c r="R28" s="29">
        <f t="shared" si="5"/>
        <v>2.6120000000000002E-3</v>
      </c>
      <c r="S28" s="108"/>
    </row>
    <row r="29" spans="1:19" x14ac:dyDescent="0.2">
      <c r="A29" s="18">
        <f t="shared" si="0"/>
        <v>21</v>
      </c>
      <c r="B29" s="164" t="str">
        <f>'Exh CTM-8 (Res Bill Summary)'!Q32</f>
        <v>Schedule 141 ERF</v>
      </c>
      <c r="C29" s="29">
        <f>'Exh CTM-8 Typical Res Bill RY#1'!AG29</f>
        <v>0</v>
      </c>
      <c r="D29" s="108"/>
      <c r="E29" s="113"/>
      <c r="F29" s="29">
        <f t="shared" si="1"/>
        <v>0</v>
      </c>
      <c r="G29" s="108"/>
      <c r="I29" s="29">
        <f t="shared" si="2"/>
        <v>0</v>
      </c>
      <c r="J29" s="108"/>
      <c r="K29" s="108"/>
      <c r="L29" s="29">
        <f t="shared" si="3"/>
        <v>0</v>
      </c>
      <c r="M29" s="108"/>
      <c r="N29" s="108"/>
      <c r="O29" s="29">
        <f t="shared" si="4"/>
        <v>0</v>
      </c>
      <c r="P29" s="108"/>
      <c r="R29" s="29">
        <f t="shared" si="5"/>
        <v>0</v>
      </c>
      <c r="S29" s="108"/>
    </row>
    <row r="30" spans="1:19" x14ac:dyDescent="0.2">
      <c r="A30" s="18">
        <f t="shared" si="0"/>
        <v>22</v>
      </c>
      <c r="B30" s="164" t="str">
        <f>'Exh CTM-8 (Res Bill Summary)'!Q33</f>
        <v>Schedule 141A Energy Charge Credit</v>
      </c>
      <c r="C30" s="29">
        <f>'Exh CTM-8 Typical Res Bill RY#1'!AG30</f>
        <v>1.7420000000000001E-3</v>
      </c>
      <c r="D30" s="108"/>
      <c r="E30" s="113"/>
      <c r="F30" s="29">
        <f t="shared" si="1"/>
        <v>1.7420000000000001E-3</v>
      </c>
      <c r="G30" s="108"/>
      <c r="I30" s="29">
        <f t="shared" si="2"/>
        <v>1.7420000000000001E-3</v>
      </c>
      <c r="J30" s="108"/>
      <c r="K30" s="108"/>
      <c r="L30" s="29">
        <f t="shared" si="3"/>
        <v>1.7420000000000001E-3</v>
      </c>
      <c r="M30" s="108"/>
      <c r="N30" s="108"/>
      <c r="O30" s="29">
        <f t="shared" si="4"/>
        <v>1.7420000000000001E-3</v>
      </c>
      <c r="P30" s="108"/>
      <c r="R30" s="29">
        <f t="shared" si="5"/>
        <v>1.7420000000000001E-3</v>
      </c>
      <c r="S30" s="108"/>
    </row>
    <row r="31" spans="1:19" x14ac:dyDescent="0.2">
      <c r="A31" s="18">
        <f t="shared" si="0"/>
        <v>23</v>
      </c>
      <c r="B31" s="164" t="str">
        <f>'Exh CTM-8 (Res Bill Summary)'!Q34</f>
        <v>Schedule 141CEI Clean Energy Implementation Plan</v>
      </c>
      <c r="C31" s="29">
        <f>'Exh CTM-8 Typical Res Bill RY#1'!AG31</f>
        <v>0</v>
      </c>
      <c r="D31" s="108"/>
      <c r="E31" s="113"/>
      <c r="F31" s="29">
        <f t="shared" si="1"/>
        <v>0</v>
      </c>
      <c r="G31" s="108"/>
      <c r="I31" s="29">
        <f t="shared" si="2"/>
        <v>0</v>
      </c>
      <c r="J31" s="108"/>
      <c r="K31" s="108"/>
      <c r="L31" s="29">
        <f t="shared" si="3"/>
        <v>0</v>
      </c>
      <c r="M31" s="108"/>
      <c r="N31" s="108"/>
      <c r="O31" s="29">
        <f t="shared" si="4"/>
        <v>0</v>
      </c>
      <c r="P31" s="108"/>
      <c r="R31" s="29">
        <f t="shared" si="5"/>
        <v>0</v>
      </c>
      <c r="S31" s="108"/>
    </row>
    <row r="32" spans="1:19" x14ac:dyDescent="0.2">
      <c r="A32" s="18">
        <f t="shared" si="0"/>
        <v>24</v>
      </c>
      <c r="B32" s="164" t="str">
        <f>'Exh CTM-8 (Res Bill Summary)'!Q35</f>
        <v>Schedule 141CGR Clean Generation Resources</v>
      </c>
      <c r="C32" s="29">
        <f>'Exh CTM-8 Typical Res Bill RY#1'!AG32</f>
        <v>3.6546388924765497E-3</v>
      </c>
      <c r="D32" s="108"/>
      <c r="E32" s="113"/>
      <c r="F32" s="29">
        <f t="shared" si="1"/>
        <v>3.6546388924765497E-3</v>
      </c>
      <c r="G32" s="108"/>
      <c r="I32" s="29">
        <f>'Exh CTM-8 (Res Bill Summary)'!W35</f>
        <v>4.5261007972291056E-3</v>
      </c>
      <c r="J32" s="108"/>
      <c r="K32" s="108"/>
      <c r="L32" s="29">
        <f t="shared" si="3"/>
        <v>3.6546388924765497E-3</v>
      </c>
      <c r="M32" s="108"/>
      <c r="N32" s="108"/>
      <c r="O32" s="29">
        <f t="shared" si="4"/>
        <v>3.6546388924765497E-3</v>
      </c>
      <c r="P32" s="108"/>
      <c r="R32" s="29">
        <f>+I32</f>
        <v>4.5261007972291056E-3</v>
      </c>
      <c r="S32" s="108"/>
    </row>
    <row r="33" spans="1:19" x14ac:dyDescent="0.2">
      <c r="A33" s="18">
        <f t="shared" si="0"/>
        <v>25</v>
      </c>
      <c r="B33" s="164" t="str">
        <f>'Exh CTM-8 (Res Bill Summary)'!Q36</f>
        <v>Schedule 141DCARB Decarbonization</v>
      </c>
      <c r="C33" s="29">
        <f>'Exh CTM-8 Typical Res Bill RY#1'!AG33</f>
        <v>5.8928686002258457E-4</v>
      </c>
      <c r="D33" s="108"/>
      <c r="E33" s="113"/>
      <c r="F33" s="29">
        <f t="shared" si="1"/>
        <v>5.8928686002258457E-4</v>
      </c>
      <c r="G33" s="108"/>
      <c r="I33" s="29">
        <f t="shared" ref="I33:I43" si="6">+$C33</f>
        <v>5.8928686002258457E-4</v>
      </c>
      <c r="J33" s="108"/>
      <c r="K33" s="108"/>
      <c r="L33" s="29">
        <f>'Exh CTM-8 (Res Bill Summary)'!W36</f>
        <v>5.8056447867048497E-4</v>
      </c>
      <c r="M33" s="108"/>
      <c r="N33" s="108"/>
      <c r="O33" s="29">
        <f t="shared" si="4"/>
        <v>5.8928686002258457E-4</v>
      </c>
      <c r="P33" s="108"/>
      <c r="R33" s="29">
        <f>+L33</f>
        <v>5.8056447867048497E-4</v>
      </c>
      <c r="S33" s="108"/>
    </row>
    <row r="34" spans="1:19" x14ac:dyDescent="0.2">
      <c r="A34" s="18">
        <f t="shared" si="0"/>
        <v>26</v>
      </c>
      <c r="B34" s="164" t="str">
        <f>'Exh CTM-8 (Res Bill Summary)'!Q37</f>
        <v>Schedule 141COL Colstrip Adjustment</v>
      </c>
      <c r="C34" s="29">
        <f>'Exh CTM-8 Typical Res Bill RY#1'!AG34</f>
        <v>2.7260000000000001E-3</v>
      </c>
      <c r="D34" s="108"/>
      <c r="E34" s="113"/>
      <c r="F34" s="29">
        <f t="shared" si="1"/>
        <v>2.7260000000000001E-3</v>
      </c>
      <c r="G34" s="108"/>
      <c r="I34" s="29">
        <f t="shared" si="6"/>
        <v>2.7260000000000001E-3</v>
      </c>
      <c r="J34" s="108"/>
      <c r="K34" s="108"/>
      <c r="L34" s="29">
        <f t="shared" ref="L34:L43" si="7">+$C34</f>
        <v>2.7260000000000001E-3</v>
      </c>
      <c r="M34" s="108"/>
      <c r="N34" s="108"/>
      <c r="O34" s="29">
        <f t="shared" si="4"/>
        <v>2.7260000000000001E-3</v>
      </c>
      <c r="P34" s="108"/>
      <c r="R34" s="29">
        <f>+C34</f>
        <v>2.7260000000000001E-3</v>
      </c>
      <c r="S34" s="108"/>
    </row>
    <row r="35" spans="1:19" x14ac:dyDescent="0.2">
      <c r="A35" s="18">
        <f t="shared" si="0"/>
        <v>27</v>
      </c>
      <c r="B35" s="164" t="str">
        <f>'Exh CTM-8 (Res Bill Summary)'!Q38</f>
        <v>Schedule 141N Rates Not Subject to Refund</v>
      </c>
      <c r="C35" s="29">
        <f>'Exh CTM-8 Typical Res Bill RY#1'!AG35</f>
        <v>0</v>
      </c>
      <c r="D35" s="108"/>
      <c r="E35" s="113"/>
      <c r="F35" s="29">
        <f t="shared" si="1"/>
        <v>0</v>
      </c>
      <c r="G35" s="108"/>
      <c r="I35" s="29">
        <f t="shared" si="6"/>
        <v>0</v>
      </c>
      <c r="J35" s="108"/>
      <c r="K35" s="108"/>
      <c r="L35" s="29">
        <f t="shared" si="7"/>
        <v>0</v>
      </c>
      <c r="M35" s="108"/>
      <c r="N35" s="108"/>
      <c r="O35" s="29">
        <f t="shared" si="4"/>
        <v>0</v>
      </c>
      <c r="P35" s="108"/>
      <c r="R35" s="29">
        <f>+C35</f>
        <v>0</v>
      </c>
      <c r="S35" s="108"/>
    </row>
    <row r="36" spans="1:19" x14ac:dyDescent="0.2">
      <c r="A36" s="18">
        <f t="shared" si="0"/>
        <v>28</v>
      </c>
      <c r="B36" s="164" t="str">
        <f>'Exh CTM-8 (Res Bill Summary)'!Q39</f>
        <v>Schedule 141R Rates Subject to Refund</v>
      </c>
      <c r="C36" s="29">
        <f>'Exh CTM-8 Typical Res Bill RY#1'!AG36</f>
        <v>0</v>
      </c>
      <c r="D36" s="108"/>
      <c r="E36" s="113"/>
      <c r="F36" s="29">
        <f t="shared" si="1"/>
        <v>0</v>
      </c>
      <c r="G36" s="108"/>
      <c r="I36" s="29">
        <f t="shared" si="6"/>
        <v>0</v>
      </c>
      <c r="J36" s="108"/>
      <c r="K36" s="108"/>
      <c r="L36" s="29">
        <f t="shared" si="7"/>
        <v>0</v>
      </c>
      <c r="M36" s="108"/>
      <c r="N36" s="108"/>
      <c r="O36" s="29">
        <f t="shared" si="4"/>
        <v>0</v>
      </c>
      <c r="P36" s="108"/>
      <c r="R36" s="29">
        <f>+C36</f>
        <v>0</v>
      </c>
      <c r="S36" s="108"/>
    </row>
    <row r="37" spans="1:19" x14ac:dyDescent="0.2">
      <c r="A37" s="18">
        <f t="shared" si="0"/>
        <v>29</v>
      </c>
      <c r="B37" s="164" t="str">
        <f>'Exh CTM-8 (Res Bill Summary)'!Q40</f>
        <v>Schedule 141 TEP</v>
      </c>
      <c r="C37" s="29">
        <f>'Exh CTM-8 Typical Res Bill RY#1'!AG37</f>
        <v>3.19E-4</v>
      </c>
      <c r="D37" s="108"/>
      <c r="E37" s="113"/>
      <c r="F37" s="29">
        <f t="shared" si="1"/>
        <v>3.19E-4</v>
      </c>
      <c r="G37" s="108"/>
      <c r="I37" s="29">
        <f t="shared" si="6"/>
        <v>3.19E-4</v>
      </c>
      <c r="J37" s="108"/>
      <c r="K37" s="108"/>
      <c r="L37" s="29">
        <f t="shared" si="7"/>
        <v>3.19E-4</v>
      </c>
      <c r="M37" s="108"/>
      <c r="N37" s="108"/>
      <c r="O37" s="29">
        <f t="shared" si="4"/>
        <v>3.19E-4</v>
      </c>
      <c r="P37" s="108"/>
      <c r="R37" s="29">
        <f>+C37</f>
        <v>3.19E-4</v>
      </c>
      <c r="S37" s="108"/>
    </row>
    <row r="38" spans="1:19" x14ac:dyDescent="0.2">
      <c r="A38" s="18">
        <f t="shared" si="0"/>
        <v>30</v>
      </c>
      <c r="B38" s="164" t="str">
        <f>'Exh CTM-8 (Res Bill Summary)'!Q41</f>
        <v>Schedule 141WFP Wildfire Prevention Cost Recovery</v>
      </c>
      <c r="C38" s="29">
        <f>'Exh CTM-8 Typical Res Bill RY#1'!AG38</f>
        <v>1.4121617168578967E-3</v>
      </c>
      <c r="D38" s="108"/>
      <c r="E38" s="113"/>
      <c r="F38" s="29">
        <f t="shared" si="1"/>
        <v>1.4121617168578967E-3</v>
      </c>
      <c r="G38" s="108"/>
      <c r="I38" s="29">
        <f t="shared" si="6"/>
        <v>1.4121617168578967E-3</v>
      </c>
      <c r="J38" s="108"/>
      <c r="K38" s="108"/>
      <c r="L38" s="29">
        <f t="shared" si="7"/>
        <v>1.4121617168578967E-3</v>
      </c>
      <c r="M38" s="108"/>
      <c r="N38" s="108"/>
      <c r="O38" s="29">
        <f>'Exh CTM-8 (Res Bill Summary)'!W41</f>
        <v>1.7370387957768129E-3</v>
      </c>
      <c r="P38" s="108"/>
      <c r="R38" s="29">
        <f>+O38</f>
        <v>1.7370387957768129E-3</v>
      </c>
      <c r="S38" s="108"/>
    </row>
    <row r="39" spans="1:19" x14ac:dyDescent="0.2">
      <c r="A39" s="18">
        <f t="shared" si="0"/>
        <v>31</v>
      </c>
      <c r="B39" s="164" t="str">
        <f>'Exh CTM-8 (Res Bill Summary)'!Q42</f>
        <v>Schedule 141X (Protected) EDIT</v>
      </c>
      <c r="C39" s="29">
        <f>'Exh CTM-8 Typical Res Bill RY#1'!AG39</f>
        <v>0</v>
      </c>
      <c r="D39" s="108"/>
      <c r="E39" s="113"/>
      <c r="F39" s="29">
        <f t="shared" si="1"/>
        <v>0</v>
      </c>
      <c r="G39" s="108"/>
      <c r="I39" s="29">
        <f t="shared" si="6"/>
        <v>0</v>
      </c>
      <c r="J39" s="108"/>
      <c r="K39" s="108"/>
      <c r="L39" s="29">
        <f t="shared" si="7"/>
        <v>0</v>
      </c>
      <c r="M39" s="108"/>
      <c r="N39" s="108"/>
      <c r="O39" s="29">
        <f>+$C39</f>
        <v>0</v>
      </c>
      <c r="P39" s="108"/>
      <c r="R39" s="29">
        <f>+C39</f>
        <v>0</v>
      </c>
      <c r="S39" s="108"/>
    </row>
    <row r="40" spans="1:19" x14ac:dyDescent="0.2">
      <c r="A40" s="18">
        <f t="shared" si="0"/>
        <v>32</v>
      </c>
      <c r="B40" s="164" t="str">
        <f>'Exh CTM-8 (Res Bill Summary)'!Q43</f>
        <v>Schedule 141Z (Unprotected) EDIT</v>
      </c>
      <c r="C40" s="29">
        <f>'Exh CTM-8 Typical Res Bill RY#1'!AG40</f>
        <v>0</v>
      </c>
      <c r="D40" s="108"/>
      <c r="E40" s="113"/>
      <c r="F40" s="29">
        <f t="shared" si="1"/>
        <v>0</v>
      </c>
      <c r="G40" s="108"/>
      <c r="I40" s="29">
        <f t="shared" si="6"/>
        <v>0</v>
      </c>
      <c r="J40" s="108"/>
      <c r="K40" s="108"/>
      <c r="L40" s="29">
        <f t="shared" si="7"/>
        <v>0</v>
      </c>
      <c r="M40" s="108"/>
      <c r="N40" s="108"/>
      <c r="O40" s="29">
        <f>+$C40</f>
        <v>0</v>
      </c>
      <c r="P40" s="108"/>
      <c r="R40" s="29">
        <f>+C40</f>
        <v>0</v>
      </c>
      <c r="S40" s="108"/>
    </row>
    <row r="41" spans="1:19" x14ac:dyDescent="0.2">
      <c r="A41" s="18">
        <f t="shared" si="0"/>
        <v>33</v>
      </c>
      <c r="B41" s="164" t="str">
        <f>'Exh CTM-8 (Res Bill Summary)'!Q44</f>
        <v>Schedule 142  Deocupling Deferral</v>
      </c>
      <c r="C41" s="29">
        <f>'Exh CTM-8 Typical Res Bill RY#1'!AG41</f>
        <v>-3.4759999999999999E-3</v>
      </c>
      <c r="D41" s="108"/>
      <c r="F41" s="29">
        <f t="shared" si="1"/>
        <v>-3.4759999999999999E-3</v>
      </c>
      <c r="G41" s="108"/>
      <c r="I41" s="29">
        <f t="shared" si="6"/>
        <v>-3.4759999999999999E-3</v>
      </c>
      <c r="L41" s="29">
        <f t="shared" si="7"/>
        <v>-3.4759999999999999E-3</v>
      </c>
      <c r="O41" s="29">
        <f>+$C41</f>
        <v>-3.4759999999999999E-3</v>
      </c>
      <c r="R41" s="29">
        <f>+C41</f>
        <v>-3.4759999999999999E-3</v>
      </c>
    </row>
    <row r="42" spans="1:19" x14ac:dyDescent="0.2">
      <c r="A42" s="18">
        <f t="shared" si="0"/>
        <v>34</v>
      </c>
      <c r="B42" s="164" t="str">
        <f>'Exh CTM-8 (Res Bill Summary)'!Q45</f>
        <v>Schedule 142 Deocupling Supplemental</v>
      </c>
      <c r="C42" s="29">
        <f>'Exh CTM-8 Typical Res Bill RY#1'!AG42</f>
        <v>0</v>
      </c>
      <c r="D42" s="108"/>
      <c r="E42" s="113"/>
      <c r="F42" s="29">
        <f t="shared" si="1"/>
        <v>0</v>
      </c>
      <c r="G42" s="108"/>
      <c r="I42" s="29">
        <f t="shared" si="6"/>
        <v>0</v>
      </c>
      <c r="J42" s="108"/>
      <c r="K42" s="108"/>
      <c r="L42" s="29">
        <f t="shared" si="7"/>
        <v>0</v>
      </c>
      <c r="M42" s="108"/>
      <c r="N42" s="108"/>
      <c r="O42" s="29">
        <f>+$C42</f>
        <v>0</v>
      </c>
      <c r="P42" s="108"/>
      <c r="R42" s="29">
        <f>+C42</f>
        <v>0</v>
      </c>
      <c r="S42" s="108"/>
    </row>
    <row r="43" spans="1:19" x14ac:dyDescent="0.2">
      <c r="A43" s="18">
        <f t="shared" si="0"/>
        <v>35</v>
      </c>
      <c r="B43" s="164" t="str">
        <f>'Exh CTM-8 (Res Bill Summary)'!Q46</f>
        <v>Schedule 194 BPA Res &amp; Farm Credit</v>
      </c>
      <c r="C43" s="29">
        <f>'Exh CTM-8 Typical Res Bill RY#1'!AG43</f>
        <v>-7.5339999999999999E-3</v>
      </c>
      <c r="D43" s="108"/>
      <c r="E43" s="113"/>
      <c r="F43" s="29">
        <f t="shared" si="1"/>
        <v>-7.5339999999999999E-3</v>
      </c>
      <c r="G43" s="108"/>
      <c r="I43" s="29">
        <f t="shared" si="6"/>
        <v>-7.5339999999999999E-3</v>
      </c>
      <c r="J43" s="108"/>
      <c r="K43" s="108"/>
      <c r="L43" s="29">
        <f t="shared" si="7"/>
        <v>-7.5339999999999999E-3</v>
      </c>
      <c r="M43" s="108"/>
      <c r="N43" s="108"/>
      <c r="O43" s="29">
        <f>+$C43</f>
        <v>-7.5339999999999999E-3</v>
      </c>
      <c r="P43" s="108"/>
      <c r="R43" s="29">
        <f>+C43</f>
        <v>-7.5339999999999999E-3</v>
      </c>
      <c r="S43" s="108"/>
    </row>
    <row r="44" spans="1:19" x14ac:dyDescent="0.2">
      <c r="A44" s="18">
        <f t="shared" si="0"/>
        <v>36</v>
      </c>
      <c r="B44" s="30"/>
      <c r="C44" s="29"/>
      <c r="D44" s="108"/>
      <c r="E44" s="113"/>
      <c r="F44" s="29"/>
      <c r="G44" s="108"/>
      <c r="I44" s="29"/>
      <c r="J44" s="108"/>
      <c r="K44" s="108"/>
      <c r="L44" s="29"/>
      <c r="M44" s="108"/>
      <c r="N44" s="108"/>
      <c r="O44" s="29"/>
      <c r="P44" s="108"/>
      <c r="R44" s="29"/>
      <c r="S44" s="108"/>
    </row>
    <row r="45" spans="1:19" x14ac:dyDescent="0.2">
      <c r="A45" s="18">
        <f t="shared" si="0"/>
        <v>37</v>
      </c>
      <c r="B45" s="114" t="s">
        <v>139</v>
      </c>
      <c r="C45" s="29">
        <f>SUM(C16,C19:C43)</f>
        <v>0.12912108746935702</v>
      </c>
      <c r="D45" s="108">
        <f>ROUND(IF(C9&lt;600,C9*C45,600*C45),2)</f>
        <v>77.47</v>
      </c>
      <c r="E45" s="113"/>
      <c r="F45" s="29">
        <f>SUM(F16,F19:F43)</f>
        <v>0.13828008746935705</v>
      </c>
      <c r="G45" s="108">
        <f>ROUND(IF(F9&lt;600,F9*F45,600*F45),2)</f>
        <v>82.97</v>
      </c>
      <c r="I45" s="29">
        <f>SUM(I16,I19:I43)</f>
        <v>0.12999254937410956</v>
      </c>
      <c r="J45" s="108">
        <f>ROUND(IF(I9&lt;600,I9*I45,600*I45),2)</f>
        <v>78</v>
      </c>
      <c r="K45" s="108"/>
      <c r="L45" s="29">
        <f>SUM(L16,L19:L43)</f>
        <v>0.12911236508800494</v>
      </c>
      <c r="M45" s="108">
        <f>ROUND(IF(L9&lt;600,L9*L45,600*L45),2)</f>
        <v>77.47</v>
      </c>
      <c r="N45" s="108"/>
      <c r="O45" s="29">
        <f>SUM(O16,O19:O43)</f>
        <v>0.12944596454827592</v>
      </c>
      <c r="P45" s="108">
        <f>ROUND(IF(O9&lt;600,O9*O45,600*O45),2)</f>
        <v>77.67</v>
      </c>
      <c r="R45" s="29">
        <f>SUM(R16,R19:R43)</f>
        <v>0.13946770407167641</v>
      </c>
      <c r="S45" s="108">
        <f>ROUND(IF(R9&lt;600,R9*R45,600*R45),2)</f>
        <v>83.68</v>
      </c>
    </row>
    <row r="46" spans="1:19" x14ac:dyDescent="0.2">
      <c r="A46" s="18">
        <f t="shared" si="0"/>
        <v>38</v>
      </c>
      <c r="B46" s="114" t="s">
        <v>138</v>
      </c>
      <c r="C46" s="29">
        <f>SUM(C17,C19:C43)</f>
        <v>0.14853808746935704</v>
      </c>
      <c r="D46" s="108">
        <f>ROUND(IF(C9&lt;600,0,(C9-600)*C46),2)</f>
        <v>29.71</v>
      </c>
      <c r="E46" s="113"/>
      <c r="F46" s="29">
        <f>SUM(F17,F19:F43)</f>
        <v>0.15769708746935704</v>
      </c>
      <c r="G46" s="108">
        <f>ROUND(IF(F9&lt;600,0,(F9-600)*F46),2)</f>
        <v>31.54</v>
      </c>
      <c r="I46" s="29">
        <f>SUM(I17,I19:I43)</f>
        <v>0.14940954937410958</v>
      </c>
      <c r="J46" s="108">
        <f>ROUND(IF(I9&lt;600,0,(I9-600)*I46),2)</f>
        <v>29.88</v>
      </c>
      <c r="K46" s="108"/>
      <c r="L46" s="29">
        <f>SUM(L17,L19:L43)</f>
        <v>0.14852936508800496</v>
      </c>
      <c r="M46" s="108">
        <f>ROUND(IF(L9&lt;600,0,(L9-600)*L46),2)</f>
        <v>29.71</v>
      </c>
      <c r="N46" s="108"/>
      <c r="O46" s="29">
        <f>SUM(O17,O19:O43)</f>
        <v>0.14886296454827594</v>
      </c>
      <c r="P46" s="108">
        <f>ROUND(IF(O9&lt;600,0,(O9-600)*O46),2)</f>
        <v>29.77</v>
      </c>
      <c r="R46" s="29">
        <f>SUM(R17,R19:R43)</f>
        <v>0.1588847040716764</v>
      </c>
      <c r="S46" s="108">
        <f>ROUND(IF(R9&lt;600,0,(R9-600)*R46),2)</f>
        <v>31.78</v>
      </c>
    </row>
    <row r="47" spans="1:19" x14ac:dyDescent="0.2">
      <c r="A47" s="18">
        <f t="shared" si="0"/>
        <v>39</v>
      </c>
      <c r="B47" s="110" t="s">
        <v>137</v>
      </c>
      <c r="D47" s="111">
        <f>SUM(D45:D46)</f>
        <v>107.18</v>
      </c>
      <c r="G47" s="111">
        <f>SUM(G45:G46)</f>
        <v>114.50999999999999</v>
      </c>
      <c r="J47" s="111">
        <f>SUM(J45:J46)</f>
        <v>107.88</v>
      </c>
      <c r="K47" s="108"/>
      <c r="M47" s="111">
        <f>SUM(M45:M46)</f>
        <v>107.18</v>
      </c>
      <c r="N47" s="108"/>
      <c r="P47" s="111">
        <f>SUM(P45:P46)</f>
        <v>107.44</v>
      </c>
      <c r="S47" s="111">
        <f>SUM(S45:S46)</f>
        <v>115.46000000000001</v>
      </c>
    </row>
    <row r="48" spans="1:19" x14ac:dyDescent="0.2">
      <c r="A48" s="18">
        <f t="shared" si="0"/>
        <v>40</v>
      </c>
      <c r="D48" s="109"/>
      <c r="G48" s="108"/>
      <c r="J48" s="108"/>
      <c r="K48" s="108"/>
      <c r="M48" s="108"/>
      <c r="N48" s="108"/>
      <c r="P48" s="108"/>
      <c r="S48" s="108"/>
    </row>
    <row r="49" spans="1:19" x14ac:dyDescent="0.2">
      <c r="A49" s="18">
        <f t="shared" si="0"/>
        <v>41</v>
      </c>
      <c r="B49" s="23" t="s">
        <v>136</v>
      </c>
      <c r="C49" s="109"/>
      <c r="D49" s="108">
        <f>D13+D47</f>
        <v>116.92</v>
      </c>
      <c r="E49" s="109"/>
      <c r="F49" s="109"/>
      <c r="G49" s="108">
        <f>G13+G47</f>
        <v>127.16999999999999</v>
      </c>
      <c r="I49" s="109"/>
      <c r="J49" s="108">
        <f>J13+J47</f>
        <v>117.61999999999999</v>
      </c>
      <c r="K49" s="108"/>
      <c r="L49" s="109"/>
      <c r="M49" s="108">
        <f>M13+M47</f>
        <v>116.92</v>
      </c>
      <c r="N49" s="108"/>
      <c r="O49" s="109"/>
      <c r="P49" s="108">
        <f>P13+P47</f>
        <v>117.17999999999999</v>
      </c>
      <c r="R49" s="109"/>
      <c r="S49" s="108">
        <f>S13+S47</f>
        <v>128.12</v>
      </c>
    </row>
    <row r="50" spans="1:19" x14ac:dyDescent="0.2">
      <c r="A50" s="18">
        <f t="shared" si="0"/>
        <v>42</v>
      </c>
      <c r="B50" s="23" t="s">
        <v>135</v>
      </c>
      <c r="C50" s="109"/>
      <c r="D50" s="108"/>
      <c r="E50" s="109"/>
      <c r="F50" s="109"/>
      <c r="G50" s="108">
        <f>G49-$D49</f>
        <v>10.249999999999986</v>
      </c>
      <c r="I50" s="109"/>
      <c r="J50" s="108">
        <f>J49-$D49</f>
        <v>0.69999999999998863</v>
      </c>
      <c r="K50" s="108"/>
      <c r="L50" s="109"/>
      <c r="M50" s="108">
        <f>M49-$D49</f>
        <v>0</v>
      </c>
      <c r="N50" s="108"/>
      <c r="O50" s="109"/>
      <c r="P50" s="108">
        <f>P49-$D49</f>
        <v>0.25999999999999091</v>
      </c>
      <c r="R50" s="109"/>
      <c r="S50" s="108">
        <f>S49-$D49</f>
        <v>11.200000000000003</v>
      </c>
    </row>
    <row r="51" spans="1:19" x14ac:dyDescent="0.2">
      <c r="A51" s="18">
        <f t="shared" si="0"/>
        <v>43</v>
      </c>
      <c r="B51" s="23" t="s">
        <v>134</v>
      </c>
      <c r="C51" s="75"/>
      <c r="D51" s="75"/>
      <c r="E51" s="75"/>
      <c r="F51" s="75"/>
      <c r="G51" s="51">
        <f>G50/$D49</f>
        <v>8.7666780704755268E-2</v>
      </c>
      <c r="I51" s="75"/>
      <c r="J51" s="51">
        <f>J50/$D49</f>
        <v>5.9869996578856364E-3</v>
      </c>
      <c r="K51" s="51"/>
      <c r="L51" s="75"/>
      <c r="M51" s="51">
        <f>M50/$D49</f>
        <v>0</v>
      </c>
      <c r="N51" s="51"/>
      <c r="O51" s="75"/>
      <c r="P51" s="51">
        <f>P50/$D49</f>
        <v>2.223742730071766E-3</v>
      </c>
      <c r="R51" s="75"/>
      <c r="S51" s="51">
        <f>S50/$D49</f>
        <v>9.5791994526171764E-2</v>
      </c>
    </row>
    <row r="52" spans="1:19" x14ac:dyDescent="0.2">
      <c r="A52" s="18">
        <f t="shared" si="0"/>
        <v>44</v>
      </c>
      <c r="D52" s="108"/>
    </row>
    <row r="53" spans="1:19" x14ac:dyDescent="0.2">
      <c r="A53" s="18">
        <f t="shared" si="0"/>
        <v>45</v>
      </c>
      <c r="B53" s="82" t="s">
        <v>166</v>
      </c>
      <c r="C53" s="79"/>
    </row>
    <row r="55" spans="1:19" x14ac:dyDescent="0.2">
      <c r="B55" s="158"/>
    </row>
  </sheetData>
  <mergeCells count="11">
    <mergeCell ref="O6:P6"/>
    <mergeCell ref="C6:D6"/>
    <mergeCell ref="F6:G6"/>
    <mergeCell ref="A1:T1"/>
    <mergeCell ref="A2:T2"/>
    <mergeCell ref="A3:T3"/>
    <mergeCell ref="A4:T4"/>
    <mergeCell ref="R6:S6"/>
    <mergeCell ref="I5:P5"/>
    <mergeCell ref="I6:J6"/>
    <mergeCell ref="L6:M6"/>
  </mergeCells>
  <pageMargins left="0.7" right="0.7" top="0.75" bottom="0.75" header="0.3" footer="0.3"/>
  <pageSetup scale="68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72D9-E038-4720-B689-4F71D55080D6}">
  <sheetPr>
    <pageSetUpPr fitToPage="1"/>
  </sheetPr>
  <dimension ref="A1:AG50"/>
  <sheetViews>
    <sheetView zoomScaleNormal="100" zoomScaleSheetLayoutView="100" workbookViewId="0">
      <pane ySplit="10" topLeftCell="A11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5703125" style="35" customWidth="1"/>
    <col min="2" max="2" width="8.7109375" style="35" customWidth="1"/>
    <col min="3" max="3" width="7.140625" style="35" bestFit="1" customWidth="1"/>
    <col min="4" max="4" width="6.5703125" style="35" bestFit="1" customWidth="1"/>
    <col min="5" max="5" width="0.7109375" style="35" customWidth="1"/>
    <col min="6" max="9" width="6.85546875" style="35" bestFit="1" customWidth="1"/>
    <col min="10" max="10" width="0.7109375" style="35" customWidth="1"/>
    <col min="11" max="13" width="6.5703125" style="35" bestFit="1" customWidth="1"/>
    <col min="14" max="14" width="7.140625" style="35" bestFit="1" customWidth="1"/>
    <col min="15" max="15" width="0.7109375" style="35" customWidth="1"/>
    <col min="16" max="19" width="6.5703125" style="35" bestFit="1" customWidth="1"/>
    <col min="20" max="20" width="0.85546875" style="35" customWidth="1"/>
    <col min="21" max="21" width="38.5703125" style="35" bestFit="1" customWidth="1"/>
    <col min="22" max="22" width="11.140625" style="35" bestFit="1" customWidth="1"/>
    <col min="23" max="23" width="11" style="35" bestFit="1" customWidth="1"/>
    <col min="24" max="24" width="1.140625" style="35" customWidth="1"/>
    <col min="25" max="25" width="11.140625" style="35" bestFit="1" customWidth="1"/>
    <col min="26" max="26" width="11" style="35" bestFit="1" customWidth="1"/>
    <col min="27" max="27" width="11.140625" style="35" bestFit="1" customWidth="1"/>
    <col min="28" max="28" width="11" style="35" bestFit="1" customWidth="1"/>
    <col min="29" max="29" width="0.85546875" style="35" customWidth="1"/>
    <col min="30" max="30" width="11.140625" style="35" bestFit="1" customWidth="1"/>
    <col min="31" max="31" width="11" style="35" bestFit="1" customWidth="1"/>
    <col min="32" max="32" width="11.140625" style="35" customWidth="1"/>
    <col min="33" max="33" width="11" style="35" bestFit="1" customWidth="1"/>
    <col min="34" max="16384" width="9.42578125" style="35"/>
  </cols>
  <sheetData>
    <row r="1" spans="1:33" ht="12.75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</row>
    <row r="2" spans="1:33" ht="12.75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</row>
    <row r="3" spans="1:33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</row>
    <row r="4" spans="1:33" ht="12.75" x14ac:dyDescent="0.2">
      <c r="A4" s="207" t="s">
        <v>191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</row>
    <row r="5" spans="1:33" ht="12.75" customHeight="1" x14ac:dyDescent="0.2">
      <c r="A5" s="163"/>
      <c r="B5" s="217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163"/>
      <c r="R5" s="163"/>
      <c r="S5" s="88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</row>
    <row r="6" spans="1:33" ht="12" thickBot="1" x14ac:dyDescent="0.25"/>
    <row r="7" spans="1:33" ht="13.5" thickBot="1" x14ac:dyDescent="0.25">
      <c r="A7" s="34"/>
      <c r="B7" s="34"/>
      <c r="C7" s="219" t="s">
        <v>190</v>
      </c>
      <c r="D7" s="221"/>
      <c r="E7" s="221"/>
      <c r="F7" s="221"/>
      <c r="G7" s="221"/>
      <c r="H7" s="206"/>
      <c r="I7" s="203"/>
      <c r="J7" s="34"/>
      <c r="K7" s="219" t="s">
        <v>189</v>
      </c>
      <c r="L7" s="221"/>
      <c r="M7" s="206"/>
      <c r="N7" s="203"/>
      <c r="O7" s="34"/>
      <c r="P7" s="219" t="s">
        <v>188</v>
      </c>
      <c r="Q7" s="221"/>
      <c r="R7" s="206"/>
      <c r="S7" s="203"/>
      <c r="T7" s="83"/>
      <c r="U7" s="34"/>
      <c r="V7" s="34"/>
      <c r="W7" s="34"/>
      <c r="Y7" s="192" t="s">
        <v>128</v>
      </c>
      <c r="Z7" s="214"/>
      <c r="AA7" s="214"/>
      <c r="AB7" s="193"/>
      <c r="AD7" s="192" t="s">
        <v>127</v>
      </c>
      <c r="AE7" s="214"/>
      <c r="AF7" s="214"/>
      <c r="AG7" s="193"/>
    </row>
    <row r="8" spans="1:33" ht="34.5" customHeight="1" x14ac:dyDescent="0.2">
      <c r="A8" s="34"/>
      <c r="B8" s="34"/>
      <c r="C8" s="219" t="s">
        <v>187</v>
      </c>
      <c r="D8" s="220"/>
      <c r="E8" s="34"/>
      <c r="F8" s="219" t="s">
        <v>186</v>
      </c>
      <c r="G8" s="220"/>
      <c r="H8" s="219" t="s">
        <v>185</v>
      </c>
      <c r="I8" s="220"/>
      <c r="J8" s="34"/>
      <c r="K8" s="209" t="s">
        <v>184</v>
      </c>
      <c r="L8" s="210"/>
      <c r="M8" s="209" t="s">
        <v>183</v>
      </c>
      <c r="N8" s="210"/>
      <c r="O8" s="34"/>
      <c r="P8" s="209" t="s">
        <v>184</v>
      </c>
      <c r="Q8" s="210"/>
      <c r="R8" s="209" t="s">
        <v>183</v>
      </c>
      <c r="S8" s="210"/>
      <c r="T8" s="83"/>
      <c r="U8" s="156"/>
      <c r="V8" s="211" t="s">
        <v>120</v>
      </c>
      <c r="W8" s="212"/>
      <c r="Y8" s="215" t="s">
        <v>119</v>
      </c>
      <c r="Z8" s="216"/>
      <c r="AA8" s="211" t="s">
        <v>118</v>
      </c>
      <c r="AB8" s="212"/>
      <c r="AD8" s="215" t="s">
        <v>119</v>
      </c>
      <c r="AE8" s="216"/>
      <c r="AF8" s="211" t="s">
        <v>118</v>
      </c>
      <c r="AG8" s="212"/>
    </row>
    <row r="9" spans="1:33" ht="22.5" x14ac:dyDescent="0.2">
      <c r="A9" s="39" t="s">
        <v>126</v>
      </c>
      <c r="B9" s="40" t="s">
        <v>125</v>
      </c>
      <c r="C9" s="89" t="s">
        <v>182</v>
      </c>
      <c r="D9" s="90" t="s">
        <v>181</v>
      </c>
      <c r="E9" s="34"/>
      <c r="F9" s="89" t="s">
        <v>182</v>
      </c>
      <c r="G9" s="90" t="s">
        <v>181</v>
      </c>
      <c r="H9" s="89" t="s">
        <v>182</v>
      </c>
      <c r="I9" s="90" t="s">
        <v>181</v>
      </c>
      <c r="J9" s="34"/>
      <c r="K9" s="89" t="s">
        <v>182</v>
      </c>
      <c r="L9" s="90" t="s">
        <v>181</v>
      </c>
      <c r="M9" s="89" t="s">
        <v>182</v>
      </c>
      <c r="N9" s="90" t="s">
        <v>181</v>
      </c>
      <c r="O9" s="34"/>
      <c r="P9" s="89" t="s">
        <v>182</v>
      </c>
      <c r="Q9" s="90" t="s">
        <v>181</v>
      </c>
      <c r="R9" s="89" t="s">
        <v>182</v>
      </c>
      <c r="S9" s="90" t="s">
        <v>181</v>
      </c>
      <c r="T9" s="48"/>
      <c r="U9" s="41"/>
      <c r="V9" s="91" t="s">
        <v>180</v>
      </c>
      <c r="W9" s="92" t="s">
        <v>179</v>
      </c>
      <c r="X9" s="48"/>
      <c r="Y9" s="93" t="s">
        <v>180</v>
      </c>
      <c r="Z9" s="94" t="s">
        <v>179</v>
      </c>
      <c r="AA9" s="94" t="s">
        <v>180</v>
      </c>
      <c r="AB9" s="95" t="s">
        <v>179</v>
      </c>
      <c r="AC9" s="48"/>
      <c r="AD9" s="93" t="s">
        <v>180</v>
      </c>
      <c r="AE9" s="94" t="s">
        <v>179</v>
      </c>
      <c r="AF9" s="94" t="s">
        <v>180</v>
      </c>
      <c r="AG9" s="95" t="s">
        <v>179</v>
      </c>
    </row>
    <row r="10" spans="1:33" s="48" customFormat="1" x14ac:dyDescent="0.2">
      <c r="B10" s="48" t="s">
        <v>43</v>
      </c>
      <c r="C10" s="48" t="s">
        <v>42</v>
      </c>
      <c r="D10" s="48" t="s">
        <v>41</v>
      </c>
      <c r="F10" s="48" t="s">
        <v>40</v>
      </c>
      <c r="G10" s="48" t="s">
        <v>39</v>
      </c>
      <c r="H10" s="48" t="s">
        <v>83</v>
      </c>
      <c r="I10" s="48" t="s">
        <v>37</v>
      </c>
      <c r="K10" s="48" t="s">
        <v>117</v>
      </c>
      <c r="L10" s="48" t="s">
        <v>35</v>
      </c>
      <c r="M10" s="48" t="s">
        <v>116</v>
      </c>
      <c r="N10" s="48" t="s">
        <v>33</v>
      </c>
      <c r="P10" s="48" t="s">
        <v>115</v>
      </c>
      <c r="Q10" s="48" t="s">
        <v>31</v>
      </c>
      <c r="R10" s="48" t="s">
        <v>114</v>
      </c>
      <c r="S10" s="48" t="s">
        <v>29</v>
      </c>
      <c r="U10" s="46" t="s">
        <v>113</v>
      </c>
      <c r="V10" s="48" t="s">
        <v>27</v>
      </c>
      <c r="W10" s="47" t="s">
        <v>149</v>
      </c>
      <c r="Y10" s="46" t="s">
        <v>25</v>
      </c>
      <c r="Z10" s="48" t="s">
        <v>148</v>
      </c>
      <c r="AA10" s="48" t="s">
        <v>23</v>
      </c>
      <c r="AB10" s="47" t="s">
        <v>147</v>
      </c>
      <c r="AD10" s="46" t="s">
        <v>146</v>
      </c>
      <c r="AE10" s="48" t="s">
        <v>178</v>
      </c>
      <c r="AF10" s="48" t="s">
        <v>177</v>
      </c>
      <c r="AG10" s="47" t="s">
        <v>176</v>
      </c>
    </row>
    <row r="11" spans="1:33" x14ac:dyDescent="0.2">
      <c r="A11" s="35">
        <v>1</v>
      </c>
      <c r="B11" s="84">
        <v>500</v>
      </c>
      <c r="C11" s="85">
        <f>ROUND($V$11+$B11*$V$15,0)</f>
        <v>73</v>
      </c>
      <c r="D11" s="85">
        <f>ROUND($W$11+$B11*$W$15,0)</f>
        <v>89</v>
      </c>
      <c r="E11" s="85"/>
      <c r="F11" s="85">
        <f>ROUND($Y$11+$B11*$Y$15,0)</f>
        <v>80</v>
      </c>
      <c r="G11" s="85">
        <f>ROUND($Z$11+$B11*$Z$15,0)</f>
        <v>101</v>
      </c>
      <c r="H11" s="85">
        <f>ROUND($AD$11+$B11*$AD$15,0)</f>
        <v>89</v>
      </c>
      <c r="I11" s="85">
        <f>ROUND($AE$11+$B11*$AE$15,0)</f>
        <v>116</v>
      </c>
      <c r="K11" s="85">
        <f t="shared" ref="K11:L13" si="0">F11-C11</f>
        <v>7</v>
      </c>
      <c r="L11" s="85">
        <f t="shared" si="0"/>
        <v>12</v>
      </c>
      <c r="M11" s="85">
        <f t="shared" ref="M11:N13" si="1">H11-F11</f>
        <v>9</v>
      </c>
      <c r="N11" s="85">
        <f t="shared" si="1"/>
        <v>15</v>
      </c>
      <c r="P11" s="54">
        <f t="shared" ref="P11:Q13" si="2">ROUND(F11/C11-1,4)</f>
        <v>9.5899999999999999E-2</v>
      </c>
      <c r="Q11" s="54">
        <f t="shared" si="2"/>
        <v>0.1348</v>
      </c>
      <c r="R11" s="54">
        <f t="shared" ref="R11:S13" si="3">ROUND(H11/F11-1,4)</f>
        <v>0.1125</v>
      </c>
      <c r="S11" s="54">
        <f t="shared" si="3"/>
        <v>0.14849999999999999</v>
      </c>
      <c r="T11" s="54"/>
      <c r="U11" s="58" t="s">
        <v>175</v>
      </c>
      <c r="V11" s="96">
        <f>SUM(V18)</f>
        <v>10.210000000000001</v>
      </c>
      <c r="W11" s="53">
        <f>SUM(W18)</f>
        <v>25.95</v>
      </c>
      <c r="X11" s="54"/>
      <c r="Y11" s="6">
        <f>SUM(Y18)</f>
        <v>13.27</v>
      </c>
      <c r="Z11" s="5">
        <f>SUM(Z18)</f>
        <v>33.74</v>
      </c>
      <c r="AA11" s="54">
        <f>(Y11-V11)/V11</f>
        <v>0.2997061704211556</v>
      </c>
      <c r="AB11" s="55">
        <f>(Z11-W11)/W11</f>
        <v>0.3001926782273604</v>
      </c>
      <c r="AC11" s="54"/>
      <c r="AD11" s="6">
        <f>SUM(AD18)</f>
        <v>17.25</v>
      </c>
      <c r="AE11" s="5">
        <f>SUM(AE18)</f>
        <v>43.86</v>
      </c>
      <c r="AF11" s="54">
        <f>(AD11-Y11)/Y11</f>
        <v>0.29992464204973629</v>
      </c>
      <c r="AG11" s="55">
        <f>(AE11-Z11)/Z11</f>
        <v>0.29994072317723763</v>
      </c>
    </row>
    <row r="12" spans="1:33" x14ac:dyDescent="0.2">
      <c r="A12" s="35">
        <f t="shared" ref="A12:A50" si="4">A11+1</f>
        <v>2</v>
      </c>
      <c r="B12" s="84">
        <f>+B11+500</f>
        <v>1000</v>
      </c>
      <c r="C12" s="85">
        <f>ROUND($V$11+$B12*$V$15,0)</f>
        <v>136</v>
      </c>
      <c r="D12" s="85">
        <f>ROUND($W$11+$B12*$W$15,0)</f>
        <v>152</v>
      </c>
      <c r="E12" s="85"/>
      <c r="F12" s="85">
        <f>ROUND($Y$11+$B12*$Y$15,0)</f>
        <v>147</v>
      </c>
      <c r="G12" s="85">
        <f>ROUND($Z$11+$B12*$Z$15,0)</f>
        <v>168</v>
      </c>
      <c r="H12" s="85">
        <f>ROUND($AD$11+$B12*$AD$15,0)</f>
        <v>161</v>
      </c>
      <c r="I12" s="85">
        <f>ROUND($AE$11+$B12*$AE$15,0)</f>
        <v>187</v>
      </c>
      <c r="K12" s="85">
        <f t="shared" si="0"/>
        <v>11</v>
      </c>
      <c r="L12" s="85">
        <f t="shared" si="0"/>
        <v>16</v>
      </c>
      <c r="M12" s="85">
        <f t="shared" si="1"/>
        <v>14</v>
      </c>
      <c r="N12" s="85">
        <f t="shared" si="1"/>
        <v>19</v>
      </c>
      <c r="P12" s="54">
        <f t="shared" si="2"/>
        <v>8.09E-2</v>
      </c>
      <c r="Q12" s="54">
        <f t="shared" si="2"/>
        <v>0.1053</v>
      </c>
      <c r="R12" s="54">
        <f t="shared" si="3"/>
        <v>9.5200000000000007E-2</v>
      </c>
      <c r="S12" s="54">
        <f t="shared" si="3"/>
        <v>0.11310000000000001</v>
      </c>
      <c r="T12" s="54"/>
      <c r="U12" s="58"/>
      <c r="V12" s="97"/>
      <c r="W12" s="80"/>
      <c r="X12" s="54"/>
      <c r="Y12" s="3"/>
      <c r="Z12" s="1"/>
      <c r="AA12" s="54"/>
      <c r="AB12" s="55"/>
      <c r="AC12" s="54"/>
      <c r="AD12" s="3"/>
      <c r="AE12" s="1"/>
      <c r="AF12" s="54"/>
      <c r="AG12" s="55"/>
    </row>
    <row r="13" spans="1:33" x14ac:dyDescent="0.2">
      <c r="A13" s="35">
        <f t="shared" si="4"/>
        <v>3</v>
      </c>
      <c r="B13" s="84">
        <f>+B12+500</f>
        <v>1500</v>
      </c>
      <c r="C13" s="85">
        <f>ROUND($V$11+$B13*$V$15,0)</f>
        <v>199</v>
      </c>
      <c r="D13" s="85">
        <f>ROUND($W$11+$B13*$W$15,0)</f>
        <v>215</v>
      </c>
      <c r="E13" s="85"/>
      <c r="F13" s="85">
        <f>ROUND($Y$11+$B13*$Y$15,0)</f>
        <v>214</v>
      </c>
      <c r="G13" s="85">
        <f>ROUND($Z$11+$B13*$Z$15,0)</f>
        <v>235</v>
      </c>
      <c r="H13" s="85">
        <f>ROUND($AD$11+$B13*$AD$15,0)</f>
        <v>233</v>
      </c>
      <c r="I13" s="85">
        <f>ROUND($AE$11+$B13*$AE$15,0)</f>
        <v>259</v>
      </c>
      <c r="K13" s="85">
        <f t="shared" si="0"/>
        <v>15</v>
      </c>
      <c r="L13" s="85">
        <f t="shared" si="0"/>
        <v>20</v>
      </c>
      <c r="M13" s="85">
        <f t="shared" si="1"/>
        <v>19</v>
      </c>
      <c r="N13" s="85">
        <f t="shared" si="1"/>
        <v>24</v>
      </c>
      <c r="P13" s="54">
        <f t="shared" si="2"/>
        <v>7.5399999999999995E-2</v>
      </c>
      <c r="Q13" s="54">
        <f t="shared" si="2"/>
        <v>9.2999999999999999E-2</v>
      </c>
      <c r="R13" s="54">
        <f t="shared" si="3"/>
        <v>8.8800000000000004E-2</v>
      </c>
      <c r="S13" s="54">
        <f t="shared" si="3"/>
        <v>0.1021</v>
      </c>
      <c r="T13" s="54"/>
      <c r="U13" s="76" t="s">
        <v>174</v>
      </c>
      <c r="V13" s="98">
        <f>SUM(V19,V23:V45)</f>
        <v>0.12755999999999998</v>
      </c>
      <c r="W13" s="57">
        <f>V13</f>
        <v>0.12755999999999998</v>
      </c>
      <c r="X13" s="54"/>
      <c r="Y13" s="3">
        <f>SUM(Y19,Y23:Y45)</f>
        <v>0.13537300499131869</v>
      </c>
      <c r="Z13" s="1">
        <f>Y13</f>
        <v>0.13537300499131869</v>
      </c>
      <c r="AA13" s="54">
        <f t="shared" ref="AA13:AB15" si="5">(Y13-V13)/V13</f>
        <v>6.124964715677883E-2</v>
      </c>
      <c r="AB13" s="55">
        <f t="shared" si="5"/>
        <v>6.124964715677883E-2</v>
      </c>
      <c r="AC13" s="54"/>
      <c r="AD13" s="3">
        <f>SUM(AD19,AD23:AD45)</f>
        <v>0.1451065838468458</v>
      </c>
      <c r="AE13" s="1">
        <f>AD13</f>
        <v>0.1451065838468458</v>
      </c>
      <c r="AF13" s="54">
        <f t="shared" ref="AF13:AG15" si="6">(AD13-Y13)/Y13</f>
        <v>7.1901919117118782E-2</v>
      </c>
      <c r="AG13" s="55">
        <f t="shared" si="6"/>
        <v>7.1901919117118782E-2</v>
      </c>
    </row>
    <row r="14" spans="1:33" x14ac:dyDescent="0.2">
      <c r="A14" s="35">
        <f t="shared" si="4"/>
        <v>4</v>
      </c>
      <c r="U14" s="58" t="s">
        <v>173</v>
      </c>
      <c r="V14" s="98">
        <f>SUM(V20,V23:V45)</f>
        <v>0.12436</v>
      </c>
      <c r="W14" s="57">
        <f>V14</f>
        <v>0.12436</v>
      </c>
      <c r="Y14" s="4">
        <f>SUM(Y20,Y23:Y45)</f>
        <v>0.13217300499131868</v>
      </c>
      <c r="Z14" s="2">
        <f>Y14</f>
        <v>0.13217300499131868</v>
      </c>
      <c r="AA14" s="54">
        <f t="shared" si="5"/>
        <v>6.2825707553221921E-2</v>
      </c>
      <c r="AB14" s="55">
        <f t="shared" si="5"/>
        <v>6.2825707553221921E-2</v>
      </c>
      <c r="AD14" s="4">
        <f>SUM(AD20,AD23:AD45)</f>
        <v>0.14190658384684579</v>
      </c>
      <c r="AE14" s="2">
        <f>AD14</f>
        <v>0.14190658384684579</v>
      </c>
      <c r="AF14" s="54">
        <f t="shared" si="6"/>
        <v>7.3642714381551899E-2</v>
      </c>
      <c r="AG14" s="55">
        <f t="shared" si="6"/>
        <v>7.3642714381551899E-2</v>
      </c>
    </row>
    <row r="15" spans="1:33" x14ac:dyDescent="0.2">
      <c r="A15" s="35">
        <f t="shared" si="4"/>
        <v>5</v>
      </c>
      <c r="B15" s="84">
        <v>2500</v>
      </c>
      <c r="C15" s="85">
        <f>ROUND($V$11+$B15*$V$15,0)</f>
        <v>325</v>
      </c>
      <c r="D15" s="85">
        <f>ROUND($W$11+$B15*$W$15,0)</f>
        <v>340</v>
      </c>
      <c r="E15" s="85"/>
      <c r="F15" s="85">
        <f>ROUND($Y$11+$B15*$Y$15,0)</f>
        <v>348</v>
      </c>
      <c r="G15" s="85">
        <f>ROUND($Z$11+$B15*$Z$15,0)</f>
        <v>368</v>
      </c>
      <c r="H15" s="85">
        <f>ROUND($AD$11+$B15*$AD$15,0)</f>
        <v>376</v>
      </c>
      <c r="I15" s="85">
        <f>ROUND($AE$11+$B15*$AE$15,0)</f>
        <v>403</v>
      </c>
      <c r="K15" s="85">
        <f t="shared" ref="K15:L17" si="7">F15-C15</f>
        <v>23</v>
      </c>
      <c r="L15" s="85">
        <f t="shared" si="7"/>
        <v>28</v>
      </c>
      <c r="M15" s="85">
        <f t="shared" ref="M15:N17" si="8">H15-F15</f>
        <v>28</v>
      </c>
      <c r="N15" s="85">
        <f t="shared" si="8"/>
        <v>35</v>
      </c>
      <c r="P15" s="54">
        <f t="shared" ref="P15:Q17" si="9">ROUND(F15/C15-1,4)</f>
        <v>7.0800000000000002E-2</v>
      </c>
      <c r="Q15" s="54">
        <f t="shared" si="9"/>
        <v>8.2400000000000001E-2</v>
      </c>
      <c r="R15" s="54">
        <f t="shared" ref="R15:S17" si="10">ROUND(H15/F15-1,4)</f>
        <v>8.0500000000000002E-2</v>
      </c>
      <c r="S15" s="54">
        <f t="shared" si="10"/>
        <v>9.5100000000000004E-2</v>
      </c>
      <c r="T15" s="54"/>
      <c r="U15" s="58" t="s">
        <v>172</v>
      </c>
      <c r="V15" s="98">
        <f>ROUND(SUM(V21,V23:V45),6)</f>
        <v>0.12576000000000001</v>
      </c>
      <c r="W15" s="57">
        <f>V15</f>
        <v>0.12576000000000001</v>
      </c>
      <c r="X15" s="54"/>
      <c r="Y15" s="3">
        <f>ROUND(SUM(Y21,Y23:Y45),6)</f>
        <v>0.13386100000000001</v>
      </c>
      <c r="Z15" s="1">
        <f>Y15</f>
        <v>0.13386100000000001</v>
      </c>
      <c r="AA15" s="54">
        <f t="shared" si="5"/>
        <v>6.4416348600508877E-2</v>
      </c>
      <c r="AB15" s="55">
        <f t="shared" si="5"/>
        <v>6.4416348600508877E-2</v>
      </c>
      <c r="AC15" s="54"/>
      <c r="AD15" s="3">
        <f>ROUND(SUM(AD21,AD23:AD45),6)</f>
        <v>0.143598</v>
      </c>
      <c r="AE15" s="1">
        <f>AD15</f>
        <v>0.143598</v>
      </c>
      <c r="AF15" s="54">
        <f t="shared" si="6"/>
        <v>7.2739632902787177E-2</v>
      </c>
      <c r="AG15" s="55">
        <f t="shared" si="6"/>
        <v>7.2739632902787177E-2</v>
      </c>
    </row>
    <row r="16" spans="1:33" x14ac:dyDescent="0.2">
      <c r="A16" s="35">
        <f t="shared" si="4"/>
        <v>6</v>
      </c>
      <c r="B16" s="84">
        <f>+B15+500</f>
        <v>3000</v>
      </c>
      <c r="C16" s="85">
        <f>ROUND($V$11+$B16*$V$15,0)</f>
        <v>387</v>
      </c>
      <c r="D16" s="85">
        <f>ROUND($W$11+$B16*$W$15,0)</f>
        <v>403</v>
      </c>
      <c r="E16" s="85"/>
      <c r="F16" s="85">
        <f>ROUND($Y$11+$B16*$Y$15,0)</f>
        <v>415</v>
      </c>
      <c r="G16" s="85">
        <f>ROUND($Z$11+$B16*$Z$15,0)</f>
        <v>435</v>
      </c>
      <c r="H16" s="85">
        <f>ROUND($AD$11+$B16*$AD$15,0)</f>
        <v>448</v>
      </c>
      <c r="I16" s="85">
        <f>ROUND($AE$11+$B16*$AE$15,0)</f>
        <v>475</v>
      </c>
      <c r="K16" s="85">
        <f t="shared" si="7"/>
        <v>28</v>
      </c>
      <c r="L16" s="85">
        <f t="shared" si="7"/>
        <v>32</v>
      </c>
      <c r="M16" s="85">
        <f t="shared" si="8"/>
        <v>33</v>
      </c>
      <c r="N16" s="85">
        <f t="shared" si="8"/>
        <v>40</v>
      </c>
      <c r="P16" s="54">
        <f t="shared" si="9"/>
        <v>7.2400000000000006E-2</v>
      </c>
      <c r="Q16" s="54">
        <f t="shared" si="9"/>
        <v>7.9399999999999998E-2</v>
      </c>
      <c r="R16" s="54">
        <f t="shared" si="10"/>
        <v>7.9500000000000001E-2</v>
      </c>
      <c r="S16" s="54">
        <f t="shared" si="10"/>
        <v>9.1999999999999998E-2</v>
      </c>
      <c r="T16" s="54"/>
      <c r="U16" s="58" t="s">
        <v>112</v>
      </c>
      <c r="W16" s="55"/>
      <c r="X16" s="54"/>
      <c r="Y16" s="3"/>
      <c r="Z16" s="1"/>
      <c r="AA16" s="54"/>
      <c r="AB16" s="55"/>
      <c r="AC16" s="54"/>
      <c r="AD16" s="3"/>
      <c r="AE16" s="1"/>
      <c r="AF16" s="54"/>
      <c r="AG16" s="55"/>
    </row>
    <row r="17" spans="1:33" x14ac:dyDescent="0.2">
      <c r="A17" s="35">
        <f t="shared" si="4"/>
        <v>7</v>
      </c>
      <c r="B17" s="84">
        <f>+B16+500</f>
        <v>3500</v>
      </c>
      <c r="C17" s="85">
        <f>ROUND($V$11+$B17*$V$15,0)</f>
        <v>450</v>
      </c>
      <c r="D17" s="85">
        <f>ROUND($W$11+$B17*$W$15,0)</f>
        <v>466</v>
      </c>
      <c r="E17" s="85"/>
      <c r="F17" s="85">
        <f>ROUND($Y$11+$B17*$Y$15,0)</f>
        <v>482</v>
      </c>
      <c r="G17" s="85">
        <f>ROUND($Z$11+$B17*$Z$15,0)</f>
        <v>502</v>
      </c>
      <c r="H17" s="85">
        <f>ROUND($AD$11+$B17*$AD$15,0)</f>
        <v>520</v>
      </c>
      <c r="I17" s="85">
        <f>ROUND($AE$11+$B17*$AE$15,0)</f>
        <v>546</v>
      </c>
      <c r="K17" s="85">
        <f t="shared" si="7"/>
        <v>32</v>
      </c>
      <c r="L17" s="85">
        <f t="shared" si="7"/>
        <v>36</v>
      </c>
      <c r="M17" s="85">
        <f t="shared" si="8"/>
        <v>38</v>
      </c>
      <c r="N17" s="85">
        <f t="shared" si="8"/>
        <v>44</v>
      </c>
      <c r="P17" s="54">
        <f t="shared" si="9"/>
        <v>7.1099999999999997E-2</v>
      </c>
      <c r="Q17" s="54">
        <f t="shared" si="9"/>
        <v>7.7299999999999994E-2</v>
      </c>
      <c r="R17" s="54">
        <f t="shared" si="10"/>
        <v>7.8799999999999995E-2</v>
      </c>
      <c r="S17" s="54">
        <f t="shared" si="10"/>
        <v>8.7599999999999997E-2</v>
      </c>
      <c r="T17" s="54"/>
      <c r="U17" s="58"/>
      <c r="W17" s="55"/>
      <c r="X17" s="54"/>
      <c r="Y17" s="99"/>
      <c r="Z17" s="54"/>
      <c r="AA17" s="54"/>
      <c r="AB17" s="55"/>
      <c r="AC17" s="54"/>
      <c r="AD17" s="99"/>
      <c r="AE17" s="54"/>
      <c r="AF17" s="54"/>
      <c r="AG17" s="55"/>
    </row>
    <row r="18" spans="1:33" x14ac:dyDescent="0.2">
      <c r="A18" s="35">
        <f t="shared" si="4"/>
        <v>8</v>
      </c>
      <c r="C18" s="85"/>
      <c r="D18" s="85"/>
      <c r="E18" s="85"/>
      <c r="F18" s="85"/>
      <c r="G18" s="85"/>
      <c r="H18" s="85"/>
      <c r="I18" s="85"/>
      <c r="K18" s="85"/>
      <c r="L18" s="85"/>
      <c r="M18" s="85"/>
      <c r="N18" s="85"/>
      <c r="P18" s="54"/>
      <c r="R18" s="54"/>
      <c r="U18" s="58" t="str">
        <f>+U11</f>
        <v>Basic Charge</v>
      </c>
      <c r="V18" s="96">
        <v>10.210000000000001</v>
      </c>
      <c r="W18" s="53">
        <v>25.95</v>
      </c>
      <c r="Y18" s="126">
        <v>13.27</v>
      </c>
      <c r="Z18" s="96">
        <v>33.74</v>
      </c>
      <c r="AA18" s="54">
        <f t="shared" ref="AA18:AB21" si="11">(Y18-V18)/V18</f>
        <v>0.2997061704211556</v>
      </c>
      <c r="AB18" s="55">
        <f t="shared" si="11"/>
        <v>0.3001926782273604</v>
      </c>
      <c r="AD18" s="126">
        <v>17.25</v>
      </c>
      <c r="AE18" s="96">
        <v>43.86</v>
      </c>
      <c r="AF18" s="54">
        <f t="shared" ref="AF18:AG21" si="12">(AD18-Y18)/Y18</f>
        <v>0.29992464204973629</v>
      </c>
      <c r="AG18" s="55">
        <f t="shared" si="12"/>
        <v>0.29994072317723763</v>
      </c>
    </row>
    <row r="19" spans="1:33" x14ac:dyDescent="0.2">
      <c r="A19" s="35">
        <f t="shared" si="4"/>
        <v>9</v>
      </c>
      <c r="B19" s="84">
        <f>+B17+500</f>
        <v>4000</v>
      </c>
      <c r="C19" s="85">
        <f>ROUND($V$11+$B19*$V$15,0)</f>
        <v>513</v>
      </c>
      <c r="D19" s="85">
        <f>ROUND($W$11+$B19*$W$15,0)</f>
        <v>529</v>
      </c>
      <c r="E19" s="85"/>
      <c r="F19" s="85">
        <f>ROUND($Y$11+$B19*$Y$15,0)</f>
        <v>549</v>
      </c>
      <c r="G19" s="85">
        <f>ROUND($Z$11+$B19*$Z$15,0)</f>
        <v>569</v>
      </c>
      <c r="H19" s="85">
        <f>ROUND($AD$11+$B19*$AD$15,0)</f>
        <v>592</v>
      </c>
      <c r="I19" s="85">
        <f>ROUND($AE$11+$B19*$AE$15,0)</f>
        <v>618</v>
      </c>
      <c r="K19" s="85">
        <f t="shared" ref="K19:L21" si="13">F19-C19</f>
        <v>36</v>
      </c>
      <c r="L19" s="85">
        <f t="shared" si="13"/>
        <v>40</v>
      </c>
      <c r="M19" s="85">
        <f t="shared" ref="M19:N21" si="14">H19-F19</f>
        <v>43</v>
      </c>
      <c r="N19" s="85">
        <f t="shared" si="14"/>
        <v>49</v>
      </c>
      <c r="P19" s="54">
        <f t="shared" ref="P19:Q21" si="15">ROUND(F19/C19-1,4)</f>
        <v>7.0199999999999999E-2</v>
      </c>
      <c r="Q19" s="54">
        <f t="shared" si="15"/>
        <v>7.5600000000000001E-2</v>
      </c>
      <c r="R19" s="54">
        <f t="shared" ref="R19:S21" si="16">ROUND(H19/F19-1,4)</f>
        <v>7.8299999999999995E-2</v>
      </c>
      <c r="S19" s="54">
        <f t="shared" si="16"/>
        <v>8.6099999999999996E-2</v>
      </c>
      <c r="T19" s="54"/>
      <c r="U19" s="58" t="str">
        <f>+U13</f>
        <v xml:space="preserve">Winter kWh </v>
      </c>
      <c r="V19" s="35">
        <v>9.2536999999999994E-2</v>
      </c>
      <c r="W19" s="57">
        <f>V19</f>
        <v>9.2536999999999994E-2</v>
      </c>
      <c r="X19" s="54"/>
      <c r="Y19" s="58">
        <v>0.116996</v>
      </c>
      <c r="Z19" s="1">
        <f>Y19</f>
        <v>0.116996</v>
      </c>
      <c r="AA19" s="54">
        <f t="shared" si="11"/>
        <v>0.26431589526351634</v>
      </c>
      <c r="AB19" s="55">
        <f t="shared" si="11"/>
        <v>0.26431589526351634</v>
      </c>
      <c r="AC19" s="54"/>
      <c r="AD19" s="58">
        <v>0.125609</v>
      </c>
      <c r="AE19" s="1">
        <f>AD19</f>
        <v>0.125609</v>
      </c>
      <c r="AF19" s="54">
        <f t="shared" si="12"/>
        <v>7.3617901466716776E-2</v>
      </c>
      <c r="AG19" s="55">
        <f t="shared" si="12"/>
        <v>7.3617901466716776E-2</v>
      </c>
    </row>
    <row r="20" spans="1:33" x14ac:dyDescent="0.2">
      <c r="A20" s="35">
        <f t="shared" si="4"/>
        <v>10</v>
      </c>
      <c r="B20" s="84">
        <f>+B19+500</f>
        <v>4500</v>
      </c>
      <c r="C20" s="85">
        <f>ROUND($V$11+$B20*$V$15,0)</f>
        <v>576</v>
      </c>
      <c r="D20" s="85">
        <f>ROUND($W$11+$B20*$W$15,0)</f>
        <v>592</v>
      </c>
      <c r="E20" s="85"/>
      <c r="F20" s="85">
        <f>ROUND($Y$11+$B20*$Y$15,0)</f>
        <v>616</v>
      </c>
      <c r="G20" s="85">
        <f>ROUND($Z$11+$B20*$Z$15,0)</f>
        <v>636</v>
      </c>
      <c r="H20" s="85">
        <f>ROUND($AD$11+$B20*$AD$15,0)</f>
        <v>663</v>
      </c>
      <c r="I20" s="85">
        <f>ROUND($AE$11+$B20*$AE$15,0)</f>
        <v>690</v>
      </c>
      <c r="K20" s="85">
        <f t="shared" si="13"/>
        <v>40</v>
      </c>
      <c r="L20" s="85">
        <f t="shared" si="13"/>
        <v>44</v>
      </c>
      <c r="M20" s="85">
        <f t="shared" si="14"/>
        <v>47</v>
      </c>
      <c r="N20" s="85">
        <f t="shared" si="14"/>
        <v>54</v>
      </c>
      <c r="P20" s="54">
        <f t="shared" si="15"/>
        <v>6.9400000000000003E-2</v>
      </c>
      <c r="Q20" s="54">
        <f t="shared" si="15"/>
        <v>7.4300000000000005E-2</v>
      </c>
      <c r="R20" s="54">
        <f t="shared" si="16"/>
        <v>7.6300000000000007E-2</v>
      </c>
      <c r="S20" s="54">
        <f t="shared" si="16"/>
        <v>8.4900000000000003E-2</v>
      </c>
      <c r="T20" s="54"/>
      <c r="U20" s="58" t="str">
        <f>+U14</f>
        <v>Summer kWh</v>
      </c>
      <c r="V20" s="35">
        <v>8.9337E-2</v>
      </c>
      <c r="W20" s="57">
        <f>V20</f>
        <v>8.9337E-2</v>
      </c>
      <c r="X20" s="54"/>
      <c r="Y20" s="58">
        <v>0.11379599999999999</v>
      </c>
      <c r="Z20" s="2">
        <f>Y20</f>
        <v>0.11379599999999999</v>
      </c>
      <c r="AA20" s="54">
        <f t="shared" si="11"/>
        <v>0.27378353873535033</v>
      </c>
      <c r="AB20" s="55">
        <f t="shared" si="11"/>
        <v>0.27378353873535033</v>
      </c>
      <c r="AC20" s="54"/>
      <c r="AD20" s="58">
        <v>0.122409</v>
      </c>
      <c r="AE20" s="2">
        <f>AD20</f>
        <v>0.122409</v>
      </c>
      <c r="AF20" s="54">
        <f t="shared" si="12"/>
        <v>7.56880733944955E-2</v>
      </c>
      <c r="AG20" s="55">
        <f t="shared" si="12"/>
        <v>7.56880733944955E-2</v>
      </c>
    </row>
    <row r="21" spans="1:33" x14ac:dyDescent="0.2">
      <c r="A21" s="35">
        <f t="shared" si="4"/>
        <v>11</v>
      </c>
      <c r="B21" s="84">
        <f>+B20+500</f>
        <v>5000</v>
      </c>
      <c r="C21" s="85">
        <f>ROUND($V$11+$B21*$V$15,0)</f>
        <v>639</v>
      </c>
      <c r="D21" s="85">
        <f>ROUND($W$11+$B21*$W$15,0)</f>
        <v>655</v>
      </c>
      <c r="E21" s="85"/>
      <c r="F21" s="85">
        <f>ROUND($Y$11+$B21*$Y$15,0)</f>
        <v>683</v>
      </c>
      <c r="G21" s="85">
        <f>ROUND($Z$11+$B21*$Z$15,0)</f>
        <v>703</v>
      </c>
      <c r="H21" s="85">
        <f>ROUND($AD$11+$B21*$AD$15,0)</f>
        <v>735</v>
      </c>
      <c r="I21" s="85">
        <f>ROUND($AE$11+$B21*$AE$15,0)</f>
        <v>762</v>
      </c>
      <c r="K21" s="85">
        <f t="shared" si="13"/>
        <v>44</v>
      </c>
      <c r="L21" s="85">
        <f t="shared" si="13"/>
        <v>48</v>
      </c>
      <c r="M21" s="85">
        <f t="shared" si="14"/>
        <v>52</v>
      </c>
      <c r="N21" s="85">
        <f t="shared" si="14"/>
        <v>59</v>
      </c>
      <c r="P21" s="54">
        <f t="shared" si="15"/>
        <v>6.8900000000000003E-2</v>
      </c>
      <c r="Q21" s="54">
        <f t="shared" si="15"/>
        <v>7.3300000000000004E-2</v>
      </c>
      <c r="R21" s="54">
        <f t="shared" si="16"/>
        <v>7.6100000000000001E-2</v>
      </c>
      <c r="S21" s="54">
        <f t="shared" si="16"/>
        <v>8.3900000000000002E-2</v>
      </c>
      <c r="T21" s="54"/>
      <c r="U21" s="58" t="str">
        <f>+U15</f>
        <v>Average kWh</v>
      </c>
      <c r="V21" s="35">
        <v>9.0736999999999998E-2</v>
      </c>
      <c r="W21" s="57">
        <f>V21</f>
        <v>9.0736999999999998E-2</v>
      </c>
      <c r="X21" s="54"/>
      <c r="Y21" s="58">
        <v>0.115484</v>
      </c>
      <c r="Z21" s="1">
        <f>Y21</f>
        <v>0.115484</v>
      </c>
      <c r="AA21" s="54">
        <f t="shared" si="11"/>
        <v>0.27273328410681424</v>
      </c>
      <c r="AB21" s="55">
        <f t="shared" si="11"/>
        <v>0.27273328410681424</v>
      </c>
      <c r="AC21" s="54"/>
      <c r="AD21" s="58">
        <v>0.1241</v>
      </c>
      <c r="AE21" s="1">
        <f>AD21</f>
        <v>0.1241</v>
      </c>
      <c r="AF21" s="54">
        <f t="shared" si="12"/>
        <v>7.4607737868449292E-2</v>
      </c>
      <c r="AG21" s="55">
        <f t="shared" si="12"/>
        <v>7.4607737868449292E-2</v>
      </c>
    </row>
    <row r="22" spans="1:33" x14ac:dyDescent="0.2">
      <c r="A22" s="35">
        <f t="shared" si="4"/>
        <v>12</v>
      </c>
      <c r="C22" s="85"/>
      <c r="D22" s="85"/>
      <c r="E22" s="85"/>
      <c r="F22" s="85"/>
      <c r="G22" s="85"/>
      <c r="H22" s="85"/>
      <c r="I22" s="85"/>
      <c r="K22" s="85"/>
      <c r="L22" s="85"/>
      <c r="M22" s="85"/>
      <c r="N22" s="85"/>
      <c r="P22" s="54"/>
      <c r="R22" s="54"/>
      <c r="U22" s="58"/>
      <c r="W22" s="59"/>
      <c r="Y22" s="58"/>
      <c r="AB22" s="59"/>
      <c r="AD22" s="58"/>
      <c r="AG22" s="59"/>
    </row>
    <row r="23" spans="1:33" x14ac:dyDescent="0.2">
      <c r="A23" s="35">
        <f t="shared" si="4"/>
        <v>13</v>
      </c>
      <c r="B23" s="84">
        <f>+B21+1000</f>
        <v>6000</v>
      </c>
      <c r="C23" s="85">
        <f>ROUND($V$11+$B23*$V$15,0)</f>
        <v>765</v>
      </c>
      <c r="D23" s="85">
        <f>ROUND($W$11+$B23*$W$15,0)</f>
        <v>781</v>
      </c>
      <c r="E23" s="85"/>
      <c r="F23" s="85">
        <f>ROUND($Y$11+$B23*$Y$15,0)</f>
        <v>816</v>
      </c>
      <c r="G23" s="85">
        <f>ROUND($Z$11+$B23*$Z$15,0)</f>
        <v>837</v>
      </c>
      <c r="H23" s="85">
        <f>ROUND($AD$11+$B23*$AD$15,0)</f>
        <v>879</v>
      </c>
      <c r="I23" s="85">
        <f>ROUND($AE$11+$B23*$AE$15,0)</f>
        <v>905</v>
      </c>
      <c r="K23" s="85">
        <f t="shared" ref="K23:L25" si="17">F23-C23</f>
        <v>51</v>
      </c>
      <c r="L23" s="85">
        <f t="shared" si="17"/>
        <v>56</v>
      </c>
      <c r="M23" s="85">
        <f t="shared" ref="M23:N25" si="18">H23-F23</f>
        <v>63</v>
      </c>
      <c r="N23" s="85">
        <f t="shared" si="18"/>
        <v>68</v>
      </c>
      <c r="P23" s="54">
        <f t="shared" ref="P23:Q25" si="19">ROUND(F23/C23-1,4)</f>
        <v>6.6699999999999995E-2</v>
      </c>
      <c r="Q23" s="54">
        <f t="shared" si="19"/>
        <v>7.17E-2</v>
      </c>
      <c r="R23" s="54">
        <f t="shared" ref="R23:S25" si="20">ROUND(H23/F23-1,4)</f>
        <v>7.7200000000000005E-2</v>
      </c>
      <c r="S23" s="54">
        <f t="shared" si="20"/>
        <v>8.1199999999999994E-2</v>
      </c>
      <c r="T23" s="54"/>
      <c r="U23" s="157" t="str">
        <f>'Exh CTM-8 (Res Bill Summary)'!Q22</f>
        <v xml:space="preserve">Schedule 95 Power Cost
</v>
      </c>
      <c r="V23" s="98">
        <v>7.5050000000000004E-3</v>
      </c>
      <c r="W23" s="57">
        <f t="shared" ref="W23:W44" si="21">V23</f>
        <v>7.5050000000000004E-3</v>
      </c>
      <c r="X23" s="54"/>
      <c r="Y23" s="66">
        <v>0</v>
      </c>
      <c r="Z23" s="98">
        <f t="shared" ref="Z23:Z44" si="22">Y23</f>
        <v>0</v>
      </c>
      <c r="AA23" s="54"/>
      <c r="AB23" s="55"/>
      <c r="AC23" s="54"/>
      <c r="AD23" s="66">
        <v>0</v>
      </c>
      <c r="AE23" s="98">
        <f t="shared" ref="AE23:AE44" si="23">AD23</f>
        <v>0</v>
      </c>
      <c r="AF23" s="54"/>
      <c r="AG23" s="55"/>
    </row>
    <row r="24" spans="1:33" x14ac:dyDescent="0.2">
      <c r="A24" s="35">
        <f t="shared" si="4"/>
        <v>14</v>
      </c>
      <c r="B24" s="84">
        <f>+B23+1000</f>
        <v>7000</v>
      </c>
      <c r="C24" s="85">
        <f>ROUND($V$11+$B24*$V$15,0)</f>
        <v>891</v>
      </c>
      <c r="D24" s="85">
        <f>ROUND($W$11+$B24*$W$15,0)</f>
        <v>906</v>
      </c>
      <c r="E24" s="85"/>
      <c r="F24" s="85">
        <f>ROUND($Y$11+$B24*$Y$15,0)</f>
        <v>950</v>
      </c>
      <c r="G24" s="85">
        <f>ROUND($Z$11+$B24*$Z$15,0)</f>
        <v>971</v>
      </c>
      <c r="H24" s="85">
        <f>ROUND($AD$11+$B24*$AD$15,0)</f>
        <v>1022</v>
      </c>
      <c r="I24" s="85">
        <f>ROUND($AE$11+$B24*$AE$15,0)</f>
        <v>1049</v>
      </c>
      <c r="K24" s="85">
        <f t="shared" si="17"/>
        <v>59</v>
      </c>
      <c r="L24" s="85">
        <f t="shared" si="17"/>
        <v>65</v>
      </c>
      <c r="M24" s="85">
        <f t="shared" si="18"/>
        <v>72</v>
      </c>
      <c r="N24" s="85">
        <f t="shared" si="18"/>
        <v>78</v>
      </c>
      <c r="P24" s="54">
        <f t="shared" si="19"/>
        <v>6.6199999999999995E-2</v>
      </c>
      <c r="Q24" s="54">
        <f t="shared" si="19"/>
        <v>7.17E-2</v>
      </c>
      <c r="R24" s="54">
        <f t="shared" si="20"/>
        <v>7.5800000000000006E-2</v>
      </c>
      <c r="S24" s="54">
        <f t="shared" si="20"/>
        <v>8.0299999999999996E-2</v>
      </c>
      <c r="T24" s="54"/>
      <c r="U24" s="157" t="str">
        <f>'Exh CTM-8 (Res Bill Summary)'!Q23</f>
        <v>Schedule 95 PCA Imbalance</v>
      </c>
      <c r="V24" s="98">
        <v>3.2200000000000002E-3</v>
      </c>
      <c r="W24" s="57">
        <f t="shared" si="21"/>
        <v>3.2200000000000002E-3</v>
      </c>
      <c r="X24" s="54"/>
      <c r="Y24" s="66">
        <v>3.2200000000000002E-3</v>
      </c>
      <c r="Z24" s="98">
        <f t="shared" si="22"/>
        <v>3.2200000000000002E-3</v>
      </c>
      <c r="AA24" s="54"/>
      <c r="AB24" s="55"/>
      <c r="AC24" s="54"/>
      <c r="AD24" s="66">
        <v>3.2200000000000002E-3</v>
      </c>
      <c r="AE24" s="98">
        <f t="shared" si="23"/>
        <v>3.2200000000000002E-3</v>
      </c>
      <c r="AF24" s="54"/>
      <c r="AG24" s="55"/>
    </row>
    <row r="25" spans="1:33" x14ac:dyDescent="0.2">
      <c r="A25" s="35">
        <f t="shared" si="4"/>
        <v>15</v>
      </c>
      <c r="B25" s="84">
        <f>+B24+1000</f>
        <v>8000</v>
      </c>
      <c r="C25" s="85">
        <f>ROUND($V$11+$B25*$V$15,0)</f>
        <v>1016</v>
      </c>
      <c r="D25" s="85">
        <f>ROUND($W$11+$B25*$W$15,0)</f>
        <v>1032</v>
      </c>
      <c r="E25" s="85"/>
      <c r="F25" s="85">
        <f>ROUND($Y$11+$B25*$Y$15,0)</f>
        <v>1084</v>
      </c>
      <c r="G25" s="85">
        <f>ROUND($Z$11+$B25*$Z$15,0)</f>
        <v>1105</v>
      </c>
      <c r="H25" s="85">
        <f>ROUND($AD$11+$B25*$AD$15,0)</f>
        <v>1166</v>
      </c>
      <c r="I25" s="85">
        <f>ROUND($AE$11+$B25*$AE$15,0)</f>
        <v>1193</v>
      </c>
      <c r="K25" s="85">
        <f t="shared" si="17"/>
        <v>68</v>
      </c>
      <c r="L25" s="85">
        <f t="shared" si="17"/>
        <v>73</v>
      </c>
      <c r="M25" s="85">
        <f t="shared" si="18"/>
        <v>82</v>
      </c>
      <c r="N25" s="85">
        <f t="shared" si="18"/>
        <v>88</v>
      </c>
      <c r="P25" s="54">
        <f t="shared" si="19"/>
        <v>6.6900000000000001E-2</v>
      </c>
      <c r="Q25" s="54">
        <f t="shared" si="19"/>
        <v>7.0699999999999999E-2</v>
      </c>
      <c r="R25" s="54">
        <f t="shared" si="20"/>
        <v>7.5600000000000001E-2</v>
      </c>
      <c r="S25" s="54">
        <f t="shared" si="20"/>
        <v>7.9600000000000004E-2</v>
      </c>
      <c r="T25" s="54"/>
      <c r="U25" s="157" t="str">
        <f>'Exh CTM-8 (Res Bill Summary)'!Q24</f>
        <v>Schedule 95A Federal Incentive Credit</v>
      </c>
      <c r="V25" s="98">
        <v>0</v>
      </c>
      <c r="W25" s="57">
        <f t="shared" si="21"/>
        <v>0</v>
      </c>
      <c r="X25" s="54"/>
      <c r="Y25" s="66">
        <v>0</v>
      </c>
      <c r="Z25" s="98">
        <f t="shared" si="22"/>
        <v>0</v>
      </c>
      <c r="AA25" s="54"/>
      <c r="AB25" s="55"/>
      <c r="AC25" s="54"/>
      <c r="AD25" s="66">
        <v>0</v>
      </c>
      <c r="AE25" s="98">
        <f t="shared" si="23"/>
        <v>0</v>
      </c>
      <c r="AF25" s="54"/>
      <c r="AG25" s="55"/>
    </row>
    <row r="26" spans="1:33" x14ac:dyDescent="0.2">
      <c r="A26" s="35">
        <f t="shared" si="4"/>
        <v>16</v>
      </c>
      <c r="U26" s="157" t="str">
        <f>'Exh CTM-8 (Res Bill Summary)'!Q25</f>
        <v>Schedule 120 Conservation</v>
      </c>
      <c r="V26" s="98">
        <v>4.2760000000000003E-3</v>
      </c>
      <c r="W26" s="57">
        <f t="shared" si="21"/>
        <v>4.2760000000000003E-3</v>
      </c>
      <c r="Y26" s="66">
        <v>4.2760000000000003E-3</v>
      </c>
      <c r="Z26" s="98">
        <f t="shared" si="22"/>
        <v>4.2760000000000003E-3</v>
      </c>
      <c r="AB26" s="59"/>
      <c r="AD26" s="66">
        <v>4.2760000000000003E-3</v>
      </c>
      <c r="AE26" s="98">
        <f t="shared" si="23"/>
        <v>4.2760000000000003E-3</v>
      </c>
      <c r="AG26" s="59"/>
    </row>
    <row r="27" spans="1:33" x14ac:dyDescent="0.2">
      <c r="A27" s="35">
        <f t="shared" si="4"/>
        <v>17</v>
      </c>
      <c r="B27" s="84">
        <f>+B25+1000</f>
        <v>9000</v>
      </c>
      <c r="C27" s="85">
        <f>ROUND($V$11+$B27*$V$15,0)</f>
        <v>1142</v>
      </c>
      <c r="D27" s="85">
        <f>ROUND($W$11+$B27*$W$15,0)</f>
        <v>1158</v>
      </c>
      <c r="E27" s="85"/>
      <c r="F27" s="85">
        <f>ROUND($Y$11+$B27*$Y$15,0)</f>
        <v>1218</v>
      </c>
      <c r="G27" s="85">
        <f>ROUND($Z$11+$B27*$Z$15,0)</f>
        <v>1238</v>
      </c>
      <c r="H27" s="85">
        <f>ROUND($AD$11+$B27*$AD$15,0)</f>
        <v>1310</v>
      </c>
      <c r="I27" s="85">
        <f>ROUND($AE$11+$B27*$AE$15,0)</f>
        <v>1336</v>
      </c>
      <c r="K27" s="85">
        <f t="shared" ref="K27:L29" si="24">F27-C27</f>
        <v>76</v>
      </c>
      <c r="L27" s="85">
        <f t="shared" si="24"/>
        <v>80</v>
      </c>
      <c r="M27" s="85">
        <f t="shared" ref="M27:N29" si="25">H27-F27</f>
        <v>92</v>
      </c>
      <c r="N27" s="85">
        <f t="shared" si="25"/>
        <v>98</v>
      </c>
      <c r="P27" s="54">
        <f t="shared" ref="P27:Q29" si="26">ROUND(F27/C27-1,4)</f>
        <v>6.6500000000000004E-2</v>
      </c>
      <c r="Q27" s="54">
        <f t="shared" si="26"/>
        <v>6.9099999999999995E-2</v>
      </c>
      <c r="R27" s="54">
        <f t="shared" ref="R27:S29" si="27">ROUND(H27/F27-1,4)</f>
        <v>7.5499999999999998E-2</v>
      </c>
      <c r="S27" s="54">
        <f t="shared" si="27"/>
        <v>7.9200000000000007E-2</v>
      </c>
      <c r="T27" s="54"/>
      <c r="U27" s="157" t="str">
        <f>'Exh CTM-8 (Res Bill Summary)'!Q26</f>
        <v>Schedule 129 Low Income</v>
      </c>
      <c r="V27" s="98">
        <v>1.315E-3</v>
      </c>
      <c r="W27" s="57">
        <f t="shared" si="21"/>
        <v>1.315E-3</v>
      </c>
      <c r="X27" s="54"/>
      <c r="Y27" s="66">
        <v>1.315E-3</v>
      </c>
      <c r="Z27" s="98">
        <f t="shared" si="22"/>
        <v>1.315E-3</v>
      </c>
      <c r="AA27" s="54"/>
      <c r="AB27" s="55"/>
      <c r="AC27" s="54"/>
      <c r="AD27" s="66">
        <v>1.315E-3</v>
      </c>
      <c r="AE27" s="98">
        <f t="shared" si="23"/>
        <v>1.315E-3</v>
      </c>
      <c r="AF27" s="54"/>
      <c r="AG27" s="55"/>
    </row>
    <row r="28" spans="1:33" x14ac:dyDescent="0.2">
      <c r="A28" s="35">
        <f t="shared" si="4"/>
        <v>18</v>
      </c>
      <c r="B28" s="84">
        <f>+B27+1000</f>
        <v>10000</v>
      </c>
      <c r="C28" s="85">
        <f>ROUND($V$11+$B28*$V$15,0)</f>
        <v>1268</v>
      </c>
      <c r="D28" s="85">
        <f>ROUND($W$11+$B28*$W$15,0)</f>
        <v>1284</v>
      </c>
      <c r="E28" s="85"/>
      <c r="F28" s="85">
        <f>ROUND($Y$11+$B28*$Y$15,0)</f>
        <v>1352</v>
      </c>
      <c r="G28" s="85">
        <f>ROUND($Z$11+$B28*$Z$15,0)</f>
        <v>1372</v>
      </c>
      <c r="H28" s="85">
        <f>ROUND($AD$11+$B28*$AD$15,0)</f>
        <v>1453</v>
      </c>
      <c r="I28" s="85">
        <f>ROUND($AE$11+$B28*$AE$15,0)</f>
        <v>1480</v>
      </c>
      <c r="K28" s="85">
        <f t="shared" si="24"/>
        <v>84</v>
      </c>
      <c r="L28" s="85">
        <f t="shared" si="24"/>
        <v>88</v>
      </c>
      <c r="M28" s="85">
        <f t="shared" si="25"/>
        <v>101</v>
      </c>
      <c r="N28" s="85">
        <f t="shared" si="25"/>
        <v>108</v>
      </c>
      <c r="P28" s="54">
        <f t="shared" si="26"/>
        <v>6.6199999999999995E-2</v>
      </c>
      <c r="Q28" s="54">
        <f t="shared" si="26"/>
        <v>6.8500000000000005E-2</v>
      </c>
      <c r="R28" s="54">
        <f t="shared" si="27"/>
        <v>7.4700000000000003E-2</v>
      </c>
      <c r="S28" s="54">
        <f t="shared" si="27"/>
        <v>7.8700000000000006E-2</v>
      </c>
      <c r="T28" s="54"/>
      <c r="U28" s="157" t="str">
        <f>'Exh CTM-8 (Res Bill Summary)'!Q27</f>
        <v>Schedule 129D Bill Discount</v>
      </c>
      <c r="V28" s="98">
        <v>5.5900000000000004E-4</v>
      </c>
      <c r="W28" s="57">
        <f t="shared" si="21"/>
        <v>5.5900000000000004E-4</v>
      </c>
      <c r="X28" s="54"/>
      <c r="Y28" s="66">
        <v>5.5900000000000004E-4</v>
      </c>
      <c r="Z28" s="98">
        <f t="shared" si="22"/>
        <v>5.5900000000000004E-4</v>
      </c>
      <c r="AA28" s="54"/>
      <c r="AB28" s="55"/>
      <c r="AC28" s="54"/>
      <c r="AD28" s="66">
        <v>5.5900000000000004E-4</v>
      </c>
      <c r="AE28" s="98">
        <f t="shared" si="23"/>
        <v>5.5900000000000004E-4</v>
      </c>
      <c r="AF28" s="54"/>
      <c r="AG28" s="55"/>
    </row>
    <row r="29" spans="1:33" x14ac:dyDescent="0.2">
      <c r="A29" s="35">
        <f t="shared" si="4"/>
        <v>19</v>
      </c>
      <c r="B29" s="84">
        <f>+B28+1000</f>
        <v>11000</v>
      </c>
      <c r="C29" s="85">
        <f>ROUND($V$11+$B29*$V$15,0)</f>
        <v>1394</v>
      </c>
      <c r="D29" s="85">
        <f>ROUND($W$11+$B29*$W$15,0)</f>
        <v>1409</v>
      </c>
      <c r="E29" s="85"/>
      <c r="F29" s="85">
        <f>ROUND($Y$11+$B29*$Y$15,0)</f>
        <v>1486</v>
      </c>
      <c r="G29" s="85">
        <f>ROUND($Z$11+$B29*$Z$15,0)</f>
        <v>1506</v>
      </c>
      <c r="H29" s="85">
        <f>ROUND($AD$11+$B29*$AD$15,0)</f>
        <v>1597</v>
      </c>
      <c r="I29" s="85">
        <f>ROUND($AE$11+$B29*$AE$15,0)</f>
        <v>1623</v>
      </c>
      <c r="K29" s="85">
        <f t="shared" si="24"/>
        <v>92</v>
      </c>
      <c r="L29" s="85">
        <f t="shared" si="24"/>
        <v>97</v>
      </c>
      <c r="M29" s="85">
        <f t="shared" si="25"/>
        <v>111</v>
      </c>
      <c r="N29" s="85">
        <f t="shared" si="25"/>
        <v>117</v>
      </c>
      <c r="P29" s="54">
        <f t="shared" si="26"/>
        <v>6.6000000000000003E-2</v>
      </c>
      <c r="Q29" s="54">
        <f t="shared" si="26"/>
        <v>6.88E-2</v>
      </c>
      <c r="R29" s="54">
        <f t="shared" si="27"/>
        <v>7.4700000000000003E-2</v>
      </c>
      <c r="S29" s="54">
        <f t="shared" si="27"/>
        <v>7.7700000000000005E-2</v>
      </c>
      <c r="T29" s="54"/>
      <c r="U29" s="157" t="str">
        <f>'Exh CTM-8 (Res Bill Summary)'!Q28</f>
        <v>Schedule 137 REC</v>
      </c>
      <c r="V29" s="98">
        <v>6.9999999999999999E-6</v>
      </c>
      <c r="W29" s="57">
        <f t="shared" si="21"/>
        <v>6.9999999999999999E-6</v>
      </c>
      <c r="X29" s="54"/>
      <c r="Y29" s="66">
        <v>0</v>
      </c>
      <c r="Z29" s="98">
        <f t="shared" si="22"/>
        <v>0</v>
      </c>
      <c r="AA29" s="54"/>
      <c r="AB29" s="55"/>
      <c r="AC29" s="54"/>
      <c r="AD29" s="66">
        <v>0</v>
      </c>
      <c r="AE29" s="98">
        <f t="shared" si="23"/>
        <v>0</v>
      </c>
      <c r="AF29" s="54"/>
      <c r="AG29" s="55"/>
    </row>
    <row r="30" spans="1:33" x14ac:dyDescent="0.2">
      <c r="A30" s="35">
        <f t="shared" si="4"/>
        <v>20</v>
      </c>
      <c r="U30" s="157" t="str">
        <f>'Exh CTM-8 (Res Bill Summary)'!Q31</f>
        <v>Schedule 140 Property Tax</v>
      </c>
      <c r="V30" s="98">
        <v>2.0930000000000002E-3</v>
      </c>
      <c r="W30" s="57">
        <f t="shared" si="21"/>
        <v>2.0930000000000002E-3</v>
      </c>
      <c r="X30" s="54"/>
      <c r="Y30" s="66">
        <v>2.0930000000000002E-3</v>
      </c>
      <c r="Z30" s="98">
        <f t="shared" si="22"/>
        <v>2.0930000000000002E-3</v>
      </c>
      <c r="AA30" s="54"/>
      <c r="AB30" s="55"/>
      <c r="AC30" s="54"/>
      <c r="AD30" s="66">
        <v>2.0930000000000002E-3</v>
      </c>
      <c r="AE30" s="98">
        <f t="shared" si="23"/>
        <v>2.0930000000000002E-3</v>
      </c>
      <c r="AF30" s="54"/>
      <c r="AG30" s="55"/>
    </row>
    <row r="31" spans="1:33" x14ac:dyDescent="0.2">
      <c r="A31" s="35">
        <f t="shared" si="4"/>
        <v>21</v>
      </c>
      <c r="B31" s="84">
        <f>+B29+1000</f>
        <v>12000</v>
      </c>
      <c r="C31" s="85">
        <f>ROUND($V$11+$B31*$V$15,0)</f>
        <v>1519</v>
      </c>
      <c r="D31" s="85">
        <f>ROUND($W$11+$B31*$W$15,0)</f>
        <v>1535</v>
      </c>
      <c r="E31" s="85"/>
      <c r="F31" s="85">
        <f>ROUND($Y$11+$B31*$Y$15,0)</f>
        <v>1620</v>
      </c>
      <c r="G31" s="85">
        <f>ROUND($Z$11+$B31*$Z$15,0)</f>
        <v>1640</v>
      </c>
      <c r="H31" s="85">
        <f>ROUND($AD$11+$B31*$AD$15,0)</f>
        <v>1740</v>
      </c>
      <c r="I31" s="85">
        <f>ROUND($AE$11+$B31*$AE$15,0)</f>
        <v>1767</v>
      </c>
      <c r="K31" s="85">
        <f t="shared" ref="K31:L33" si="28">F31-C31</f>
        <v>101</v>
      </c>
      <c r="L31" s="85">
        <f t="shared" si="28"/>
        <v>105</v>
      </c>
      <c r="M31" s="85">
        <f t="shared" ref="M31:N33" si="29">H31-F31</f>
        <v>120</v>
      </c>
      <c r="N31" s="85">
        <f t="shared" si="29"/>
        <v>127</v>
      </c>
      <c r="P31" s="54">
        <f t="shared" ref="P31:Q33" si="30">ROUND(F31/C31-1,4)</f>
        <v>6.6500000000000004E-2</v>
      </c>
      <c r="Q31" s="54">
        <f t="shared" si="30"/>
        <v>6.8400000000000002E-2</v>
      </c>
      <c r="R31" s="54">
        <f t="shared" ref="R31:S33" si="31">ROUND(H31/F31-1,4)</f>
        <v>7.4099999999999999E-2</v>
      </c>
      <c r="S31" s="54">
        <f t="shared" si="31"/>
        <v>7.7399999999999997E-2</v>
      </c>
      <c r="T31" s="54"/>
      <c r="U31" s="157" t="str">
        <f>'Exh CTM-8 (Res Bill Summary)'!Q32</f>
        <v>Schedule 141 ERF</v>
      </c>
      <c r="V31" s="98">
        <v>0</v>
      </c>
      <c r="W31" s="57">
        <f t="shared" si="21"/>
        <v>0</v>
      </c>
      <c r="X31" s="54"/>
      <c r="Y31" s="66">
        <v>0</v>
      </c>
      <c r="Z31" s="98">
        <f t="shared" si="22"/>
        <v>0</v>
      </c>
      <c r="AA31" s="54"/>
      <c r="AB31" s="55"/>
      <c r="AC31" s="54"/>
      <c r="AD31" s="66">
        <v>0</v>
      </c>
      <c r="AE31" s="98">
        <f t="shared" si="23"/>
        <v>0</v>
      </c>
      <c r="AF31" s="54"/>
      <c r="AG31" s="55"/>
    </row>
    <row r="32" spans="1:33" x14ac:dyDescent="0.2">
      <c r="A32" s="35">
        <f t="shared" si="4"/>
        <v>22</v>
      </c>
      <c r="B32" s="84">
        <f>+B31+1000</f>
        <v>13000</v>
      </c>
      <c r="C32" s="85">
        <f>ROUND($V$11+$B32*$V$15,0)</f>
        <v>1645</v>
      </c>
      <c r="D32" s="85">
        <f>ROUND($W$11+$B32*$W$15,0)</f>
        <v>1661</v>
      </c>
      <c r="E32" s="85"/>
      <c r="F32" s="85">
        <f>ROUND($Y$11+$B32*$Y$15,0)</f>
        <v>1753</v>
      </c>
      <c r="G32" s="85">
        <f>ROUND($Z$11+$B32*$Z$15,0)</f>
        <v>1774</v>
      </c>
      <c r="H32" s="85">
        <f>ROUND($AD$11+$B32*$AD$15,0)</f>
        <v>1884</v>
      </c>
      <c r="I32" s="85">
        <f>ROUND($AE$11+$B32*$AE$15,0)</f>
        <v>1911</v>
      </c>
      <c r="K32" s="85">
        <f t="shared" si="28"/>
        <v>108</v>
      </c>
      <c r="L32" s="85">
        <f t="shared" si="28"/>
        <v>113</v>
      </c>
      <c r="M32" s="85">
        <f t="shared" si="29"/>
        <v>131</v>
      </c>
      <c r="N32" s="85">
        <f t="shared" si="29"/>
        <v>137</v>
      </c>
      <c r="P32" s="54">
        <f t="shared" si="30"/>
        <v>6.5699999999999995E-2</v>
      </c>
      <c r="Q32" s="54">
        <f t="shared" si="30"/>
        <v>6.8000000000000005E-2</v>
      </c>
      <c r="R32" s="54">
        <f t="shared" si="31"/>
        <v>7.4700000000000003E-2</v>
      </c>
      <c r="S32" s="54">
        <f t="shared" si="31"/>
        <v>7.7200000000000005E-2</v>
      </c>
      <c r="T32" s="54"/>
      <c r="U32" s="157" t="str">
        <f>'Exh CTM-8 (Res Bill Summary)'!Q33</f>
        <v>Schedule 141A Energy Charge Credit</v>
      </c>
      <c r="V32" s="98">
        <v>1.6659999999999999E-3</v>
      </c>
      <c r="W32" s="57">
        <f t="shared" si="21"/>
        <v>1.6659999999999999E-3</v>
      </c>
      <c r="Y32" s="66">
        <v>1.6659999999999999E-3</v>
      </c>
      <c r="Z32" s="98">
        <f t="shared" si="22"/>
        <v>1.6659999999999999E-3</v>
      </c>
      <c r="AB32" s="59"/>
      <c r="AD32" s="66">
        <v>1.6659999999999999E-3</v>
      </c>
      <c r="AE32" s="98">
        <f t="shared" si="23"/>
        <v>1.6659999999999999E-3</v>
      </c>
      <c r="AG32" s="59"/>
    </row>
    <row r="33" spans="1:33" x14ac:dyDescent="0.2">
      <c r="A33" s="35">
        <f t="shared" si="4"/>
        <v>23</v>
      </c>
      <c r="B33" s="84">
        <f>+B32+1000</f>
        <v>14000</v>
      </c>
      <c r="C33" s="85">
        <f>ROUND($V$11+$B33*$V$15,0)</f>
        <v>1771</v>
      </c>
      <c r="D33" s="85">
        <f>ROUND($W$11+$B33*$W$15,0)</f>
        <v>1787</v>
      </c>
      <c r="E33" s="85"/>
      <c r="F33" s="85">
        <f>ROUND($Y$11+$B33*$Y$15,0)</f>
        <v>1887</v>
      </c>
      <c r="G33" s="85">
        <f>ROUND($Z$11+$B33*$Z$15,0)</f>
        <v>1908</v>
      </c>
      <c r="H33" s="85">
        <f>ROUND($AD$11+$B33*$AD$15,0)</f>
        <v>2028</v>
      </c>
      <c r="I33" s="85">
        <f>ROUND($AE$11+$B33*$AE$15,0)</f>
        <v>2054</v>
      </c>
      <c r="K33" s="85">
        <f t="shared" si="28"/>
        <v>116</v>
      </c>
      <c r="L33" s="85">
        <f t="shared" si="28"/>
        <v>121</v>
      </c>
      <c r="M33" s="85">
        <f t="shared" si="29"/>
        <v>141</v>
      </c>
      <c r="N33" s="85">
        <f t="shared" si="29"/>
        <v>146</v>
      </c>
      <c r="P33" s="54">
        <f t="shared" si="30"/>
        <v>6.5500000000000003E-2</v>
      </c>
      <c r="Q33" s="54">
        <f t="shared" si="30"/>
        <v>6.7699999999999996E-2</v>
      </c>
      <c r="R33" s="54">
        <f t="shared" si="31"/>
        <v>7.4700000000000003E-2</v>
      </c>
      <c r="S33" s="54">
        <f t="shared" si="31"/>
        <v>7.6499999999999999E-2</v>
      </c>
      <c r="T33" s="54"/>
      <c r="U33" s="157" t="str">
        <f>'Exh CTM-8 (Res Bill Summary)'!Q34</f>
        <v>Schedule 141CEI Clean Energy Implementation Plan</v>
      </c>
      <c r="V33" s="98">
        <v>9.9099999999999991E-4</v>
      </c>
      <c r="W33" s="57">
        <f t="shared" si="21"/>
        <v>9.9099999999999991E-4</v>
      </c>
      <c r="X33" s="54"/>
      <c r="Y33" s="66">
        <v>0</v>
      </c>
      <c r="Z33" s="98">
        <f t="shared" si="22"/>
        <v>0</v>
      </c>
      <c r="AA33" s="54"/>
      <c r="AB33" s="55"/>
      <c r="AC33" s="54"/>
      <c r="AD33" s="66">
        <v>0</v>
      </c>
      <c r="AE33" s="98">
        <f t="shared" si="23"/>
        <v>0</v>
      </c>
      <c r="AF33" s="54"/>
      <c r="AG33" s="55"/>
    </row>
    <row r="34" spans="1:33" x14ac:dyDescent="0.2">
      <c r="A34" s="35">
        <f t="shared" si="4"/>
        <v>24</v>
      </c>
      <c r="U34" s="157" t="str">
        <f>'Exh CTM-8 (Res Bill Summary)'!Q35</f>
        <v>Schedule 141CGR Clean Generation Resources</v>
      </c>
      <c r="V34" s="98">
        <v>0</v>
      </c>
      <c r="W34" s="57">
        <f t="shared" si="21"/>
        <v>0</v>
      </c>
      <c r="X34" s="54"/>
      <c r="Y34" s="66">
        <v>3.2694180092110192E-3</v>
      </c>
      <c r="Z34" s="98">
        <f t="shared" si="22"/>
        <v>3.2694180092110192E-3</v>
      </c>
      <c r="AA34" s="54"/>
      <c r="AB34" s="55"/>
      <c r="AC34" s="54"/>
      <c r="AD34" s="66">
        <v>4.0915915206471499E-3</v>
      </c>
      <c r="AE34" s="98">
        <f t="shared" si="23"/>
        <v>4.0915915206471499E-3</v>
      </c>
      <c r="AF34" s="54"/>
      <c r="AG34" s="55"/>
    </row>
    <row r="35" spans="1:33" x14ac:dyDescent="0.2">
      <c r="A35" s="35">
        <f t="shared" si="4"/>
        <v>25</v>
      </c>
      <c r="B35" s="84">
        <f>+B33+1000</f>
        <v>15000</v>
      </c>
      <c r="C35" s="85">
        <f>ROUND($V$11+$B35*$V$15,0)</f>
        <v>1897</v>
      </c>
      <c r="D35" s="85">
        <f>ROUND($W$11+$B35*$W$15,0)</f>
        <v>1912</v>
      </c>
      <c r="E35" s="85"/>
      <c r="F35" s="85">
        <f>ROUND($Y$11+$B35*$Y$15,0)</f>
        <v>2021</v>
      </c>
      <c r="G35" s="85">
        <f>ROUND($Z$11+$B35*$Z$15,0)</f>
        <v>2042</v>
      </c>
      <c r="H35" s="85">
        <f>ROUND($AD$11+$B35*$AD$15,0)</f>
        <v>2171</v>
      </c>
      <c r="I35" s="85">
        <f>ROUND($AE$11+$B35*$AE$15,0)</f>
        <v>2198</v>
      </c>
      <c r="K35" s="85">
        <f t="shared" ref="K35:L37" si="32">F35-C35</f>
        <v>124</v>
      </c>
      <c r="L35" s="85">
        <f t="shared" si="32"/>
        <v>130</v>
      </c>
      <c r="M35" s="85">
        <f t="shared" ref="M35:N37" si="33">H35-F35</f>
        <v>150</v>
      </c>
      <c r="N35" s="85">
        <f t="shared" si="33"/>
        <v>156</v>
      </c>
      <c r="P35" s="54">
        <f t="shared" ref="P35:Q37" si="34">ROUND(F35/C35-1,4)</f>
        <v>6.54E-2</v>
      </c>
      <c r="Q35" s="54">
        <f t="shared" si="34"/>
        <v>6.8000000000000005E-2</v>
      </c>
      <c r="R35" s="54">
        <f t="shared" ref="R35:S37" si="35">ROUND(H35/F35-1,4)</f>
        <v>7.4200000000000002E-2</v>
      </c>
      <c r="S35" s="54">
        <f t="shared" si="35"/>
        <v>7.6399999999999996E-2</v>
      </c>
      <c r="T35" s="54"/>
      <c r="U35" s="157" t="str">
        <f>'Exh CTM-8 (Res Bill Summary)'!Q36</f>
        <v>Schedule 141DCARB Decarbonization</v>
      </c>
      <c r="V35" s="98">
        <v>0</v>
      </c>
      <c r="W35" s="57">
        <f t="shared" si="21"/>
        <v>0</v>
      </c>
      <c r="X35" s="54"/>
      <c r="Y35" s="66">
        <v>2.8727030798653835E-4</v>
      </c>
      <c r="Z35" s="98">
        <f t="shared" si="22"/>
        <v>2.8727030798653835E-4</v>
      </c>
      <c r="AA35" s="54"/>
      <c r="AB35" s="55"/>
      <c r="AC35" s="54"/>
      <c r="AD35" s="66">
        <v>2.8599373040827478E-4</v>
      </c>
      <c r="AE35" s="98">
        <f t="shared" si="23"/>
        <v>2.8599373040827478E-4</v>
      </c>
      <c r="AF35" s="54"/>
      <c r="AG35" s="55"/>
    </row>
    <row r="36" spans="1:33" x14ac:dyDescent="0.2">
      <c r="A36" s="35">
        <f t="shared" si="4"/>
        <v>26</v>
      </c>
      <c r="B36" s="84">
        <f>+B35+1000</f>
        <v>16000</v>
      </c>
      <c r="C36" s="85">
        <f>ROUND($V$11+$B36*$V$15,0)</f>
        <v>2022</v>
      </c>
      <c r="D36" s="85">
        <f>ROUND($W$11+$B36*$W$15,0)</f>
        <v>2038</v>
      </c>
      <c r="E36" s="85"/>
      <c r="F36" s="85">
        <f>ROUND($Y$11+$B36*$Y$15,0)</f>
        <v>2155</v>
      </c>
      <c r="G36" s="85">
        <f>ROUND($Z$11+$B36*$Z$15,0)</f>
        <v>2176</v>
      </c>
      <c r="H36" s="85">
        <f>ROUND($AD$11+$B36*$AD$15,0)</f>
        <v>2315</v>
      </c>
      <c r="I36" s="85">
        <f>ROUND($AE$11+$B36*$AE$15,0)</f>
        <v>2341</v>
      </c>
      <c r="K36" s="85">
        <f t="shared" si="32"/>
        <v>133</v>
      </c>
      <c r="L36" s="85">
        <f t="shared" si="32"/>
        <v>138</v>
      </c>
      <c r="M36" s="85">
        <f t="shared" si="33"/>
        <v>160</v>
      </c>
      <c r="N36" s="85">
        <f t="shared" si="33"/>
        <v>165</v>
      </c>
      <c r="P36" s="54">
        <f t="shared" si="34"/>
        <v>6.5799999999999997E-2</v>
      </c>
      <c r="Q36" s="54">
        <f t="shared" si="34"/>
        <v>6.7699999999999996E-2</v>
      </c>
      <c r="R36" s="54">
        <f t="shared" si="35"/>
        <v>7.4200000000000002E-2</v>
      </c>
      <c r="S36" s="54">
        <f t="shared" si="35"/>
        <v>7.5800000000000006E-2</v>
      </c>
      <c r="T36" s="54"/>
      <c r="U36" s="157" t="str">
        <f>'Exh CTM-8 (Res Bill Summary)'!Q37</f>
        <v>Schedule 141COL Colstrip Adjustment</v>
      </c>
      <c r="V36" s="98">
        <v>2.3960000000000001E-3</v>
      </c>
      <c r="W36" s="57">
        <f t="shared" si="21"/>
        <v>2.3960000000000001E-3</v>
      </c>
      <c r="Y36" s="66">
        <v>2.3960000000000001E-3</v>
      </c>
      <c r="Z36" s="98">
        <f t="shared" si="22"/>
        <v>2.3960000000000001E-3</v>
      </c>
      <c r="AB36" s="59"/>
      <c r="AD36" s="66">
        <v>2.3960000000000001E-3</v>
      </c>
      <c r="AE36" s="98">
        <f t="shared" si="23"/>
        <v>2.3960000000000001E-3</v>
      </c>
      <c r="AG36" s="59"/>
    </row>
    <row r="37" spans="1:33" x14ac:dyDescent="0.2">
      <c r="A37" s="35">
        <f t="shared" si="4"/>
        <v>27</v>
      </c>
      <c r="B37" s="84">
        <f>+B36+1000</f>
        <v>17000</v>
      </c>
      <c r="C37" s="85">
        <f>ROUND($V$11+$B37*$V$15,0)</f>
        <v>2148</v>
      </c>
      <c r="D37" s="85">
        <f>ROUND($W$11+$B37*$W$15,0)</f>
        <v>2164</v>
      </c>
      <c r="E37" s="85"/>
      <c r="F37" s="85">
        <f>ROUND($Y$11+$B37*$Y$15,0)</f>
        <v>2289</v>
      </c>
      <c r="G37" s="85">
        <f>ROUND($Z$11+$B37*$Z$15,0)</f>
        <v>2309</v>
      </c>
      <c r="H37" s="85">
        <f>ROUND($AD$11+$B37*$AD$15,0)</f>
        <v>2458</v>
      </c>
      <c r="I37" s="85">
        <f>ROUND($AE$11+$B37*$AE$15,0)</f>
        <v>2485</v>
      </c>
      <c r="K37" s="85">
        <f t="shared" si="32"/>
        <v>141</v>
      </c>
      <c r="L37" s="85">
        <f t="shared" si="32"/>
        <v>145</v>
      </c>
      <c r="M37" s="85">
        <f t="shared" si="33"/>
        <v>169</v>
      </c>
      <c r="N37" s="85">
        <f t="shared" si="33"/>
        <v>176</v>
      </c>
      <c r="P37" s="54">
        <f t="shared" si="34"/>
        <v>6.5600000000000006E-2</v>
      </c>
      <c r="Q37" s="54">
        <f t="shared" si="34"/>
        <v>6.7000000000000004E-2</v>
      </c>
      <c r="R37" s="54">
        <f t="shared" si="35"/>
        <v>7.3800000000000004E-2</v>
      </c>
      <c r="S37" s="54">
        <f t="shared" si="35"/>
        <v>7.6200000000000004E-2</v>
      </c>
      <c r="T37" s="54"/>
      <c r="U37" s="157" t="str">
        <f>'Exh CTM-8 (Res Bill Summary)'!Q38</f>
        <v>Schedule 141N Rates Not Subject to Refund</v>
      </c>
      <c r="V37" s="98">
        <v>6.6309999999999997E-3</v>
      </c>
      <c r="W37" s="57">
        <f t="shared" si="21"/>
        <v>6.6309999999999997E-3</v>
      </c>
      <c r="X37" s="54"/>
      <c r="Y37" s="66">
        <v>0</v>
      </c>
      <c r="Z37" s="98">
        <f t="shared" si="22"/>
        <v>0</v>
      </c>
      <c r="AA37" s="54"/>
      <c r="AB37" s="55"/>
      <c r="AC37" s="54"/>
      <c r="AD37" s="66">
        <v>0</v>
      </c>
      <c r="AE37" s="98">
        <f t="shared" si="23"/>
        <v>0</v>
      </c>
      <c r="AF37" s="54"/>
      <c r="AG37" s="55"/>
    </row>
    <row r="38" spans="1:33" x14ac:dyDescent="0.2">
      <c r="A38" s="35">
        <f t="shared" si="4"/>
        <v>28</v>
      </c>
      <c r="U38" s="157" t="str">
        <f>'Exh CTM-8 (Res Bill Summary)'!Q39</f>
        <v>Schedule 141R Rates Subject to Refund</v>
      </c>
      <c r="V38" s="98">
        <v>6.3020000000000003E-3</v>
      </c>
      <c r="W38" s="57">
        <f t="shared" si="21"/>
        <v>6.3020000000000003E-3</v>
      </c>
      <c r="X38" s="54"/>
      <c r="Y38" s="66">
        <v>0</v>
      </c>
      <c r="Z38" s="98">
        <f t="shared" si="22"/>
        <v>0</v>
      </c>
      <c r="AA38" s="54"/>
      <c r="AB38" s="55"/>
      <c r="AC38" s="54"/>
      <c r="AD38" s="66">
        <v>0</v>
      </c>
      <c r="AE38" s="98">
        <f t="shared" si="23"/>
        <v>0</v>
      </c>
      <c r="AF38" s="54"/>
      <c r="AG38" s="55"/>
    </row>
    <row r="39" spans="1:33" x14ac:dyDescent="0.2">
      <c r="A39" s="35">
        <f t="shared" si="4"/>
        <v>29</v>
      </c>
      <c r="B39" s="84">
        <f>+B37+1000</f>
        <v>18000</v>
      </c>
      <c r="C39" s="85">
        <f>ROUND($V$11+$B39*$V$15,0)</f>
        <v>2274</v>
      </c>
      <c r="D39" s="85">
        <f>ROUND($W$11+$B39*$W$15,0)</f>
        <v>2290</v>
      </c>
      <c r="E39" s="85"/>
      <c r="F39" s="85">
        <f>ROUND($Y$11+$B39*$Y$15,0)</f>
        <v>2423</v>
      </c>
      <c r="G39" s="85">
        <f>ROUND($Z$11+$B39*$Z$15,0)</f>
        <v>2443</v>
      </c>
      <c r="H39" s="85">
        <f>ROUND($AD$11+$B39*$AD$15,0)</f>
        <v>2602</v>
      </c>
      <c r="I39" s="85">
        <f>ROUND($AE$11+$B39*$AE$15,0)</f>
        <v>2629</v>
      </c>
      <c r="K39" s="85">
        <f t="shared" ref="K39:L41" si="36">F39-C39</f>
        <v>149</v>
      </c>
      <c r="L39" s="85">
        <f t="shared" si="36"/>
        <v>153</v>
      </c>
      <c r="M39" s="85">
        <f t="shared" ref="M39:N41" si="37">H39-F39</f>
        <v>179</v>
      </c>
      <c r="N39" s="85">
        <f t="shared" si="37"/>
        <v>186</v>
      </c>
      <c r="P39" s="54">
        <f t="shared" ref="P39:Q41" si="38">ROUND(F39/C39-1,4)</f>
        <v>6.5500000000000003E-2</v>
      </c>
      <c r="Q39" s="54">
        <f t="shared" si="38"/>
        <v>6.6799999999999998E-2</v>
      </c>
      <c r="R39" s="54">
        <f t="shared" ref="R39:S41" si="39">ROUND(H39/F39-1,4)</f>
        <v>7.3899999999999993E-2</v>
      </c>
      <c r="S39" s="54">
        <f t="shared" si="39"/>
        <v>7.6100000000000001E-2</v>
      </c>
      <c r="T39" s="54"/>
      <c r="U39" s="157" t="str">
        <f>'Exh CTM-8 (Res Bill Summary)'!Q40</f>
        <v>Schedule 141 TEP</v>
      </c>
      <c r="V39" s="98">
        <v>2.7700000000000001E-4</v>
      </c>
      <c r="W39" s="57">
        <f t="shared" si="21"/>
        <v>2.7700000000000001E-4</v>
      </c>
      <c r="X39" s="54"/>
      <c r="Y39" s="66">
        <v>2.7700000000000001E-4</v>
      </c>
      <c r="Z39" s="98">
        <f t="shared" si="22"/>
        <v>2.7700000000000001E-4</v>
      </c>
      <c r="AA39" s="54"/>
      <c r="AB39" s="55"/>
      <c r="AC39" s="54"/>
      <c r="AD39" s="66">
        <v>2.7700000000000001E-4</v>
      </c>
      <c r="AE39" s="98">
        <f t="shared" si="23"/>
        <v>2.7700000000000001E-4</v>
      </c>
      <c r="AF39" s="54"/>
      <c r="AG39" s="55"/>
    </row>
    <row r="40" spans="1:33" x14ac:dyDescent="0.2">
      <c r="A40" s="35">
        <f t="shared" si="4"/>
        <v>30</v>
      </c>
      <c r="B40" s="84">
        <f>+B39+1000</f>
        <v>19000</v>
      </c>
      <c r="C40" s="85">
        <f>ROUND($V$11+$B40*$V$15,0)</f>
        <v>2400</v>
      </c>
      <c r="D40" s="85">
        <f>ROUND($W$11+$B40*$W$15,0)</f>
        <v>2415</v>
      </c>
      <c r="E40" s="85"/>
      <c r="F40" s="85">
        <f>ROUND($Y$11+$B40*$Y$15,0)</f>
        <v>2557</v>
      </c>
      <c r="G40" s="85">
        <f>ROUND($Z$11+$B40*$Z$15,0)</f>
        <v>2577</v>
      </c>
      <c r="H40" s="85">
        <f>ROUND($AD$11+$B40*$AD$15,0)</f>
        <v>2746</v>
      </c>
      <c r="I40" s="85">
        <f>ROUND($AE$11+$B40*$AE$15,0)</f>
        <v>2772</v>
      </c>
      <c r="K40" s="85">
        <f t="shared" si="36"/>
        <v>157</v>
      </c>
      <c r="L40" s="85">
        <f t="shared" si="36"/>
        <v>162</v>
      </c>
      <c r="M40" s="85">
        <f t="shared" si="37"/>
        <v>189</v>
      </c>
      <c r="N40" s="85">
        <f t="shared" si="37"/>
        <v>195</v>
      </c>
      <c r="P40" s="54">
        <f t="shared" si="38"/>
        <v>6.54E-2</v>
      </c>
      <c r="Q40" s="54">
        <f t="shared" si="38"/>
        <v>6.7100000000000007E-2</v>
      </c>
      <c r="R40" s="54">
        <f t="shared" si="39"/>
        <v>7.3899999999999993E-2</v>
      </c>
      <c r="S40" s="54">
        <f t="shared" si="39"/>
        <v>7.5700000000000003E-2</v>
      </c>
      <c r="T40" s="54"/>
      <c r="U40" s="157" t="str">
        <f>'Exh CTM-8 (Res Bill Summary)'!Q41</f>
        <v>Schedule 141WFP Wildfire Prevention Cost Recovery</v>
      </c>
      <c r="V40" s="98">
        <v>0</v>
      </c>
      <c r="W40" s="57">
        <f t="shared" si="21"/>
        <v>0</v>
      </c>
      <c r="Y40" s="66">
        <v>1.2333166741210985E-3</v>
      </c>
      <c r="Z40" s="98">
        <f t="shared" si="22"/>
        <v>1.2333166741210985E-3</v>
      </c>
      <c r="AB40" s="59"/>
      <c r="AD40" s="66">
        <v>1.5329985957903459E-3</v>
      </c>
      <c r="AE40" s="98">
        <f t="shared" si="23"/>
        <v>1.5329985957903459E-3</v>
      </c>
      <c r="AG40" s="59"/>
    </row>
    <row r="41" spans="1:33" x14ac:dyDescent="0.2">
      <c r="A41" s="35">
        <f t="shared" si="4"/>
        <v>31</v>
      </c>
      <c r="B41" s="84">
        <f>+B40+1000</f>
        <v>20000</v>
      </c>
      <c r="C41" s="85">
        <f>ROUND($V$11+$B41*$V$15,0)</f>
        <v>2525</v>
      </c>
      <c r="D41" s="85">
        <f>ROUND($W$11+$B41*$W$15,0)</f>
        <v>2541</v>
      </c>
      <c r="E41" s="85"/>
      <c r="F41" s="85">
        <f>ROUND($Y$11+$B41*$Y$15,0)</f>
        <v>2690</v>
      </c>
      <c r="G41" s="85">
        <f>ROUND($Z$11+$B41*$Z$15,0)</f>
        <v>2711</v>
      </c>
      <c r="H41" s="85">
        <f>ROUND($AD$11+$B41*$AD$15,0)</f>
        <v>2889</v>
      </c>
      <c r="I41" s="85">
        <f>ROUND($AE$11+$B41*$AE$15,0)</f>
        <v>2916</v>
      </c>
      <c r="K41" s="85">
        <f t="shared" si="36"/>
        <v>165</v>
      </c>
      <c r="L41" s="85">
        <f t="shared" si="36"/>
        <v>170</v>
      </c>
      <c r="M41" s="85">
        <f t="shared" si="37"/>
        <v>199</v>
      </c>
      <c r="N41" s="85">
        <f t="shared" si="37"/>
        <v>205</v>
      </c>
      <c r="P41" s="54">
        <f t="shared" si="38"/>
        <v>6.5299999999999997E-2</v>
      </c>
      <c r="Q41" s="54">
        <f t="shared" si="38"/>
        <v>6.6900000000000001E-2</v>
      </c>
      <c r="R41" s="54">
        <f t="shared" si="39"/>
        <v>7.3999999999999996E-2</v>
      </c>
      <c r="S41" s="54">
        <f t="shared" si="39"/>
        <v>7.5600000000000001E-2</v>
      </c>
      <c r="T41" s="54"/>
      <c r="U41" s="157" t="str">
        <f>'Exh CTM-8 (Res Bill Summary)'!Q42</f>
        <v>Schedule 141X (Protected) EDIT</v>
      </c>
      <c r="V41" s="98">
        <v>0</v>
      </c>
      <c r="W41" s="57">
        <f t="shared" si="21"/>
        <v>0</v>
      </c>
      <c r="X41" s="60"/>
      <c r="Y41" s="66">
        <v>0</v>
      </c>
      <c r="Z41" s="98">
        <f t="shared" si="22"/>
        <v>0</v>
      </c>
      <c r="AA41" s="60"/>
      <c r="AB41" s="61"/>
      <c r="AC41" s="60"/>
      <c r="AD41" s="66">
        <v>0</v>
      </c>
      <c r="AE41" s="98">
        <f t="shared" si="23"/>
        <v>0</v>
      </c>
      <c r="AF41" s="60"/>
      <c r="AG41" s="61"/>
    </row>
    <row r="42" spans="1:33" x14ac:dyDescent="0.2">
      <c r="A42" s="35">
        <f t="shared" si="4"/>
        <v>32</v>
      </c>
      <c r="U42" s="157" t="str">
        <f>'Exh CTM-8 (Res Bill Summary)'!Q43</f>
        <v>Schedule 141Z (Unprotected) EDIT</v>
      </c>
      <c r="V42" s="98">
        <v>0</v>
      </c>
      <c r="W42" s="57">
        <f t="shared" si="21"/>
        <v>0</v>
      </c>
      <c r="X42" s="60"/>
      <c r="Y42" s="66">
        <v>0</v>
      </c>
      <c r="Z42" s="98">
        <f t="shared" si="22"/>
        <v>0</v>
      </c>
      <c r="AA42" s="60"/>
      <c r="AB42" s="61"/>
      <c r="AC42" s="60"/>
      <c r="AD42" s="66">
        <v>0</v>
      </c>
      <c r="AE42" s="98">
        <f t="shared" si="23"/>
        <v>0</v>
      </c>
      <c r="AF42" s="60"/>
      <c r="AG42" s="61"/>
    </row>
    <row r="43" spans="1:33" x14ac:dyDescent="0.2">
      <c r="A43" s="35">
        <f t="shared" si="4"/>
        <v>33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60"/>
      <c r="U43" s="157" t="str">
        <f>'Exh CTM-8 (Res Bill Summary)'!Q44</f>
        <v>Schedule 142  Deocupling Deferral</v>
      </c>
      <c r="V43" s="98">
        <v>-2.215E-3</v>
      </c>
      <c r="W43" s="57">
        <f t="shared" si="21"/>
        <v>-2.215E-3</v>
      </c>
      <c r="X43" s="60"/>
      <c r="Y43" s="66">
        <v>-2.215E-3</v>
      </c>
      <c r="Z43" s="98">
        <f t="shared" si="22"/>
        <v>-2.215E-3</v>
      </c>
      <c r="AA43" s="60"/>
      <c r="AB43" s="61"/>
      <c r="AC43" s="60"/>
      <c r="AD43" s="66">
        <v>-2.215E-3</v>
      </c>
      <c r="AE43" s="98">
        <f t="shared" si="23"/>
        <v>-2.215E-3</v>
      </c>
      <c r="AF43" s="60"/>
      <c r="AG43" s="61"/>
    </row>
    <row r="44" spans="1:33" ht="15.6" customHeight="1" x14ac:dyDescent="0.2">
      <c r="A44" s="35">
        <f t="shared" si="4"/>
        <v>34</v>
      </c>
      <c r="R44" s="129"/>
      <c r="S44" s="129"/>
      <c r="T44" s="129"/>
      <c r="U44" s="157" t="str">
        <f>'Exh CTM-8 (Res Bill Summary)'!Q45</f>
        <v>Schedule 142 Deocupling Supplemental</v>
      </c>
      <c r="V44" s="98">
        <v>0</v>
      </c>
      <c r="W44" s="57">
        <f t="shared" si="21"/>
        <v>0</v>
      </c>
      <c r="X44" s="60"/>
      <c r="Y44" s="66">
        <v>0</v>
      </c>
      <c r="Z44" s="98">
        <f t="shared" si="22"/>
        <v>0</v>
      </c>
      <c r="AA44" s="60"/>
      <c r="AB44" s="61"/>
      <c r="AC44" s="60"/>
      <c r="AD44" s="66">
        <v>0</v>
      </c>
      <c r="AE44" s="98">
        <f t="shared" si="23"/>
        <v>0</v>
      </c>
      <c r="AF44" s="60"/>
      <c r="AG44" s="61"/>
    </row>
    <row r="45" spans="1:33" x14ac:dyDescent="0.2">
      <c r="A45" s="35">
        <f t="shared" si="4"/>
        <v>35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60"/>
      <c r="S45" s="60"/>
      <c r="T45" s="60"/>
      <c r="U45" s="157" t="str">
        <f>'Exh CTM-8 (Res Bill Summary)'!Q46</f>
        <v>Schedule 194 BPA Res &amp; Farm Credit</v>
      </c>
      <c r="V45" s="101" t="s">
        <v>171</v>
      </c>
      <c r="W45" s="57"/>
      <c r="X45" s="60"/>
      <c r="Y45" s="66"/>
      <c r="Z45" s="101"/>
      <c r="AA45" s="60"/>
      <c r="AB45" s="61"/>
      <c r="AC45" s="60"/>
      <c r="AD45" s="66"/>
      <c r="AE45" s="101"/>
      <c r="AF45" s="60"/>
      <c r="AG45" s="61"/>
    </row>
    <row r="46" spans="1:33" ht="12" thickBot="1" x14ac:dyDescent="0.25">
      <c r="A46" s="35">
        <f t="shared" si="4"/>
        <v>36</v>
      </c>
      <c r="R46" s="60"/>
      <c r="S46" s="60"/>
      <c r="T46" s="60"/>
      <c r="U46" s="62" t="s">
        <v>170</v>
      </c>
      <c r="V46" s="102">
        <f>SUM(V23:V45)+V19</f>
        <v>0.12756000000000001</v>
      </c>
      <c r="W46" s="63">
        <f>SUM(W23:W45)+W20</f>
        <v>0.12436</v>
      </c>
      <c r="Y46" s="64">
        <f>SUM(Y23:Y45)+Y18</f>
        <v>13.288377004991318</v>
      </c>
      <c r="Z46" s="102">
        <f>SUM(Z23:Z45)+Z18</f>
        <v>33.758377004991324</v>
      </c>
      <c r="AA46" s="102">
        <f>SUM(AA23:AA45)+AA18</f>
        <v>0.2997061704211556</v>
      </c>
      <c r="AB46" s="63">
        <f>SUM(AB23:AB45)+AB18</f>
        <v>0.3001926782273604</v>
      </c>
      <c r="AD46" s="64">
        <f>SUM(AD23:AD45)+AD18</f>
        <v>17.269497583846846</v>
      </c>
      <c r="AE46" s="102">
        <f>SUM(AE23:AE45)+AE18</f>
        <v>43.879497583846842</v>
      </c>
      <c r="AF46" s="102">
        <f>SUM(AF23:AF45)+AF18</f>
        <v>0.29992464204973629</v>
      </c>
      <c r="AG46" s="63">
        <f>SUM(AG23:AG45)+AG18</f>
        <v>0.29994072317723763</v>
      </c>
    </row>
    <row r="47" spans="1:33" ht="12" thickTop="1" x14ac:dyDescent="0.2">
      <c r="A47" s="35">
        <f t="shared" si="4"/>
        <v>37</v>
      </c>
      <c r="U47" s="62"/>
      <c r="V47" s="103"/>
      <c r="W47" s="57"/>
      <c r="Y47" s="66"/>
      <c r="Z47" s="98"/>
      <c r="AA47" s="98"/>
      <c r="AB47" s="59"/>
      <c r="AD47" s="66"/>
      <c r="AE47" s="98"/>
      <c r="AF47" s="98"/>
      <c r="AG47" s="59"/>
    </row>
    <row r="48" spans="1:33" x14ac:dyDescent="0.2">
      <c r="A48" s="35">
        <f t="shared" si="4"/>
        <v>38</v>
      </c>
      <c r="B48" s="158"/>
      <c r="U48" s="67" t="s">
        <v>105</v>
      </c>
      <c r="V48" s="104"/>
      <c r="W48" s="160"/>
      <c r="Y48" s="58"/>
      <c r="AB48" s="160">
        <f>'Exh CTM-8 (Rate Impacts_RY#1)'!$H$11</f>
        <v>0.20245791877085481</v>
      </c>
      <c r="AD48" s="58"/>
      <c r="AG48" s="160">
        <f>'Exh CTM-8 (Rate Impacts_RY#2)'!$I$11</f>
        <v>8.4928357063868309E-2</v>
      </c>
    </row>
    <row r="49" spans="1:33" x14ac:dyDescent="0.2">
      <c r="A49" s="35">
        <f t="shared" si="4"/>
        <v>39</v>
      </c>
      <c r="U49" s="67" t="s">
        <v>104</v>
      </c>
      <c r="V49" s="104"/>
      <c r="W49" s="160"/>
      <c r="Y49" s="58"/>
      <c r="AB49" s="160">
        <f>'Exh CTM-8 (Rate Impacts_RY#1)'!$AI$11</f>
        <v>7.8304169712582708E-2</v>
      </c>
      <c r="AD49" s="58"/>
      <c r="AG49" s="160">
        <f>'Exh CTM-8 (Rate Impacts_RY#2)'!$V$11</f>
        <v>9.2833928739956245E-2</v>
      </c>
    </row>
    <row r="50" spans="1:33" ht="12" thickBot="1" x14ac:dyDescent="0.25">
      <c r="A50" s="35">
        <f t="shared" si="4"/>
        <v>40</v>
      </c>
      <c r="U50" s="70" t="s">
        <v>169</v>
      </c>
      <c r="V50" s="105"/>
      <c r="W50" s="69"/>
      <c r="Y50" s="70"/>
      <c r="Z50" s="105"/>
      <c r="AA50" s="105"/>
      <c r="AB50" s="69"/>
      <c r="AD50" s="70"/>
      <c r="AE50" s="105"/>
      <c r="AF50" s="105"/>
      <c r="AG50" s="69"/>
    </row>
  </sheetData>
  <mergeCells count="22">
    <mergeCell ref="Y8:Z8"/>
    <mergeCell ref="H8:I8"/>
    <mergeCell ref="C7:I7"/>
    <mergeCell ref="M8:N8"/>
    <mergeCell ref="K7:N7"/>
    <mergeCell ref="P7:S7"/>
    <mergeCell ref="A1:AG1"/>
    <mergeCell ref="A2:AG2"/>
    <mergeCell ref="K8:L8"/>
    <mergeCell ref="AF8:AG8"/>
    <mergeCell ref="A3:AG3"/>
    <mergeCell ref="A4:AG4"/>
    <mergeCell ref="Y7:AB7"/>
    <mergeCell ref="P8:Q8"/>
    <mergeCell ref="AA8:AB8"/>
    <mergeCell ref="AD8:AE8"/>
    <mergeCell ref="B5:P5"/>
    <mergeCell ref="C8:D8"/>
    <mergeCell ref="F8:G8"/>
    <mergeCell ref="AD7:AG7"/>
    <mergeCell ref="R8:S8"/>
    <mergeCell ref="V8:W8"/>
  </mergeCells>
  <pageMargins left="0.7" right="0.7" top="0.75" bottom="0.75" header="0.3" footer="0.3"/>
  <pageSetup scale="31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6D9A-0ACA-4631-A658-476D9A50385D}">
  <sheetPr>
    <pageSetUpPr fitToPage="1"/>
  </sheetPr>
  <dimension ref="A1:T67"/>
  <sheetViews>
    <sheetView zoomScaleNormal="100" zoomScaleSheetLayoutView="100" workbookViewId="0">
      <pane ySplit="9" topLeftCell="A44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42578125" style="35" customWidth="1"/>
    <col min="2" max="2" width="11.42578125" style="35" bestFit="1" customWidth="1"/>
    <col min="3" max="3" width="13.42578125" style="35" bestFit="1" customWidth="1"/>
    <col min="4" max="4" width="10.28515625" style="35" bestFit="1" customWidth="1"/>
    <col min="5" max="5" width="1" style="35" customWidth="1"/>
    <col min="6" max="7" width="13.28515625" style="35" bestFit="1" customWidth="1"/>
    <col min="8" max="8" width="10.5703125" style="35" bestFit="1" customWidth="1"/>
    <col min="9" max="9" width="1" style="35" customWidth="1"/>
    <col min="10" max="10" width="10" style="35" bestFit="1" customWidth="1"/>
    <col min="11" max="11" width="10" style="35" customWidth="1"/>
    <col min="12" max="12" width="1" style="35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35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</row>
    <row r="4" spans="1:20" ht="12.75" x14ac:dyDescent="0.2">
      <c r="A4" s="207" t="s">
        <v>213</v>
      </c>
      <c r="B4" s="213" t="s">
        <v>212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</row>
    <row r="5" spans="1:20" ht="12" thickBot="1" x14ac:dyDescent="0.25">
      <c r="B5" s="82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4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83"/>
      <c r="M7" s="156"/>
      <c r="N7" s="37"/>
      <c r="P7" s="38"/>
      <c r="Q7" s="37"/>
      <c r="S7" s="38"/>
      <c r="T7" s="37"/>
    </row>
    <row r="8" spans="1:20" ht="4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208</v>
      </c>
      <c r="G8" s="117" t="s">
        <v>207</v>
      </c>
      <c r="H8" s="117" t="s">
        <v>206</v>
      </c>
      <c r="I8" s="34"/>
      <c r="J8" s="117" t="s">
        <v>184</v>
      </c>
      <c r="K8" s="117" t="s">
        <v>183</v>
      </c>
      <c r="L8" s="8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s="48" customFormat="1" x14ac:dyDescent="0.2">
      <c r="B9" s="48" t="s">
        <v>43</v>
      </c>
      <c r="C9" s="48" t="s">
        <v>42</v>
      </c>
      <c r="D9" s="48" t="s">
        <v>41</v>
      </c>
      <c r="F9" s="48" t="s">
        <v>40</v>
      </c>
      <c r="G9" s="48" t="s">
        <v>39</v>
      </c>
      <c r="H9" s="48" t="s">
        <v>83</v>
      </c>
      <c r="J9" s="48" t="s">
        <v>37</v>
      </c>
      <c r="K9" s="48" t="s">
        <v>117</v>
      </c>
      <c r="M9" s="46" t="s">
        <v>35</v>
      </c>
      <c r="N9" s="47" t="s">
        <v>116</v>
      </c>
      <c r="P9" s="46" t="s">
        <v>33</v>
      </c>
      <c r="Q9" s="47" t="s">
        <v>115</v>
      </c>
      <c r="S9" s="46" t="s">
        <v>31</v>
      </c>
      <c r="T9" s="47" t="s">
        <v>114</v>
      </c>
    </row>
    <row r="10" spans="1:20" x14ac:dyDescent="0.2">
      <c r="A10" s="35">
        <v>1</v>
      </c>
      <c r="B10" s="35">
        <v>50</v>
      </c>
      <c r="C10" s="35">
        <v>300</v>
      </c>
      <c r="D10" s="84">
        <f>ROUND((B$10*C10),0)</f>
        <v>15000</v>
      </c>
      <c r="F10" s="85">
        <f>+N$10+IF($D10&lt;20000,$D10*N$14,20000*N$14+($D10-20000)*N$16)+IF($B10&gt;50,($B10-50)*N$22,0)</f>
        <v>1898.575</v>
      </c>
      <c r="G10" s="85">
        <f>+P$10+IF($D10&lt;20000,$D10*P$14,20000*P$14+($D10-20000)*P$16)+IF($B10&gt;50,($B10-50)*P$22,0)</f>
        <v>1897.581842000651</v>
      </c>
      <c r="H10" s="85">
        <f>+S$10+IF($D10&lt;20000,$D10*S$14,20000*S$14+($D10-20000)*S$16)+IF($B10&gt;50,($B10-50)*S$22,0)</f>
        <v>2001.7629042080735</v>
      </c>
      <c r="J10" s="86">
        <f t="shared" ref="J10:K12" si="0">ROUND((+G10-F10)/F10,3)</f>
        <v>-1E-3</v>
      </c>
      <c r="K10" s="86">
        <f t="shared" si="0"/>
        <v>5.5E-2</v>
      </c>
      <c r="L10" s="86"/>
      <c r="M10" s="58" t="s">
        <v>175</v>
      </c>
      <c r="N10" s="53">
        <f>SUM(N27)</f>
        <v>53.95</v>
      </c>
      <c r="O10" s="54"/>
      <c r="P10" s="6">
        <f>SUM(P27)</f>
        <v>70.14</v>
      </c>
      <c r="Q10" s="55">
        <f>(P10-N10)/N10</f>
        <v>0.30009267840593135</v>
      </c>
      <c r="R10" s="54"/>
      <c r="S10" s="6">
        <f>SUM(S27)</f>
        <v>91.18</v>
      </c>
      <c r="T10" s="55">
        <f>(S10-P10)/P10</f>
        <v>0.29997148560022818</v>
      </c>
    </row>
    <row r="11" spans="1:20" x14ac:dyDescent="0.2">
      <c r="A11" s="35">
        <f t="shared" ref="A11:A42" si="1">A10+1</f>
        <v>2</v>
      </c>
      <c r="B11" s="35">
        <f>+B10</f>
        <v>50</v>
      </c>
      <c r="C11" s="35">
        <v>500</v>
      </c>
      <c r="D11" s="84">
        <f>ROUND((B$10*C11),0)</f>
        <v>25000</v>
      </c>
      <c r="F11" s="85">
        <f>+N$10+IF($D11&lt;20000,$D11*N$14,20000*N$14+($D11-20000)*N$16)+IF($B11&gt;50,($B11-50)*N$22,0)</f>
        <v>2965.4749999999999</v>
      </c>
      <c r="G11" s="85">
        <f>+P$10+IF($D11&lt;20000,$D11*P$14,20000*P$14+($D11-20000)*P$16)+IF($B11&gt;50,($B11-50)*P$22,0)</f>
        <v>3002.7672644777235</v>
      </c>
      <c r="H11" s="85">
        <f>+S$10+IF($D11&lt;20000,$D11*S$14,20000*S$14+($D11-20000)*S$16)+IF($B11&gt;50,($B11-50)*S$22,0)</f>
        <v>3161.376215156572</v>
      </c>
      <c r="J11" s="86">
        <f t="shared" si="0"/>
        <v>1.2999999999999999E-2</v>
      </c>
      <c r="K11" s="86">
        <f t="shared" si="0"/>
        <v>5.2999999999999999E-2</v>
      </c>
      <c r="L11" s="86"/>
      <c r="M11" s="58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35">
        <f>+B11</f>
        <v>50</v>
      </c>
      <c r="C12" s="35">
        <v>700</v>
      </c>
      <c r="D12" s="84">
        <f>ROUND((B$10*C12),0)</f>
        <v>35000</v>
      </c>
      <c r="F12" s="85">
        <f>+N$10+IF($D12&lt;20000,$D12*N$14,20000*N$14+($D12-20000)*N$16)+IF($B12&gt;50,($B12-50)*N$22,0)</f>
        <v>3869.5249999999996</v>
      </c>
      <c r="G12" s="85">
        <f>+P$10+IF($D12&lt;20000,$D12*P$14,20000*P$14+($D12-20000)*P$16)+IF($B12&gt;50,($B12-50)*P$22,0)</f>
        <v>3994.8435480981016</v>
      </c>
      <c r="H12" s="85">
        <f>+S$10+IF($D12&lt;20000,$D12*S$14,20000*S$14+($D12-20000)*S$16)+IF($B12&gt;50,($B12-50)*S$22,0)</f>
        <v>4206.8809009148554</v>
      </c>
      <c r="J12" s="86">
        <f t="shared" si="0"/>
        <v>3.2000000000000001E-2</v>
      </c>
      <c r="K12" s="86">
        <f t="shared" si="0"/>
        <v>5.2999999999999999E-2</v>
      </c>
      <c r="L12" s="86"/>
      <c r="M12" s="76" t="s">
        <v>205</v>
      </c>
      <c r="N12" s="53">
        <f>SUM(N28,N38:N60)</f>
        <v>0.12739400000000001</v>
      </c>
      <c r="O12" s="54"/>
      <c r="P12" s="6">
        <f>SUM(P28,P38:P60)</f>
        <v>0.12868445613337676</v>
      </c>
      <c r="Q12" s="55">
        <f>(P12-N12)/N12</f>
        <v>1.0129646085190428E-2</v>
      </c>
      <c r="R12" s="54"/>
      <c r="S12" s="6">
        <f>SUM(S28,S38:S60)</f>
        <v>0.13403019361387158</v>
      </c>
      <c r="T12" s="55">
        <f>(S12-P12)/P12</f>
        <v>4.1541438967222004E-2</v>
      </c>
    </row>
    <row r="13" spans="1:20" x14ac:dyDescent="0.2">
      <c r="A13" s="35">
        <f t="shared" si="1"/>
        <v>4</v>
      </c>
      <c r="F13" s="85"/>
      <c r="G13" s="85"/>
      <c r="H13" s="85"/>
      <c r="J13" s="86"/>
      <c r="K13" s="86"/>
      <c r="M13" s="76" t="s">
        <v>204</v>
      </c>
      <c r="N13" s="53">
        <f>SUM(N29,N38:N60)</f>
        <v>0.118448</v>
      </c>
      <c r="O13" s="54"/>
      <c r="P13" s="6">
        <f>SUM(P29,P38:P60)</f>
        <v>0.11973845613337672</v>
      </c>
      <c r="Q13" s="55">
        <f>(P13-N13)/N13</f>
        <v>1.0894705975421465E-2</v>
      </c>
      <c r="R13" s="54"/>
      <c r="S13" s="6">
        <f>SUM(S29,S38:S60)</f>
        <v>0.12508419361387157</v>
      </c>
      <c r="T13" s="55">
        <f>(S13-P13)/P13</f>
        <v>4.4645117810273388E-2</v>
      </c>
    </row>
    <row r="14" spans="1:20" x14ac:dyDescent="0.2">
      <c r="A14" s="35">
        <f t="shared" si="1"/>
        <v>5</v>
      </c>
      <c r="B14" s="35">
        <v>100</v>
      </c>
      <c r="C14" s="35">
        <v>300</v>
      </c>
      <c r="D14" s="84">
        <f>ROUND((B$14*C14),0)</f>
        <v>30000</v>
      </c>
      <c r="F14" s="85">
        <f>+N$10+IF($D14&lt;20000,$D14*N$14,20000*N$14+($D14-20000)*N$16)+IF($B14&gt;50,($B14-50)*N$22,0)</f>
        <v>3841</v>
      </c>
      <c r="G14" s="85">
        <f>+P$10+IF($D14&lt;20000,$D14*P$14,20000*P$14+($D14-20000)*P$16)+IF($B14&gt;50,($B14-50)*P$22,0)</f>
        <v>4048.3054062879123</v>
      </c>
      <c r="H14" s="85">
        <f>+S$10+IF($D14&lt;20000,$D14*S$14,20000*S$14+($D14-20000)*S$16)+IF($B14&gt;50,($B14-50)*S$22,0)</f>
        <v>4398.6285580357135</v>
      </c>
      <c r="J14" s="86">
        <f t="shared" ref="J14:K16" si="2">ROUND((+G14-F14)/F14,3)</f>
        <v>5.3999999999999999E-2</v>
      </c>
      <c r="K14" s="86">
        <f t="shared" si="2"/>
        <v>8.6999999999999994E-2</v>
      </c>
      <c r="L14" s="86"/>
      <c r="M14" s="76" t="s">
        <v>203</v>
      </c>
      <c r="N14" s="80">
        <f>SUM(N30,N38:N60)</f>
        <v>0.122975</v>
      </c>
      <c r="O14" s="54"/>
      <c r="P14" s="6">
        <f>SUM(P30,P38:P60)</f>
        <v>0.12182945613337673</v>
      </c>
      <c r="Q14" s="55">
        <f>(P14-N14)/N14</f>
        <v>-9.3152581144401066E-3</v>
      </c>
      <c r="R14" s="54"/>
      <c r="S14" s="6">
        <f>SUM(S30,S38:S60)</f>
        <v>0.12737219361387156</v>
      </c>
      <c r="T14" s="55">
        <f>(S14-P14)/P14</f>
        <v>4.5495873136187519E-2</v>
      </c>
    </row>
    <row r="15" spans="1:20" x14ac:dyDescent="0.2">
      <c r="A15" s="35">
        <f t="shared" si="1"/>
        <v>6</v>
      </c>
      <c r="B15" s="35">
        <f>+B14</f>
        <v>100</v>
      </c>
      <c r="C15" s="35">
        <v>500</v>
      </c>
      <c r="D15" s="84">
        <f>ROUND((B$14*C15),0)</f>
        <v>50000</v>
      </c>
      <c r="F15" s="85">
        <f>+N$10+IF($D15&lt;20000,$D15*N$14,20000*N$14+($D15-20000)*N$16)+IF($B15&gt;50,($B15-50)*N$22,0)</f>
        <v>5649.0999999999995</v>
      </c>
      <c r="G15" s="85">
        <f>+P$10+IF($D15&lt;20000,$D15*P$14,20000*P$14+($D15-20000)*P$16)+IF($B15&gt;50,($B15-50)*P$22,0)</f>
        <v>6032.4579735286688</v>
      </c>
      <c r="H15" s="85">
        <f>+S$10+IF($D15&lt;20000,$D15*S$14,20000*S$14+($D15-20000)*S$16)+IF($B15&gt;50,($B15-50)*S$22,0)</f>
        <v>6489.6379295522793</v>
      </c>
      <c r="J15" s="86">
        <f t="shared" si="2"/>
        <v>6.8000000000000005E-2</v>
      </c>
      <c r="K15" s="86">
        <f t="shared" si="2"/>
        <v>7.5999999999999998E-2</v>
      </c>
      <c r="L15" s="86"/>
      <c r="M15" s="58"/>
      <c r="N15" s="53"/>
      <c r="O15" s="54"/>
      <c r="P15" s="6"/>
      <c r="Q15" s="55"/>
      <c r="R15" s="54"/>
      <c r="S15" s="6"/>
      <c r="T15" s="55"/>
    </row>
    <row r="16" spans="1:20" x14ac:dyDescent="0.2">
      <c r="A16" s="35">
        <f t="shared" si="1"/>
        <v>7</v>
      </c>
      <c r="B16" s="35">
        <f>+B15</f>
        <v>100</v>
      </c>
      <c r="C16" s="35">
        <v>700</v>
      </c>
      <c r="D16" s="84">
        <f>ROUND((B$14*C16),0)</f>
        <v>70000</v>
      </c>
      <c r="F16" s="85">
        <f>+N$10+IF($D16&lt;20000,$D16*N$14,20000*N$14+($D16-20000)*N$16)+IF($B16&gt;50,($B16-50)*N$22,0)</f>
        <v>7457.2</v>
      </c>
      <c r="G16" s="85">
        <f>+P$10+IF($D16&lt;20000,$D16*P$14,20000*P$14+($D16-20000)*P$16)+IF($B16&gt;50,($B16-50)*P$22,0)</f>
        <v>8016.6105407694258</v>
      </c>
      <c r="H16" s="85">
        <f>+S$10+IF($D16&lt;20000,$D16*S$14,20000*S$14+($D16-20000)*S$16)+IF($B16&gt;50,($B16-50)*S$22,0)</f>
        <v>8580.6473010688442</v>
      </c>
      <c r="J16" s="86">
        <f t="shared" si="2"/>
        <v>7.4999999999999997E-2</v>
      </c>
      <c r="K16" s="86">
        <f t="shared" si="2"/>
        <v>7.0000000000000007E-2</v>
      </c>
      <c r="L16" s="86"/>
      <c r="M16" s="76" t="s">
        <v>202</v>
      </c>
      <c r="N16" s="53">
        <f>SUM(N31,N39:N53)</f>
        <v>9.0404999999999999E-2</v>
      </c>
      <c r="O16" s="54"/>
      <c r="P16" s="6">
        <f>SUM(P31,P39:P53)</f>
        <v>9.9207628362037822E-2</v>
      </c>
      <c r="Q16" s="55">
        <f>(P16-N16)/N16</f>
        <v>9.736882210096591E-2</v>
      </c>
      <c r="R16" s="54"/>
      <c r="S16" s="6">
        <f>SUM(S31,S39:S53)</f>
        <v>0.10455046857582825</v>
      </c>
      <c r="T16" s="55">
        <f>(S16-P16)/P16</f>
        <v>5.3855134952857008E-2</v>
      </c>
    </row>
    <row r="17" spans="1:20" x14ac:dyDescent="0.2">
      <c r="A17" s="35">
        <f t="shared" si="1"/>
        <v>8</v>
      </c>
      <c r="F17" s="85"/>
      <c r="G17" s="85"/>
      <c r="H17" s="85"/>
      <c r="J17" s="86"/>
      <c r="K17" s="86"/>
      <c r="L17" s="54"/>
      <c r="M17" s="76"/>
      <c r="N17" s="53"/>
      <c r="O17" s="54"/>
      <c r="P17" s="6"/>
      <c r="Q17" s="55"/>
      <c r="R17" s="54"/>
      <c r="S17" s="6"/>
      <c r="T17" s="55"/>
    </row>
    <row r="18" spans="1:20" x14ac:dyDescent="0.2">
      <c r="A18" s="35">
        <f t="shared" si="1"/>
        <v>9</v>
      </c>
      <c r="B18" s="35">
        <v>150</v>
      </c>
      <c r="C18" s="35">
        <v>300</v>
      </c>
      <c r="D18" s="84">
        <f>ROUND((B$18*C18),0)</f>
        <v>45000</v>
      </c>
      <c r="F18" s="85">
        <f>+N$10+IF($D18&lt;20000,$D18*N$14,20000*N$14+($D18-20000)*N$16)+IF($B18&gt;50,($B18-50)*N$22,0)</f>
        <v>5620.5749999999998</v>
      </c>
      <c r="G18" s="85">
        <f>+P$10+IF($D18&lt;20000,$D18*P$14,20000*P$14+($D18-20000)*P$16)+IF($B18&gt;50,($B18-50)*P$22,0)</f>
        <v>6085.919831718481</v>
      </c>
      <c r="H18" s="85">
        <f>+S$10+IF($D18&lt;20000,$D18*S$14,20000*S$14+($D18-20000)*S$16)+IF($B18&gt;50,($B18-50)*S$22,0)</f>
        <v>6681.3855866731374</v>
      </c>
      <c r="J18" s="86">
        <f t="shared" ref="J18:K20" si="3">ROUND((+G18-F18)/F18,3)</f>
        <v>8.3000000000000004E-2</v>
      </c>
      <c r="K18" s="86">
        <f t="shared" si="3"/>
        <v>9.8000000000000004E-2</v>
      </c>
      <c r="L18" s="86"/>
      <c r="M18" s="76" t="s">
        <v>201</v>
      </c>
      <c r="N18" s="53">
        <v>0</v>
      </c>
      <c r="O18" s="54"/>
      <c r="P18" s="6">
        <v>0</v>
      </c>
      <c r="Q18" s="55">
        <f>IFERROR((P18-N18)/N18,0)</f>
        <v>0</v>
      </c>
      <c r="R18" s="54"/>
      <c r="S18" s="6">
        <v>0</v>
      </c>
      <c r="T18" s="55">
        <f>IFERROR((S18-P18)/P18,0)</f>
        <v>0</v>
      </c>
    </row>
    <row r="19" spans="1:20" x14ac:dyDescent="0.2">
      <c r="A19" s="35">
        <f t="shared" si="1"/>
        <v>10</v>
      </c>
      <c r="B19" s="35">
        <f>+B18</f>
        <v>150</v>
      </c>
      <c r="C19" s="35">
        <v>500</v>
      </c>
      <c r="D19" s="84">
        <f>ROUND((B$18*C19),0)</f>
        <v>75000</v>
      </c>
      <c r="F19" s="85">
        <f>+N$10+IF($D19&lt;20000,$D19*N$14,20000*N$14+($D19-20000)*N$16)+IF($B19&gt;50,($B19-50)*N$22,0)</f>
        <v>8332.7250000000004</v>
      </c>
      <c r="G19" s="85">
        <f>+P$10+IF($D19&lt;20000,$D19*P$14,20000*P$14+($D19-20000)*P$16)+IF($B19&gt;50,($B19-50)*P$22,0)</f>
        <v>9062.1486825796164</v>
      </c>
      <c r="H19" s="85">
        <f>+S$10+IF($D19&lt;20000,$D19*S$14,20000*S$14+($D19-20000)*S$16)+IF($B19&gt;50,($B19-50)*S$22,0)</f>
        <v>9817.8996439479852</v>
      </c>
      <c r="J19" s="86">
        <f t="shared" si="3"/>
        <v>8.7999999999999995E-2</v>
      </c>
      <c r="K19" s="86">
        <f t="shared" si="3"/>
        <v>8.3000000000000004E-2</v>
      </c>
      <c r="L19" s="86"/>
      <c r="M19" s="76"/>
      <c r="N19" s="53"/>
      <c r="O19" s="54"/>
      <c r="P19" s="6"/>
      <c r="Q19" s="55"/>
      <c r="R19" s="54"/>
      <c r="S19" s="6"/>
      <c r="T19" s="55"/>
    </row>
    <row r="20" spans="1:20" x14ac:dyDescent="0.2">
      <c r="A20" s="35">
        <f t="shared" si="1"/>
        <v>11</v>
      </c>
      <c r="B20" s="35">
        <f>+B19</f>
        <v>150</v>
      </c>
      <c r="C20" s="35">
        <v>700</v>
      </c>
      <c r="D20" s="84">
        <f>ROUND((B$18*C20),0)</f>
        <v>105000</v>
      </c>
      <c r="F20" s="85">
        <f>+N$10+IF($D20&lt;20000,$D20*N$14,20000*N$14+($D20-20000)*N$16)+IF($B20&gt;50,($B20-50)*N$22,0)</f>
        <v>11044.875</v>
      </c>
      <c r="G20" s="85">
        <f>+P$10+IF($D20&lt;20000,$D20*P$14,20000*P$14+($D20-20000)*P$16)+IF($B20&gt;50,($B20-50)*P$22,0)</f>
        <v>12038.377533440749</v>
      </c>
      <c r="H20" s="85">
        <f>+S$10+IF($D20&lt;20000,$D20*S$14,20000*S$14+($D20-20000)*S$16)+IF($B20&gt;50,($B20-50)*S$22,0)</f>
        <v>12954.413701222835</v>
      </c>
      <c r="J20" s="86">
        <f t="shared" si="3"/>
        <v>0.09</v>
      </c>
      <c r="K20" s="86">
        <f t="shared" si="3"/>
        <v>7.5999999999999998E-2</v>
      </c>
      <c r="L20" s="86"/>
      <c r="M20" s="76" t="s">
        <v>200</v>
      </c>
      <c r="N20" s="53">
        <f>SUM(N33)</f>
        <v>10.119999999999999</v>
      </c>
      <c r="O20" s="54"/>
      <c r="P20" s="6">
        <f>SUM(P33)</f>
        <v>13.16</v>
      </c>
      <c r="Q20" s="55">
        <f>(P20-N20)/N20</f>
        <v>0.30039525691699615</v>
      </c>
      <c r="R20" s="54"/>
      <c r="S20" s="6">
        <f>SUM(S33)</f>
        <v>17.100000000000001</v>
      </c>
      <c r="T20" s="55">
        <f>(S20-P20)/P20</f>
        <v>0.29939209726443777</v>
      </c>
    </row>
    <row r="21" spans="1:20" x14ac:dyDescent="0.2">
      <c r="A21" s="35">
        <f t="shared" si="1"/>
        <v>12</v>
      </c>
      <c r="F21" s="85"/>
      <c r="G21" s="85"/>
      <c r="H21" s="85"/>
      <c r="J21" s="86"/>
      <c r="K21" s="86"/>
      <c r="L21" s="54"/>
      <c r="M21" s="76" t="s">
        <v>199</v>
      </c>
      <c r="N21" s="53">
        <f>SUM(N34)</f>
        <v>6.75</v>
      </c>
      <c r="O21" s="54"/>
      <c r="P21" s="6">
        <f>SUM(P34)</f>
        <v>8.7799999999999994</v>
      </c>
      <c r="Q21" s="55">
        <f>(P21-N21)/N21</f>
        <v>0.30074074074074064</v>
      </c>
      <c r="R21" s="54"/>
      <c r="S21" s="6">
        <f>SUM(S34)</f>
        <v>11.41</v>
      </c>
      <c r="T21" s="55">
        <f>(S21-P21)/P21</f>
        <v>0.29954441913439644</v>
      </c>
    </row>
    <row r="22" spans="1:20" x14ac:dyDescent="0.2">
      <c r="A22" s="35">
        <f t="shared" si="1"/>
        <v>13</v>
      </c>
      <c r="B22" s="35">
        <v>200</v>
      </c>
      <c r="C22" s="35">
        <v>300</v>
      </c>
      <c r="D22" s="84">
        <f>ROUND((B$22*C22),0)</f>
        <v>60000</v>
      </c>
      <c r="F22" s="85">
        <f>+N$10+IF($D22&lt;20000,$D22*N$14,20000*N$14+($D22-20000)*N$16)+IF($B22&gt;50,($B22-50)*N$22,0)</f>
        <v>7400.15</v>
      </c>
      <c r="G22" s="85">
        <f>+P$10+IF($D22&lt;20000,$D22*P$14,20000*P$14+($D22-20000)*P$16)+IF($B22&gt;50,($B22-50)*P$22,0)</f>
        <v>8123.5342571490482</v>
      </c>
      <c r="H22" s="85">
        <f>+S$10+IF($D22&lt;20000,$D22*S$14,20000*S$14+($D22-20000)*S$16)+IF($B22&gt;50,($B22-50)*S$22,0)</f>
        <v>8964.1426153105604</v>
      </c>
      <c r="J22" s="86">
        <f t="shared" ref="J22:K24" si="4">ROUND((+G22-F22)/F22,3)</f>
        <v>9.8000000000000004E-2</v>
      </c>
      <c r="K22" s="86">
        <f t="shared" si="4"/>
        <v>0.10299999999999999</v>
      </c>
      <c r="L22" s="86"/>
      <c r="M22" s="76" t="s">
        <v>198</v>
      </c>
      <c r="N22" s="53">
        <f>SUM(N35)</f>
        <v>8.4700000000000006</v>
      </c>
      <c r="O22" s="54"/>
      <c r="P22" s="6">
        <f>SUM(P35)</f>
        <v>10.99</v>
      </c>
      <c r="Q22" s="55">
        <f>(P22-N22)/N22</f>
        <v>0.29752066115702475</v>
      </c>
      <c r="R22" s="54"/>
      <c r="S22" s="6">
        <f>SUM(S35)</f>
        <v>14.29</v>
      </c>
      <c r="T22" s="55">
        <f>(S22-P22)/P22</f>
        <v>0.30027297543221099</v>
      </c>
    </row>
    <row r="23" spans="1:20" x14ac:dyDescent="0.2">
      <c r="A23" s="35">
        <f t="shared" si="1"/>
        <v>14</v>
      </c>
      <c r="B23" s="35">
        <f>+B22</f>
        <v>200</v>
      </c>
      <c r="C23" s="35">
        <v>500</v>
      </c>
      <c r="D23" s="84">
        <f>ROUND((B$22*C23),0)</f>
        <v>100000</v>
      </c>
      <c r="F23" s="85">
        <f>+N$10+IF($D23&lt;20000,$D23*N$14,20000*N$14+($D23-20000)*N$16)+IF($B23&gt;50,($B23-50)*N$22,0)</f>
        <v>11016.35</v>
      </c>
      <c r="G23" s="85">
        <f>+P$10+IF($D23&lt;20000,$D23*P$14,20000*P$14+($D23-20000)*P$16)+IF($B23&gt;50,($B23-50)*P$22,0)</f>
        <v>12091.839391630559</v>
      </c>
      <c r="H23" s="85">
        <f>+S$10+IF($D23&lt;20000,$D23*S$14,20000*S$14+($D23-20000)*S$16)+IF($B23&gt;50,($B23-50)*S$22,0)</f>
        <v>13146.161358343692</v>
      </c>
      <c r="J23" s="86">
        <f t="shared" si="4"/>
        <v>9.8000000000000004E-2</v>
      </c>
      <c r="K23" s="86">
        <f t="shared" si="4"/>
        <v>8.6999999999999994E-2</v>
      </c>
      <c r="L23" s="86"/>
      <c r="M23" s="58"/>
      <c r="N23" s="53"/>
      <c r="O23" s="54"/>
      <c r="P23" s="6"/>
      <c r="Q23" s="55"/>
      <c r="R23" s="54"/>
      <c r="S23" s="6"/>
      <c r="T23" s="55"/>
    </row>
    <row r="24" spans="1:20" x14ac:dyDescent="0.2">
      <c r="A24" s="35">
        <f t="shared" si="1"/>
        <v>15</v>
      </c>
      <c r="B24" s="35">
        <f>+B23</f>
        <v>200</v>
      </c>
      <c r="C24" s="35">
        <v>700</v>
      </c>
      <c r="D24" s="84">
        <f>ROUND((B$22*C24),0)</f>
        <v>140000</v>
      </c>
      <c r="F24" s="85">
        <f>+N$10+IF($D24&lt;20000,$D24*N$14,20000*N$14+($D24-20000)*N$16)+IF($B24&gt;50,($B24-50)*N$22,0)</f>
        <v>14632.550000000001</v>
      </c>
      <c r="G24" s="85">
        <f>+P$10+IF($D24&lt;20000,$D24*P$14,20000*P$14+($D24-20000)*P$16)+IF($B24&gt;50,($B24-50)*P$22,0)</f>
        <v>16060.144526112072</v>
      </c>
      <c r="H24" s="85">
        <f>+S$10+IF($D24&lt;20000,$D24*S$14,20000*S$14+($D24-20000)*S$16)+IF($B24&gt;50,($B24-50)*S$22,0)</f>
        <v>17328.180101376824</v>
      </c>
      <c r="J24" s="86">
        <f t="shared" si="4"/>
        <v>9.8000000000000004E-2</v>
      </c>
      <c r="K24" s="86">
        <f t="shared" si="4"/>
        <v>7.9000000000000001E-2</v>
      </c>
      <c r="L24" s="86"/>
      <c r="M24" s="58" t="s">
        <v>197</v>
      </c>
      <c r="N24" s="53">
        <f>SUM(N36)</f>
        <v>3.1800000000000001E-3</v>
      </c>
      <c r="O24" s="54"/>
      <c r="P24" s="6">
        <f>SUM(P36)</f>
        <v>4.13E-3</v>
      </c>
      <c r="Q24" s="55">
        <f>(P24-N24)/N24</f>
        <v>0.29874213836477981</v>
      </c>
      <c r="R24" s="54"/>
      <c r="S24" s="6">
        <f>SUM(S36)</f>
        <v>5.3699999999999998E-3</v>
      </c>
      <c r="T24" s="55">
        <f>(S24-P24)/P24</f>
        <v>0.3002421307506053</v>
      </c>
    </row>
    <row r="25" spans="1:20" x14ac:dyDescent="0.2">
      <c r="A25" s="35">
        <f t="shared" si="1"/>
        <v>16</v>
      </c>
      <c r="F25" s="85"/>
      <c r="G25" s="85"/>
      <c r="H25" s="85"/>
      <c r="J25" s="86"/>
      <c r="K25" s="86"/>
      <c r="L25" s="54"/>
      <c r="M25" s="58"/>
      <c r="N25" s="53"/>
      <c r="O25" s="54"/>
      <c r="P25" s="6"/>
      <c r="Q25" s="55"/>
      <c r="R25" s="54"/>
      <c r="S25" s="6"/>
      <c r="T25" s="55"/>
    </row>
    <row r="26" spans="1:20" x14ac:dyDescent="0.2">
      <c r="A26" s="35">
        <f t="shared" si="1"/>
        <v>17</v>
      </c>
      <c r="B26" s="35">
        <v>250</v>
      </c>
      <c r="C26" s="35">
        <v>300</v>
      </c>
      <c r="D26" s="84">
        <f>ROUND((B$26*C26),0)</f>
        <v>75000</v>
      </c>
      <c r="F26" s="85">
        <f>+N$10+IF($D26&lt;20000,$D26*N$14,20000*N$14+($D26-20000)*N$16)+IF($B26&gt;50,($B26-50)*N$22,0)</f>
        <v>9179.7250000000004</v>
      </c>
      <c r="G26" s="85">
        <f>+P$10+IF($D26&lt;20000,$D26*P$14,20000*P$14+($D26-20000)*P$16)+IF($B26&gt;50,($B26-50)*P$22,0)</f>
        <v>10161.148682579616</v>
      </c>
      <c r="H26" s="85">
        <f>+S$10+IF($D26&lt;20000,$D26*S$14,20000*S$14+($D26-20000)*S$16)+IF($B26&gt;50,($B26-50)*S$22,0)</f>
        <v>11246.899643947985</v>
      </c>
      <c r="J26" s="86">
        <f t="shared" ref="J26:K28" si="5">ROUND((+G26-F26)/F26,3)</f>
        <v>0.107</v>
      </c>
      <c r="K26" s="86">
        <f t="shared" si="5"/>
        <v>0.107</v>
      </c>
      <c r="L26" s="86"/>
      <c r="M26" s="58"/>
      <c r="N26" s="53"/>
      <c r="O26" s="54"/>
      <c r="P26" s="6"/>
      <c r="Q26" s="55"/>
      <c r="R26" s="54"/>
      <c r="S26" s="6"/>
      <c r="T26" s="55"/>
    </row>
    <row r="27" spans="1:20" x14ac:dyDescent="0.2">
      <c r="A27" s="35">
        <f t="shared" si="1"/>
        <v>18</v>
      </c>
      <c r="B27" s="35">
        <f>+B26</f>
        <v>250</v>
      </c>
      <c r="C27" s="35">
        <v>500</v>
      </c>
      <c r="D27" s="84">
        <f>ROUND((B$26*C27),0)</f>
        <v>125000</v>
      </c>
      <c r="F27" s="85">
        <f>+N$10+IF($D27&lt;20000,$D27*N$14,20000*N$14+($D27-20000)*N$16)+IF($B27&gt;50,($B27-50)*N$22,0)</f>
        <v>13699.975</v>
      </c>
      <c r="G27" s="85">
        <f>+P$10+IF($D27&lt;20000,$D27*P$14,20000*P$14+($D27-20000)*P$16)+IF($B27&gt;50,($B27-50)*P$22,0)</f>
        <v>15121.530100681504</v>
      </c>
      <c r="H27" s="85">
        <f>+S$10+IF($D27&lt;20000,$D27*S$14,20000*S$14+($D27-20000)*S$16)+IF($B27&gt;50,($B27-50)*S$22,0)</f>
        <v>16474.423072739399</v>
      </c>
      <c r="J27" s="86">
        <f t="shared" si="5"/>
        <v>0.104</v>
      </c>
      <c r="K27" s="86">
        <f t="shared" si="5"/>
        <v>8.8999999999999996E-2</v>
      </c>
      <c r="L27" s="86"/>
      <c r="M27" s="58" t="str">
        <f>+M10</f>
        <v>Basic Charge</v>
      </c>
      <c r="N27" s="53">
        <v>53.95</v>
      </c>
      <c r="O27" s="54"/>
      <c r="P27" s="126">
        <v>70.14</v>
      </c>
      <c r="Q27" s="55">
        <f>(P27-N27)/N27</f>
        <v>0.30009267840593135</v>
      </c>
      <c r="R27" s="54"/>
      <c r="S27" s="126">
        <v>91.18</v>
      </c>
      <c r="T27" s="55">
        <f>(S27-P27)/P27</f>
        <v>0.29997148560022818</v>
      </c>
    </row>
    <row r="28" spans="1:20" x14ac:dyDescent="0.2">
      <c r="A28" s="35">
        <f t="shared" si="1"/>
        <v>19</v>
      </c>
      <c r="B28" s="35">
        <f>+B27</f>
        <v>250</v>
      </c>
      <c r="C28" s="35">
        <v>700</v>
      </c>
      <c r="D28" s="84">
        <f>ROUND((B$26*C28),0)</f>
        <v>175000</v>
      </c>
      <c r="F28" s="85">
        <f>+N$10+IF($D28&lt;20000,$D28*N$14,20000*N$14+($D28-20000)*N$16)+IF($B28&gt;50,($B28-50)*N$22,0)</f>
        <v>18220.225000000002</v>
      </c>
      <c r="G28" s="85">
        <f>+P$10+IF($D28&lt;20000,$D28*P$14,20000*P$14+($D28-20000)*P$16)+IF($B28&gt;50,($B28-50)*P$22,0)</f>
        <v>20081.911518783396</v>
      </c>
      <c r="H28" s="85">
        <f>+S$10+IF($D28&lt;20000,$D28*S$14,20000*S$14+($D28-20000)*S$16)+IF($B28&gt;50,($B28-50)*S$22,0)</f>
        <v>21701.946501530812</v>
      </c>
      <c r="J28" s="86">
        <f t="shared" si="5"/>
        <v>0.10199999999999999</v>
      </c>
      <c r="K28" s="86">
        <f t="shared" si="5"/>
        <v>8.1000000000000003E-2</v>
      </c>
      <c r="L28" s="86"/>
      <c r="M28" s="58" t="str">
        <f>+M12</f>
        <v>Winter kWh - First 20,000</v>
      </c>
      <c r="N28" s="57">
        <v>9.0594999999999995E-2</v>
      </c>
      <c r="O28" s="54"/>
      <c r="P28" s="66">
        <v>0.110684</v>
      </c>
      <c r="Q28" s="55">
        <f>(P28-N28)/N28</f>
        <v>0.22174512942215366</v>
      </c>
      <c r="R28" s="54"/>
      <c r="S28" s="66">
        <v>0.115771</v>
      </c>
      <c r="T28" s="55">
        <f>(S28-P28)/P28</f>
        <v>4.595966896751106E-2</v>
      </c>
    </row>
    <row r="29" spans="1:20" x14ac:dyDescent="0.2">
      <c r="A29" s="35">
        <f t="shared" si="1"/>
        <v>20</v>
      </c>
      <c r="F29" s="85"/>
      <c r="G29" s="85"/>
      <c r="H29" s="85"/>
      <c r="J29" s="86"/>
      <c r="K29" s="86"/>
      <c r="L29" s="54"/>
      <c r="M29" s="58" t="str">
        <f>+M13</f>
        <v>Summer kWh - First 20,000</v>
      </c>
      <c r="N29" s="57">
        <v>8.1648999999999999E-2</v>
      </c>
      <c r="O29" s="54"/>
      <c r="P29" s="66">
        <v>0.101738</v>
      </c>
      <c r="Q29" s="55">
        <f>(P29-N29)/N29</f>
        <v>0.24604098029369614</v>
      </c>
      <c r="R29" s="54"/>
      <c r="S29" s="66">
        <v>0.106825</v>
      </c>
      <c r="T29" s="55">
        <f>(S29-P29)/P29</f>
        <v>5.0000982916904288E-2</v>
      </c>
    </row>
    <row r="30" spans="1:20" x14ac:dyDescent="0.2">
      <c r="A30" s="35">
        <f t="shared" si="1"/>
        <v>21</v>
      </c>
      <c r="B30" s="35">
        <v>300</v>
      </c>
      <c r="C30" s="35">
        <v>300</v>
      </c>
      <c r="D30" s="84">
        <f>ROUND((B$30*C30),0)</f>
        <v>90000</v>
      </c>
      <c r="F30" s="85">
        <f>+N$10+IF($D30&lt;20000,$D30*N$14,20000*N$14+($D30-20000)*N$16)+IF($B30&gt;50,($B30-50)*N$22,0)</f>
        <v>10959.300000000001</v>
      </c>
      <c r="G30" s="85">
        <f>+P$10+IF($D30&lt;20000,$D30*P$14,20000*P$14+($D30-20000)*P$16)+IF($B30&gt;50,($B30-50)*P$22,0)</f>
        <v>12198.763108010182</v>
      </c>
      <c r="H30" s="85">
        <f>+S$10+IF($D30&lt;20000,$D30*S$14,20000*S$14+($D30-20000)*S$16)+IF($B30&gt;50,($B30-50)*S$22,0)</f>
        <v>13529.65667258541</v>
      </c>
      <c r="J30" s="86">
        <f t="shared" ref="J30:K32" si="6">ROUND((+G30-F30)/F30,3)</f>
        <v>0.113</v>
      </c>
      <c r="K30" s="86">
        <f t="shared" si="6"/>
        <v>0.109</v>
      </c>
      <c r="L30" s="86"/>
      <c r="M30" s="58" t="str">
        <f>+M14</f>
        <v>Average kWh - First 20,000</v>
      </c>
      <c r="N30" s="57">
        <v>8.6176000000000003E-2</v>
      </c>
      <c r="O30" s="54"/>
      <c r="P30" s="66">
        <v>0.103829</v>
      </c>
      <c r="Q30" s="55">
        <f>(P30-N30)/N30</f>
        <v>0.20484821760118829</v>
      </c>
      <c r="R30" s="54"/>
      <c r="S30" s="66">
        <v>0.109113</v>
      </c>
      <c r="T30" s="55">
        <f>(S30-P30)/P30</f>
        <v>5.0891369463252047E-2</v>
      </c>
    </row>
    <row r="31" spans="1:20" x14ac:dyDescent="0.2">
      <c r="A31" s="35">
        <f t="shared" si="1"/>
        <v>22</v>
      </c>
      <c r="B31" s="35">
        <f>+B30</f>
        <v>300</v>
      </c>
      <c r="C31" s="35">
        <v>500</v>
      </c>
      <c r="D31" s="84">
        <f>ROUND((B$30*C31),0)</f>
        <v>150000</v>
      </c>
      <c r="F31" s="85">
        <f>+N$10+IF($D31&lt;20000,$D31*N$14,20000*N$14+($D31-20000)*N$16)+IF($B31&gt;50,($B31-50)*N$22,0)</f>
        <v>16383.6</v>
      </c>
      <c r="G31" s="85">
        <f>+P$10+IF($D31&lt;20000,$D31*P$14,20000*P$14+($D31-20000)*P$16)+IF($B31&gt;50,($B31-50)*P$22,0)</f>
        <v>18151.220809732451</v>
      </c>
      <c r="H31" s="85">
        <f>+S$10+IF($D31&lt;20000,$D31*S$14,20000*S$14+($D31-20000)*S$16)+IF($B31&gt;50,($B31-50)*S$22,0)</f>
        <v>19802.684787135106</v>
      </c>
      <c r="J31" s="86">
        <f t="shared" si="6"/>
        <v>0.108</v>
      </c>
      <c r="K31" s="86">
        <f t="shared" si="6"/>
        <v>9.0999999999999998E-2</v>
      </c>
      <c r="L31" s="86"/>
      <c r="M31" s="58" t="str">
        <f>+M16</f>
        <v>kWh - All Over 20,000</v>
      </c>
      <c r="N31" s="57">
        <v>6.4577999999999997E-2</v>
      </c>
      <c r="O31" s="54"/>
      <c r="P31" s="66">
        <v>8.4667000000000006E-2</v>
      </c>
      <c r="Q31" s="55">
        <f>(P31-N31)/N31</f>
        <v>0.3110811731549446</v>
      </c>
      <c r="R31" s="54"/>
      <c r="S31" s="66">
        <v>8.9754E-2</v>
      </c>
      <c r="T31" s="55">
        <f>(S31-P31)/P31</f>
        <v>6.0082440620312448E-2</v>
      </c>
    </row>
    <row r="32" spans="1:20" x14ac:dyDescent="0.2">
      <c r="A32" s="35">
        <f t="shared" si="1"/>
        <v>23</v>
      </c>
      <c r="B32" s="35">
        <f>+B31</f>
        <v>300</v>
      </c>
      <c r="C32" s="35">
        <v>700</v>
      </c>
      <c r="D32" s="84">
        <f>ROUND((B$30*C32),0)</f>
        <v>210000</v>
      </c>
      <c r="F32" s="85">
        <f>+N$10+IF($D32&lt;20000,$D32*N$14,20000*N$14+($D32-20000)*N$16)+IF($B32&gt;50,($B32-50)*N$22,0)</f>
        <v>21807.9</v>
      </c>
      <c r="G32" s="85">
        <f>+P$10+IF($D32&lt;20000,$D32*P$14,20000*P$14+($D32-20000)*P$16)+IF($B32&gt;50,($B32-50)*P$22,0)</f>
        <v>24103.67851145472</v>
      </c>
      <c r="H32" s="85">
        <f>+S$10+IF($D32&lt;20000,$D32*S$14,20000*S$14+($D32-20000)*S$16)+IF($B32&gt;50,($B32-50)*S$22,0)</f>
        <v>26075.712901684801</v>
      </c>
      <c r="J32" s="86">
        <f t="shared" si="6"/>
        <v>0.105</v>
      </c>
      <c r="K32" s="86">
        <f t="shared" si="6"/>
        <v>8.2000000000000003E-2</v>
      </c>
      <c r="L32" s="86"/>
      <c r="M32" s="58" t="str">
        <f>+M18</f>
        <v>kW - First 50</v>
      </c>
      <c r="N32" s="53">
        <v>0</v>
      </c>
      <c r="P32" s="126">
        <v>0</v>
      </c>
      <c r="Q32" s="55">
        <f>IFERROR((P32-N32)/N32,0)</f>
        <v>0</v>
      </c>
      <c r="S32" s="126">
        <v>0</v>
      </c>
      <c r="T32" s="55">
        <f>IFERROR((S32-P32)/P32,0)</f>
        <v>0</v>
      </c>
    </row>
    <row r="33" spans="1:20" x14ac:dyDescent="0.2">
      <c r="A33" s="35">
        <f t="shared" si="1"/>
        <v>24</v>
      </c>
      <c r="F33" s="85"/>
      <c r="G33" s="85"/>
      <c r="H33" s="85"/>
      <c r="J33" s="86"/>
      <c r="K33" s="86"/>
      <c r="L33" s="54"/>
      <c r="M33" s="58" t="str">
        <f>+M20</f>
        <v>Winter kW - Over 50</v>
      </c>
      <c r="N33" s="53">
        <v>10.119999999999999</v>
      </c>
      <c r="O33" s="54"/>
      <c r="P33" s="126">
        <v>13.16</v>
      </c>
      <c r="Q33" s="55">
        <f>(P33-N33)/N33</f>
        <v>0.30039525691699615</v>
      </c>
      <c r="R33" s="54"/>
      <c r="S33" s="126">
        <v>17.100000000000001</v>
      </c>
      <c r="T33" s="55">
        <f>(S33-P33)/P33</f>
        <v>0.29939209726443777</v>
      </c>
    </row>
    <row r="34" spans="1:20" x14ac:dyDescent="0.2">
      <c r="A34" s="35">
        <f t="shared" si="1"/>
        <v>25</v>
      </c>
      <c r="B34" s="35">
        <v>350</v>
      </c>
      <c r="C34" s="35">
        <v>300</v>
      </c>
      <c r="D34" s="84">
        <f>ROUND((B$34*C34),0)</f>
        <v>105000</v>
      </c>
      <c r="F34" s="85">
        <f>+N$10+IF($D34&lt;20000,$D34*N$14,20000*N$14+($D34-20000)*N$16)+IF($B34&gt;50,($B34-50)*N$22,0)</f>
        <v>12738.875</v>
      </c>
      <c r="G34" s="85">
        <f>+P$10+IF($D34&lt;20000,$D34*P$14,20000*P$14+($D34-20000)*P$16)+IF($B34&gt;50,($B34-50)*P$22,0)</f>
        <v>14236.377533440749</v>
      </c>
      <c r="H34" s="85">
        <f>+S$10+IF($D34&lt;20000,$D34*S$14,20000*S$14+($D34-20000)*S$16)+IF($B34&gt;50,($B34-50)*S$22,0)</f>
        <v>15812.413701222835</v>
      </c>
      <c r="J34" s="86">
        <f t="shared" ref="J34:K36" si="7">ROUND((+G34-F34)/F34,3)</f>
        <v>0.11799999999999999</v>
      </c>
      <c r="K34" s="86">
        <f t="shared" si="7"/>
        <v>0.111</v>
      </c>
      <c r="L34" s="86"/>
      <c r="M34" s="58" t="str">
        <f>+M21</f>
        <v>Summer kW - Over 50</v>
      </c>
      <c r="N34" s="53">
        <v>6.75</v>
      </c>
      <c r="O34" s="54"/>
      <c r="P34" s="126">
        <v>8.7799999999999994</v>
      </c>
      <c r="Q34" s="55">
        <f>(P34-N34)/N34</f>
        <v>0.30074074074074064</v>
      </c>
      <c r="R34" s="54"/>
      <c r="S34" s="126">
        <v>11.41</v>
      </c>
      <c r="T34" s="55">
        <f>(S34-P34)/P34</f>
        <v>0.29954441913439644</v>
      </c>
    </row>
    <row r="35" spans="1:20" x14ac:dyDescent="0.2">
      <c r="A35" s="35">
        <f t="shared" si="1"/>
        <v>26</v>
      </c>
      <c r="B35" s="35">
        <f>+B34</f>
        <v>350</v>
      </c>
      <c r="C35" s="35">
        <v>500</v>
      </c>
      <c r="D35" s="84">
        <f>ROUND((B$34*C35),0)</f>
        <v>175000</v>
      </c>
      <c r="F35" s="85">
        <f>+N$10+IF($D35&lt;20000,$D35*N$14,20000*N$14+($D35-20000)*N$16)+IF($B35&gt;50,($B35-50)*N$22,0)</f>
        <v>19067.225000000002</v>
      </c>
      <c r="G35" s="85">
        <f>+P$10+IF($D35&lt;20000,$D35*P$14,20000*P$14+($D35-20000)*P$16)+IF($B35&gt;50,($B35-50)*P$22,0)</f>
        <v>21180.911518783396</v>
      </c>
      <c r="H35" s="85">
        <f>+S$10+IF($D35&lt;20000,$D35*S$14,20000*S$14+($D35-20000)*S$16)+IF($B35&gt;50,($B35-50)*S$22,0)</f>
        <v>23130.946501530812</v>
      </c>
      <c r="J35" s="86">
        <f t="shared" si="7"/>
        <v>0.111</v>
      </c>
      <c r="K35" s="86">
        <f t="shared" si="7"/>
        <v>9.1999999999999998E-2</v>
      </c>
      <c r="L35" s="86"/>
      <c r="M35" s="58" t="str">
        <f>+M22</f>
        <v>Average kW - Over 50</v>
      </c>
      <c r="N35" s="53">
        <v>8.4700000000000006</v>
      </c>
      <c r="O35" s="54"/>
      <c r="P35" s="126">
        <v>10.99</v>
      </c>
      <c r="Q35" s="55">
        <f>(P35-N35)/N35</f>
        <v>0.29752066115702475</v>
      </c>
      <c r="R35" s="54"/>
      <c r="S35" s="126">
        <v>14.29</v>
      </c>
      <c r="T35" s="55">
        <f>(S35-P35)/P35</f>
        <v>0.30027297543221099</v>
      </c>
    </row>
    <row r="36" spans="1:20" x14ac:dyDescent="0.2">
      <c r="A36" s="35">
        <f t="shared" si="1"/>
        <v>27</v>
      </c>
      <c r="B36" s="35">
        <f>+B35</f>
        <v>350</v>
      </c>
      <c r="C36" s="35">
        <v>700</v>
      </c>
      <c r="D36" s="84">
        <f>ROUND((B$34*C36),0)</f>
        <v>245000</v>
      </c>
      <c r="F36" s="85">
        <f>+N$10+IF($D36&lt;20000,$D36*N$14,20000*N$14+($D36-20000)*N$16)+IF($B36&gt;50,($B36-50)*N$22,0)</f>
        <v>25395.575000000001</v>
      </c>
      <c r="G36" s="85">
        <f>+P$10+IF($D36&lt;20000,$D36*P$14,20000*P$14+($D36-20000)*P$16)+IF($B36&gt;50,($B36-50)*P$22,0)</f>
        <v>28125.445504126044</v>
      </c>
      <c r="H36" s="85">
        <f>+S$10+IF($D36&lt;20000,$D36*S$14,20000*S$14+($D36-20000)*S$16)+IF($B36&gt;50,($B36-50)*S$22,0)</f>
        <v>30449.47930183879</v>
      </c>
      <c r="J36" s="86">
        <f t="shared" si="7"/>
        <v>0.107</v>
      </c>
      <c r="K36" s="86">
        <f t="shared" si="7"/>
        <v>8.3000000000000004E-2</v>
      </c>
      <c r="L36" s="86"/>
      <c r="M36" s="58" t="str">
        <f>+M24</f>
        <v>kVarh</v>
      </c>
      <c r="N36" s="57">
        <v>3.1800000000000001E-3</v>
      </c>
      <c r="P36" s="66">
        <v>4.13E-3</v>
      </c>
      <c r="Q36" s="55">
        <f>(P36-N36)/N36</f>
        <v>0.29874213836477981</v>
      </c>
      <c r="S36" s="66">
        <v>5.3699999999999998E-3</v>
      </c>
      <c r="T36" s="55">
        <f>(S36-P36)/P36</f>
        <v>0.3002421307506053</v>
      </c>
    </row>
    <row r="37" spans="1:20" x14ac:dyDescent="0.2">
      <c r="A37" s="35">
        <f t="shared" si="1"/>
        <v>28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M37" s="58"/>
      <c r="N37" s="59"/>
      <c r="P37" s="58"/>
      <c r="Q37" s="59"/>
      <c r="S37" s="58"/>
      <c r="T37" s="59"/>
    </row>
    <row r="38" spans="1:20" x14ac:dyDescent="0.2">
      <c r="A38" s="35">
        <f t="shared" si="1"/>
        <v>29</v>
      </c>
      <c r="M38" s="157" t="str">
        <f>'Exh CTM-8 (Schedule 24 Impacts)'!U23</f>
        <v xml:space="preserve">Schedule 95 Power Cost
</v>
      </c>
      <c r="N38" s="57">
        <v>7.5240000000000003E-3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Impacts)'!U24</f>
        <v>Schedule 95 PCA Imbalance</v>
      </c>
      <c r="N39" s="57">
        <v>3.2850000000000002E-3</v>
      </c>
      <c r="O39" s="54"/>
      <c r="P39" s="66">
        <v>3.2850000000000002E-3</v>
      </c>
      <c r="Q39" s="55"/>
      <c r="R39" s="54"/>
      <c r="S39" s="66">
        <v>3.2850000000000002E-3</v>
      </c>
      <c r="T39" s="55"/>
    </row>
    <row r="40" spans="1:20" x14ac:dyDescent="0.2">
      <c r="A40" s="35">
        <f t="shared" si="1"/>
        <v>31</v>
      </c>
      <c r="B40" s="222"/>
      <c r="C40" s="222"/>
      <c r="D40" s="222"/>
      <c r="E40" s="222"/>
      <c r="F40" s="222"/>
      <c r="G40" s="222"/>
      <c r="H40" s="222"/>
      <c r="I40" s="222"/>
      <c r="J40" s="222"/>
      <c r="K40" s="60"/>
      <c r="L40" s="60"/>
      <c r="M40" s="157" t="str">
        <f>'Exh CTM-8 (Schedule 24 Impacts)'!U25</f>
        <v>Schedule 95A Federal Incentive Credit</v>
      </c>
      <c r="N40" s="57">
        <v>0</v>
      </c>
      <c r="O40" s="54"/>
      <c r="P40" s="66">
        <v>0</v>
      </c>
      <c r="Q40" s="55"/>
      <c r="R40" s="54"/>
      <c r="S40" s="66">
        <v>0</v>
      </c>
      <c r="T40" s="55"/>
    </row>
    <row r="41" spans="1:20" x14ac:dyDescent="0.2">
      <c r="A41" s="35">
        <f t="shared" si="1"/>
        <v>32</v>
      </c>
      <c r="B41" s="222"/>
      <c r="C41" s="222"/>
      <c r="D41" s="222"/>
      <c r="E41" s="222"/>
      <c r="F41" s="222"/>
      <c r="G41" s="222"/>
      <c r="H41" s="222"/>
      <c r="I41" s="222"/>
      <c r="J41" s="222"/>
      <c r="K41" s="60"/>
      <c r="L41" s="60"/>
      <c r="M41" s="157" t="str">
        <f>'Exh CTM-8 (Schedule 24 Impacts)'!U26</f>
        <v>Schedule 120 Conservation</v>
      </c>
      <c r="N41" s="57">
        <v>4.3480000000000003E-3</v>
      </c>
      <c r="P41" s="66">
        <v>4.3480000000000003E-3</v>
      </c>
      <c r="Q41" s="59"/>
      <c r="S41" s="66">
        <v>4.3480000000000003E-3</v>
      </c>
      <c r="T41" s="59"/>
    </row>
    <row r="42" spans="1:20" x14ac:dyDescent="0.2">
      <c r="A42" s="35">
        <f t="shared" si="1"/>
        <v>33</v>
      </c>
      <c r="B42" s="222"/>
      <c r="C42" s="222"/>
      <c r="D42" s="222"/>
      <c r="E42" s="222"/>
      <c r="F42" s="222"/>
      <c r="G42" s="222"/>
      <c r="H42" s="222"/>
      <c r="I42" s="222"/>
      <c r="J42" s="222"/>
      <c r="K42" s="60"/>
      <c r="L42" s="60"/>
      <c r="M42" s="157" t="str">
        <f>'Exh CTM-8 (Schedule 24 Impacts)'!U27</f>
        <v>Schedule 129 Low Income</v>
      </c>
      <c r="N42" s="57">
        <v>1.222E-3</v>
      </c>
      <c r="O42" s="54"/>
      <c r="P42" s="66">
        <v>1.222E-3</v>
      </c>
      <c r="Q42" s="55"/>
      <c r="R42" s="54"/>
      <c r="S42" s="66">
        <v>1.222E-3</v>
      </c>
      <c r="T42" s="55"/>
    </row>
    <row r="43" spans="1:20" x14ac:dyDescent="0.2">
      <c r="A43" s="35">
        <f t="shared" ref="A43:A67" si="8">A42+1</f>
        <v>34</v>
      </c>
      <c r="B43" s="222"/>
      <c r="C43" s="222"/>
      <c r="D43" s="222"/>
      <c r="E43" s="222"/>
      <c r="F43" s="222"/>
      <c r="G43" s="222"/>
      <c r="H43" s="222"/>
      <c r="I43" s="222"/>
      <c r="J43" s="222"/>
      <c r="K43" s="60"/>
      <c r="L43" s="60"/>
      <c r="M43" s="157" t="str">
        <f>'Exh CTM-8 (Schedule 24 Impacts)'!U28</f>
        <v>Schedule 129D Bill Discount</v>
      </c>
      <c r="N43" s="57">
        <v>5.1999999999999995E-4</v>
      </c>
      <c r="O43" s="54"/>
      <c r="P43" s="66">
        <v>5.1999999999999995E-4</v>
      </c>
      <c r="Q43" s="55"/>
      <c r="R43" s="54"/>
      <c r="S43" s="66">
        <v>5.1999999999999995E-4</v>
      </c>
      <c r="T43" s="55"/>
    </row>
    <row r="44" spans="1:20" x14ac:dyDescent="0.2">
      <c r="A44" s="35">
        <f t="shared" si="8"/>
        <v>35</v>
      </c>
      <c r="M44" s="157" t="str">
        <f>'Exh CTM-8 (Schedule 24 Impacts)'!U29</f>
        <v>Schedule 137 REC</v>
      </c>
      <c r="N44" s="57">
        <v>6.9999999999999999E-6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8"/>
        <v>36</v>
      </c>
      <c r="B45" s="60"/>
      <c r="M45" s="157" t="str">
        <f>'Exh CTM-8 (Schedule 24 Impacts)'!U30</f>
        <v>Schedule 140 Property Tax</v>
      </c>
      <c r="N45" s="57">
        <v>1.98E-3</v>
      </c>
      <c r="O45" s="54"/>
      <c r="P45" s="66">
        <v>1.98E-3</v>
      </c>
      <c r="Q45" s="55"/>
      <c r="R45" s="54"/>
      <c r="S45" s="66">
        <v>1.98E-3</v>
      </c>
      <c r="T45" s="55"/>
    </row>
    <row r="46" spans="1:20" x14ac:dyDescent="0.2">
      <c r="A46" s="35">
        <f t="shared" si="8"/>
        <v>37</v>
      </c>
      <c r="M46" s="157" t="str">
        <f>'Exh CTM-8 (Schedule 24 Impacts)'!U31</f>
        <v>Schedule 141 ERF</v>
      </c>
      <c r="N46" s="57">
        <v>0</v>
      </c>
      <c r="O46" s="54"/>
      <c r="P46" s="66">
        <v>0</v>
      </c>
      <c r="Q46" s="55"/>
      <c r="R46" s="54"/>
      <c r="S46" s="66">
        <v>0</v>
      </c>
      <c r="T46" s="55"/>
    </row>
    <row r="47" spans="1:20" x14ac:dyDescent="0.2">
      <c r="A47" s="35">
        <f t="shared" si="8"/>
        <v>38</v>
      </c>
      <c r="M47" s="157" t="str">
        <f>'Exh CTM-8 (Schedule 24 Impacts)'!U32</f>
        <v>Schedule 141A Energy Charge Credit</v>
      </c>
      <c r="N47" s="57">
        <v>1.6720000000000001E-3</v>
      </c>
      <c r="P47" s="66">
        <v>1.6720000000000001E-3</v>
      </c>
      <c r="Q47" s="59"/>
      <c r="S47" s="66">
        <v>1.6720000000000001E-3</v>
      </c>
      <c r="T47" s="59"/>
    </row>
    <row r="48" spans="1:20" x14ac:dyDescent="0.2">
      <c r="A48" s="35">
        <f t="shared" si="8"/>
        <v>39</v>
      </c>
      <c r="M48" s="157" t="str">
        <f>'Exh CTM-8 (Schedule 24 Impacts)'!U33</f>
        <v>Schedule 141CEI Clean Energy Implementation Plan</v>
      </c>
      <c r="N48" s="57">
        <v>8.8199999999999997E-4</v>
      </c>
      <c r="O48" s="54"/>
      <c r="P48" s="66">
        <v>0</v>
      </c>
      <c r="Q48" s="55"/>
      <c r="R48" s="54"/>
      <c r="S48" s="66">
        <v>0</v>
      </c>
      <c r="T48" s="55"/>
    </row>
    <row r="49" spans="1:20" x14ac:dyDescent="0.2">
      <c r="A49" s="35">
        <f t="shared" si="8"/>
        <v>40</v>
      </c>
      <c r="M49" s="157" t="str">
        <f>'Exh CTM-8 (Schedule 24 Impacts)'!U34</f>
        <v>Schedule 141CGR Clean Generation Resources</v>
      </c>
      <c r="N49" s="57">
        <v>0</v>
      </c>
      <c r="O49" s="54"/>
      <c r="P49" s="66">
        <v>1.0093506537375539E-3</v>
      </c>
      <c r="Q49" s="55"/>
      <c r="R49" s="54"/>
      <c r="S49" s="66">
        <v>1.2652290691821497E-3</v>
      </c>
      <c r="T49" s="55"/>
    </row>
    <row r="50" spans="1:20" x14ac:dyDescent="0.2">
      <c r="A50" s="35">
        <f t="shared" si="8"/>
        <v>41</v>
      </c>
      <c r="M50" s="157" t="str">
        <f>'Exh CTM-8 (Schedule 24 Impacts)'!U35</f>
        <v>Schedule 141DCARB Decarbonization</v>
      </c>
      <c r="N50" s="57">
        <v>0</v>
      </c>
      <c r="O50" s="54"/>
      <c r="P50" s="66">
        <v>2.4277708300260852E-5</v>
      </c>
      <c r="Q50" s="55"/>
      <c r="R50" s="54"/>
      <c r="S50" s="66">
        <v>2.4239506646092717E-5</v>
      </c>
      <c r="T50" s="55"/>
    </row>
    <row r="51" spans="1:20" x14ac:dyDescent="0.2">
      <c r="A51" s="35">
        <f t="shared" si="8"/>
        <v>42</v>
      </c>
      <c r="M51" s="157" t="str">
        <f>'Exh CTM-8 (Schedule 24 Impacts)'!U36</f>
        <v>Schedule 141COL Colstrip Adjustment</v>
      </c>
      <c r="N51" s="57">
        <v>4.8000000000000001E-4</v>
      </c>
      <c r="P51" s="66">
        <v>4.8000000000000001E-4</v>
      </c>
      <c r="Q51" s="59"/>
      <c r="S51" s="66">
        <v>4.8000000000000001E-4</v>
      </c>
      <c r="T51" s="59"/>
    </row>
    <row r="52" spans="1:20" x14ac:dyDescent="0.2">
      <c r="A52" s="35">
        <f t="shared" si="8"/>
        <v>43</v>
      </c>
      <c r="M52" s="157" t="str">
        <f>'Exh CTM-8 (Schedule 24 Impacts)'!U37</f>
        <v>Schedule 141N Rates Not Subject to Refund</v>
      </c>
      <c r="N52" s="57">
        <v>5.8609999999999999E-3</v>
      </c>
      <c r="O52" s="54"/>
      <c r="P52" s="66">
        <v>0</v>
      </c>
      <c r="Q52" s="55"/>
      <c r="R52" s="54"/>
      <c r="S52" s="66">
        <v>0</v>
      </c>
      <c r="T52" s="55"/>
    </row>
    <row r="53" spans="1:20" x14ac:dyDescent="0.2">
      <c r="A53" s="35">
        <f t="shared" si="8"/>
        <v>44</v>
      </c>
      <c r="M53" s="157" t="str">
        <f>'Exh CTM-8 (Schedule 24 Impacts)'!U38</f>
        <v>Schedule 141R Rates Subject to Refund</v>
      </c>
      <c r="N53" s="57">
        <v>5.5700000000000003E-3</v>
      </c>
      <c r="O53" s="54"/>
      <c r="P53" s="66">
        <v>0</v>
      </c>
      <c r="Q53" s="55"/>
      <c r="R53" s="54"/>
      <c r="S53" s="66">
        <v>0</v>
      </c>
      <c r="T53" s="55"/>
    </row>
    <row r="54" spans="1:20" x14ac:dyDescent="0.2">
      <c r="A54" s="35">
        <f t="shared" si="8"/>
        <v>45</v>
      </c>
      <c r="M54" s="157" t="str">
        <f>'Exh CTM-8 (Schedule 24 Impacts)'!U39</f>
        <v>Schedule 141 TEP</v>
      </c>
      <c r="N54" s="57">
        <v>2.8699999999999998E-4</v>
      </c>
      <c r="O54" s="54"/>
      <c r="P54" s="66">
        <v>2.8699999999999998E-4</v>
      </c>
      <c r="Q54" s="55"/>
      <c r="R54" s="54"/>
      <c r="S54" s="66">
        <v>2.8699999999999998E-4</v>
      </c>
      <c r="T54" s="55"/>
    </row>
    <row r="55" spans="1:20" x14ac:dyDescent="0.2">
      <c r="A55" s="35">
        <f t="shared" si="8"/>
        <v>46</v>
      </c>
      <c r="M55" s="157" t="str">
        <f>'Exh CTM-8 (Schedule 24 Impacts)'!U40</f>
        <v>Schedule 141WFP Wildfire Prevention Cost Recovery</v>
      </c>
      <c r="N55" s="57">
        <v>0</v>
      </c>
      <c r="P55" s="66">
        <v>1.1827771338917468E-5</v>
      </c>
      <c r="Q55" s="59"/>
      <c r="S55" s="66">
        <v>1.472503804331429E-5</v>
      </c>
      <c r="T55" s="59"/>
    </row>
    <row r="56" spans="1:20" x14ac:dyDescent="0.2">
      <c r="A56" s="35">
        <f t="shared" si="8"/>
        <v>47</v>
      </c>
      <c r="M56" s="157" t="str">
        <f>'Exh CTM-8 (Schedule 24 Impacts)'!U41</f>
        <v>Schedule 141X (Protected) EDIT</v>
      </c>
      <c r="N56" s="57">
        <v>0</v>
      </c>
      <c r="O56" s="60"/>
      <c r="P56" s="66">
        <v>0</v>
      </c>
      <c r="Q56" s="61"/>
      <c r="R56" s="60"/>
      <c r="S56" s="66">
        <v>0</v>
      </c>
      <c r="T56" s="61"/>
    </row>
    <row r="57" spans="1:20" x14ac:dyDescent="0.2">
      <c r="A57" s="35">
        <f t="shared" si="8"/>
        <v>48</v>
      </c>
      <c r="B57" s="158"/>
      <c r="M57" s="157" t="str">
        <f>'Exh CTM-8 (Schedule 24 Impacts)'!U42</f>
        <v>Schedule 141Z (Unprotected) EDIT</v>
      </c>
      <c r="N57" s="57">
        <v>0</v>
      </c>
      <c r="O57" s="60"/>
      <c r="P57" s="66">
        <v>0</v>
      </c>
      <c r="Q57" s="61"/>
      <c r="R57" s="60"/>
      <c r="S57" s="66">
        <v>0</v>
      </c>
      <c r="T57" s="61"/>
    </row>
    <row r="58" spans="1:20" x14ac:dyDescent="0.2">
      <c r="A58" s="35">
        <f t="shared" si="8"/>
        <v>49</v>
      </c>
      <c r="M58" s="157" t="str">
        <f>'Exh CTM-8 (Schedule 24 Impacts)'!U43</f>
        <v>Schedule 142  Deocupling Deferral</v>
      </c>
      <c r="N58" s="57">
        <v>3.1609999999999997E-3</v>
      </c>
      <c r="O58" s="60"/>
      <c r="P58" s="66">
        <v>3.1609999999999997E-3</v>
      </c>
      <c r="Q58" s="61"/>
      <c r="R58" s="60"/>
      <c r="S58" s="66">
        <v>3.1609999999999997E-3</v>
      </c>
      <c r="T58" s="61"/>
    </row>
    <row r="59" spans="1:20" x14ac:dyDescent="0.2">
      <c r="A59" s="35">
        <f t="shared" si="8"/>
        <v>50</v>
      </c>
      <c r="M59" s="157" t="str">
        <f>'Exh CTM-8 (Schedule 24 Impacts)'!U44</f>
        <v>Schedule 142 Deocupling Supplemental</v>
      </c>
      <c r="N59" s="57">
        <v>0</v>
      </c>
      <c r="O59" s="60"/>
      <c r="P59" s="66">
        <v>0</v>
      </c>
      <c r="Q59" s="61"/>
      <c r="R59" s="60"/>
      <c r="S59" s="66">
        <v>0</v>
      </c>
      <c r="T59" s="61"/>
    </row>
    <row r="60" spans="1:20" x14ac:dyDescent="0.2">
      <c r="A60" s="35">
        <f t="shared" si="8"/>
        <v>51</v>
      </c>
      <c r="M60" s="157" t="str">
        <f>'Exh CTM-8 (Schedule 24 Impacts)'!U45</f>
        <v>Schedule 194 BPA Res &amp; Farm Credit</v>
      </c>
      <c r="N60" s="159" t="s">
        <v>196</v>
      </c>
      <c r="O60" s="60"/>
      <c r="P60" s="66"/>
      <c r="Q60" s="61"/>
      <c r="R60" s="60"/>
      <c r="S60" s="66"/>
      <c r="T60" s="61"/>
    </row>
    <row r="61" spans="1:20" ht="12" thickBot="1" x14ac:dyDescent="0.25">
      <c r="A61" s="35">
        <f t="shared" si="8"/>
        <v>52</v>
      </c>
      <c r="M61" s="62" t="s">
        <v>195</v>
      </c>
      <c r="N61" s="63">
        <f>SUM(N38:N60)+N28</f>
        <v>0.12739400000000001</v>
      </c>
      <c r="P61" s="64">
        <f>SUM(P38:P60)+P28</f>
        <v>0.12868445613337673</v>
      </c>
      <c r="Q61" s="61"/>
      <c r="S61" s="64">
        <f>SUM(S38:S60)+S28</f>
        <v>0.13403019361387156</v>
      </c>
      <c r="T61" s="61"/>
    </row>
    <row r="62" spans="1:20" ht="12.75" thickTop="1" thickBot="1" x14ac:dyDescent="0.25">
      <c r="A62" s="35">
        <f t="shared" si="8"/>
        <v>53</v>
      </c>
      <c r="M62" s="62" t="s">
        <v>194</v>
      </c>
      <c r="N62" s="63">
        <f>SUM(N38:N60)+N29</f>
        <v>0.118448</v>
      </c>
      <c r="P62" s="64">
        <f>SUM(P38:P60)+P29</f>
        <v>0.11973845613337672</v>
      </c>
      <c r="Q62" s="61"/>
      <c r="S62" s="64">
        <f>SUM(S38:S60)+S29</f>
        <v>0.12508419361387155</v>
      </c>
      <c r="T62" s="61"/>
    </row>
    <row r="63" spans="1:20" ht="12.75" thickTop="1" thickBot="1" x14ac:dyDescent="0.25">
      <c r="A63" s="35">
        <f t="shared" si="8"/>
        <v>54</v>
      </c>
      <c r="M63" s="62" t="s">
        <v>193</v>
      </c>
      <c r="N63" s="63">
        <f>SUM(N38:N60)+N31</f>
        <v>0.10137699999999999</v>
      </c>
      <c r="P63" s="64">
        <f>SUM(P38:P60)+P31</f>
        <v>0.10266745613337674</v>
      </c>
      <c r="Q63" s="61"/>
      <c r="S63" s="64">
        <f>SUM(S38:S60)+S31</f>
        <v>0.10801319361387156</v>
      </c>
      <c r="T63" s="61"/>
    </row>
    <row r="64" spans="1:20" ht="12" thickTop="1" x14ac:dyDescent="0.2">
      <c r="A64" s="35">
        <f t="shared" si="8"/>
        <v>55</v>
      </c>
      <c r="M64" s="62"/>
      <c r="N64" s="65"/>
      <c r="P64" s="66"/>
      <c r="Q64" s="57"/>
      <c r="S64" s="66"/>
      <c r="T64" s="57"/>
    </row>
    <row r="65" spans="1:20" x14ac:dyDescent="0.2">
      <c r="A65" s="35">
        <f t="shared" si="8"/>
        <v>56</v>
      </c>
      <c r="M65" s="67" t="s">
        <v>105</v>
      </c>
      <c r="N65" s="68"/>
      <c r="P65" s="58"/>
      <c r="Q65" s="160">
        <f>'Exh CTM-8 (Rate Impacts_RY#1)'!$H$12</f>
        <v>0.18840548596091006</v>
      </c>
      <c r="S65" s="58"/>
      <c r="T65" s="160">
        <f>'Exh CTM-8 (Rate Impacts_RY#2)'!$I$12</f>
        <v>8.0641535210449228E-2</v>
      </c>
    </row>
    <row r="66" spans="1:20" x14ac:dyDescent="0.2">
      <c r="A66" s="35">
        <f t="shared" si="8"/>
        <v>57</v>
      </c>
      <c r="M66" s="67" t="s">
        <v>104</v>
      </c>
      <c r="N66" s="68"/>
      <c r="P66" s="58"/>
      <c r="Q66" s="160">
        <f>'Exh CTM-8 (Rate Impacts_RY#1)'!$AI$12</f>
        <v>5.6134288300362871E-2</v>
      </c>
      <c r="S66" s="58"/>
      <c r="T66" s="160">
        <f>'Exh CTM-8 (Rate Impacts_RY#2)'!$V$12</f>
        <v>8.9014889094888097E-2</v>
      </c>
    </row>
    <row r="67" spans="1:20" ht="12" thickBot="1" x14ac:dyDescent="0.25">
      <c r="A67" s="35">
        <f t="shared" si="8"/>
        <v>58</v>
      </c>
      <c r="M67" s="70" t="s">
        <v>169</v>
      </c>
      <c r="N67" s="69"/>
      <c r="P67" s="70"/>
      <c r="Q67" s="69"/>
      <c r="S67" s="70"/>
      <c r="T67" s="69"/>
    </row>
  </sheetData>
  <mergeCells count="12">
    <mergeCell ref="A1:T1"/>
    <mergeCell ref="A2:T2"/>
    <mergeCell ref="A3:T3"/>
    <mergeCell ref="A4:T4"/>
    <mergeCell ref="P6:Q6"/>
    <mergeCell ref="S6:T6"/>
    <mergeCell ref="B42:J42"/>
    <mergeCell ref="B43:J43"/>
    <mergeCell ref="B40:J40"/>
    <mergeCell ref="B41:J41"/>
    <mergeCell ref="F7:H7"/>
    <mergeCell ref="J7:K7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9074E-9A9F-40D2-93F7-AEB038BD5F6F}">
  <sheetPr>
    <pageSetUpPr fitToPage="1"/>
  </sheetPr>
  <dimension ref="A1:T56"/>
  <sheetViews>
    <sheetView zoomScaleNormal="100" zoomScaleSheetLayoutView="100" workbookViewId="0">
      <pane ySplit="9" topLeftCell="A25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5.28515625" style="23" customWidth="1"/>
    <col min="2" max="2" width="11.42578125" style="23" customWidth="1"/>
    <col min="3" max="3" width="11.42578125" style="23" bestFit="1" customWidth="1"/>
    <col min="4" max="4" width="7.140625" style="23" bestFit="1" customWidth="1"/>
    <col min="5" max="5" width="1.140625" style="23" customWidth="1"/>
    <col min="6" max="6" width="11.7109375" style="23" bestFit="1" customWidth="1"/>
    <col min="7" max="8" width="13.28515625" style="23" bestFit="1" customWidth="1"/>
    <col min="9" max="9" width="1.140625" style="23" customWidth="1"/>
    <col min="10" max="11" width="9.28515625" style="23" bestFit="1" customWidth="1"/>
    <col min="12" max="12" width="1.2851562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</row>
    <row r="4" spans="1:20" ht="12.75" x14ac:dyDescent="0.2">
      <c r="A4" s="207" t="s">
        <v>224</v>
      </c>
      <c r="B4" s="213" t="s">
        <v>223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</row>
    <row r="5" spans="1:20" ht="12" thickBot="1" x14ac:dyDescent="0.25">
      <c r="B5" s="24"/>
      <c r="M5" s="32"/>
      <c r="N5" s="32"/>
      <c r="O5" s="32"/>
      <c r="P5" s="32"/>
      <c r="Q5" s="32"/>
      <c r="R5" s="32"/>
      <c r="S5" s="32"/>
      <c r="T5" s="32"/>
    </row>
    <row r="6" spans="1:20" ht="13.5" customHeight="1" thickBot="1" x14ac:dyDescent="0.25">
      <c r="B6" s="18"/>
      <c r="F6" s="227"/>
      <c r="G6" s="227"/>
      <c r="H6" s="227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45" customHeight="1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222</v>
      </c>
      <c r="G8" s="117" t="s">
        <v>221</v>
      </c>
      <c r="H8" s="117" t="s">
        <v>220</v>
      </c>
      <c r="I8" s="34"/>
      <c r="J8" s="117" t="s">
        <v>184</v>
      </c>
      <c r="K8" s="117" t="s">
        <v>183</v>
      </c>
      <c r="L8" s="3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4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23">
        <v>350</v>
      </c>
      <c r="C10" s="23">
        <v>300</v>
      </c>
      <c r="D10" s="49">
        <f>ROUND((B$10*C10),0)</f>
        <v>105000</v>
      </c>
      <c r="F10" s="50">
        <f>+N$10+$B10*N$16+$D10*N$12</f>
        <v>12229.253450000002</v>
      </c>
      <c r="G10" s="50">
        <f>+P$10+$B10*P$16+$D10*P$12</f>
        <v>13901.215558324151</v>
      </c>
      <c r="H10" s="50">
        <f>+S$10+$B10*S$16+$D10*S$12</f>
        <v>15488.685000372654</v>
      </c>
      <c r="J10" s="75">
        <f t="shared" ref="J10:K12" si="0">ROUND((+G10-F10)/F10,3)</f>
        <v>0.13700000000000001</v>
      </c>
      <c r="K10" s="75">
        <f t="shared" si="0"/>
        <v>0.114</v>
      </c>
      <c r="L10" s="75"/>
      <c r="M10" s="58" t="s">
        <v>175</v>
      </c>
      <c r="N10" s="53">
        <f>SUM(N21,)</f>
        <v>109.08</v>
      </c>
      <c r="O10" s="54"/>
      <c r="P10" s="6">
        <f>SUM(P21,)</f>
        <v>141.80000000000001</v>
      </c>
      <c r="Q10" s="55">
        <f>(P10-N10)/N10</f>
        <v>0.29996332966630007</v>
      </c>
      <c r="R10" s="54"/>
      <c r="S10" s="6">
        <f>SUM(S21,)</f>
        <v>184.35</v>
      </c>
      <c r="T10" s="55">
        <f>(S10-P10)/P10</f>
        <v>0.30007052186177702</v>
      </c>
    </row>
    <row r="11" spans="1:20" x14ac:dyDescent="0.2">
      <c r="A11" s="35">
        <f t="shared" ref="A11:A55" si="1">A10+1</f>
        <v>2</v>
      </c>
      <c r="B11" s="23">
        <f>+B10</f>
        <v>350</v>
      </c>
      <c r="C11" s="23">
        <v>500</v>
      </c>
      <c r="D11" s="49">
        <f>ROUND((B$10*C11),0)</f>
        <v>175000</v>
      </c>
      <c r="F11" s="50">
        <f>+N$10+$B11*N$16+$D11*N$12</f>
        <v>17939.993450000002</v>
      </c>
      <c r="G11" s="50">
        <f>+P$10+$B11*P$16+$D11*P$12</f>
        <v>19898.43589720692</v>
      </c>
      <c r="H11" s="50">
        <f>+S$10+$B11*S$16+$D11*S$12</f>
        <v>21489.184967287754</v>
      </c>
      <c r="J11" s="75">
        <f t="shared" si="0"/>
        <v>0.109</v>
      </c>
      <c r="K11" s="75">
        <f t="shared" si="0"/>
        <v>0.08</v>
      </c>
      <c r="L11" s="75"/>
      <c r="M11" s="58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23">
        <f>+B11</f>
        <v>350</v>
      </c>
      <c r="C12" s="23">
        <v>700</v>
      </c>
      <c r="D12" s="49">
        <f>ROUND((B$10*C12),0)</f>
        <v>245000</v>
      </c>
      <c r="F12" s="50">
        <f>+N$10+$B12*N$16+$D12*N$12</f>
        <v>23650.733450000003</v>
      </c>
      <c r="G12" s="50">
        <f>+P$10+$B12*P$16+$D12*P$12</f>
        <v>25895.65623608969</v>
      </c>
      <c r="H12" s="50">
        <f>+S$10+$B12*S$16+$D12*S$12</f>
        <v>27489.684934202854</v>
      </c>
      <c r="J12" s="75">
        <f t="shared" si="0"/>
        <v>9.5000000000000001E-2</v>
      </c>
      <c r="K12" s="75">
        <f t="shared" si="0"/>
        <v>6.2E-2</v>
      </c>
      <c r="L12" s="75"/>
      <c r="M12" s="76" t="s">
        <v>219</v>
      </c>
      <c r="N12" s="53">
        <f>SUM(N22,N28:N41,N43)</f>
        <v>8.1582000000000016E-2</v>
      </c>
      <c r="O12" s="54"/>
      <c r="P12" s="6">
        <f>SUM(P22,P28:P41,P43)</f>
        <v>8.5674576269753833E-2</v>
      </c>
      <c r="Q12" s="55">
        <f>(P12-N12)/N12</f>
        <v>5.0165186802895445E-2</v>
      </c>
      <c r="R12" s="54"/>
      <c r="S12" s="6">
        <f>SUM(S22,S28:S41,S43)</f>
        <v>8.5721428098787161E-2</v>
      </c>
      <c r="T12" s="55">
        <f>(S12-P12)/P12</f>
        <v>5.4685801871737986E-4</v>
      </c>
    </row>
    <row r="13" spans="1:20" x14ac:dyDescent="0.2">
      <c r="A13" s="35">
        <f t="shared" si="1"/>
        <v>4</v>
      </c>
      <c r="M13" s="76"/>
      <c r="N13" s="53"/>
      <c r="O13" s="54"/>
      <c r="P13" s="6"/>
      <c r="Q13" s="55"/>
      <c r="R13" s="54"/>
      <c r="S13" s="6"/>
      <c r="T13" s="55"/>
    </row>
    <row r="14" spans="1:20" x14ac:dyDescent="0.2">
      <c r="A14" s="35">
        <f t="shared" si="1"/>
        <v>5</v>
      </c>
      <c r="B14" s="23">
        <f>+B12+50</f>
        <v>400</v>
      </c>
      <c r="C14" s="23">
        <v>300</v>
      </c>
      <c r="D14" s="49">
        <f>ROUND((B$14*C14),0)</f>
        <v>120000</v>
      </c>
      <c r="F14" s="50">
        <f>+N$10+$B14*N$16+$D14*N$12</f>
        <v>13960.706800000004</v>
      </c>
      <c r="G14" s="50">
        <f>+P$10+$B14*P$16+$D14*P$12</f>
        <v>15866.846352370459</v>
      </c>
      <c r="H14" s="50">
        <f>+S$10+$B14*S$16+$D14*S$12</f>
        <v>17675.01857185446</v>
      </c>
      <c r="J14" s="75">
        <f t="shared" ref="J14:K16" si="2">ROUND((+G14-F14)/F14,3)</f>
        <v>0.13700000000000001</v>
      </c>
      <c r="K14" s="75">
        <f t="shared" si="2"/>
        <v>0.114</v>
      </c>
      <c r="L14" s="75"/>
      <c r="M14" s="76" t="s">
        <v>218</v>
      </c>
      <c r="N14" s="80">
        <f>SUM(N23,N42,N44)</f>
        <v>12.234467</v>
      </c>
      <c r="O14" s="54"/>
      <c r="P14" s="6">
        <f>SUM(P23,P42,P44)</f>
        <v>15.900243</v>
      </c>
      <c r="Q14" s="55">
        <f>(P14-N14)/N14</f>
        <v>0.29962694737743778</v>
      </c>
      <c r="R14" s="54"/>
      <c r="S14" s="6">
        <f>SUM(S23,S42,S44)</f>
        <v>20.670243000000003</v>
      </c>
      <c r="T14" s="55">
        <f>(S14-P14)/P14</f>
        <v>0.29999541516440997</v>
      </c>
    </row>
    <row r="15" spans="1:20" x14ac:dyDescent="0.2">
      <c r="A15" s="35">
        <f t="shared" si="1"/>
        <v>6</v>
      </c>
      <c r="B15" s="23">
        <f>+B14</f>
        <v>400</v>
      </c>
      <c r="C15" s="23">
        <v>500</v>
      </c>
      <c r="D15" s="49">
        <f>ROUND((B$14*C15),0)</f>
        <v>200000</v>
      </c>
      <c r="F15" s="50">
        <f>+N$10+$B15*N$16+$D15*N$12</f>
        <v>20487.266800000005</v>
      </c>
      <c r="G15" s="50">
        <f>+P$10+$B15*P$16+$D15*P$12</f>
        <v>22720.812453950766</v>
      </c>
      <c r="H15" s="50">
        <f>+S$10+$B15*S$16+$D15*S$12</f>
        <v>24532.732819757435</v>
      </c>
      <c r="J15" s="75">
        <f t="shared" si="2"/>
        <v>0.109</v>
      </c>
      <c r="K15" s="75">
        <f t="shared" si="2"/>
        <v>0.08</v>
      </c>
      <c r="L15" s="75"/>
      <c r="M15" s="58" t="s">
        <v>217</v>
      </c>
      <c r="N15" s="53">
        <f>SUM(N24,N42,N44)</f>
        <v>8.1544670000000004</v>
      </c>
      <c r="O15" s="54"/>
      <c r="P15" s="6">
        <f>SUM(P24,P42,P44)</f>
        <v>10.600242999999999</v>
      </c>
      <c r="Q15" s="55"/>
      <c r="R15" s="54"/>
      <c r="S15" s="6">
        <f>SUM(S24,S42,S44)</f>
        <v>13.770242999999999</v>
      </c>
      <c r="T15" s="55"/>
    </row>
    <row r="16" spans="1:20" x14ac:dyDescent="0.2">
      <c r="A16" s="35">
        <f t="shared" si="1"/>
        <v>7</v>
      </c>
      <c r="B16" s="23">
        <f>+B15</f>
        <v>400</v>
      </c>
      <c r="C16" s="23">
        <v>700</v>
      </c>
      <c r="D16" s="49">
        <f>ROUND((B$14*C16),0)</f>
        <v>280000</v>
      </c>
      <c r="F16" s="50">
        <f>+N$10+$B16*N$16+$D16*N$12</f>
        <v>27013.826800000003</v>
      </c>
      <c r="G16" s="50">
        <f>+P$10+$B16*P$16+$D16*P$12</f>
        <v>29574.778555531073</v>
      </c>
      <c r="H16" s="50">
        <f>+S$10+$B16*S$16+$D16*S$12</f>
        <v>31390.447067660407</v>
      </c>
      <c r="J16" s="75">
        <f t="shared" si="2"/>
        <v>9.5000000000000001E-2</v>
      </c>
      <c r="K16" s="75">
        <f t="shared" si="2"/>
        <v>6.0999999999999999E-2</v>
      </c>
      <c r="L16" s="75"/>
      <c r="M16" s="76" t="s">
        <v>216</v>
      </c>
      <c r="N16" s="53">
        <f>SUM(N25,N42,N44)</f>
        <v>10.154467</v>
      </c>
      <c r="O16" s="54"/>
      <c r="P16" s="6">
        <f>SUM(P25,P42,P44)</f>
        <v>13.610242999999999</v>
      </c>
      <c r="Q16" s="55">
        <f>(P16-N16)/N16</f>
        <v>0.34032076720521109</v>
      </c>
      <c r="R16" s="54"/>
      <c r="S16" s="6">
        <f>SUM(S25,S42,S44)</f>
        <v>18.010243000000003</v>
      </c>
      <c r="T16" s="55">
        <f>(S16-P16)/P16</f>
        <v>0.32328592516680299</v>
      </c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76"/>
      <c r="N17" s="53"/>
      <c r="O17" s="54"/>
      <c r="P17" s="6"/>
      <c r="Q17" s="55"/>
      <c r="R17" s="54"/>
      <c r="S17" s="6"/>
      <c r="T17" s="55"/>
    </row>
    <row r="18" spans="1:20" x14ac:dyDescent="0.2">
      <c r="A18" s="35">
        <f t="shared" si="1"/>
        <v>9</v>
      </c>
      <c r="B18" s="23">
        <f>+B16+100</f>
        <v>500</v>
      </c>
      <c r="C18" s="23">
        <v>300</v>
      </c>
      <c r="D18" s="49">
        <f>ROUND((B$18*C18),0)</f>
        <v>150000</v>
      </c>
      <c r="F18" s="50">
        <f>+N$10+$B18*N$16+$D18*N$12</f>
        <v>17423.613500000003</v>
      </c>
      <c r="G18" s="50">
        <f>+P$10+$B18*P$16+$D18*P$12</f>
        <v>19798.107940463073</v>
      </c>
      <c r="H18" s="50">
        <f>+S$10+$B18*S$16+$D18*S$12</f>
        <v>22047.685714818075</v>
      </c>
      <c r="J18" s="75">
        <f t="shared" ref="J18:K20" si="3">ROUND((+G18-F18)/F18,3)</f>
        <v>0.13600000000000001</v>
      </c>
      <c r="K18" s="75">
        <f t="shared" si="3"/>
        <v>0.114</v>
      </c>
      <c r="L18" s="75"/>
      <c r="M18" s="76" t="s">
        <v>197</v>
      </c>
      <c r="N18" s="53">
        <f>SUM(N26)</f>
        <v>1.2999999999999999E-3</v>
      </c>
      <c r="O18" s="54"/>
      <c r="P18" s="6">
        <f>SUM(P26)</f>
        <v>1.6900000000000001E-3</v>
      </c>
      <c r="Q18" s="55">
        <f>IFERROR((P18-N18)/N18,0)</f>
        <v>0.30000000000000016</v>
      </c>
      <c r="R18" s="54"/>
      <c r="S18" s="6">
        <f>SUM(S26)</f>
        <v>2.2000000000000001E-3</v>
      </c>
      <c r="T18" s="55">
        <f>IFERROR((S18-P18)/P18,0)</f>
        <v>0.30177514792899407</v>
      </c>
    </row>
    <row r="19" spans="1:20" x14ac:dyDescent="0.2">
      <c r="A19" s="35">
        <f t="shared" si="1"/>
        <v>10</v>
      </c>
      <c r="B19" s="23">
        <f>+B18</f>
        <v>500</v>
      </c>
      <c r="C19" s="23">
        <v>500</v>
      </c>
      <c r="D19" s="49">
        <f>ROUND((B$18*C19),0)</f>
        <v>250000</v>
      </c>
      <c r="F19" s="50">
        <f>+N$10+$B19*N$16+$D19*N$12</f>
        <v>25581.813500000004</v>
      </c>
      <c r="G19" s="50">
        <f>+P$10+$B19*P$16+$D19*P$12</f>
        <v>28365.565567438458</v>
      </c>
      <c r="H19" s="50">
        <f>+S$10+$B19*S$16+$D19*S$12</f>
        <v>30619.828524696793</v>
      </c>
      <c r="J19" s="75">
        <f t="shared" si="3"/>
        <v>0.109</v>
      </c>
      <c r="K19" s="75">
        <f t="shared" si="3"/>
        <v>7.9000000000000001E-2</v>
      </c>
      <c r="L19" s="75"/>
      <c r="M19" s="76" t="s">
        <v>112</v>
      </c>
      <c r="N19" s="53"/>
      <c r="O19" s="54"/>
      <c r="P19" s="6"/>
      <c r="Q19" s="55"/>
      <c r="R19" s="54"/>
      <c r="S19" s="6"/>
      <c r="T19" s="55"/>
    </row>
    <row r="20" spans="1:20" x14ac:dyDescent="0.2">
      <c r="A20" s="35">
        <f t="shared" si="1"/>
        <v>11</v>
      </c>
      <c r="B20" s="23">
        <f>+B19</f>
        <v>500</v>
      </c>
      <c r="C20" s="23">
        <v>700</v>
      </c>
      <c r="D20" s="49">
        <f>ROUND((B$18*C20),0)</f>
        <v>350000</v>
      </c>
      <c r="F20" s="50">
        <f>+N$10+$B20*N$16+$D20*N$12</f>
        <v>33740.013500000001</v>
      </c>
      <c r="G20" s="50">
        <f>+P$10+$B20*P$16+$D20*P$12</f>
        <v>36933.023194413843</v>
      </c>
      <c r="H20" s="50">
        <f>+S$10+$B20*S$16+$D20*S$12</f>
        <v>39191.971334575508</v>
      </c>
      <c r="J20" s="75">
        <f t="shared" si="3"/>
        <v>9.5000000000000001E-2</v>
      </c>
      <c r="K20" s="75">
        <f t="shared" si="3"/>
        <v>6.0999999999999999E-2</v>
      </c>
      <c r="L20" s="75"/>
      <c r="M20" s="76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76" t="s">
        <v>175</v>
      </c>
      <c r="N21" s="53">
        <v>109.08</v>
      </c>
      <c r="O21" s="54"/>
      <c r="P21" s="126">
        <v>141.80000000000001</v>
      </c>
      <c r="Q21" s="55">
        <f t="shared" ref="Q21:Q26" si="4">(P21-N21)/N21</f>
        <v>0.29996332966630007</v>
      </c>
      <c r="R21" s="54"/>
      <c r="S21" s="126">
        <v>184.35</v>
      </c>
      <c r="T21" s="55">
        <f t="shared" ref="T21:T26" si="5">(S21-P21)/P21</f>
        <v>0.30007052186177702</v>
      </c>
    </row>
    <row r="22" spans="1:20" x14ac:dyDescent="0.2">
      <c r="A22" s="35">
        <f t="shared" si="1"/>
        <v>13</v>
      </c>
      <c r="B22" s="23">
        <f>+B20+100</f>
        <v>600</v>
      </c>
      <c r="C22" s="23">
        <v>300</v>
      </c>
      <c r="D22" s="49">
        <f>ROUND((B$22*C22),0)</f>
        <v>180000</v>
      </c>
      <c r="F22" s="50">
        <f>+N$10+$B22*N$16+$D22*N$12</f>
        <v>20886.520200000003</v>
      </c>
      <c r="G22" s="50">
        <f>+P$10+$B22*P$16+$D22*P$12</f>
        <v>23729.36952855569</v>
      </c>
      <c r="H22" s="50">
        <f>+S$10+$B22*S$16+$D22*S$12</f>
        <v>26420.352857781691</v>
      </c>
      <c r="J22" s="75">
        <f t="shared" ref="J22:K24" si="6">ROUND((+G22-F22)/F22,3)</f>
        <v>0.13600000000000001</v>
      </c>
      <c r="K22" s="75">
        <f t="shared" si="6"/>
        <v>0.113</v>
      </c>
      <c r="L22" s="75"/>
      <c r="M22" s="76" t="s">
        <v>219</v>
      </c>
      <c r="N22" s="57">
        <v>5.7457000000000001E-2</v>
      </c>
      <c r="O22" s="54"/>
      <c r="P22" s="66">
        <v>7.2320999999999996E-2</v>
      </c>
      <c r="Q22" s="55">
        <f t="shared" si="4"/>
        <v>0.25869780879614312</v>
      </c>
      <c r="R22" s="54"/>
      <c r="S22" s="66">
        <v>7.2173000000000001E-2</v>
      </c>
      <c r="T22" s="55">
        <f t="shared" si="5"/>
        <v>-2.0464318800900894E-3</v>
      </c>
    </row>
    <row r="23" spans="1:20" x14ac:dyDescent="0.2">
      <c r="A23" s="35">
        <f t="shared" si="1"/>
        <v>14</v>
      </c>
      <c r="B23" s="23">
        <f>+B22</f>
        <v>600</v>
      </c>
      <c r="C23" s="23">
        <v>500</v>
      </c>
      <c r="D23" s="49">
        <f>ROUND((B$22*C23),0)</f>
        <v>300000</v>
      </c>
      <c r="F23" s="50">
        <f>+N$10+$B23*N$16+$D23*N$12</f>
        <v>30676.360200000006</v>
      </c>
      <c r="G23" s="50">
        <f>+P$10+$B23*P$16+$D23*P$12</f>
        <v>34010.318680926146</v>
      </c>
      <c r="H23" s="50">
        <f>+S$10+$B23*S$16+$D23*S$12</f>
        <v>36706.924229636148</v>
      </c>
      <c r="J23" s="75">
        <f t="shared" si="6"/>
        <v>0.109</v>
      </c>
      <c r="K23" s="75">
        <f t="shared" si="6"/>
        <v>7.9000000000000001E-2</v>
      </c>
      <c r="L23" s="75"/>
      <c r="M23" s="58" t="s">
        <v>218</v>
      </c>
      <c r="N23" s="53">
        <v>12.23</v>
      </c>
      <c r="O23" s="54"/>
      <c r="P23" s="126">
        <v>15.9</v>
      </c>
      <c r="Q23" s="55">
        <f t="shared" si="4"/>
        <v>0.30008176614881438</v>
      </c>
      <c r="R23" s="54"/>
      <c r="S23" s="126">
        <v>20.67</v>
      </c>
      <c r="T23" s="55">
        <f t="shared" si="5"/>
        <v>0.3000000000000001</v>
      </c>
    </row>
    <row r="24" spans="1:20" x14ac:dyDescent="0.2">
      <c r="A24" s="35">
        <f t="shared" si="1"/>
        <v>15</v>
      </c>
      <c r="B24" s="23">
        <f>+B23</f>
        <v>600</v>
      </c>
      <c r="C24" s="23">
        <v>700</v>
      </c>
      <c r="D24" s="49">
        <f>ROUND((B$22*C24),0)</f>
        <v>420000</v>
      </c>
      <c r="F24" s="50">
        <f>+N$10+$B24*N$16+$D24*N$12</f>
        <v>40466.200200000007</v>
      </c>
      <c r="G24" s="50">
        <f>+P$10+$B24*P$16+$D24*P$12</f>
        <v>44291.26783329661</v>
      </c>
      <c r="H24" s="50">
        <f>+S$10+$B24*S$16+$D24*S$12</f>
        <v>46993.495601490613</v>
      </c>
      <c r="J24" s="75">
        <f t="shared" si="6"/>
        <v>9.5000000000000001E-2</v>
      </c>
      <c r="K24" s="75">
        <f t="shared" si="6"/>
        <v>6.0999999999999999E-2</v>
      </c>
      <c r="L24" s="75"/>
      <c r="M24" s="58" t="s">
        <v>217</v>
      </c>
      <c r="N24" s="53">
        <v>8.15</v>
      </c>
      <c r="O24" s="54"/>
      <c r="P24" s="126">
        <v>10.6</v>
      </c>
      <c r="Q24" s="55">
        <f t="shared" si="4"/>
        <v>0.30061349693251521</v>
      </c>
      <c r="R24" s="54"/>
      <c r="S24" s="126">
        <v>13.77</v>
      </c>
      <c r="T24" s="55">
        <f t="shared" si="5"/>
        <v>0.29905660377358489</v>
      </c>
    </row>
    <row r="25" spans="1:20" x14ac:dyDescent="0.2">
      <c r="A25" s="35">
        <f t="shared" si="1"/>
        <v>16</v>
      </c>
      <c r="F25" s="50"/>
      <c r="G25" s="50"/>
      <c r="H25" s="50"/>
      <c r="J25" s="51"/>
      <c r="K25" s="51"/>
      <c r="L25" s="51"/>
      <c r="M25" s="58" t="s">
        <v>216</v>
      </c>
      <c r="N25" s="53">
        <v>10.15</v>
      </c>
      <c r="O25" s="54"/>
      <c r="P25" s="126">
        <v>13.61</v>
      </c>
      <c r="Q25" s="55">
        <f t="shared" si="4"/>
        <v>0.34088669950738903</v>
      </c>
      <c r="R25" s="54"/>
      <c r="S25" s="126">
        <v>18.010000000000002</v>
      </c>
      <c r="T25" s="55">
        <f t="shared" si="5"/>
        <v>0.32329169728141088</v>
      </c>
    </row>
    <row r="26" spans="1:20" x14ac:dyDescent="0.2">
      <c r="A26" s="35">
        <f t="shared" si="1"/>
        <v>17</v>
      </c>
      <c r="B26" s="23">
        <f>+B24+100</f>
        <v>700</v>
      </c>
      <c r="C26" s="23">
        <v>300</v>
      </c>
      <c r="D26" s="49">
        <f>ROUND((B$26*C26),0)</f>
        <v>210000</v>
      </c>
      <c r="F26" s="50">
        <f>+N$10+$B26*N$16+$D26*N$12</f>
        <v>24349.426900000006</v>
      </c>
      <c r="G26" s="50">
        <f>+P$10+$B26*P$16+$D26*P$12</f>
        <v>27660.631116648303</v>
      </c>
      <c r="H26" s="50">
        <f>+S$10+$B26*S$16+$D26*S$12</f>
        <v>30793.020000745306</v>
      </c>
      <c r="J26" s="75">
        <f t="shared" ref="J26:K28" si="7">ROUND((+G26-F26)/F26,3)</f>
        <v>0.13600000000000001</v>
      </c>
      <c r="K26" s="75">
        <f t="shared" si="7"/>
        <v>0.113</v>
      </c>
      <c r="L26" s="75"/>
      <c r="M26" s="58" t="s">
        <v>197</v>
      </c>
      <c r="N26" s="161">
        <v>1.2999999999999999E-3</v>
      </c>
      <c r="O26" s="81"/>
      <c r="P26" s="162">
        <v>1.6900000000000001E-3</v>
      </c>
      <c r="Q26" s="55">
        <f t="shared" si="4"/>
        <v>0.30000000000000016</v>
      </c>
      <c r="R26" s="81"/>
      <c r="S26" s="162">
        <v>2.2000000000000001E-3</v>
      </c>
      <c r="T26" s="55">
        <f t="shared" si="5"/>
        <v>0.30177514792899407</v>
      </c>
    </row>
    <row r="27" spans="1:20" x14ac:dyDescent="0.2">
      <c r="A27" s="35">
        <f t="shared" si="1"/>
        <v>18</v>
      </c>
      <c r="B27" s="23">
        <f>+B26</f>
        <v>700</v>
      </c>
      <c r="C27" s="23">
        <v>500</v>
      </c>
      <c r="D27" s="49">
        <f>ROUND((B$26*C27),0)</f>
        <v>350000</v>
      </c>
      <c r="F27" s="50">
        <f>+N$10+$B27*N$16+$D27*N$12</f>
        <v>35770.906900000002</v>
      </c>
      <c r="G27" s="50">
        <f>+P$10+$B27*P$16+$D27*P$12</f>
        <v>39655.071794413845</v>
      </c>
      <c r="H27" s="50">
        <f>+S$10+$B27*S$16+$D27*S$12</f>
        <v>42794.01993457551</v>
      </c>
      <c r="J27" s="75">
        <f t="shared" si="7"/>
        <v>0.109</v>
      </c>
      <c r="K27" s="75">
        <f t="shared" si="7"/>
        <v>7.9000000000000001E-2</v>
      </c>
      <c r="L27" s="75"/>
      <c r="M27" s="58"/>
      <c r="N27" s="59"/>
      <c r="P27" s="58"/>
      <c r="Q27" s="59"/>
      <c r="S27" s="58"/>
      <c r="T27" s="59"/>
    </row>
    <row r="28" spans="1:20" x14ac:dyDescent="0.2">
      <c r="A28" s="35">
        <f t="shared" si="1"/>
        <v>19</v>
      </c>
      <c r="B28" s="23">
        <f>+B27</f>
        <v>700</v>
      </c>
      <c r="C28" s="23">
        <v>700</v>
      </c>
      <c r="D28" s="49">
        <f>ROUND((B$26*C28),0)</f>
        <v>490000</v>
      </c>
      <c r="F28" s="50">
        <f>+N$10+$B28*N$16+$D28*N$12</f>
        <v>47192.386900000005</v>
      </c>
      <c r="G28" s="50">
        <f>+P$10+$B28*P$16+$D28*P$12</f>
        <v>51649.512472179376</v>
      </c>
      <c r="H28" s="50">
        <f>+S$10+$B28*S$16+$D28*S$12</f>
        <v>54795.01986840571</v>
      </c>
      <c r="J28" s="75">
        <f t="shared" si="7"/>
        <v>9.4E-2</v>
      </c>
      <c r="K28" s="75">
        <f t="shared" si="7"/>
        <v>6.0999999999999999E-2</v>
      </c>
      <c r="L28" s="75"/>
      <c r="M28" s="157" t="str">
        <f>'Exh CTM-8 (Schedule 24 Impacts)'!U23</f>
        <v xml:space="preserve">Schedule 95 Power Cost
</v>
      </c>
      <c r="N28" s="57">
        <v>7.0130000000000001E-3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F29" s="50"/>
      <c r="G29" s="50"/>
      <c r="H29" s="50"/>
      <c r="J29" s="51"/>
      <c r="K29" s="51"/>
      <c r="L29" s="51"/>
      <c r="M29" s="157" t="str">
        <f>'Exh CTM-8 (Schedule 24 Impacts)'!U24</f>
        <v>Schedule 95 PCA Imbalance</v>
      </c>
      <c r="N29" s="57">
        <v>3.2260000000000001E-3</v>
      </c>
      <c r="O29" s="54"/>
      <c r="P29" s="66">
        <v>3.2260000000000001E-3</v>
      </c>
      <c r="Q29" s="55"/>
      <c r="R29" s="54"/>
      <c r="S29" s="66">
        <v>3.2260000000000001E-3</v>
      </c>
      <c r="T29" s="55"/>
    </row>
    <row r="30" spans="1:20" x14ac:dyDescent="0.2">
      <c r="A30" s="35">
        <f t="shared" si="1"/>
        <v>21</v>
      </c>
      <c r="B30" s="23">
        <f>+B28+100</f>
        <v>800</v>
      </c>
      <c r="C30" s="23">
        <v>300</v>
      </c>
      <c r="D30" s="49">
        <f>ROUND((B$30*C30),0)</f>
        <v>240000</v>
      </c>
      <c r="F30" s="50">
        <f>+N$10+$B30*N$16+$D30*N$12</f>
        <v>27812.333600000005</v>
      </c>
      <c r="G30" s="50">
        <f>+P$10+$B30*P$16+$D30*P$12</f>
        <v>31591.892704740916</v>
      </c>
      <c r="H30" s="50">
        <f>+S$10+$B30*S$16+$D30*S$12</f>
        <v>35165.687143708921</v>
      </c>
      <c r="J30" s="75">
        <f t="shared" ref="J30:K32" si="8">ROUND((+G30-F30)/F30,3)</f>
        <v>0.13600000000000001</v>
      </c>
      <c r="K30" s="75">
        <f t="shared" si="8"/>
        <v>0.113</v>
      </c>
      <c r="L30" s="75"/>
      <c r="M30" s="157" t="str">
        <f>'Exh CTM-8 (Schedule 24 Impacts)'!U25</f>
        <v>Schedule 95A Federal Incentive Credit</v>
      </c>
      <c r="N30" s="57">
        <v>0</v>
      </c>
      <c r="O30" s="54"/>
      <c r="P30" s="66">
        <v>0</v>
      </c>
      <c r="Q30" s="55"/>
      <c r="R30" s="54"/>
      <c r="S30" s="66">
        <v>0</v>
      </c>
      <c r="T30" s="55"/>
    </row>
    <row r="31" spans="1:20" x14ac:dyDescent="0.2">
      <c r="A31" s="35">
        <f t="shared" si="1"/>
        <v>22</v>
      </c>
      <c r="B31" s="23">
        <f>+B30</f>
        <v>800</v>
      </c>
      <c r="C31" s="23">
        <v>500</v>
      </c>
      <c r="D31" s="49">
        <f>ROUND((B$30*C31),0)</f>
        <v>400000</v>
      </c>
      <c r="F31" s="50">
        <f>+N$10+$B31*N$16+$D31*N$12</f>
        <v>40865.453600000008</v>
      </c>
      <c r="G31" s="50">
        <f>+P$10+$B31*P$16+$D31*P$12</f>
        <v>45299.82490790153</v>
      </c>
      <c r="H31" s="50">
        <f>+S$10+$B31*S$16+$D31*S$12</f>
        <v>48881.115639514872</v>
      </c>
      <c r="J31" s="75">
        <f t="shared" si="8"/>
        <v>0.109</v>
      </c>
      <c r="K31" s="75">
        <f t="shared" si="8"/>
        <v>7.9000000000000001E-2</v>
      </c>
      <c r="L31" s="75"/>
      <c r="M31" s="157" t="str">
        <f>'Exh CTM-8 (Schedule 24 Impacts)'!U26</f>
        <v>Schedule 120 Conservation</v>
      </c>
      <c r="N31" s="57">
        <v>3.9810000000000002E-3</v>
      </c>
      <c r="P31" s="66">
        <v>3.9810000000000002E-3</v>
      </c>
      <c r="Q31" s="59"/>
      <c r="S31" s="66">
        <v>3.9810000000000002E-3</v>
      </c>
      <c r="T31" s="59"/>
    </row>
    <row r="32" spans="1:20" x14ac:dyDescent="0.2">
      <c r="A32" s="35">
        <f t="shared" si="1"/>
        <v>23</v>
      </c>
      <c r="B32" s="23">
        <f>+B31</f>
        <v>800</v>
      </c>
      <c r="C32" s="23">
        <v>700</v>
      </c>
      <c r="D32" s="49">
        <f>ROUND((B$30*C32),0)</f>
        <v>560000</v>
      </c>
      <c r="F32" s="50">
        <f>+N$10+$B32*N$16+$D32*N$12</f>
        <v>53918.573600000003</v>
      </c>
      <c r="G32" s="50">
        <f>+P$10+$B32*P$16+$D32*P$12</f>
        <v>59007.757111062143</v>
      </c>
      <c r="H32" s="50">
        <f>+S$10+$B32*S$16+$D32*S$12</f>
        <v>62596.544135320815</v>
      </c>
      <c r="J32" s="75">
        <f t="shared" si="8"/>
        <v>9.4E-2</v>
      </c>
      <c r="K32" s="75">
        <f t="shared" si="8"/>
        <v>6.0999999999999999E-2</v>
      </c>
      <c r="L32" s="75"/>
      <c r="M32" s="157" t="str">
        <f>'Exh CTM-8 (Schedule 24 Impacts)'!U27</f>
        <v>Schedule 129 Low Income</v>
      </c>
      <c r="N32" s="57">
        <v>1.1230000000000001E-3</v>
      </c>
      <c r="O32" s="54"/>
      <c r="P32" s="66">
        <v>1.1230000000000001E-3</v>
      </c>
      <c r="Q32" s="55"/>
      <c r="R32" s="54"/>
      <c r="S32" s="66">
        <v>1.1230000000000001E-3</v>
      </c>
      <c r="T32" s="55"/>
    </row>
    <row r="33" spans="1:20" x14ac:dyDescent="0.2">
      <c r="A33" s="35">
        <f t="shared" si="1"/>
        <v>24</v>
      </c>
      <c r="F33" s="50"/>
      <c r="G33" s="50"/>
      <c r="H33" s="50"/>
      <c r="J33" s="51"/>
      <c r="K33" s="51"/>
      <c r="L33" s="51"/>
      <c r="M33" s="157" t="str">
        <f>'Exh CTM-8 (Schedule 24 Impacts)'!U28</f>
        <v>Schedule 129D Bill Discount</v>
      </c>
      <c r="N33" s="57">
        <v>4.7800000000000002E-4</v>
      </c>
      <c r="O33" s="54"/>
      <c r="P33" s="66">
        <v>4.7800000000000002E-4</v>
      </c>
      <c r="Q33" s="55"/>
      <c r="R33" s="54"/>
      <c r="S33" s="66">
        <v>4.7800000000000002E-4</v>
      </c>
      <c r="T33" s="55"/>
    </row>
    <row r="34" spans="1:20" x14ac:dyDescent="0.2">
      <c r="A34" s="35">
        <f t="shared" si="1"/>
        <v>25</v>
      </c>
      <c r="B34" s="23">
        <f>+B32+200</f>
        <v>1000</v>
      </c>
      <c r="C34" s="23">
        <v>300</v>
      </c>
      <c r="D34" s="49">
        <f>ROUND((B$34*C34),0)</f>
        <v>300000</v>
      </c>
      <c r="F34" s="50">
        <f>+N$10+$B34*N$16+$D34*N$12</f>
        <v>34738.147000000004</v>
      </c>
      <c r="G34" s="50">
        <f>+P$10+$B34*P$16+$D34*P$12</f>
        <v>39454.415880926143</v>
      </c>
      <c r="H34" s="50">
        <f>+S$10+$B34*S$16+$D34*S$12</f>
        <v>43911.021429636152</v>
      </c>
      <c r="J34" s="75">
        <f t="shared" ref="J34:K36" si="9">ROUND((+G34-F34)/F34,3)</f>
        <v>0.13600000000000001</v>
      </c>
      <c r="K34" s="75">
        <f t="shared" si="9"/>
        <v>0.113</v>
      </c>
      <c r="L34" s="75"/>
      <c r="M34" s="157" t="str">
        <f>'Exh CTM-8 (Schedule 24 Impacts)'!U29</f>
        <v>Schedule 137 REC</v>
      </c>
      <c r="N34" s="57">
        <v>6.0000000000000002E-6</v>
      </c>
      <c r="O34" s="54"/>
      <c r="P34" s="66">
        <v>0</v>
      </c>
      <c r="Q34" s="55"/>
      <c r="R34" s="54"/>
      <c r="S34" s="66">
        <v>0</v>
      </c>
      <c r="T34" s="55"/>
    </row>
    <row r="35" spans="1:20" x14ac:dyDescent="0.2">
      <c r="A35" s="35">
        <f t="shared" si="1"/>
        <v>26</v>
      </c>
      <c r="B35" s="23">
        <f>+B34</f>
        <v>1000</v>
      </c>
      <c r="C35" s="23">
        <v>500</v>
      </c>
      <c r="D35" s="49">
        <f>ROUND((B$34*C35),0)</f>
        <v>500000</v>
      </c>
      <c r="F35" s="50">
        <f>+N$10+$B35*N$16+$D35*N$12</f>
        <v>51054.547000000006</v>
      </c>
      <c r="G35" s="50">
        <f>+P$10+$B35*P$16+$D35*P$12</f>
        <v>56589.331134876913</v>
      </c>
      <c r="H35" s="50">
        <f>+S$10+$B35*S$16+$D35*S$12</f>
        <v>61055.307049393581</v>
      </c>
      <c r="J35" s="75">
        <f t="shared" si="9"/>
        <v>0.108</v>
      </c>
      <c r="K35" s="75">
        <f t="shared" si="9"/>
        <v>7.9000000000000001E-2</v>
      </c>
      <c r="L35" s="75"/>
      <c r="M35" s="157" t="str">
        <f>'Exh CTM-8 (Schedule 24 Impacts)'!U30</f>
        <v>Schedule 140 Property Tax</v>
      </c>
      <c r="N35" s="57">
        <v>1.7149999999999999E-3</v>
      </c>
      <c r="O35" s="54"/>
      <c r="P35" s="66">
        <v>1.7149999999999999E-3</v>
      </c>
      <c r="Q35" s="55"/>
      <c r="R35" s="54"/>
      <c r="S35" s="66">
        <v>1.7149999999999999E-3</v>
      </c>
      <c r="T35" s="55"/>
    </row>
    <row r="36" spans="1:20" x14ac:dyDescent="0.2">
      <c r="A36" s="35">
        <f t="shared" si="1"/>
        <v>27</v>
      </c>
      <c r="B36" s="23">
        <f>+B35</f>
        <v>1000</v>
      </c>
      <c r="C36" s="23">
        <v>700</v>
      </c>
      <c r="D36" s="49">
        <f>ROUND((B$34*C36),0)</f>
        <v>700000</v>
      </c>
      <c r="F36" s="50">
        <f>+N$10+$B36*N$16+$D36*N$12</f>
        <v>67370.947000000015</v>
      </c>
      <c r="G36" s="50">
        <f>+P$10+$B36*P$16+$D36*P$12</f>
        <v>73724.246388827683</v>
      </c>
      <c r="H36" s="50">
        <f>+S$10+$B36*S$16+$D36*S$12</f>
        <v>78199.59266915101</v>
      </c>
      <c r="J36" s="75">
        <f t="shared" si="9"/>
        <v>9.4E-2</v>
      </c>
      <c r="K36" s="75">
        <f t="shared" si="9"/>
        <v>6.0999999999999999E-2</v>
      </c>
      <c r="L36" s="75"/>
      <c r="M36" s="157" t="str">
        <f>'Exh CTM-8 (Schedule 24 Impacts)'!U31</f>
        <v>Schedule 141 ERF</v>
      </c>
      <c r="N36" s="57">
        <v>0</v>
      </c>
      <c r="O36" s="54"/>
      <c r="P36" s="66">
        <v>0</v>
      </c>
      <c r="Q36" s="55"/>
      <c r="R36" s="54"/>
      <c r="S36" s="66">
        <v>0</v>
      </c>
      <c r="T36" s="55"/>
    </row>
    <row r="37" spans="1:20" x14ac:dyDescent="0.2">
      <c r="A37" s="35">
        <f t="shared" si="1"/>
        <v>28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M37" s="157" t="str">
        <f>'Exh CTM-8 (Schedule 24 Impacts)'!U32</f>
        <v>Schedule 141A Energy Charge Credit</v>
      </c>
      <c r="N37" s="57">
        <v>1.549E-3</v>
      </c>
      <c r="P37" s="66">
        <v>1.549E-3</v>
      </c>
      <c r="Q37" s="59"/>
      <c r="S37" s="66">
        <v>1.549E-3</v>
      </c>
      <c r="T37" s="59"/>
    </row>
    <row r="38" spans="1:20" x14ac:dyDescent="0.2">
      <c r="A38" s="35">
        <f t="shared" si="1"/>
        <v>29</v>
      </c>
      <c r="M38" s="157" t="str">
        <f>'Exh CTM-8 (Schedule 24 Impacts)'!U33</f>
        <v>Schedule 141CEI Clean Energy Implementation Plan</v>
      </c>
      <c r="N38" s="57">
        <v>6.02E-4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Impacts)'!U34</f>
        <v>Schedule 141CGR Clean Generation Resources</v>
      </c>
      <c r="N39" s="57">
        <v>0</v>
      </c>
      <c r="O39" s="54"/>
      <c r="P39" s="66">
        <v>8.4571042049831472E-4</v>
      </c>
      <c r="Q39" s="55"/>
      <c r="R39" s="54"/>
      <c r="S39" s="66">
        <v>1.0409348891093082E-3</v>
      </c>
      <c r="T39" s="55"/>
    </row>
    <row r="40" spans="1:20" x14ac:dyDescent="0.2">
      <c r="A40" s="35">
        <f t="shared" si="1"/>
        <v>31</v>
      </c>
      <c r="B40" s="226"/>
      <c r="C40" s="226"/>
      <c r="D40" s="226"/>
      <c r="E40" s="226"/>
      <c r="F40" s="226"/>
      <c r="G40" s="226"/>
      <c r="H40" s="226"/>
      <c r="I40" s="226"/>
      <c r="J40" s="226"/>
      <c r="K40" s="30"/>
      <c r="L40" s="30"/>
      <c r="M40" s="157" t="str">
        <f>'Exh CTM-8 (Schedule 24 Impacts)'!U35</f>
        <v>Schedule 141DCARB Decarbonization</v>
      </c>
      <c r="N40" s="57">
        <v>0</v>
      </c>
      <c r="O40" s="54"/>
      <c r="P40" s="66">
        <v>1.7865849255524671E-5</v>
      </c>
      <c r="Q40" s="55"/>
      <c r="R40" s="54"/>
      <c r="S40" s="66">
        <v>1.7493209677852782E-5</v>
      </c>
      <c r="T40" s="55"/>
    </row>
    <row r="41" spans="1:20" x14ac:dyDescent="0.2">
      <c r="A41" s="35">
        <f t="shared" si="1"/>
        <v>32</v>
      </c>
      <c r="B41" s="226"/>
      <c r="C41" s="226"/>
      <c r="D41" s="226"/>
      <c r="E41" s="226"/>
      <c r="F41" s="226"/>
      <c r="G41" s="226"/>
      <c r="H41" s="226"/>
      <c r="I41" s="226"/>
      <c r="J41" s="226"/>
      <c r="K41" s="30"/>
      <c r="L41" s="30"/>
      <c r="M41" s="157" t="str">
        <f>'Exh CTM-8 (Schedule 24 Impacts)'!U36</f>
        <v>Schedule 141COL Colstrip Adjustment</v>
      </c>
      <c r="N41" s="57">
        <v>4.1800000000000002E-4</v>
      </c>
      <c r="P41" s="66">
        <v>4.1800000000000002E-4</v>
      </c>
      <c r="Q41" s="59"/>
      <c r="S41" s="66">
        <v>4.1800000000000002E-4</v>
      </c>
      <c r="T41" s="59"/>
    </row>
    <row r="42" spans="1:20" x14ac:dyDescent="0.2">
      <c r="A42" s="35">
        <f t="shared" si="1"/>
        <v>33</v>
      </c>
      <c r="B42" s="226"/>
      <c r="C42" s="226"/>
      <c r="D42" s="226"/>
      <c r="E42" s="226"/>
      <c r="F42" s="226"/>
      <c r="G42" s="226"/>
      <c r="H42" s="226"/>
      <c r="I42" s="226"/>
      <c r="J42" s="226"/>
      <c r="K42" s="30"/>
      <c r="L42" s="30"/>
      <c r="M42" s="157" t="str">
        <f>'Exh CTM-8 (Schedule 24 Impacts)'!U37</f>
        <v>Schedule 141N Rates Not Subject to Refund</v>
      </c>
      <c r="N42" s="57">
        <v>4.2240000000000003E-3</v>
      </c>
      <c r="O42" s="54"/>
      <c r="P42" s="66">
        <v>0</v>
      </c>
      <c r="Q42" s="55"/>
      <c r="R42" s="54"/>
      <c r="S42" s="66">
        <v>0</v>
      </c>
      <c r="T42" s="55"/>
    </row>
    <row r="43" spans="1:20" x14ac:dyDescent="0.2">
      <c r="A43" s="35">
        <f t="shared" si="1"/>
        <v>34</v>
      </c>
      <c r="B43" s="226"/>
      <c r="C43" s="226"/>
      <c r="D43" s="226"/>
      <c r="E43" s="226"/>
      <c r="F43" s="226"/>
      <c r="G43" s="226"/>
      <c r="H43" s="226"/>
      <c r="I43" s="226"/>
      <c r="J43" s="226"/>
      <c r="K43" s="30"/>
      <c r="L43" s="30"/>
      <c r="M43" s="157" t="str">
        <f>'Exh CTM-8 (Schedule 24 Impacts)'!U38</f>
        <v>Schedule 141R Rates Subject to Refund</v>
      </c>
      <c r="N43" s="57">
        <v>4.0140000000000002E-3</v>
      </c>
      <c r="O43" s="54"/>
      <c r="P43" s="66">
        <v>0</v>
      </c>
      <c r="Q43" s="55"/>
      <c r="R43" s="54"/>
      <c r="S43" s="66">
        <v>0</v>
      </c>
      <c r="T43" s="55"/>
    </row>
    <row r="44" spans="1:20" x14ac:dyDescent="0.2">
      <c r="A44" s="35">
        <f t="shared" si="1"/>
        <v>35</v>
      </c>
      <c r="M44" s="157" t="str">
        <f>'Exh CTM-8 (Schedule 24 Impacts)'!U39</f>
        <v>Schedule 141 TEP</v>
      </c>
      <c r="N44" s="57">
        <v>2.43E-4</v>
      </c>
      <c r="O44" s="54"/>
      <c r="P44" s="66">
        <v>2.43E-4</v>
      </c>
      <c r="Q44" s="55"/>
      <c r="R44" s="54"/>
      <c r="S44" s="66">
        <v>2.43E-4</v>
      </c>
      <c r="T44" s="55"/>
    </row>
    <row r="45" spans="1:20" x14ac:dyDescent="0.2">
      <c r="A45" s="35">
        <f t="shared" si="1"/>
        <v>36</v>
      </c>
      <c r="M45" s="157" t="str">
        <f>'Exh CTM-8 (Schedule 24 Impacts)'!U40</f>
        <v>Schedule 141WFP Wildfire Prevention Cost Recovery</v>
      </c>
      <c r="N45" s="57">
        <v>0</v>
      </c>
      <c r="P45" s="66">
        <v>1.0480251758214365E-5</v>
      </c>
      <c r="Q45" s="59"/>
      <c r="S45" s="66">
        <v>1.2812059099364239E-5</v>
      </c>
      <c r="T45" s="59"/>
    </row>
    <row r="46" spans="1:20" x14ac:dyDescent="0.2">
      <c r="A46" s="35">
        <f t="shared" si="1"/>
        <v>37</v>
      </c>
      <c r="M46" s="157" t="str">
        <f>'Exh CTM-8 (Schedule 24 Impacts)'!U41</f>
        <v>Schedule 141X (Protected) EDIT</v>
      </c>
      <c r="N46" s="57">
        <v>0</v>
      </c>
      <c r="O46" s="60"/>
      <c r="P46" s="66">
        <v>0</v>
      </c>
      <c r="Q46" s="61"/>
      <c r="R46" s="60"/>
      <c r="S46" s="66">
        <v>0</v>
      </c>
      <c r="T46" s="61"/>
    </row>
    <row r="47" spans="1:20" x14ac:dyDescent="0.2">
      <c r="A47" s="35">
        <f t="shared" si="1"/>
        <v>38</v>
      </c>
      <c r="M47" s="157" t="str">
        <f>'Exh CTM-8 (Schedule 24 Impacts)'!U42</f>
        <v>Schedule 141Z (Unprotected) EDIT</v>
      </c>
      <c r="N47" s="57">
        <v>0</v>
      </c>
      <c r="O47" s="60"/>
      <c r="P47" s="66">
        <v>0</v>
      </c>
      <c r="Q47" s="61"/>
      <c r="R47" s="60"/>
      <c r="S47" s="66">
        <v>0</v>
      </c>
      <c r="T47" s="61"/>
    </row>
    <row r="48" spans="1:20" x14ac:dyDescent="0.2">
      <c r="A48" s="35">
        <f t="shared" si="1"/>
        <v>39</v>
      </c>
      <c r="B48" s="158"/>
      <c r="M48" s="157" t="str">
        <f>'Exh CTM-8 (Schedule 24 Impacts)'!U43</f>
        <v>Schedule 142  Deocupling Deferral</v>
      </c>
      <c r="N48" s="57">
        <v>4.8200000000000001E-4</v>
      </c>
      <c r="O48" s="60"/>
      <c r="P48" s="66">
        <v>4.8200000000000001E-4</v>
      </c>
      <c r="Q48" s="61"/>
      <c r="R48" s="60"/>
      <c r="S48" s="66">
        <v>4.8200000000000001E-4</v>
      </c>
      <c r="T48" s="61"/>
    </row>
    <row r="49" spans="1:20" x14ac:dyDescent="0.2">
      <c r="A49" s="35">
        <f t="shared" si="1"/>
        <v>40</v>
      </c>
      <c r="M49" s="157" t="str">
        <f>'Exh CTM-8 (Schedule 24 Impacts)'!U44</f>
        <v>Schedule 142 Deocupling Supplemental</v>
      </c>
      <c r="N49" s="57">
        <v>0</v>
      </c>
      <c r="O49" s="60"/>
      <c r="P49" s="66">
        <v>0</v>
      </c>
      <c r="Q49" s="61"/>
      <c r="R49" s="60"/>
      <c r="S49" s="66">
        <v>0</v>
      </c>
      <c r="T49" s="61"/>
    </row>
    <row r="50" spans="1:20" x14ac:dyDescent="0.2">
      <c r="A50" s="35">
        <f t="shared" si="1"/>
        <v>41</v>
      </c>
      <c r="M50" s="157" t="str">
        <f>'Exh CTM-8 (Schedule 24 Impacts)'!U45</f>
        <v>Schedule 194 BPA Res &amp; Farm Credit</v>
      </c>
      <c r="N50" s="159" t="s">
        <v>215</v>
      </c>
      <c r="O50" s="60"/>
      <c r="P50" s="66"/>
      <c r="Q50" s="61"/>
      <c r="R50" s="60"/>
      <c r="S50" s="66"/>
      <c r="T50" s="61"/>
    </row>
    <row r="51" spans="1:20" ht="12" thickBot="1" x14ac:dyDescent="0.25">
      <c r="A51" s="35">
        <f t="shared" si="1"/>
        <v>42</v>
      </c>
      <c r="M51" s="62" t="s">
        <v>170</v>
      </c>
      <c r="N51" s="63">
        <f>SUM(N28:N50)+N22</f>
        <v>8.6530999999999997E-2</v>
      </c>
      <c r="P51" s="64">
        <f>SUM(P28:P50)+P22</f>
        <v>8.6410056521512055E-2</v>
      </c>
      <c r="Q51" s="61"/>
      <c r="S51" s="64">
        <f>SUM(S28:S50)+S22</f>
        <v>8.645924015788653E-2</v>
      </c>
      <c r="T51" s="61"/>
    </row>
    <row r="52" spans="1:20" ht="12" thickTop="1" x14ac:dyDescent="0.2">
      <c r="A52" s="35">
        <f t="shared" si="1"/>
        <v>43</v>
      </c>
      <c r="M52" s="62"/>
      <c r="N52" s="65"/>
      <c r="P52" s="66"/>
      <c r="Q52" s="57"/>
      <c r="S52" s="66"/>
      <c r="T52" s="57"/>
    </row>
    <row r="53" spans="1:20" x14ac:dyDescent="0.2">
      <c r="A53" s="35">
        <f t="shared" si="1"/>
        <v>44</v>
      </c>
      <c r="M53" s="67" t="s">
        <v>105</v>
      </c>
      <c r="N53" s="68"/>
      <c r="P53" s="58"/>
      <c r="Q53" s="160">
        <f>'Exh CTM-8 (Rate Impacts_RY#1)'!$H$13</f>
        <v>0.1898196410159145</v>
      </c>
      <c r="S53" s="58"/>
      <c r="T53" s="160">
        <f>'Exh CTM-8 (Rate Impacts_RY#2)'!$I$13</f>
        <v>8.1844086033646971E-2</v>
      </c>
    </row>
    <row r="54" spans="1:20" x14ac:dyDescent="0.2">
      <c r="A54" s="35">
        <f t="shared" si="1"/>
        <v>45</v>
      </c>
      <c r="M54" s="67" t="s">
        <v>104</v>
      </c>
      <c r="N54" s="68"/>
      <c r="P54" s="58"/>
      <c r="Q54" s="160">
        <f>'Exh CTM-8 (Rate Impacts_RY#1)'!$AI$13</f>
        <v>5.469144289009456E-2</v>
      </c>
      <c r="S54" s="58"/>
      <c r="T54" s="160">
        <f>'Exh CTM-8 (Rate Impacts_RY#2)'!$V$13</f>
        <v>8.9434898642828747E-2</v>
      </c>
    </row>
    <row r="55" spans="1:20" ht="12" thickBot="1" x14ac:dyDescent="0.25">
      <c r="A55" s="35">
        <f t="shared" si="1"/>
        <v>46</v>
      </c>
      <c r="M55" s="70" t="s">
        <v>214</v>
      </c>
      <c r="N55" s="69"/>
      <c r="P55" s="70"/>
      <c r="Q55" s="69"/>
      <c r="S55" s="70"/>
      <c r="T55" s="69"/>
    </row>
    <row r="56" spans="1:20" x14ac:dyDescent="0.2">
      <c r="A56" s="35"/>
    </row>
  </sheetData>
  <mergeCells count="13">
    <mergeCell ref="A1:T1"/>
    <mergeCell ref="A2:T2"/>
    <mergeCell ref="A3:T3"/>
    <mergeCell ref="A4:T4"/>
    <mergeCell ref="P6:Q6"/>
    <mergeCell ref="S6:T6"/>
    <mergeCell ref="B42:J42"/>
    <mergeCell ref="B43:J43"/>
    <mergeCell ref="F6:H6"/>
    <mergeCell ref="B40:J40"/>
    <mergeCell ref="B41:J41"/>
    <mergeCell ref="F7:H7"/>
    <mergeCell ref="J7:K7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A4801E20E0A1144990DA28540514F1C" ma:contentTypeVersion="16" ma:contentTypeDescription="" ma:contentTypeScope="" ma:versionID="d2e5ce1c5de2c4044c27d7ed03a602d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2024-02-15T08:00:00+00:00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0FAA58D-3C3D-4914-99FA-AB3B326C6B27}"/>
</file>

<file path=customXml/itemProps2.xml><?xml version="1.0" encoding="utf-8"?>
<ds:datastoreItem xmlns:ds="http://schemas.openxmlformats.org/officeDocument/2006/customXml" ds:itemID="{9D4D69E2-B8AD-494B-9663-96C7BEFAF8FD}"/>
</file>

<file path=customXml/itemProps3.xml><?xml version="1.0" encoding="utf-8"?>
<ds:datastoreItem xmlns:ds="http://schemas.openxmlformats.org/officeDocument/2006/customXml" ds:itemID="{4E96F8C3-ECF4-454E-A052-BE8167F59240}"/>
</file>

<file path=customXml/itemProps4.xml><?xml version="1.0" encoding="utf-8"?>
<ds:datastoreItem xmlns:ds="http://schemas.openxmlformats.org/officeDocument/2006/customXml" ds:itemID="{66E68121-D39C-414C-B7ED-544BA58DE1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Exh CTM-8 (Rate Impacts_RY#1)</vt:lpstr>
      <vt:lpstr>Exh CTM-8 (Rate Impacts_RY#2)</vt:lpstr>
      <vt:lpstr>Exh CTM-8 (Avg Per kWh)</vt:lpstr>
      <vt:lpstr>Exh CTM-8 (Res Bill Summary)</vt:lpstr>
      <vt:lpstr>Exh CTM-8 Typical Res Bill RY#1</vt:lpstr>
      <vt:lpstr>Exh CTM-8 Typical Res Bill RY#2</vt:lpstr>
      <vt:lpstr>Exh CTM-8 (Schedule 24 Impacts)</vt:lpstr>
      <vt:lpstr>Exh CTM-8 (Schedule 25 Impacts)</vt:lpstr>
      <vt:lpstr>Exh CTM-8 (Schedule 26 Impacts)</vt:lpstr>
      <vt:lpstr>Exh CTM-8 (Schedule 29 Impacts)</vt:lpstr>
      <vt:lpstr>Exh CTM-8 (Schedule 31 Impacts)</vt:lpstr>
      <vt:lpstr>Exh CTM-8 (Schedule 46 Impacts)</vt:lpstr>
      <vt:lpstr>Exh CTM-8 (Schedule 49 Impacts)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Zakharova, Elena</dc:creator>
  <cp:lastModifiedBy>Zakharova, Elena</cp:lastModifiedBy>
  <cp:lastPrinted>2024-02-09T16:09:58Z</cp:lastPrinted>
  <dcterms:created xsi:type="dcterms:W3CDTF">2024-02-09T16:08:21Z</dcterms:created>
  <dcterms:modified xsi:type="dcterms:W3CDTF">2024-02-09T16:57:49Z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0x0101006E56B4D1795A2E4DB2F0B01679ED314A00DA4801E20E0A1144990DA28540514F1C</vt:lpwstr>
  </property>
  <property fmtid="{D5CDD505-2E9C-101B-9397-08002B2CF9AE}" pid="3" name="_docset_NoMedatataSyncRequired">
    <vt:lpwstr>False</vt:lpwstr>
  </property>
</Properties>
</file>