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sharedStrings.xml" ContentType="application/vnd.openxmlformats-officedocument.spreadsheetml.sharedStrings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docProps/app.xml" ContentType="application/vnd.openxmlformats-officedocument.extended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90" windowWidth="20265" windowHeight="9120" activeTab="6"/>
  </bookViews>
  <sheets>
    <sheet name="Staff DR 333" sheetId="17" r:id="rId1"/>
    <sheet name="Summary" sheetId="14" r:id="rId2"/>
    <sheet name="Electric" sheetId="15" r:id="rId3"/>
    <sheet name="Gas" sheetId="16" r:id="rId4"/>
    <sheet name="C-PT" sheetId="1" r:id="rId5"/>
    <sheet name="C-PT-1" sheetId="2" r:id="rId6"/>
    <sheet name="HPA-1" sheetId="12" r:id="rId7"/>
    <sheet name="2012_REVISED_PROP_TAX" sheetId="13" r:id="rId8"/>
  </sheets>
  <externalReferences>
    <externalReference r:id="rId9"/>
    <externalReference r:id="rId10"/>
  </externalReferences>
  <definedNames>
    <definedName name="_xlnm.Print_Area" localSheetId="7">'2012_REVISED_PROP_TAX'!$A$1:$C$193</definedName>
    <definedName name="_xlnm.Print_Area" localSheetId="4">'C-PT'!$A$1:$P$85</definedName>
    <definedName name="_xlnm.Print_Area" localSheetId="5">'C-PT-1'!$A$1:$H$52</definedName>
    <definedName name="_xlnm.Print_Area" localSheetId="2">Electric!$A$1:$E$80</definedName>
    <definedName name="_xlnm.Print_Area" localSheetId="3">Gas!$A$1:$E$83</definedName>
    <definedName name="_xlnm.Print_Area" localSheetId="6">'HPA-1'!$A$1:$I$121</definedName>
    <definedName name="_xlnm.Print_Area" localSheetId="0">'Staff DR 333'!$A$1:$F$29</definedName>
    <definedName name="_xlnm.Print_Area" localSheetId="1">Summary!$A$1:$E$16</definedName>
    <definedName name="_xlnm.Print_Titles" localSheetId="7">'2012_REVISED_PROP_TAX'!$A:$A</definedName>
    <definedName name="_xlnm.Print_Titles" localSheetId="6">'HPA-1'!$A:$A,'HPA-1'!$1:$5</definedName>
    <definedName name="Recover">[1]Macro1!$A$116</definedName>
    <definedName name="TableName">"Dummy"</definedName>
  </definedNames>
  <calcPr calcId="145621"/>
</workbook>
</file>

<file path=xl/calcChain.xml><?xml version="1.0" encoding="utf-8"?>
<calcChain xmlns="http://schemas.openxmlformats.org/spreadsheetml/2006/main">
  <c r="D5" i="14" l="1"/>
  <c r="E5" i="14" s="1"/>
  <c r="D7" i="14"/>
  <c r="E7" i="14" s="1"/>
  <c r="C164" i="13" l="1"/>
  <c r="C158" i="13"/>
  <c r="C161" i="13" s="1"/>
  <c r="C163" i="13" s="1"/>
  <c r="C146" i="13"/>
  <c r="C141" i="13"/>
  <c r="C143" i="13" s="1"/>
  <c r="C145" i="13" s="1"/>
  <c r="C131" i="13"/>
  <c r="C185" i="13" s="1"/>
  <c r="C124" i="13"/>
  <c r="C126" i="13" s="1"/>
  <c r="C127" i="13" s="1"/>
  <c r="C109" i="13"/>
  <c r="C112" i="13" s="1"/>
  <c r="C179" i="13" s="1"/>
  <c r="C84" i="13"/>
  <c r="C83" i="13"/>
  <c r="C67" i="13"/>
  <c r="C63" i="13"/>
  <c r="C66" i="13" s="1"/>
  <c r="C50" i="13"/>
  <c r="C46" i="13"/>
  <c r="C45" i="13"/>
  <c r="C26" i="13"/>
  <c r="C29" i="13" s="1"/>
  <c r="C174" i="13" s="1"/>
  <c r="C20" i="13"/>
  <c r="C22" i="13" s="1"/>
  <c r="C47" i="13" l="1"/>
  <c r="C49" i="13" s="1"/>
  <c r="C52" i="13" s="1"/>
  <c r="C176" i="13" s="1"/>
  <c r="C148" i="13"/>
  <c r="C186" i="13" s="1"/>
  <c r="C166" i="13"/>
  <c r="C187" i="13" s="1"/>
  <c r="C190" i="13" s="1"/>
  <c r="C69" i="13"/>
  <c r="C71" i="13" s="1"/>
  <c r="C73" i="13" s="1"/>
  <c r="C76" i="13" s="1"/>
  <c r="C177" i="13" s="1"/>
  <c r="C87" i="13"/>
  <c r="C90" i="13" s="1"/>
  <c r="C92" i="13" s="1"/>
  <c r="C94" i="13" s="1"/>
  <c r="C97" i="13" s="1"/>
  <c r="C178" i="13" s="1"/>
  <c r="F118" i="12"/>
  <c r="E118" i="12"/>
  <c r="D118" i="12"/>
  <c r="C118" i="12"/>
  <c r="F115" i="12"/>
  <c r="E115" i="12"/>
  <c r="D115" i="12"/>
  <c r="C115" i="12"/>
  <c r="F114" i="12"/>
  <c r="F116" i="12" s="1"/>
  <c r="E114" i="12"/>
  <c r="E116" i="12" s="1"/>
  <c r="D114" i="12"/>
  <c r="D116" i="12" s="1"/>
  <c r="C114" i="12"/>
  <c r="C116" i="12" s="1"/>
  <c r="F110" i="12"/>
  <c r="E110" i="12"/>
  <c r="D110" i="12"/>
  <c r="C110" i="12"/>
  <c r="D105" i="12"/>
  <c r="C105" i="12"/>
  <c r="F104" i="12"/>
  <c r="E104" i="12"/>
  <c r="F103" i="12"/>
  <c r="F105" i="12" s="1"/>
  <c r="E103" i="12"/>
  <c r="E105" i="12" s="1"/>
  <c r="E102" i="12"/>
  <c r="D102" i="12"/>
  <c r="C102" i="12"/>
  <c r="F101" i="12"/>
  <c r="E101" i="12"/>
  <c r="D101" i="12"/>
  <c r="C101" i="12"/>
  <c r="F98" i="12"/>
  <c r="E98" i="12"/>
  <c r="D98" i="12"/>
  <c r="C98" i="12"/>
  <c r="D94" i="12"/>
  <c r="C94" i="12"/>
  <c r="F92" i="12"/>
  <c r="F94" i="12" s="1"/>
  <c r="E92" i="12"/>
  <c r="E91" i="12" s="1"/>
  <c r="D91" i="12"/>
  <c r="C91" i="12"/>
  <c r="F90" i="12"/>
  <c r="E90" i="12"/>
  <c r="D90" i="12"/>
  <c r="C90" i="12"/>
  <c r="F87" i="12"/>
  <c r="E87" i="12"/>
  <c r="D87" i="12"/>
  <c r="C87" i="12"/>
  <c r="F83" i="12"/>
  <c r="E83" i="12"/>
  <c r="D83" i="12"/>
  <c r="C83" i="12"/>
  <c r="B83" i="12"/>
  <c r="F80" i="12"/>
  <c r="E80" i="12"/>
  <c r="D80" i="12"/>
  <c r="C80" i="12"/>
  <c r="F79" i="12"/>
  <c r="E79" i="12"/>
  <c r="D79" i="12"/>
  <c r="C79" i="12"/>
  <c r="F66" i="12"/>
  <c r="F68" i="12" s="1"/>
  <c r="D66" i="12"/>
  <c r="D68" i="12" s="1"/>
  <c r="F63" i="12"/>
  <c r="E63" i="12"/>
  <c r="F62" i="12"/>
  <c r="D62" i="12"/>
  <c r="F59" i="12"/>
  <c r="D59" i="12"/>
  <c r="E55" i="12"/>
  <c r="C55" i="12"/>
  <c r="F52" i="12"/>
  <c r="E52" i="12"/>
  <c r="D52" i="12"/>
  <c r="C52" i="12"/>
  <c r="F50" i="12"/>
  <c r="E50" i="12"/>
  <c r="D50" i="12"/>
  <c r="C50" i="12"/>
  <c r="F49" i="12"/>
  <c r="E49" i="12"/>
  <c r="D49" i="12"/>
  <c r="C49" i="12"/>
  <c r="F46" i="12"/>
  <c r="E46" i="12"/>
  <c r="E57" i="12" s="1"/>
  <c r="D46" i="12"/>
  <c r="C46" i="12"/>
  <c r="C57" i="12" s="1"/>
  <c r="F43" i="12"/>
  <c r="E43" i="12"/>
  <c r="D43" i="12"/>
  <c r="C43" i="12"/>
  <c r="F42" i="12"/>
  <c r="E42" i="12"/>
  <c r="D42" i="12"/>
  <c r="C42" i="12"/>
  <c r="F39" i="12"/>
  <c r="E39" i="12"/>
  <c r="D39" i="12"/>
  <c r="C39" i="12"/>
  <c r="E35" i="12"/>
  <c r="D35" i="12"/>
  <c r="C35" i="12"/>
  <c r="F34" i="12"/>
  <c r="F33" i="12"/>
  <c r="F32" i="12" s="1"/>
  <c r="E32" i="12"/>
  <c r="D32" i="12"/>
  <c r="C32" i="12"/>
  <c r="F31" i="12"/>
  <c r="E31" i="12"/>
  <c r="D31" i="12"/>
  <c r="C31" i="12"/>
  <c r="F27" i="12"/>
  <c r="E27" i="12"/>
  <c r="D27" i="12"/>
  <c r="C27" i="12"/>
  <c r="D23" i="12"/>
  <c r="C23" i="12"/>
  <c r="F22" i="12"/>
  <c r="E22" i="12"/>
  <c r="F21" i="12"/>
  <c r="F70" i="12" s="1"/>
  <c r="E21" i="12"/>
  <c r="E23" i="12" s="1"/>
  <c r="D20" i="12"/>
  <c r="C20" i="12"/>
  <c r="E19" i="12"/>
  <c r="D19" i="12"/>
  <c r="C19" i="12"/>
  <c r="F15" i="12"/>
  <c r="F64" i="12" s="1"/>
  <c r="E15" i="12"/>
  <c r="D14" i="12"/>
  <c r="D63" i="12" s="1"/>
  <c r="C14" i="12"/>
  <c r="C63" i="12" s="1"/>
  <c r="C13" i="12"/>
  <c r="C62" i="12" s="1"/>
  <c r="F11" i="12"/>
  <c r="E11" i="12"/>
  <c r="D11" i="12"/>
  <c r="C11" i="12"/>
  <c r="F8" i="12"/>
  <c r="E8" i="12"/>
  <c r="D8" i="12"/>
  <c r="C8" i="12"/>
  <c r="F7" i="12"/>
  <c r="E7" i="12"/>
  <c r="D7" i="12"/>
  <c r="C7" i="12"/>
  <c r="E20" i="12" l="1"/>
  <c r="F19" i="12"/>
  <c r="F35" i="12"/>
  <c r="C119" i="12"/>
  <c r="C120" i="12" s="1"/>
  <c r="E119" i="12"/>
  <c r="E120" i="12" s="1"/>
  <c r="C181" i="13"/>
  <c r="C192" i="13" s="1"/>
  <c r="D119" i="12"/>
  <c r="D120" i="12" s="1"/>
  <c r="F119" i="12"/>
  <c r="F120" i="12" s="1"/>
  <c r="F20" i="12"/>
  <c r="F91" i="12"/>
  <c r="F102" i="12"/>
  <c r="D56" i="12"/>
  <c r="D55" i="12"/>
  <c r="C66" i="12"/>
  <c r="C68" i="12" s="1"/>
  <c r="C59" i="12"/>
  <c r="C56" i="12"/>
  <c r="F56" i="12"/>
  <c r="F55" i="12"/>
  <c r="E66" i="12"/>
  <c r="E68" i="12" s="1"/>
  <c r="E62" i="12"/>
  <c r="E59" i="12"/>
  <c r="E56" i="12"/>
  <c r="E64" i="12"/>
  <c r="C15" i="12"/>
  <c r="C64" i="12" s="1"/>
  <c r="E94" i="12"/>
  <c r="D15" i="12"/>
  <c r="D64" i="12" s="1"/>
  <c r="F23" i="12"/>
  <c r="F9" i="2" l="1"/>
  <c r="E9" i="2"/>
  <c r="E33" i="2" l="1"/>
  <c r="E37" i="2" s="1"/>
  <c r="F41" i="2"/>
  <c r="E26" i="2"/>
  <c r="E19" i="2"/>
  <c r="E41" i="2" s="1"/>
  <c r="A4" i="2"/>
  <c r="E85" i="1"/>
  <c r="E84" i="1"/>
  <c r="E83" i="1"/>
  <c r="N74" i="1"/>
  <c r="N73" i="1"/>
  <c r="G73" i="1"/>
  <c r="N72" i="1"/>
  <c r="G49" i="1"/>
  <c r="F49" i="1"/>
  <c r="H48" i="1"/>
  <c r="G48" i="1"/>
  <c r="F48" i="1"/>
  <c r="P47" i="1"/>
  <c r="O47" i="1"/>
  <c r="I47" i="1"/>
  <c r="H47" i="1"/>
  <c r="G47" i="1"/>
  <c r="F47" i="1"/>
  <c r="P46" i="1"/>
  <c r="O46" i="1"/>
  <c r="I46" i="1"/>
  <c r="I51" i="1" s="1"/>
  <c r="H46" i="1"/>
  <c r="H51" i="1" s="1"/>
  <c r="G46" i="1"/>
  <c r="F46" i="1"/>
  <c r="F51" i="1" s="1"/>
  <c r="P45" i="1"/>
  <c r="P49" i="1" s="1"/>
  <c r="O45" i="1"/>
  <c r="O49" i="1" s="1"/>
  <c r="K36" i="1"/>
  <c r="E34" i="1"/>
  <c r="L18" i="1"/>
  <c r="K4" i="1"/>
  <c r="K34" i="1" s="1"/>
  <c r="F16" i="2" l="1"/>
  <c r="P42" i="1" s="1"/>
  <c r="G51" i="1"/>
  <c r="E21" i="2"/>
  <c r="H43" i="1" s="1"/>
  <c r="E28" i="2"/>
  <c r="E16" i="2"/>
  <c r="G43" i="1" s="1"/>
  <c r="E42" i="2" l="1"/>
  <c r="E43" i="2" s="1"/>
  <c r="F42" i="2"/>
  <c r="I43" i="1"/>
  <c r="P40" i="1"/>
  <c r="N63" i="1" s="1"/>
  <c r="P39" i="1"/>
  <c r="P38" i="1"/>
  <c r="N61" i="1" s="1"/>
  <c r="H41" i="1"/>
  <c r="E69" i="1" s="1"/>
  <c r="H40" i="1"/>
  <c r="H39" i="1"/>
  <c r="H38" i="1"/>
  <c r="E11" i="2"/>
  <c r="E36" i="2" s="1"/>
  <c r="G41" i="1"/>
  <c r="E64" i="1" s="1"/>
  <c r="G40" i="1"/>
  <c r="G39" i="1"/>
  <c r="G38" i="1"/>
  <c r="E67" i="1" l="1"/>
  <c r="G67" i="1" s="1"/>
  <c r="I40" i="1"/>
  <c r="E73" i="1" s="1"/>
  <c r="I38" i="1"/>
  <c r="I39" i="1"/>
  <c r="I41" i="1"/>
  <c r="E74" i="1" s="1"/>
  <c r="G74" i="1" s="1"/>
  <c r="E62" i="1"/>
  <c r="F62" i="1" s="1"/>
  <c r="E63" i="1"/>
  <c r="G63" i="1"/>
  <c r="E38" i="2"/>
  <c r="F43" i="1"/>
  <c r="F67" i="1"/>
  <c r="G68" i="1"/>
  <c r="E68" i="1"/>
  <c r="E70" i="1" s="1"/>
  <c r="P61" i="1"/>
  <c r="O61" i="1"/>
  <c r="P63" i="1"/>
  <c r="O63" i="1"/>
  <c r="F64" i="1"/>
  <c r="G64" i="1"/>
  <c r="G69" i="1"/>
  <c r="F69" i="1"/>
  <c r="N62" i="1"/>
  <c r="N64" i="1" s="1"/>
  <c r="P62" i="1"/>
  <c r="P67" i="1" s="1"/>
  <c r="P14" i="1" s="1"/>
  <c r="E65" i="1" l="1"/>
  <c r="E72" i="1"/>
  <c r="F72" i="1" s="1"/>
  <c r="G62" i="1"/>
  <c r="G65" i="1" s="1"/>
  <c r="E75" i="1"/>
  <c r="F74" i="1"/>
  <c r="E43" i="1"/>
  <c r="F41" i="1"/>
  <c r="F40" i="1"/>
  <c r="F39" i="1"/>
  <c r="E39" i="1" s="1"/>
  <c r="F38" i="1"/>
  <c r="E38" i="1" s="1"/>
  <c r="O64" i="1"/>
  <c r="F70" i="1"/>
  <c r="G78" i="1"/>
  <c r="G14" i="1" s="1"/>
  <c r="F65" i="1"/>
  <c r="F11" i="2"/>
  <c r="F43" i="2"/>
  <c r="P64" i="1"/>
  <c r="G70" i="1"/>
  <c r="E57" i="1" l="1"/>
  <c r="F57" i="1" s="1"/>
  <c r="F77" i="1" s="1"/>
  <c r="F12" i="1" s="1"/>
  <c r="E27" i="15" s="1"/>
  <c r="E28" i="15" s="1"/>
  <c r="F75" i="1"/>
  <c r="G72" i="1"/>
  <c r="G75" i="1" s="1"/>
  <c r="F36" i="2"/>
  <c r="F38" i="2" s="1"/>
  <c r="O42" i="1"/>
  <c r="E58" i="1"/>
  <c r="E78" i="1" s="1"/>
  <c r="E14" i="1" s="1"/>
  <c r="E40" i="1"/>
  <c r="F58" i="1"/>
  <c r="F78" i="1" s="1"/>
  <c r="F14" i="1" s="1"/>
  <c r="E33" i="15" s="1"/>
  <c r="E34" i="15" s="1"/>
  <c r="E41" i="1"/>
  <c r="E59" i="1"/>
  <c r="F59" i="1" l="1"/>
  <c r="F79" i="1" s="1"/>
  <c r="F16" i="1" s="1"/>
  <c r="E43" i="15" s="1"/>
  <c r="E44" i="15" s="1"/>
  <c r="E45" i="15" s="1"/>
  <c r="E47" i="15" s="1"/>
  <c r="E79" i="1"/>
  <c r="E16" i="1" s="1"/>
  <c r="G59" i="1"/>
  <c r="G79" i="1" s="1"/>
  <c r="G16" i="1" s="1"/>
  <c r="E77" i="1"/>
  <c r="E12" i="1" s="1"/>
  <c r="E60" i="1"/>
  <c r="E80" i="1" s="1"/>
  <c r="G57" i="1"/>
  <c r="O40" i="1"/>
  <c r="O39" i="1"/>
  <c r="O38" i="1"/>
  <c r="N42" i="1"/>
  <c r="N57" i="1" l="1"/>
  <c r="N67" i="1" s="1"/>
  <c r="N14" i="1" s="1"/>
  <c r="O57" i="1"/>
  <c r="O67" i="1" s="1"/>
  <c r="O14" i="1" s="1"/>
  <c r="E35" i="16" s="1"/>
  <c r="E36" i="16" s="1"/>
  <c r="N39" i="1"/>
  <c r="G77" i="1"/>
  <c r="G12" i="1" s="1"/>
  <c r="G60" i="1"/>
  <c r="G80" i="1" s="1"/>
  <c r="N56" i="1"/>
  <c r="N66" i="1" s="1"/>
  <c r="N38" i="1"/>
  <c r="N58" i="1"/>
  <c r="N40" i="1"/>
  <c r="F60" i="1"/>
  <c r="F80" i="1" s="1"/>
  <c r="F20" i="1" l="1"/>
  <c r="F22" i="1" s="1"/>
  <c r="P58" i="1"/>
  <c r="P68" i="1" s="1"/>
  <c r="P16" i="1" s="1"/>
  <c r="N68" i="1"/>
  <c r="N16" i="1" s="1"/>
  <c r="O58" i="1"/>
  <c r="O68" i="1" s="1"/>
  <c r="O16" i="1" s="1"/>
  <c r="E46" i="16" s="1"/>
  <c r="E47" i="16" s="1"/>
  <c r="N12" i="1"/>
  <c r="N59" i="1"/>
  <c r="N69" i="1" s="1"/>
  <c r="P56" i="1"/>
  <c r="O56" i="1"/>
  <c r="G18" i="1"/>
  <c r="E18" i="1" s="1"/>
  <c r="O66" i="1" l="1"/>
  <c r="O12" i="1" s="1"/>
  <c r="O59" i="1"/>
  <c r="O69" i="1" s="1"/>
  <c r="F24" i="1"/>
  <c r="P66" i="1"/>
  <c r="P12" i="1" s="1"/>
  <c r="P59" i="1"/>
  <c r="P69" i="1" s="1"/>
  <c r="G20" i="1"/>
  <c r="F26" i="1" l="1"/>
  <c r="E50" i="15"/>
  <c r="E55" i="15" s="1"/>
  <c r="O20" i="1"/>
  <c r="E28" i="16"/>
  <c r="E29" i="16" s="1"/>
  <c r="E48" i="16" s="1"/>
  <c r="E50" i="16" s="1"/>
  <c r="O22" i="1"/>
  <c r="G22" i="1"/>
  <c r="E20" i="1"/>
  <c r="P18" i="1"/>
  <c r="N18" i="1" s="1"/>
  <c r="O24" i="1" l="1"/>
  <c r="E53" i="16" s="1"/>
  <c r="E58" i="16" s="1"/>
  <c r="G24" i="1"/>
  <c r="E24" i="1" s="1"/>
  <c r="E22" i="1"/>
  <c r="P20" i="1"/>
  <c r="P22" i="1" l="1"/>
  <c r="N20" i="1"/>
  <c r="G26" i="1"/>
  <c r="E26" i="1" s="1"/>
  <c r="O26" i="1"/>
  <c r="P24" i="1" l="1"/>
  <c r="N24" i="1" s="1"/>
  <c r="N22" i="1"/>
  <c r="P26" i="1" l="1"/>
  <c r="N26" i="1" s="1"/>
</calcChain>
</file>

<file path=xl/comments1.xml><?xml version="1.0" encoding="utf-8"?>
<comments xmlns="http://schemas.openxmlformats.org/spreadsheetml/2006/main">
  <authors>
    <author>Karen Schuh</author>
  </authors>
  <commentList>
    <comment ref="O45" authorId="0">
      <text>
        <r>
          <rPr>
            <b/>
            <sz val="10"/>
            <color indexed="81"/>
            <rFont val="Tahoma"/>
            <family val="2"/>
          </rPr>
          <t>Karen Schuh:</t>
        </r>
        <r>
          <rPr>
            <sz val="10"/>
            <color indexed="81"/>
            <rFont val="Tahoma"/>
            <family val="2"/>
          </rPr>
          <t xml:space="preserve">
From results report G-All-12A.
</t>
        </r>
      </text>
    </comment>
    <comment ref="F46" authorId="0">
      <text>
        <r>
          <rPr>
            <b/>
            <sz val="10"/>
            <color indexed="81"/>
            <rFont val="Tahoma"/>
            <family val="2"/>
          </rPr>
          <t>Karen Schuh:</t>
        </r>
        <r>
          <rPr>
            <sz val="10"/>
            <color indexed="81"/>
            <rFont val="Tahoma"/>
            <family val="2"/>
          </rPr>
          <t xml:space="preserve">
From results report E-All-12A. </t>
        </r>
      </text>
    </comment>
  </commentList>
</comments>
</file>

<file path=xl/comments2.xml><?xml version="1.0" encoding="utf-8"?>
<comments xmlns="http://schemas.openxmlformats.org/spreadsheetml/2006/main">
  <authors>
    <author>annette brandon</author>
  </authors>
  <commentList>
    <comment ref="C57" authorId="0">
      <text>
        <r>
          <rPr>
            <b/>
            <sz val="8"/>
            <color indexed="81"/>
            <rFont val="Tahoma"/>
            <family val="2"/>
          </rPr>
          <t>annette brandon:</t>
        </r>
        <r>
          <rPr>
            <sz val="8"/>
            <color indexed="81"/>
            <rFont val="Tahoma"/>
            <family val="2"/>
          </rPr>
          <t xml:space="preserve">
06-07-08 true ups</t>
        </r>
      </text>
    </comment>
    <comment ref="F57" authorId="0">
      <text>
        <r>
          <rPr>
            <b/>
            <sz val="8"/>
            <color indexed="81"/>
            <rFont val="Tahoma"/>
            <family val="2"/>
          </rPr>
          <t>annette brandon:</t>
        </r>
        <r>
          <rPr>
            <sz val="8"/>
            <color indexed="81"/>
            <rFont val="Tahoma"/>
            <family val="2"/>
          </rPr>
          <t xml:space="preserve">
Actual per Accrual Register, GL and ROO. </t>
        </r>
      </text>
    </comment>
  </commentList>
</comments>
</file>

<file path=xl/sharedStrings.xml><?xml version="1.0" encoding="utf-8"?>
<sst xmlns="http://schemas.openxmlformats.org/spreadsheetml/2006/main" count="619" uniqueCount="297">
  <si>
    <t>AVISTA UTILITIES</t>
  </si>
  <si>
    <t>Color Code</t>
  </si>
  <si>
    <t>Black Letter</t>
  </si>
  <si>
    <t>Constants</t>
  </si>
  <si>
    <t>Blue Letter</t>
  </si>
  <si>
    <t>Input Cell Constants</t>
  </si>
  <si>
    <t>Property Tax Adjustment-Electric</t>
  </si>
  <si>
    <t>Property Tax Adjustment-Gas</t>
  </si>
  <si>
    <t>Formulas</t>
  </si>
  <si>
    <t>For the Twelve Months Ended December 31, 2011</t>
  </si>
  <si>
    <t>System</t>
  </si>
  <si>
    <t>Washington</t>
  </si>
  <si>
    <t>Idaho</t>
  </si>
  <si>
    <t>Property Tax Adjustment</t>
  </si>
  <si>
    <t>Prod/Trans</t>
  </si>
  <si>
    <t xml:space="preserve">     Underground Storage</t>
  </si>
  <si>
    <t>Distribution</t>
  </si>
  <si>
    <t xml:space="preserve">     Distribution</t>
  </si>
  <si>
    <t>General</t>
  </si>
  <si>
    <t xml:space="preserve">     Administrative and General</t>
  </si>
  <si>
    <t>Idaho SIT</t>
  </si>
  <si>
    <t>Total expenses</t>
  </si>
  <si>
    <t>Operating income before FIT</t>
  </si>
  <si>
    <t>FIT</t>
  </si>
  <si>
    <t>Net operating income</t>
  </si>
  <si>
    <t>Functionalization based on Plant Balances at 12/31/2009</t>
  </si>
  <si>
    <t>Montana</t>
  </si>
  <si>
    <t>Oregon</t>
  </si>
  <si>
    <t>Production</t>
  </si>
  <si>
    <t>Underground Storage</t>
  </si>
  <si>
    <t>Transmission</t>
  </si>
  <si>
    <t>Total</t>
  </si>
  <si>
    <t>Allocation Percentages</t>
  </si>
  <si>
    <t xml:space="preserve">   Total</t>
  </si>
  <si>
    <t xml:space="preserve"> </t>
  </si>
  <si>
    <t xml:space="preserve">Allocate to each state based on function: </t>
  </si>
  <si>
    <t>Alloc.</t>
  </si>
  <si>
    <t>WA Property Tax Adjustment</t>
  </si>
  <si>
    <t xml:space="preserve">   Underground Storage</t>
  </si>
  <si>
    <t>1C</t>
  </si>
  <si>
    <t xml:space="preserve">   Distribution</t>
  </si>
  <si>
    <t xml:space="preserve">   General</t>
  </si>
  <si>
    <t xml:space="preserve">          Total</t>
  </si>
  <si>
    <t>ID Property Tax Adjustment</t>
  </si>
  <si>
    <t>MT Property Tax Adjustment</t>
  </si>
  <si>
    <t xml:space="preserve">     Underground Storage Total</t>
  </si>
  <si>
    <t xml:space="preserve">     Distribution Total</t>
  </si>
  <si>
    <t xml:space="preserve">     General Total</t>
  </si>
  <si>
    <t xml:space="preserve">     Total Adjustment</t>
  </si>
  <si>
    <t>OR Property Tax Adjustment</t>
  </si>
  <si>
    <t>Allocation Notes</t>
  </si>
  <si>
    <t>System Contract Demand--SGS-1</t>
  </si>
  <si>
    <t>Jurisdictional 4 Factor</t>
  </si>
  <si>
    <t>Direct</t>
  </si>
  <si>
    <t>Prod/Trans Total</t>
  </si>
  <si>
    <t>Distribution Total</t>
  </si>
  <si>
    <t>General Total</t>
  </si>
  <si>
    <t>Total Adjustment</t>
  </si>
  <si>
    <t>Prod/Trans Alloc Ratio</t>
  </si>
  <si>
    <t>Jurisdictional 4 Factor Ratio</t>
  </si>
  <si>
    <t>Electric</t>
  </si>
  <si>
    <t>Gas</t>
  </si>
  <si>
    <t>Current Period Expense</t>
  </si>
  <si>
    <t>Accrual per Results by State (Situs)</t>
  </si>
  <si>
    <t xml:space="preserve">   Adjustment</t>
  </si>
  <si>
    <t>Cyote Springs Expense for 2010</t>
  </si>
  <si>
    <t xml:space="preserve">Subtotal Expense </t>
  </si>
  <si>
    <t xml:space="preserve">Colstrip Indirect (Note 1) </t>
  </si>
  <si>
    <t xml:space="preserve">Accrual per Results </t>
  </si>
  <si>
    <t xml:space="preserve">Remove Colstrip Indirect </t>
  </si>
  <si>
    <t>Amount reflected in results (E-OTX-12A &amp; G-OTX-12A)</t>
  </si>
  <si>
    <t>Note 1</t>
  </si>
  <si>
    <t xml:space="preserve">This amount is related to property tax that we are paying to Pacificore for our portion of a indirect property tax. </t>
  </si>
  <si>
    <t xml:space="preserve">This amount does not fluctuate and is immaterial to the total property tax adjustment. </t>
  </si>
  <si>
    <t xml:space="preserve">Note 2 </t>
  </si>
  <si>
    <t>Adjustment</t>
  </si>
  <si>
    <t>C-PT-1</t>
  </si>
  <si>
    <t>E-PT-2</t>
  </si>
  <si>
    <t>E-PT-3</t>
  </si>
  <si>
    <t>E-PT-4</t>
  </si>
  <si>
    <t>E-PT-5</t>
  </si>
  <si>
    <t>HPA-1</t>
  </si>
  <si>
    <t>Book Value as of</t>
  </si>
  <si>
    <t>Accrual year</t>
  </si>
  <si>
    <t>ADJUSTMENT</t>
  </si>
  <si>
    <t>Beginning Balance</t>
  </si>
  <si>
    <t>Changes</t>
  </si>
  <si>
    <t>Tax Basis</t>
  </si>
  <si>
    <t>Tax Rate</t>
  </si>
  <si>
    <t>Total Actual Taxes Paid</t>
  </si>
  <si>
    <t>Per Results</t>
  </si>
  <si>
    <t>Results</t>
  </si>
  <si>
    <t>Prior Period</t>
  </si>
  <si>
    <t>Total Accrual</t>
  </si>
  <si>
    <t>(imnaha transmission line)</t>
  </si>
  <si>
    <t>(coyote springs)</t>
  </si>
  <si>
    <t>Coyote</t>
  </si>
  <si>
    <t>*kept at 2010 levels</t>
  </si>
  <si>
    <t>Total Electric System</t>
  </si>
  <si>
    <t>Estimate</t>
  </si>
  <si>
    <t>Total Results</t>
  </si>
  <si>
    <t>Total Estimate</t>
  </si>
  <si>
    <t>Total Taxes Paid</t>
  </si>
  <si>
    <t>Total Gas System</t>
  </si>
  <si>
    <t>As of June 25, 2012</t>
  </si>
  <si>
    <t>in thousands</t>
  </si>
  <si>
    <t>BOOK VALUE @ DEC</t>
  </si>
  <si>
    <t>YEAR ASSESSED</t>
  </si>
  <si>
    <t>YEAR TAX ACCRUED</t>
  </si>
  <si>
    <t>YEAR TAX PAYABLE ( oregon &amp; california)</t>
  </si>
  <si>
    <t>2011-2012</t>
  </si>
  <si>
    <t>2011 Actual</t>
  </si>
  <si>
    <t>WASHINGTON - ELECTRIC</t>
  </si>
  <si>
    <t>HIST COST INDICATOR</t>
  </si>
  <si>
    <t>ESTIMATED SYSTEM VALUE</t>
  </si>
  <si>
    <t>ADD : NET ADDITIONS TO PLANT</t>
  </si>
  <si>
    <t>LESS: Intangibles Other</t>
  </si>
  <si>
    <t>ADD : Smart Grid CIAC</t>
  </si>
  <si>
    <t>LESS : Vehicles</t>
  </si>
  <si>
    <t>LESS : DEPR EST</t>
  </si>
  <si>
    <t>TAXABLE PERCENTAGE</t>
  </si>
  <si>
    <t>STATE ALLOCATION %</t>
  </si>
  <si>
    <t>ALLOCATED VALUE</t>
  </si>
  <si>
    <t>add:adjustments</t>
  </si>
  <si>
    <t>GROSS ASSESSED VALUE</t>
  </si>
  <si>
    <t>equalization factor</t>
  </si>
  <si>
    <t>ASSESSED VALUE</t>
  </si>
  <si>
    <t>OTHER</t>
  </si>
  <si>
    <t>TAX RATE</t>
  </si>
  <si>
    <t>TAX</t>
  </si>
  <si>
    <t>IDAHO - ELECTRIC</t>
  </si>
  <si>
    <t>LESS : OTHER</t>
  </si>
  <si>
    <t>RATIO</t>
  </si>
  <si>
    <t>MONTANA - ELECTRIC</t>
  </si>
  <si>
    <t>(combine  E &amp; G)</t>
  </si>
  <si>
    <t>ADD : NET ADDITIONS TO PLANT - E &amp; G</t>
  </si>
  <si>
    <t>LESS : INTANGIBLE EST</t>
  </si>
  <si>
    <t>add: adjustments</t>
  </si>
  <si>
    <t>EQUALIZATION FACTOR</t>
  </si>
  <si>
    <t>GROSS MARKET VALUE</t>
  </si>
  <si>
    <t>taxable VALUE</t>
  </si>
  <si>
    <t>adjustments</t>
  </si>
  <si>
    <t>taxable value</t>
  </si>
  <si>
    <t>OREGON - ELECTRIC</t>
  </si>
  <si>
    <t>11/12 Actual</t>
  </si>
  <si>
    <t>(Imnaha transmission line)</t>
  </si>
  <si>
    <t>ADD : LOLO-OXBOW TRANSMISSION LINE - LOCATION 640 (ptn in ID, ptn in OR)</t>
  </si>
  <si>
    <t>ADD: POLL CONTROL EQUIP</t>
  </si>
  <si>
    <t>Coyote Springs II &amp; misc</t>
  </si>
  <si>
    <t>LESS : DEPR</t>
  </si>
  <si>
    <t>na</t>
  </si>
  <si>
    <t>Other Misc property taxes</t>
  </si>
  <si>
    <t>Levy rate</t>
  </si>
  <si>
    <t>% ownership of plant</t>
  </si>
  <si>
    <t>Tax due from Avista Corp</t>
  </si>
  <si>
    <t>WASHINGTON - GAS</t>
  </si>
  <si>
    <t>IDAHO - GAS</t>
  </si>
  <si>
    <t>OREGON - GAS</t>
  </si>
  <si>
    <t>HIST COST OREGON</t>
  </si>
  <si>
    <t>ESTIMATED STATE VALUE</t>
  </si>
  <si>
    <t>STATE VALUE</t>
  </si>
  <si>
    <t>Adjustments:</t>
  </si>
  <si>
    <t>SUMMARY:</t>
  </si>
  <si>
    <t>Actual</t>
  </si>
  <si>
    <t>ELECTRIC:</t>
  </si>
  <si>
    <t xml:space="preserve">     WASHINGTON</t>
  </si>
  <si>
    <t xml:space="preserve">     EST ADJ TO WASH</t>
  </si>
  <si>
    <t xml:space="preserve">     IDAHO</t>
  </si>
  <si>
    <t xml:space="preserve">     MONTANA</t>
  </si>
  <si>
    <t xml:space="preserve">     OREGON - Transm line only</t>
  </si>
  <si>
    <t xml:space="preserve">     OREGON - Coyote Springs II</t>
  </si>
  <si>
    <t xml:space="preserve">          SUBTOTAL</t>
  </si>
  <si>
    <t>GAS:</t>
  </si>
  <si>
    <t xml:space="preserve">     WASHINGTON </t>
  </si>
  <si>
    <t xml:space="preserve">     OREGON</t>
  </si>
  <si>
    <t>TOTAL EST TAX</t>
  </si>
  <si>
    <t>Original</t>
  </si>
  <si>
    <t>Revised</t>
  </si>
  <si>
    <t>Washington Electric</t>
  </si>
  <si>
    <t>Washington Gas</t>
  </si>
  <si>
    <t>Change</t>
  </si>
  <si>
    <t>Summary of Changes:</t>
  </si>
  <si>
    <t>Revenue Requirement</t>
  </si>
  <si>
    <t xml:space="preserve">AVISTA UTILITIES  </t>
  </si>
  <si>
    <t xml:space="preserve">WASHINGTON ELECTRIC RESULTS  </t>
  </si>
  <si>
    <t>TWELVE MONTHS ENDED DECEMBER 31, 2011</t>
  </si>
  <si>
    <t xml:space="preserve">(000'S OF DOLLARS)  </t>
  </si>
  <si>
    <t>Staff</t>
  </si>
  <si>
    <t>Line</t>
  </si>
  <si>
    <t>Property Tax</t>
  </si>
  <si>
    <t>No.</t>
  </si>
  <si>
    <t>DESCRIPTION</t>
  </si>
  <si>
    <t xml:space="preserve">Adjustment Number </t>
  </si>
  <si>
    <t>Workpaper Reference</t>
  </si>
  <si>
    <t xml:space="preserve">REVENUES  </t>
  </si>
  <si>
    <t xml:space="preserve">Total General Business  </t>
  </si>
  <si>
    <t xml:space="preserve">Interdepartmental Sales  </t>
  </si>
  <si>
    <t xml:space="preserve">Sales for Resale  </t>
  </si>
  <si>
    <t xml:space="preserve">Total Sales of Electricity  </t>
  </si>
  <si>
    <t xml:space="preserve">Other Revenue  </t>
  </si>
  <si>
    <t xml:space="preserve">Total Electric Revenue  </t>
  </si>
  <si>
    <t xml:space="preserve">EXPENSES  </t>
  </si>
  <si>
    <t xml:space="preserve">Production and Transmission  </t>
  </si>
  <si>
    <t xml:space="preserve">Operating Expenses  </t>
  </si>
  <si>
    <t xml:space="preserve">Purchased Power  </t>
  </si>
  <si>
    <t xml:space="preserve">Depreciation/Amortization  </t>
  </si>
  <si>
    <t>Regulatory Amortization</t>
  </si>
  <si>
    <t xml:space="preserve">Taxes  </t>
  </si>
  <si>
    <t xml:space="preserve">Total Production &amp; Transmission  </t>
  </si>
  <si>
    <t xml:space="preserve">Distribution  </t>
  </si>
  <si>
    <t>Depreciation/Amortization</t>
  </si>
  <si>
    <t xml:space="preserve">Total Distribution  </t>
  </si>
  <si>
    <t xml:space="preserve">Customer Accounting  </t>
  </si>
  <si>
    <t xml:space="preserve">Customer Service &amp; Information  </t>
  </si>
  <si>
    <t xml:space="preserve">Sales Expenses  </t>
  </si>
  <si>
    <t xml:space="preserve">Administrative &amp; General  </t>
  </si>
  <si>
    <t xml:space="preserve">Total Admin. &amp; General  </t>
  </si>
  <si>
    <t xml:space="preserve">Total Electric Expenses  </t>
  </si>
  <si>
    <t xml:space="preserve">OPERATING INCOME BEFORE FIT  </t>
  </si>
  <si>
    <t xml:space="preserve">FEDERAL INCOME TAX  </t>
  </si>
  <si>
    <t xml:space="preserve">Current Accrual </t>
  </si>
  <si>
    <t>Debt Interest</t>
  </si>
  <si>
    <t xml:space="preserve">Deferred Income Taxes  </t>
  </si>
  <si>
    <t>Amortized ITC - Noxon</t>
  </si>
  <si>
    <t xml:space="preserve">NET OPERATING INCOME  </t>
  </si>
  <si>
    <t xml:space="preserve">RATE BASE  </t>
  </si>
  <si>
    <t xml:space="preserve">PLANT IN SERVICE  </t>
  </si>
  <si>
    <t xml:space="preserve">Intangible  </t>
  </si>
  <si>
    <t xml:space="preserve">Production  </t>
  </si>
  <si>
    <t xml:space="preserve">Transmission  </t>
  </si>
  <si>
    <t xml:space="preserve">General  </t>
  </si>
  <si>
    <t xml:space="preserve">Total Plant in Service  </t>
  </si>
  <si>
    <t>ACCUMULATED DEPRECIATION/AMORT</t>
  </si>
  <si>
    <t>Total Accumulated Depreciation</t>
  </si>
  <si>
    <t xml:space="preserve">NET PLANT </t>
  </si>
  <si>
    <t xml:space="preserve">DEFERRED TAXES  </t>
  </si>
  <si>
    <t>Net Plant After DFIT</t>
  </si>
  <si>
    <t xml:space="preserve">DEFERRED DEBITS AND CREDITS </t>
  </si>
  <si>
    <t xml:space="preserve">WORKING CAPITAL </t>
  </si>
  <si>
    <t xml:space="preserve">TOTAL RATE BASE  </t>
  </si>
  <si>
    <t>Total Transportation</t>
  </si>
  <si>
    <t xml:space="preserve">Total Gas Revenue  </t>
  </si>
  <si>
    <t xml:space="preserve">Production Expenses  </t>
  </si>
  <si>
    <t>City gate Purchases</t>
  </si>
  <si>
    <t>Purchased Gas Expense</t>
  </si>
  <si>
    <t>Net Nat gas Storage Trans</t>
  </si>
  <si>
    <t>Total Production</t>
  </si>
  <si>
    <t>Operating Expenses</t>
  </si>
  <si>
    <t>Taxes</t>
  </si>
  <si>
    <t>Total Underground Storage</t>
  </si>
  <si>
    <t>Regulatory Amortizations</t>
  </si>
  <si>
    <t xml:space="preserve">Total Gas Expenses  </t>
  </si>
  <si>
    <t>RATE BASE</t>
  </si>
  <si>
    <t>PLANT IN SERVICE</t>
  </si>
  <si>
    <t>Distribution Plant</t>
  </si>
  <si>
    <t>General Plant</t>
  </si>
  <si>
    <t>Total Plant in Service</t>
  </si>
  <si>
    <t>Total Accumulated Depreciation/Amortization</t>
  </si>
  <si>
    <t>NET PLANT</t>
  </si>
  <si>
    <t>GAS INVENTORY</t>
  </si>
  <si>
    <t>GAIN ON SALE OF BUILDING</t>
  </si>
  <si>
    <t>TOTAL RATE BASE</t>
  </si>
  <si>
    <t xml:space="preserve">WASHINGTON GAS RESULTS  </t>
  </si>
  <si>
    <t>DEFERED TAXES</t>
  </si>
  <si>
    <t>NET PLANT AFTER DFIT</t>
  </si>
  <si>
    <t>AVISTA CORP.</t>
  </si>
  <si>
    <t>RESPONSE TO REQUEST FOR INFORMATION</t>
  </si>
  <si>
    <t>JURISDICTION:</t>
  </si>
  <si>
    <t>WASHINGTON</t>
  </si>
  <si>
    <t>DATE PREPARED:</t>
  </si>
  <si>
    <t>CASE NO:</t>
  </si>
  <si>
    <t>UE-120436 &amp; UG-120437</t>
  </si>
  <si>
    <t>WITNESS:</t>
  </si>
  <si>
    <t>Elizabeth Andrews</t>
  </si>
  <si>
    <t>REQUESTER:</t>
  </si>
  <si>
    <t>WUTC Staff - Foisy</t>
  </si>
  <si>
    <t>RESPONDER:</t>
  </si>
  <si>
    <t>Annette Brandon</t>
  </si>
  <si>
    <t>TYPE:</t>
  </si>
  <si>
    <t>Data Request</t>
  </si>
  <si>
    <t>DEPT:</t>
  </si>
  <si>
    <t>State &amp; Federal Regulation</t>
  </si>
  <si>
    <t>REQUEST NO.:</t>
  </si>
  <si>
    <t>Staff – 333</t>
  </si>
  <si>
    <t>TELEPHONE:</t>
  </si>
  <si>
    <t>(509) 495-4324</t>
  </si>
  <si>
    <t>EMAIL:</t>
  </si>
  <si>
    <t>annette.brandon@avistacorp.com</t>
  </si>
  <si>
    <t>REQUEST:</t>
  </si>
  <si>
    <t>Re:  Andrews, Exhibit No.___ (EMA-1T) - Adj. 3.06 Property Tax (Elec.), and 3.04 Property Tax (Gas)</t>
  </si>
  <si>
    <t>Using the most current known levy rate and most current assessed value as of June 30, 2012, please re-calculate the property tax adjustment.  Please provide the total jurisdictional property tax for both gas and electric operations, and the adjustments to per books operations for each.</t>
  </si>
  <si>
    <t>RESPONSE:</t>
  </si>
  <si>
    <t>Please see Staff_DR_333C Confidential Attachment A for the pro-forma property tax adjustment updated with new levy rates. Please note there has been no change in assessed value. The impact to the revenue requirement is summarized below:</t>
  </si>
  <si>
    <t>Please see Avista’s CONFIDENTIAL response to data request no. Staff – 333C.  Please note that Avista’s response to Staff – 333C is Confidential per Protective Order in UTC Dockets UE-120436 and UG-120437.</t>
  </si>
  <si>
    <t>Washington Electric:</t>
  </si>
  <si>
    <t xml:space="preserve">Revenue Requirement </t>
  </si>
  <si>
    <r>
      <t xml:space="preserve">HIST COST INDICATOR - </t>
    </r>
    <r>
      <rPr>
        <b/>
        <u/>
        <sz val="9"/>
        <rFont val="Times New Roman"/>
        <family val="1"/>
      </rPr>
      <t>after</t>
    </r>
    <r>
      <rPr>
        <b/>
        <sz val="9"/>
        <rFont val="Times New Roman"/>
        <family val="1"/>
      </rPr>
      <t xml:space="preserve"> IPP reduction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</si>
</sst>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5" formatCode="&quot;$&quot;#,##0_);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%"/>
    <numFmt numFmtId="165" formatCode="0.000000"/>
    <numFmt numFmtId="166" formatCode="#,##0.000"/>
    <numFmt numFmtId="167" formatCode="mmm"/>
    <numFmt numFmtId="168" formatCode="_(* #,##0_);_(* \(#,##0\);_(* &quot;-&quot;??_);_(@_)"/>
    <numFmt numFmtId="169" formatCode="0.00000"/>
    <numFmt numFmtId="170" formatCode="_(&quot;$&quot;* #,##0_);_(&quot;$&quot;* \(#,##0\);_(&quot;$&quot;* &quot;-&quot;??_);_(@_)"/>
    <numFmt numFmtId="171" formatCode="0.0000%"/>
    <numFmt numFmtId="172" formatCode="0.000"/>
    <numFmt numFmtId="173" formatCode="0.000000%"/>
    <numFmt numFmtId="174" formatCode="0.0000"/>
    <numFmt numFmtId="175" formatCode="0.00_)"/>
  </numFmts>
  <fonts count="59">
    <font>
      <sz val="10"/>
      <name val="Geneva"/>
    </font>
    <font>
      <sz val="12"/>
      <color theme="1"/>
      <name val="Calibri"/>
      <family val="2"/>
    </font>
    <font>
      <sz val="12"/>
      <color theme="1"/>
      <name val="Calibri"/>
      <family val="2"/>
    </font>
    <font>
      <sz val="10"/>
      <name val="Geneva"/>
    </font>
    <font>
      <b/>
      <sz val="9"/>
      <name val="Times New Roman"/>
      <family val="1"/>
    </font>
    <font>
      <sz val="9"/>
      <name val="Times New Roman"/>
      <family val="1"/>
    </font>
    <font>
      <u/>
      <sz val="9"/>
      <name val="Times New Roman"/>
      <family val="1"/>
    </font>
    <font>
      <sz val="12"/>
      <name val="Times New Roman"/>
      <family val="1"/>
    </font>
    <font>
      <b/>
      <sz val="10"/>
      <color indexed="81"/>
      <name val="Tahoma"/>
      <family val="2"/>
    </font>
    <font>
      <sz val="10"/>
      <color indexed="81"/>
      <name val="Tahoma"/>
      <family val="2"/>
    </font>
    <font>
      <sz val="10"/>
      <name val="Times New Roman"/>
      <family val="1"/>
    </font>
    <font>
      <b/>
      <u/>
      <sz val="9"/>
      <name val="Times New Roman"/>
      <family val="1"/>
    </font>
    <font>
      <sz val="9"/>
      <name val="Calisto MT"/>
      <family val="1"/>
    </font>
    <font>
      <sz val="8"/>
      <name val="Times New Roman"/>
      <family val="1"/>
    </font>
    <font>
      <sz val="10"/>
      <name val="Arial"/>
      <family val="2"/>
    </font>
    <font>
      <sz val="10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0"/>
      <name val="Arial"/>
    </font>
    <font>
      <sz val="10"/>
      <name val="Geneva"/>
      <family val="2"/>
    </font>
    <font>
      <u/>
      <sz val="7.5"/>
      <color theme="0"/>
      <name val="Arial"/>
      <family val="2"/>
    </font>
    <font>
      <sz val="12"/>
      <color indexed="10"/>
      <name val="Times New Roman"/>
      <family val="1"/>
    </font>
    <font>
      <b/>
      <sz val="18"/>
      <color theme="3"/>
      <name val="Cambria"/>
      <family val="2"/>
      <scheme val="major"/>
    </font>
    <font>
      <u/>
      <sz val="10"/>
      <color theme="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b/>
      <i/>
      <sz val="16"/>
      <name val="Helv"/>
    </font>
    <font>
      <sz val="8"/>
      <color indexed="8"/>
      <name val="Arial"/>
      <family val="2"/>
    </font>
    <font>
      <b/>
      <sz val="22"/>
      <color indexed="8"/>
      <name val="Times New Roman"/>
      <family val="1"/>
    </font>
    <font>
      <b/>
      <sz val="11"/>
      <color indexed="16"/>
      <name val="Times New Roman"/>
      <family val="1"/>
    </font>
    <font>
      <b/>
      <i/>
      <sz val="11"/>
      <color indexed="8"/>
      <name val="Times New Roman"/>
      <family val="1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name val="Helv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  <font>
      <b/>
      <sz val="8"/>
      <color indexed="8"/>
      <name val="Courier New"/>
      <family val="3"/>
    </font>
    <font>
      <sz val="11"/>
      <color indexed="8"/>
      <name val="Times New Roman"/>
      <family val="1"/>
    </font>
    <font>
      <b/>
      <sz val="12"/>
      <color indexed="8"/>
      <name val="Arial"/>
      <family val="2"/>
    </font>
    <font>
      <sz val="8"/>
      <color indexed="12"/>
      <name val="Arial"/>
      <family val="2"/>
    </font>
    <font>
      <sz val="8"/>
      <color indexed="8"/>
      <name val="Wingdings"/>
      <charset val="2"/>
    </font>
    <font>
      <sz val="10"/>
      <name val="Tahoma"/>
      <family val="2"/>
    </font>
    <font>
      <sz val="9"/>
      <color rgb="FFFF0000"/>
      <name val="Times New Roman"/>
      <family val="1"/>
    </font>
    <font>
      <b/>
      <i/>
      <sz val="9"/>
      <name val="Times New Roman"/>
      <family val="1"/>
    </font>
  </fonts>
  <fills count="4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</patternFill>
    </fill>
    <fill>
      <patternFill patternType="solid">
        <fgColor indexed="23"/>
      </patternFill>
    </fill>
    <fill>
      <patternFill patternType="solid">
        <fgColor theme="0" tint="-0.249977111117893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rgb="FFFF0000"/>
      </left>
      <right style="double">
        <color rgb="FFFF0000"/>
      </right>
      <top style="double">
        <color rgb="FFFF0000"/>
      </top>
      <bottom style="double">
        <color rgb="FFFF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hair">
        <color indexed="64"/>
      </top>
      <bottom/>
      <diagonal/>
    </border>
  </borders>
  <cellStyleXfs count="200">
    <xf numFmtId="0" fontId="0" fillId="0" borderId="0"/>
    <xf numFmtId="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4" fillId="0" borderId="0"/>
    <xf numFmtId="0" fontId="15" fillId="0" borderId="0"/>
    <xf numFmtId="43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2" fillId="0" borderId="0"/>
    <xf numFmtId="0" fontId="18" fillId="0" borderId="0"/>
    <xf numFmtId="44" fontId="14" fillId="0" borderId="0" applyFon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14" fillId="0" borderId="0"/>
    <xf numFmtId="0" fontId="14" fillId="0" borderId="0"/>
    <xf numFmtId="0" fontId="14" fillId="0" borderId="0"/>
    <xf numFmtId="0" fontId="19" fillId="0" borderId="0"/>
    <xf numFmtId="0" fontId="19" fillId="0" borderId="0"/>
    <xf numFmtId="9" fontId="14" fillId="0" borderId="0" applyFont="0" applyFill="0" applyBorder="0" applyAlignment="0" applyProtection="0"/>
    <xf numFmtId="0" fontId="7" fillId="0" borderId="0"/>
    <xf numFmtId="0" fontId="21" fillId="3" borderId="0"/>
    <xf numFmtId="0" fontId="22" fillId="0" borderId="0" applyNumberFormat="0" applyFill="0" applyBorder="0" applyAlignment="0" applyProtection="0"/>
    <xf numFmtId="0" fontId="1" fillId="0" borderId="0"/>
    <xf numFmtId="0" fontId="32" fillId="16" borderId="0" applyNumberFormat="0" applyBorder="0" applyAlignment="0" applyProtection="0"/>
    <xf numFmtId="0" fontId="32" fillId="24" borderId="0" applyNumberFormat="0" applyBorder="0" applyAlignment="0" applyProtection="0"/>
    <xf numFmtId="0" fontId="32" fillId="16" borderId="0" applyNumberFormat="0" applyBorder="0" applyAlignment="0" applyProtection="0"/>
    <xf numFmtId="0" fontId="3" fillId="0" borderId="0"/>
    <xf numFmtId="0" fontId="23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32" fillId="32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12" borderId="0" applyNumberFormat="0" applyBorder="0" applyAlignment="0" applyProtection="0"/>
    <xf numFmtId="0" fontId="32" fillId="20" borderId="0" applyNumberFormat="0" applyBorder="0" applyAlignment="0" applyProtection="0"/>
    <xf numFmtId="0" fontId="32" fillId="24" borderId="0" applyNumberFormat="0" applyBorder="0" applyAlignment="0" applyProtection="0"/>
    <xf numFmtId="0" fontId="32" fillId="24" borderId="0" applyNumberFormat="0" applyBorder="0" applyAlignment="0" applyProtection="0"/>
    <xf numFmtId="0" fontId="32" fillId="12" borderId="0" applyNumberFormat="0" applyBorder="0" applyAlignment="0" applyProtection="0"/>
    <xf numFmtId="0" fontId="32" fillId="28" borderId="0" applyNumberFormat="0" applyBorder="0" applyAlignment="0" applyProtection="0"/>
    <xf numFmtId="0" fontId="32" fillId="16" borderId="0" applyNumberFormat="0" applyBorder="0" applyAlignment="0" applyProtection="0"/>
    <xf numFmtId="0" fontId="32" fillId="20" borderId="0" applyNumberFormat="0" applyBorder="0" applyAlignment="0" applyProtection="0"/>
    <xf numFmtId="0" fontId="32" fillId="32" borderId="0" applyNumberFormat="0" applyBorder="0" applyAlignment="0" applyProtection="0"/>
    <xf numFmtId="0" fontId="32" fillId="20" borderId="0" applyNumberFormat="0" applyBorder="0" applyAlignment="0" applyProtection="0"/>
    <xf numFmtId="0" fontId="32" fillId="12" borderId="0" applyNumberFormat="0" applyBorder="0" applyAlignment="0" applyProtection="0"/>
    <xf numFmtId="0" fontId="32" fillId="32" borderId="0" applyNumberFormat="0" applyBorder="0" applyAlignment="0" applyProtection="0"/>
    <xf numFmtId="0" fontId="32" fillId="13" borderId="0" applyNumberFormat="0" applyBorder="0" applyAlignment="0" applyProtection="0"/>
    <xf numFmtId="0" fontId="32" fillId="13" borderId="0" applyNumberFormat="0" applyBorder="0" applyAlignment="0" applyProtection="0"/>
    <xf numFmtId="0" fontId="32" fillId="13" borderId="0" applyNumberFormat="0" applyBorder="0" applyAlignment="0" applyProtection="0"/>
    <xf numFmtId="0" fontId="32" fillId="17" borderId="0" applyNumberFormat="0" applyBorder="0" applyAlignment="0" applyProtection="0"/>
    <xf numFmtId="0" fontId="32" fillId="17" borderId="0" applyNumberFormat="0" applyBorder="0" applyAlignment="0" applyProtection="0"/>
    <xf numFmtId="0" fontId="32" fillId="17" borderId="0" applyNumberFormat="0" applyBorder="0" applyAlignment="0" applyProtection="0"/>
    <xf numFmtId="0" fontId="32" fillId="21" borderId="0" applyNumberFormat="0" applyBorder="0" applyAlignment="0" applyProtection="0"/>
    <xf numFmtId="0" fontId="32" fillId="21" borderId="0" applyNumberFormat="0" applyBorder="0" applyAlignment="0" applyProtection="0"/>
    <xf numFmtId="0" fontId="32" fillId="21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3" fillId="14" borderId="0" applyNumberFormat="0" applyBorder="0" applyAlignment="0" applyProtection="0"/>
    <xf numFmtId="0" fontId="33" fillId="18" borderId="0" applyNumberFormat="0" applyBorder="0" applyAlignment="0" applyProtection="0"/>
    <xf numFmtId="0" fontId="33" fillId="22" borderId="0" applyNumberFormat="0" applyBorder="0" applyAlignment="0" applyProtection="0"/>
    <xf numFmtId="0" fontId="33" fillId="26" borderId="0" applyNumberFormat="0" applyBorder="0" applyAlignment="0" applyProtection="0"/>
    <xf numFmtId="0" fontId="33" fillId="30" borderId="0" applyNumberFormat="0" applyBorder="0" applyAlignment="0" applyProtection="0"/>
    <xf numFmtId="0" fontId="33" fillId="34" borderId="0" applyNumberFormat="0" applyBorder="0" applyAlignment="0" applyProtection="0"/>
    <xf numFmtId="0" fontId="33" fillId="11" borderId="0" applyNumberFormat="0" applyBorder="0" applyAlignment="0" applyProtection="0"/>
    <xf numFmtId="0" fontId="33" fillId="15" borderId="0" applyNumberFormat="0" applyBorder="0" applyAlignment="0" applyProtection="0"/>
    <xf numFmtId="0" fontId="33" fillId="19" borderId="0" applyNumberFormat="0" applyBorder="0" applyAlignment="0" applyProtection="0"/>
    <xf numFmtId="0" fontId="33" fillId="23" borderId="0" applyNumberFormat="0" applyBorder="0" applyAlignment="0" applyProtection="0"/>
    <xf numFmtId="0" fontId="33" fillId="27" borderId="0" applyNumberFormat="0" applyBorder="0" applyAlignment="0" applyProtection="0"/>
    <xf numFmtId="0" fontId="33" fillId="31" borderId="0" applyNumberFormat="0" applyBorder="0" applyAlignment="0" applyProtection="0"/>
    <xf numFmtId="0" fontId="34" fillId="5" borderId="0" applyNumberFormat="0" applyBorder="0" applyAlignment="0" applyProtection="0"/>
    <xf numFmtId="0" fontId="35" fillId="8" borderId="27" applyNumberFormat="0" applyAlignment="0" applyProtection="0"/>
    <xf numFmtId="0" fontId="36" fillId="9" borderId="30" applyNumberFormat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/>
    <xf numFmtId="0" fontId="37" fillId="0" borderId="0" applyNumberFormat="0" applyFill="0" applyBorder="0" applyAlignment="0" applyProtection="0"/>
    <xf numFmtId="0" fontId="38" fillId="4" borderId="0" applyNumberFormat="0" applyBorder="0" applyAlignment="0" applyProtection="0"/>
    <xf numFmtId="38" fontId="26" fillId="35" borderId="0" applyNumberFormat="0" applyBorder="0" applyAlignment="0" applyProtection="0"/>
    <xf numFmtId="0" fontId="39" fillId="0" borderId="24" applyNumberFormat="0" applyFill="0" applyAlignment="0" applyProtection="0"/>
    <xf numFmtId="0" fontId="40" fillId="0" borderId="25" applyNumberFormat="0" applyFill="0" applyAlignment="0" applyProtection="0"/>
    <xf numFmtId="0" fontId="41" fillId="0" borderId="26" applyNumberFormat="0" applyFill="0" applyAlignment="0" applyProtection="0"/>
    <xf numFmtId="0" fontId="41" fillId="0" borderId="0" applyNumberFormat="0" applyFill="0" applyBorder="0" applyAlignment="0" applyProtection="0"/>
    <xf numFmtId="38" fontId="25" fillId="0" borderId="0"/>
    <xf numFmtId="40" fontId="25" fillId="0" borderId="0"/>
    <xf numFmtId="0" fontId="42" fillId="7" borderId="27" applyNumberFormat="0" applyAlignment="0" applyProtection="0"/>
    <xf numFmtId="10" fontId="26" fillId="36" borderId="5" applyNumberFormat="0" applyBorder="0" applyAlignment="0" applyProtection="0"/>
    <xf numFmtId="0" fontId="43" fillId="0" borderId="29" applyNumberFormat="0" applyFill="0" applyAlignment="0" applyProtection="0"/>
    <xf numFmtId="0" fontId="44" fillId="6" borderId="0" applyNumberFormat="0" applyBorder="0" applyAlignment="0" applyProtection="0"/>
    <xf numFmtId="175" fontId="27" fillId="0" borderId="0"/>
    <xf numFmtId="0" fontId="7" fillId="0" borderId="0"/>
    <xf numFmtId="0" fontId="32" fillId="0" borderId="0"/>
    <xf numFmtId="0" fontId="32" fillId="0" borderId="0"/>
    <xf numFmtId="0" fontId="14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4" fillId="10" borderId="31" applyNumberFormat="0" applyFont="0" applyAlignment="0" applyProtection="0"/>
    <xf numFmtId="0" fontId="24" fillId="10" borderId="31" applyNumberFormat="0" applyFont="0" applyAlignment="0" applyProtection="0"/>
    <xf numFmtId="0" fontId="24" fillId="10" borderId="31" applyNumberFormat="0" applyFont="0" applyAlignment="0" applyProtection="0"/>
    <xf numFmtId="0" fontId="24" fillId="10" borderId="31" applyNumberFormat="0" applyFont="0" applyAlignment="0" applyProtection="0"/>
    <xf numFmtId="0" fontId="24" fillId="10" borderId="31" applyNumberFormat="0" applyFont="0" applyAlignment="0" applyProtection="0"/>
    <xf numFmtId="0" fontId="24" fillId="10" borderId="31" applyNumberFormat="0" applyFont="0" applyAlignment="0" applyProtection="0"/>
    <xf numFmtId="0" fontId="24" fillId="10" borderId="31" applyNumberFormat="0" applyFont="0" applyAlignment="0" applyProtection="0"/>
    <xf numFmtId="0" fontId="24" fillId="10" borderId="31" applyNumberFormat="0" applyFont="0" applyAlignment="0" applyProtection="0"/>
    <xf numFmtId="0" fontId="24" fillId="10" borderId="31" applyNumberFormat="0" applyFont="0" applyAlignment="0" applyProtection="0"/>
    <xf numFmtId="0" fontId="24" fillId="10" borderId="31" applyNumberFormat="0" applyFont="0" applyAlignment="0" applyProtection="0"/>
    <xf numFmtId="0" fontId="24" fillId="10" borderId="31" applyNumberFormat="0" applyFont="0" applyAlignment="0" applyProtection="0"/>
    <xf numFmtId="0" fontId="24" fillId="10" borderId="31" applyNumberFormat="0" applyFont="0" applyAlignment="0" applyProtection="0"/>
    <xf numFmtId="0" fontId="24" fillId="10" borderId="31" applyNumberFormat="0" applyFont="0" applyAlignment="0" applyProtection="0"/>
    <xf numFmtId="0" fontId="24" fillId="10" borderId="31" applyNumberFormat="0" applyFont="0" applyAlignment="0" applyProtection="0"/>
    <xf numFmtId="0" fontId="24" fillId="10" borderId="31" applyNumberFormat="0" applyFont="0" applyAlignment="0" applyProtection="0"/>
    <xf numFmtId="0" fontId="24" fillId="10" borderId="31" applyNumberFormat="0" applyFont="0" applyAlignment="0" applyProtection="0"/>
    <xf numFmtId="0" fontId="24" fillId="10" borderId="31" applyNumberFormat="0" applyFont="0" applyAlignment="0" applyProtection="0"/>
    <xf numFmtId="0" fontId="24" fillId="10" borderId="31" applyNumberFormat="0" applyFont="0" applyAlignment="0" applyProtection="0"/>
    <xf numFmtId="0" fontId="24" fillId="10" borderId="31" applyNumberFormat="0" applyFont="0" applyAlignment="0" applyProtection="0"/>
    <xf numFmtId="0" fontId="24" fillId="10" borderId="31" applyNumberFormat="0" applyFont="0" applyAlignment="0" applyProtection="0"/>
    <xf numFmtId="0" fontId="45" fillId="8" borderId="28" applyNumberFormat="0" applyAlignment="0" applyProtection="0"/>
    <xf numFmtId="0" fontId="31" fillId="36" borderId="0">
      <alignment horizontal="right"/>
    </xf>
    <xf numFmtId="0" fontId="30" fillId="0" borderId="0" applyBorder="0">
      <alignment horizontal="centerContinuous"/>
    </xf>
    <xf numFmtId="0" fontId="29" fillId="0" borderId="0" applyBorder="0">
      <alignment horizontal="centerContinuous"/>
    </xf>
    <xf numFmtId="10" fontId="14" fillId="0" borderId="0" applyFont="0" applyFill="0" applyBorder="0" applyAlignment="0" applyProtection="0"/>
    <xf numFmtId="38" fontId="26" fillId="0" borderId="33"/>
    <xf numFmtId="38" fontId="25" fillId="0" borderId="2"/>
    <xf numFmtId="165" fontId="14" fillId="0" borderId="0">
      <alignment horizontal="left" wrapText="1"/>
    </xf>
    <xf numFmtId="0" fontId="46" fillId="0" borderId="32" applyNumberFormat="0" applyFill="0" applyAlignment="0" applyProtection="0"/>
    <xf numFmtId="0" fontId="47" fillId="0" borderId="0" applyNumberFormat="0" applyFill="0" applyBorder="0" applyAlignment="0" applyProtection="0"/>
    <xf numFmtId="37" fontId="48" fillId="0" borderId="0"/>
    <xf numFmtId="0" fontId="49" fillId="37" borderId="0">
      <alignment horizontal="left"/>
    </xf>
    <xf numFmtId="0" fontId="50" fillId="37" borderId="0">
      <alignment horizontal="right"/>
    </xf>
    <xf numFmtId="0" fontId="50" fillId="37" borderId="0">
      <alignment horizontal="center"/>
    </xf>
    <xf numFmtId="0" fontId="50" fillId="37" borderId="0">
      <alignment horizontal="right"/>
    </xf>
    <xf numFmtId="0" fontId="51" fillId="37" borderId="0">
      <alignment horizontal="left"/>
    </xf>
    <xf numFmtId="0" fontId="49" fillId="37" borderId="0">
      <alignment horizontal="left"/>
    </xf>
    <xf numFmtId="0" fontId="49" fillId="37" borderId="0">
      <alignment horizontal="left"/>
    </xf>
    <xf numFmtId="40" fontId="52" fillId="36" borderId="0">
      <alignment horizontal="right"/>
    </xf>
    <xf numFmtId="0" fontId="30" fillId="36" borderId="22"/>
    <xf numFmtId="0" fontId="49" fillId="37" borderId="0">
      <alignment horizontal="center"/>
    </xf>
    <xf numFmtId="49" fontId="53" fillId="37" borderId="0">
      <alignment horizontal="center"/>
    </xf>
    <xf numFmtId="0" fontId="50" fillId="37" borderId="0">
      <alignment horizontal="center"/>
    </xf>
    <xf numFmtId="0" fontId="50" fillId="37" borderId="0">
      <alignment horizontal="centerContinuous"/>
    </xf>
    <xf numFmtId="0" fontId="28" fillId="37" borderId="0">
      <alignment horizontal="left"/>
    </xf>
    <xf numFmtId="49" fontId="28" fillId="37" borderId="0">
      <alignment horizontal="center"/>
    </xf>
    <xf numFmtId="0" fontId="49" fillId="37" borderId="0">
      <alignment horizontal="left"/>
    </xf>
    <xf numFmtId="49" fontId="28" fillId="37" borderId="0">
      <alignment horizontal="left"/>
    </xf>
    <xf numFmtId="0" fontId="49" fillId="37" borderId="0">
      <alignment horizontal="centerContinuous"/>
    </xf>
    <xf numFmtId="0" fontId="49" fillId="37" borderId="0">
      <alignment horizontal="right"/>
    </xf>
    <xf numFmtId="49" fontId="49" fillId="37" borderId="0">
      <alignment horizontal="left"/>
    </xf>
    <xf numFmtId="0" fontId="50" fillId="37" borderId="0">
      <alignment horizontal="right"/>
    </xf>
    <xf numFmtId="0" fontId="28" fillId="38" borderId="0">
      <alignment horizontal="center"/>
    </xf>
    <xf numFmtId="0" fontId="54" fillId="38" borderId="0">
      <alignment horizontal="center"/>
    </xf>
    <xf numFmtId="0" fontId="55" fillId="37" borderId="0">
      <alignment horizontal="center"/>
    </xf>
    <xf numFmtId="43" fontId="56" fillId="0" borderId="0" applyFont="0" applyFill="0" applyBorder="0" applyAlignment="0" applyProtection="0"/>
    <xf numFmtId="0" fontId="18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7" fillId="0" borderId="0"/>
    <xf numFmtId="41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0" fontId="3" fillId="0" borderId="0"/>
    <xf numFmtId="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1" fillId="0" borderId="0"/>
    <xf numFmtId="0" fontId="18" fillId="0" borderId="0"/>
    <xf numFmtId="9" fontId="3" fillId="0" borderId="0" applyFont="0" applyFill="0" applyBorder="0" applyAlignment="0" applyProtection="0"/>
    <xf numFmtId="4" fontId="3" fillId="0" borderId="0" applyFont="0" applyFill="0" applyBorder="0" applyAlignment="0" applyProtection="0"/>
    <xf numFmtId="0" fontId="7" fillId="0" borderId="0"/>
    <xf numFmtId="0" fontId="1" fillId="0" borderId="0"/>
  </cellStyleXfs>
  <cellXfs count="268">
    <xf numFmtId="0" fontId="0" fillId="0" borderId="0" xfId="0"/>
    <xf numFmtId="4" fontId="4" fillId="0" borderId="0" xfId="0" applyNumberFormat="1" applyFont="1" applyFill="1" applyAlignment="1">
      <alignment horizontal="centerContinuous"/>
    </xf>
    <xf numFmtId="4" fontId="5" fillId="0" borderId="0" xfId="0" applyNumberFormat="1" applyFont="1" applyFill="1" applyAlignment="1">
      <alignment horizontal="centerContinuous"/>
    </xf>
    <xf numFmtId="0" fontId="5" fillId="0" borderId="0" xfId="0" applyFont="1" applyFill="1" applyAlignment="1">
      <alignment horizontal="centerContinuous"/>
    </xf>
    <xf numFmtId="4" fontId="5" fillId="0" borderId="0" xfId="0" applyNumberFormat="1" applyFont="1" applyFill="1"/>
    <xf numFmtId="4" fontId="5" fillId="0" borderId="0" xfId="0" applyNumberFormat="1" applyFont="1"/>
    <xf numFmtId="15" fontId="5" fillId="0" borderId="0" xfId="0" applyNumberFormat="1" applyFont="1" applyFill="1" applyAlignment="1">
      <alignment horizontal="centerContinuous"/>
    </xf>
    <xf numFmtId="4" fontId="6" fillId="0" borderId="0" xfId="0" applyNumberFormat="1" applyFont="1" applyFill="1" applyAlignment="1">
      <alignment horizontal="centerContinuous"/>
    </xf>
    <xf numFmtId="4" fontId="5" fillId="0" borderId="0" xfId="0" applyNumberFormat="1" applyFont="1" applyFill="1" applyAlignment="1"/>
    <xf numFmtId="4" fontId="5" fillId="0" borderId="0" xfId="0" applyNumberFormat="1" applyFont="1" applyFill="1" applyAlignment="1">
      <alignment horizontal="center"/>
    </xf>
    <xf numFmtId="4" fontId="5" fillId="0" borderId="0" xfId="0" applyNumberFormat="1" applyFont="1" applyFill="1" applyBorder="1"/>
    <xf numFmtId="4" fontId="5" fillId="0" borderId="0" xfId="0" applyNumberFormat="1" applyFont="1" applyFill="1" applyBorder="1" applyAlignment="1">
      <alignment horizontal="center"/>
    </xf>
    <xf numFmtId="164" fontId="5" fillId="0" borderId="1" xfId="0" applyNumberFormat="1" applyFont="1" applyFill="1" applyBorder="1" applyAlignment="1">
      <alignment horizontal="center"/>
    </xf>
    <xf numFmtId="164" fontId="5" fillId="0" borderId="0" xfId="0" applyNumberFormat="1" applyFont="1" applyFill="1" applyBorder="1" applyAlignment="1">
      <alignment horizontal="center"/>
    </xf>
    <xf numFmtId="0" fontId="5" fillId="0" borderId="0" xfId="0" applyFont="1" applyFill="1"/>
    <xf numFmtId="4" fontId="5" fillId="0" borderId="2" xfId="0" applyNumberFormat="1" applyFont="1" applyFill="1" applyBorder="1"/>
    <xf numFmtId="3" fontId="5" fillId="0" borderId="0" xfId="0" applyNumberFormat="1" applyFont="1" applyFill="1"/>
    <xf numFmtId="3" fontId="5" fillId="0" borderId="0" xfId="0" applyNumberFormat="1" applyFont="1" applyFill="1" applyBorder="1"/>
    <xf numFmtId="0" fontId="5" fillId="0" borderId="0" xfId="0" applyFont="1"/>
    <xf numFmtId="165" fontId="5" fillId="0" borderId="0" xfId="0" applyNumberFormat="1" applyFont="1" applyFill="1" applyBorder="1"/>
    <xf numFmtId="3" fontId="5" fillId="0" borderId="1" xfId="0" applyNumberFormat="1" applyFont="1" applyFill="1" applyBorder="1"/>
    <xf numFmtId="165" fontId="5" fillId="0" borderId="0" xfId="0" applyNumberFormat="1" applyFont="1" applyFill="1"/>
    <xf numFmtId="3" fontId="5" fillId="0" borderId="2" xfId="0" applyNumberFormat="1" applyFont="1" applyFill="1" applyBorder="1"/>
    <xf numFmtId="166" fontId="5" fillId="0" borderId="0" xfId="0" applyNumberFormat="1" applyFont="1" applyFill="1"/>
    <xf numFmtId="4" fontId="5" fillId="0" borderId="0" xfId="0" applyNumberFormat="1" applyFont="1" applyFill="1" applyAlignment="1">
      <alignment horizontal="right"/>
    </xf>
    <xf numFmtId="14" fontId="5" fillId="0" borderId="0" xfId="0" applyNumberFormat="1" applyFont="1" applyFill="1"/>
    <xf numFmtId="4" fontId="4" fillId="0" borderId="0" xfId="0" applyNumberFormat="1" applyFont="1" applyFill="1"/>
    <xf numFmtId="15" fontId="5" fillId="0" borderId="0" xfId="0" applyNumberFormat="1" applyFont="1" applyFill="1" applyAlignment="1">
      <alignment horizontal="left"/>
    </xf>
    <xf numFmtId="14" fontId="5" fillId="0" borderId="0" xfId="0" applyNumberFormat="1" applyFont="1" applyFill="1" applyAlignment="1">
      <alignment horizontal="right"/>
    </xf>
    <xf numFmtId="4" fontId="6" fillId="0" borderId="0" xfId="0" applyNumberFormat="1" applyFont="1" applyFill="1" applyAlignment="1">
      <alignment horizontal="center"/>
    </xf>
    <xf numFmtId="0" fontId="5" fillId="0" borderId="0" xfId="0" applyFont="1" applyFill="1" applyBorder="1"/>
    <xf numFmtId="0" fontId="5" fillId="0" borderId="0" xfId="0" applyFont="1" applyFill="1" applyAlignment="1">
      <alignment horizontal="center"/>
    </xf>
    <xf numFmtId="164" fontId="5" fillId="0" borderId="0" xfId="2" applyNumberFormat="1" applyFont="1" applyFill="1"/>
    <xf numFmtId="164" fontId="5" fillId="0" borderId="0" xfId="0" applyNumberFormat="1" applyFont="1" applyFill="1"/>
    <xf numFmtId="0" fontId="5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right"/>
    </xf>
    <xf numFmtId="164" fontId="5" fillId="0" borderId="0" xfId="0" applyNumberFormat="1" applyFont="1" applyFill="1" applyBorder="1"/>
    <xf numFmtId="0" fontId="4" fillId="0" borderId="0" xfId="0" applyFont="1" applyAlignment="1">
      <alignment horizontal="centerContinuous"/>
    </xf>
    <xf numFmtId="0" fontId="5" fillId="0" borderId="0" xfId="0" applyFont="1" applyAlignment="1">
      <alignment horizontal="centerContinuous"/>
    </xf>
    <xf numFmtId="0" fontId="10" fillId="0" borderId="0" xfId="0" applyFont="1"/>
    <xf numFmtId="4" fontId="11" fillId="0" borderId="0" xfId="0" applyNumberFormat="1" applyFont="1" applyAlignment="1">
      <alignment horizontal="centerContinuous"/>
    </xf>
    <xf numFmtId="0" fontId="6" fillId="0" borderId="0" xfId="0" applyFont="1"/>
    <xf numFmtId="0" fontId="12" fillId="0" borderId="0" xfId="0" applyFont="1"/>
    <xf numFmtId="3" fontId="5" fillId="0" borderId="0" xfId="0" applyNumberFormat="1" applyFont="1"/>
    <xf numFmtId="0" fontId="10" fillId="0" borderId="0" xfId="0" applyFont="1" applyFill="1"/>
    <xf numFmtId="3" fontId="5" fillId="0" borderId="0" xfId="0" applyNumberFormat="1" applyFont="1" applyBorder="1"/>
    <xf numFmtId="0" fontId="5" fillId="0" borderId="0" xfId="0" applyFont="1" applyBorder="1"/>
    <xf numFmtId="37" fontId="5" fillId="0" borderId="2" xfId="0" applyNumberFormat="1" applyFont="1" applyFill="1" applyBorder="1"/>
    <xf numFmtId="0" fontId="4" fillId="0" borderId="0" xfId="0" applyFont="1"/>
    <xf numFmtId="37" fontId="10" fillId="0" borderId="0" xfId="0" applyNumberFormat="1" applyFont="1" applyFill="1"/>
    <xf numFmtId="3" fontId="10" fillId="0" borderId="0" xfId="0" applyNumberFormat="1" applyFont="1"/>
    <xf numFmtId="37" fontId="5" fillId="0" borderId="0" xfId="1" applyNumberFormat="1" applyFont="1" applyFill="1" applyBorder="1"/>
    <xf numFmtId="4" fontId="4" fillId="0" borderId="0" xfId="0" applyNumberFormat="1" applyFont="1" applyAlignment="1">
      <alignment horizontal="right"/>
    </xf>
    <xf numFmtId="168" fontId="10" fillId="0" borderId="0" xfId="0" applyNumberFormat="1" applyFont="1" applyFill="1"/>
    <xf numFmtId="37" fontId="5" fillId="0" borderId="0" xfId="0" applyNumberFormat="1" applyFont="1" applyFill="1"/>
    <xf numFmtId="39" fontId="10" fillId="0" borderId="0" xfId="0" applyNumberFormat="1" applyFont="1"/>
    <xf numFmtId="4" fontId="10" fillId="0" borderId="0" xfId="1" applyFont="1" applyFill="1"/>
    <xf numFmtId="4" fontId="10" fillId="0" borderId="0" xfId="0" applyNumberFormat="1" applyFont="1"/>
    <xf numFmtId="37" fontId="5" fillId="0" borderId="0" xfId="0" applyNumberFormat="1" applyFont="1" applyFill="1" applyAlignment="1">
      <alignment horizontal="centerContinuous"/>
    </xf>
    <xf numFmtId="37" fontId="11" fillId="0" borderId="0" xfId="0" applyNumberFormat="1" applyFont="1" applyFill="1" applyAlignment="1">
      <alignment horizontal="center"/>
    </xf>
    <xf numFmtId="0" fontId="13" fillId="0" borderId="0" xfId="0" applyFont="1" applyFill="1"/>
    <xf numFmtId="37" fontId="5" fillId="0" borderId="1" xfId="0" applyNumberFormat="1" applyFont="1" applyFill="1" applyBorder="1"/>
    <xf numFmtId="37" fontId="5" fillId="0" borderId="3" xfId="0" applyNumberFormat="1" applyFont="1" applyFill="1" applyBorder="1"/>
    <xf numFmtId="3" fontId="5" fillId="0" borderId="3" xfId="0" applyNumberFormat="1" applyFont="1" applyFill="1" applyBorder="1"/>
    <xf numFmtId="3" fontId="5" fillId="0" borderId="4" xfId="0" applyNumberFormat="1" applyFont="1" applyFill="1" applyBorder="1"/>
    <xf numFmtId="37" fontId="0" fillId="0" borderId="0" xfId="1" applyNumberFormat="1" applyFont="1" applyFill="1"/>
    <xf numFmtId="3" fontId="5" fillId="0" borderId="7" xfId="0" applyNumberFormat="1" applyFont="1" applyFill="1" applyBorder="1"/>
    <xf numFmtId="0" fontId="5" fillId="0" borderId="0" xfId="20" applyNumberFormat="1" applyFont="1" applyAlignment="1">
      <alignment horizontal="left"/>
    </xf>
    <xf numFmtId="0" fontId="5" fillId="0" borderId="0" xfId="20" applyFont="1"/>
    <xf numFmtId="0" fontId="5" fillId="0" borderId="0" xfId="20" applyNumberFormat="1" applyFont="1" applyAlignment="1">
      <alignment horizontal="center"/>
    </xf>
    <xf numFmtId="0" fontId="4" fillId="0" borderId="0" xfId="20" applyNumberFormat="1" applyFont="1" applyAlignment="1">
      <alignment horizontal="center"/>
    </xf>
    <xf numFmtId="0" fontId="4" fillId="0" borderId="0" xfId="20" applyFont="1" applyAlignment="1">
      <alignment horizontal="center"/>
    </xf>
    <xf numFmtId="0" fontId="4" fillId="0" borderId="14" xfId="20" applyNumberFormat="1" applyFont="1" applyBorder="1" applyAlignment="1">
      <alignment horizontal="center"/>
    </xf>
    <xf numFmtId="0" fontId="4" fillId="0" borderId="16" xfId="20" applyFont="1" applyBorder="1" applyAlignment="1">
      <alignment horizontal="center"/>
    </xf>
    <xf numFmtId="0" fontId="4" fillId="0" borderId="2" xfId="20" applyFont="1" applyBorder="1" applyAlignment="1">
      <alignment horizontal="center"/>
    </xf>
    <xf numFmtId="0" fontId="4" fillId="0" borderId="15" xfId="20" applyNumberFormat="1" applyFont="1" applyBorder="1" applyAlignment="1">
      <alignment horizontal="center"/>
    </xf>
    <xf numFmtId="0" fontId="4" fillId="0" borderId="19" xfId="20" applyFont="1" applyBorder="1" applyAlignment="1">
      <alignment horizontal="center"/>
    </xf>
    <xf numFmtId="0" fontId="4" fillId="0" borderId="0" xfId="20" applyFont="1" applyBorder="1" applyAlignment="1">
      <alignment horizontal="center"/>
    </xf>
    <xf numFmtId="0" fontId="4" fillId="0" borderId="18" xfId="20" applyNumberFormat="1" applyFont="1" applyBorder="1" applyAlignment="1">
      <alignment horizontal="center"/>
    </xf>
    <xf numFmtId="0" fontId="4" fillId="0" borderId="1" xfId="20" applyFont="1" applyBorder="1" applyAlignment="1">
      <alignment horizontal="center"/>
    </xf>
    <xf numFmtId="37" fontId="5" fillId="0" borderId="0" xfId="20" applyNumberFormat="1" applyFont="1" applyAlignment="1">
      <alignment horizontal="center"/>
    </xf>
    <xf numFmtId="5" fontId="5" fillId="0" borderId="0" xfId="20" applyNumberFormat="1" applyFont="1"/>
    <xf numFmtId="37" fontId="5" fillId="0" borderId="0" xfId="20" applyNumberFormat="1" applyFont="1"/>
    <xf numFmtId="3" fontId="5" fillId="0" borderId="0" xfId="19" applyNumberFormat="1" applyFont="1" applyAlignment="1">
      <alignment horizontal="center"/>
    </xf>
    <xf numFmtId="1" fontId="5" fillId="0" borderId="0" xfId="19" applyNumberFormat="1" applyFont="1" applyAlignment="1">
      <alignment horizontal="center"/>
    </xf>
    <xf numFmtId="37" fontId="5" fillId="0" borderId="0" xfId="20" applyNumberFormat="1" applyFont="1" applyFill="1"/>
    <xf numFmtId="37" fontId="5" fillId="0" borderId="0" xfId="20" applyNumberFormat="1" applyFont="1" applyFill="1" applyAlignment="1">
      <alignment horizontal="center"/>
    </xf>
    <xf numFmtId="3" fontId="5" fillId="0" borderId="0" xfId="19" applyNumberFormat="1" applyFont="1" applyFill="1" applyAlignment="1">
      <alignment horizontal="center"/>
    </xf>
    <xf numFmtId="2" fontId="4" fillId="0" borderId="0" xfId="20" applyNumberFormat="1" applyFont="1" applyAlignment="1">
      <alignment horizontal="center"/>
    </xf>
    <xf numFmtId="2" fontId="5" fillId="0" borderId="0" xfId="20" applyNumberFormat="1" applyFont="1" applyAlignment="1">
      <alignment horizontal="left"/>
    </xf>
    <xf numFmtId="9" fontId="5" fillId="0" borderId="0" xfId="7" applyFont="1"/>
    <xf numFmtId="0" fontId="5" fillId="0" borderId="0" xfId="20" applyNumberFormat="1" applyFont="1" applyFill="1" applyBorder="1" applyAlignment="1">
      <alignment horizontal="center"/>
    </xf>
    <xf numFmtId="0" fontId="5" fillId="0" borderId="0" xfId="20" applyFont="1" applyFill="1" applyBorder="1"/>
    <xf numFmtId="37" fontId="5" fillId="0" borderId="0" xfId="20" applyNumberFormat="1" applyFont="1" applyFill="1" applyBorder="1" applyAlignment="1">
      <alignment horizontal="center"/>
    </xf>
    <xf numFmtId="38" fontId="5" fillId="0" borderId="1" xfId="20" applyNumberFormat="1" applyFont="1" applyBorder="1"/>
    <xf numFmtId="38" fontId="5" fillId="0" borderId="0" xfId="20" applyNumberFormat="1" applyFont="1"/>
    <xf numFmtId="38" fontId="5" fillId="0" borderId="23" xfId="20" applyNumberFormat="1" applyFont="1" applyBorder="1"/>
    <xf numFmtId="0" fontId="5" fillId="0" borderId="0" xfId="12" applyFont="1"/>
    <xf numFmtId="4" fontId="7" fillId="0" borderId="0" xfId="0" applyNumberFormat="1" applyFont="1" applyFill="1"/>
    <xf numFmtId="3" fontId="5" fillId="0" borderId="6" xfId="0" applyNumberFormat="1" applyFont="1" applyFill="1" applyBorder="1"/>
    <xf numFmtId="0" fontId="4" fillId="0" borderId="0" xfId="11" applyFont="1" applyAlignment="1">
      <alignment horizontal="center"/>
    </xf>
    <xf numFmtId="0" fontId="4" fillId="0" borderId="14" xfId="11" applyFont="1" applyBorder="1"/>
    <xf numFmtId="0" fontId="4" fillId="0" borderId="15" xfId="11" applyFont="1" applyBorder="1"/>
    <xf numFmtId="0" fontId="4" fillId="0" borderId="18" xfId="11" applyFont="1" applyBorder="1"/>
    <xf numFmtId="49" fontId="5" fillId="0" borderId="0" xfId="11" applyNumberFormat="1" applyFont="1" applyAlignment="1">
      <alignment horizontal="center"/>
    </xf>
    <xf numFmtId="38" fontId="5" fillId="0" borderId="0" xfId="11" applyNumberFormat="1" applyFont="1"/>
    <xf numFmtId="38" fontId="5" fillId="0" borderId="1" xfId="11" applyNumberFormat="1" applyFont="1" applyBorder="1"/>
    <xf numFmtId="37" fontId="5" fillId="0" borderId="0" xfId="29" applyNumberFormat="1" applyFont="1"/>
    <xf numFmtId="38" fontId="5" fillId="0" borderId="3" xfId="11" applyNumberFormat="1" applyFont="1" applyBorder="1"/>
    <xf numFmtId="0" fontId="5" fillId="0" borderId="0" xfId="29" applyFont="1"/>
    <xf numFmtId="41" fontId="5" fillId="0" borderId="0" xfId="29" applyNumberFormat="1" applyFont="1"/>
    <xf numFmtId="42" fontId="5" fillId="0" borderId="0" xfId="29" applyNumberFormat="1" applyFont="1"/>
    <xf numFmtId="41" fontId="5" fillId="0" borderId="1" xfId="29" applyNumberFormat="1" applyFont="1" applyBorder="1"/>
    <xf numFmtId="41" fontId="5" fillId="0" borderId="3" xfId="29" applyNumberFormat="1" applyFont="1" applyBorder="1"/>
    <xf numFmtId="41" fontId="5" fillId="0" borderId="0" xfId="29" applyNumberFormat="1" applyFont="1" applyBorder="1"/>
    <xf numFmtId="37" fontId="5" fillId="0" borderId="0" xfId="29" applyNumberFormat="1" applyFont="1" applyBorder="1"/>
    <xf numFmtId="5" fontId="4" fillId="0" borderId="0" xfId="29" applyNumberFormat="1" applyFont="1"/>
    <xf numFmtId="42" fontId="4" fillId="0" borderId="23" xfId="29" applyNumberFormat="1" applyFont="1" applyBorder="1"/>
    <xf numFmtId="38" fontId="5" fillId="0" borderId="0" xfId="11" applyNumberFormat="1" applyFont="1" applyFill="1" applyBorder="1"/>
    <xf numFmtId="38" fontId="5" fillId="0" borderId="0" xfId="11" applyNumberFormat="1" applyFont="1" applyBorder="1"/>
    <xf numFmtId="4" fontId="13" fillId="0" borderId="0" xfId="0" applyNumberFormat="1" applyFont="1" applyFill="1"/>
    <xf numFmtId="167" fontId="10" fillId="0" borderId="0" xfId="0" applyNumberFormat="1" applyFont="1" applyAlignment="1">
      <alignment horizontal="center"/>
    </xf>
    <xf numFmtId="0" fontId="13" fillId="0" borderId="0" xfId="0" applyFont="1"/>
    <xf numFmtId="0" fontId="4" fillId="0" borderId="0" xfId="4" applyFont="1" applyFill="1"/>
    <xf numFmtId="0" fontId="4" fillId="0" borderId="0" xfId="4" applyNumberFormat="1" applyFont="1" applyFill="1"/>
    <xf numFmtId="0" fontId="4" fillId="0" borderId="1" xfId="4" applyFont="1" applyFill="1" applyBorder="1"/>
    <xf numFmtId="0" fontId="5" fillId="0" borderId="0" xfId="4" applyFont="1" applyFill="1"/>
    <xf numFmtId="0" fontId="5" fillId="0" borderId="0" xfId="4" applyFont="1" applyFill="1" applyAlignment="1">
      <alignment horizontal="center" wrapText="1"/>
    </xf>
    <xf numFmtId="168" fontId="5" fillId="0" borderId="0" xfId="5" applyNumberFormat="1" applyFont="1" applyFill="1"/>
    <xf numFmtId="168" fontId="5" fillId="0" borderId="0" xfId="4" applyNumberFormat="1" applyFont="1" applyFill="1"/>
    <xf numFmtId="168" fontId="5" fillId="0" borderId="1" xfId="4" applyNumberFormat="1" applyFont="1" applyFill="1" applyBorder="1"/>
    <xf numFmtId="0" fontId="5" fillId="0" borderId="1" xfId="4" applyFont="1" applyFill="1" applyBorder="1"/>
    <xf numFmtId="0" fontId="5" fillId="0" borderId="0" xfId="4" applyFont="1" applyFill="1" applyBorder="1"/>
    <xf numFmtId="170" fontId="5" fillId="0" borderId="0" xfId="6" applyNumberFormat="1" applyFont="1" applyFill="1"/>
    <xf numFmtId="170" fontId="5" fillId="0" borderId="0" xfId="4" applyNumberFormat="1" applyFont="1" applyFill="1"/>
    <xf numFmtId="170" fontId="5" fillId="0" borderId="1" xfId="6" applyNumberFormat="1" applyFont="1" applyFill="1" applyBorder="1"/>
    <xf numFmtId="170" fontId="5" fillId="0" borderId="0" xfId="6" applyNumberFormat="1" applyFont="1" applyFill="1" applyBorder="1"/>
    <xf numFmtId="170" fontId="4" fillId="0" borderId="0" xfId="6" applyNumberFormat="1" applyFont="1" applyFill="1"/>
    <xf numFmtId="165" fontId="5" fillId="0" borderId="1" xfId="4" applyNumberFormat="1" applyFont="1" applyFill="1" applyBorder="1"/>
    <xf numFmtId="165" fontId="5" fillId="0" borderId="0" xfId="4" applyNumberFormat="1" applyFont="1" applyFill="1" applyBorder="1"/>
    <xf numFmtId="170" fontId="5" fillId="0" borderId="2" xfId="6" applyNumberFormat="1" applyFont="1" applyFill="1" applyBorder="1"/>
    <xf numFmtId="170" fontId="4" fillId="0" borderId="0" xfId="6" applyNumberFormat="1" applyFont="1" applyFill="1" applyBorder="1"/>
    <xf numFmtId="0" fontId="57" fillId="0" borderId="1" xfId="4" applyFont="1" applyFill="1" applyBorder="1"/>
    <xf numFmtId="3" fontId="5" fillId="0" borderId="0" xfId="4" applyNumberFormat="1" applyFont="1" applyFill="1"/>
    <xf numFmtId="169" fontId="5" fillId="0" borderId="1" xfId="4" applyNumberFormat="1" applyFont="1" applyFill="1" applyBorder="1"/>
    <xf numFmtId="0" fontId="5" fillId="0" borderId="0" xfId="4" applyFont="1" applyFill="1" applyAlignment="1">
      <alignment wrapText="1"/>
    </xf>
    <xf numFmtId="0" fontId="5" fillId="0" borderId="0" xfId="4" applyFont="1" applyFill="1" applyBorder="1" applyAlignment="1">
      <alignment wrapText="1"/>
    </xf>
    <xf numFmtId="0" fontId="4" fillId="0" borderId="5" xfId="4" applyFont="1" applyFill="1" applyBorder="1" applyAlignment="1">
      <alignment horizontal="center" wrapText="1"/>
    </xf>
    <xf numFmtId="0" fontId="5" fillId="0" borderId="14" xfId="4" applyFont="1" applyFill="1" applyBorder="1" applyAlignment="1">
      <alignment horizontal="center" wrapText="1"/>
    </xf>
    <xf numFmtId="0" fontId="5" fillId="0" borderId="15" xfId="4" applyFont="1" applyFill="1" applyBorder="1" applyAlignment="1">
      <alignment horizontal="center" wrapText="1"/>
    </xf>
    <xf numFmtId="0" fontId="4" fillId="0" borderId="0" xfId="4" applyFont="1" applyFill="1" applyAlignment="1">
      <alignment horizontal="center" wrapText="1"/>
    </xf>
    <xf numFmtId="0" fontId="4" fillId="0" borderId="15" xfId="4" applyFont="1" applyFill="1" applyBorder="1" applyAlignment="1">
      <alignment horizontal="center" wrapText="1"/>
    </xf>
    <xf numFmtId="0" fontId="5" fillId="0" borderId="16" xfId="4" applyFont="1" applyFill="1" applyBorder="1" applyAlignment="1">
      <alignment horizontal="center" wrapText="1"/>
    </xf>
    <xf numFmtId="0" fontId="4" fillId="0" borderId="17" xfId="4" applyFont="1" applyFill="1" applyBorder="1" applyAlignment="1">
      <alignment wrapText="1"/>
    </xf>
    <xf numFmtId="0" fontId="4" fillId="0" borderId="18" xfId="4" applyFont="1" applyFill="1" applyBorder="1" applyAlignment="1">
      <alignment wrapText="1"/>
    </xf>
    <xf numFmtId="0" fontId="4" fillId="0" borderId="19" xfId="4" applyFont="1" applyFill="1" applyBorder="1" applyAlignment="1">
      <alignment wrapText="1"/>
    </xf>
    <xf numFmtId="0" fontId="4" fillId="0" borderId="18" xfId="4" applyFont="1" applyFill="1" applyBorder="1" applyAlignment="1">
      <alignment horizontal="center" wrapText="1"/>
    </xf>
    <xf numFmtId="0" fontId="11" fillId="0" borderId="19" xfId="4" applyFont="1" applyFill="1" applyBorder="1" applyAlignment="1">
      <alignment wrapText="1"/>
    </xf>
    <xf numFmtId="0" fontId="5" fillId="0" borderId="15" xfId="4" applyFont="1" applyFill="1" applyBorder="1" applyAlignment="1">
      <alignment wrapText="1"/>
    </xf>
    <xf numFmtId="3" fontId="4" fillId="0" borderId="15" xfId="4" applyNumberFormat="1" applyFont="1" applyFill="1" applyBorder="1" applyAlignment="1">
      <alignment horizontal="right" wrapText="1"/>
    </xf>
    <xf numFmtId="3" fontId="5" fillId="0" borderId="15" xfId="4" applyNumberFormat="1" applyFont="1" applyFill="1" applyBorder="1" applyAlignment="1">
      <alignment horizontal="right" wrapText="1"/>
    </xf>
    <xf numFmtId="3" fontId="5" fillId="0" borderId="18" xfId="4" applyNumberFormat="1" applyFont="1" applyFill="1" applyBorder="1" applyAlignment="1">
      <alignment horizontal="right" wrapText="1"/>
    </xf>
    <xf numFmtId="171" fontId="4" fillId="0" borderId="15" xfId="4" applyNumberFormat="1" applyFont="1" applyFill="1" applyBorder="1" applyAlignment="1">
      <alignment horizontal="right" wrapText="1"/>
    </xf>
    <xf numFmtId="171" fontId="4" fillId="0" borderId="18" xfId="4" applyNumberFormat="1" applyFont="1" applyFill="1" applyBorder="1" applyAlignment="1">
      <alignment horizontal="right" wrapText="1"/>
    </xf>
    <xf numFmtId="3" fontId="4" fillId="0" borderId="18" xfId="4" applyNumberFormat="1" applyFont="1" applyFill="1" applyBorder="1" applyAlignment="1">
      <alignment horizontal="right" wrapText="1"/>
    </xf>
    <xf numFmtId="172" fontId="4" fillId="0" borderId="7" xfId="4" applyNumberFormat="1" applyFont="1" applyFill="1" applyBorder="1" applyAlignment="1">
      <alignment horizontal="right" wrapText="1"/>
    </xf>
    <xf numFmtId="3" fontId="4" fillId="0" borderId="14" xfId="4" applyNumberFormat="1" applyFont="1" applyFill="1" applyBorder="1" applyAlignment="1">
      <alignment horizontal="right" wrapText="1"/>
    </xf>
    <xf numFmtId="169" fontId="4" fillId="0" borderId="7" xfId="4" applyNumberFormat="1" applyFont="1" applyFill="1" applyBorder="1" applyAlignment="1">
      <alignment horizontal="right" wrapText="1"/>
    </xf>
    <xf numFmtId="0" fontId="4" fillId="0" borderId="15" xfId="4" applyFont="1" applyFill="1" applyBorder="1" applyAlignment="1">
      <alignment horizontal="right" wrapText="1"/>
    </xf>
    <xf numFmtId="3" fontId="4" fillId="0" borderId="20" xfId="4" applyNumberFormat="1" applyFont="1" applyFill="1" applyBorder="1" applyAlignment="1">
      <alignment wrapText="1"/>
    </xf>
    <xf numFmtId="0" fontId="5" fillId="0" borderId="1" xfId="4" applyFont="1" applyFill="1" applyBorder="1" applyAlignment="1">
      <alignment wrapText="1"/>
    </xf>
    <xf numFmtId="0" fontId="4" fillId="0" borderId="14" xfId="4" applyFont="1" applyFill="1" applyBorder="1" applyAlignment="1">
      <alignment wrapText="1"/>
    </xf>
    <xf numFmtId="0" fontId="5" fillId="0" borderId="14" xfId="4" applyFont="1" applyFill="1" applyBorder="1" applyAlignment="1">
      <alignment wrapText="1"/>
    </xf>
    <xf numFmtId="0" fontId="4" fillId="0" borderId="15" xfId="4" applyFont="1" applyFill="1" applyBorder="1" applyAlignment="1">
      <alignment wrapText="1"/>
    </xf>
    <xf numFmtId="0" fontId="11" fillId="0" borderId="15" xfId="4" applyFont="1" applyFill="1" applyBorder="1" applyAlignment="1">
      <alignment wrapText="1"/>
    </xf>
    <xf numFmtId="173" fontId="4" fillId="0" borderId="18" xfId="4" applyNumberFormat="1" applyFont="1" applyFill="1" applyBorder="1" applyAlignment="1">
      <alignment horizontal="right" wrapText="1"/>
    </xf>
    <xf numFmtId="2" fontId="4" fillId="0" borderId="18" xfId="4" applyNumberFormat="1" applyFont="1" applyFill="1" applyBorder="1" applyAlignment="1">
      <alignment horizontal="right" wrapText="1"/>
    </xf>
    <xf numFmtId="169" fontId="4" fillId="0" borderId="18" xfId="4" applyNumberFormat="1" applyFont="1" applyFill="1" applyBorder="1" applyAlignment="1">
      <alignment horizontal="right" wrapText="1"/>
    </xf>
    <xf numFmtId="0" fontId="4" fillId="0" borderId="0" xfId="4" applyFont="1" applyFill="1" applyAlignment="1">
      <alignment wrapText="1"/>
    </xf>
    <xf numFmtId="0" fontId="4" fillId="0" borderId="15" xfId="4" applyFont="1" applyFill="1" applyBorder="1" applyAlignment="1">
      <alignment horizontal="left" wrapText="1"/>
    </xf>
    <xf numFmtId="3" fontId="4" fillId="0" borderId="5" xfId="4" applyNumberFormat="1" applyFont="1" applyFill="1" applyBorder="1" applyAlignment="1">
      <alignment wrapText="1"/>
    </xf>
    <xf numFmtId="2" fontId="4" fillId="0" borderId="15" xfId="4" applyNumberFormat="1" applyFont="1" applyFill="1" applyBorder="1" applyAlignment="1">
      <alignment horizontal="right" wrapText="1"/>
    </xf>
    <xf numFmtId="0" fontId="4" fillId="0" borderId="15" xfId="4" quotePrefix="1" applyFont="1" applyFill="1" applyBorder="1" applyAlignment="1">
      <alignment horizontal="left" wrapText="1"/>
    </xf>
    <xf numFmtId="165" fontId="4" fillId="0" borderId="18" xfId="4" applyNumberFormat="1" applyFont="1" applyFill="1" applyBorder="1" applyAlignment="1">
      <alignment horizontal="right" wrapText="1"/>
    </xf>
    <xf numFmtId="0" fontId="4" fillId="0" borderId="0" xfId="4" applyFont="1" applyFill="1" applyBorder="1" applyAlignment="1">
      <alignment wrapText="1"/>
    </xf>
    <xf numFmtId="3" fontId="5" fillId="0" borderId="0" xfId="4" applyNumberFormat="1" applyFont="1" applyFill="1" applyBorder="1" applyAlignment="1">
      <alignment horizontal="center" wrapText="1"/>
    </xf>
    <xf numFmtId="0" fontId="4" fillId="0" borderId="16" xfId="4" applyFont="1" applyFill="1" applyBorder="1" applyAlignment="1">
      <alignment wrapText="1"/>
    </xf>
    <xf numFmtId="174" fontId="4" fillId="0" borderId="18" xfId="4" applyNumberFormat="1" applyFont="1" applyFill="1" applyBorder="1" applyAlignment="1">
      <alignment horizontal="right" wrapText="1"/>
    </xf>
    <xf numFmtId="3" fontId="4" fillId="0" borderId="18" xfId="4" applyNumberFormat="1" applyFont="1" applyFill="1" applyBorder="1" applyAlignment="1">
      <alignment wrapText="1"/>
    </xf>
    <xf numFmtId="0" fontId="11" fillId="0" borderId="14" xfId="4" applyFont="1" applyFill="1" applyBorder="1" applyAlignment="1">
      <alignment wrapText="1"/>
    </xf>
    <xf numFmtId="3" fontId="4" fillId="0" borderId="15" xfId="8" applyNumberFormat="1" applyFont="1" applyFill="1" applyBorder="1" applyAlignment="1">
      <alignment wrapText="1"/>
    </xf>
    <xf numFmtId="10" fontId="4" fillId="0" borderId="18" xfId="9" applyNumberFormat="1" applyFont="1" applyFill="1" applyBorder="1" applyAlignment="1">
      <alignment horizontal="center" wrapText="1"/>
    </xf>
    <xf numFmtId="1" fontId="4" fillId="0" borderId="5" xfId="9" applyNumberFormat="1" applyFont="1" applyFill="1" applyBorder="1" applyAlignment="1">
      <alignment wrapText="1"/>
    </xf>
    <xf numFmtId="0" fontId="4" fillId="0" borderId="5" xfId="4" applyFont="1" applyFill="1" applyBorder="1" applyAlignment="1">
      <alignment wrapText="1"/>
    </xf>
    <xf numFmtId="9" fontId="4" fillId="0" borderId="5" xfId="9" applyFont="1" applyFill="1" applyBorder="1" applyAlignment="1">
      <alignment wrapText="1"/>
    </xf>
    <xf numFmtId="9" fontId="4" fillId="0" borderId="18" xfId="9" applyFont="1" applyFill="1" applyBorder="1" applyAlignment="1">
      <alignment wrapText="1"/>
    </xf>
    <xf numFmtId="3" fontId="5" fillId="0" borderId="15" xfId="4" applyNumberFormat="1" applyFont="1" applyFill="1" applyBorder="1" applyAlignment="1">
      <alignment horizontal="center" wrapText="1"/>
    </xf>
    <xf numFmtId="171" fontId="4" fillId="0" borderId="18" xfId="9" applyNumberFormat="1" applyFont="1" applyFill="1" applyBorder="1" applyAlignment="1">
      <alignment horizontal="right" wrapText="1"/>
    </xf>
    <xf numFmtId="0" fontId="58" fillId="0" borderId="15" xfId="4" applyFont="1" applyFill="1" applyBorder="1" applyAlignment="1">
      <alignment wrapText="1"/>
    </xf>
    <xf numFmtId="10" fontId="4" fillId="0" borderId="15" xfId="4" applyNumberFormat="1" applyFont="1" applyFill="1" applyBorder="1" applyAlignment="1">
      <alignment horizontal="right" wrapText="1"/>
    </xf>
    <xf numFmtId="172" fontId="4" fillId="0" borderId="18" xfId="4" applyNumberFormat="1" applyFont="1" applyFill="1" applyBorder="1" applyAlignment="1">
      <alignment horizontal="right" wrapText="1"/>
    </xf>
    <xf numFmtId="0" fontId="5" fillId="0" borderId="16" xfId="4" applyFont="1" applyFill="1" applyBorder="1" applyAlignment="1">
      <alignment wrapText="1"/>
    </xf>
    <xf numFmtId="0" fontId="5" fillId="0" borderId="2" xfId="4" applyFont="1" applyFill="1" applyBorder="1" applyAlignment="1">
      <alignment wrapText="1"/>
    </xf>
    <xf numFmtId="0" fontId="4" fillId="0" borderId="14" xfId="4" applyFont="1" applyFill="1" applyBorder="1" applyAlignment="1">
      <alignment horizontal="center" wrapText="1"/>
    </xf>
    <xf numFmtId="0" fontId="4" fillId="0" borderId="19" xfId="4" applyFont="1" applyFill="1" applyBorder="1" applyAlignment="1">
      <alignment horizontal="left" wrapText="1"/>
    </xf>
    <xf numFmtId="3" fontId="4" fillId="0" borderId="15" xfId="4" applyNumberFormat="1" applyFont="1" applyFill="1" applyBorder="1" applyAlignment="1">
      <alignment wrapText="1"/>
    </xf>
    <xf numFmtId="0" fontId="4" fillId="0" borderId="19" xfId="4" quotePrefix="1" applyFont="1" applyFill="1" applyBorder="1" applyAlignment="1">
      <alignment horizontal="left" wrapText="1"/>
    </xf>
    <xf numFmtId="171" fontId="4" fillId="0" borderId="21" xfId="9" applyNumberFormat="1" applyFont="1" applyFill="1" applyBorder="1" applyAlignment="1">
      <alignment wrapText="1"/>
    </xf>
    <xf numFmtId="0" fontId="10" fillId="0" borderId="0" xfId="12" applyFont="1"/>
    <xf numFmtId="0" fontId="7" fillId="0" borderId="0" xfId="11" applyFont="1"/>
    <xf numFmtId="0" fontId="7" fillId="0" borderId="21" xfId="11" applyFont="1" applyBorder="1"/>
    <xf numFmtId="0" fontId="10" fillId="0" borderId="3" xfId="0" applyFont="1" applyBorder="1"/>
    <xf numFmtId="0" fontId="10" fillId="0" borderId="0" xfId="12" applyFont="1" applyFill="1" applyBorder="1"/>
    <xf numFmtId="0" fontId="5" fillId="2" borderId="0" xfId="0" applyFont="1" applyFill="1" applyBorder="1"/>
    <xf numFmtId="0" fontId="5" fillId="2" borderId="0" xfId="0" applyFont="1" applyFill="1" applyBorder="1" applyAlignment="1">
      <alignment wrapText="1"/>
    </xf>
    <xf numFmtId="0" fontId="6" fillId="2" borderId="0" xfId="0" applyFont="1" applyFill="1" applyBorder="1" applyAlignment="1"/>
    <xf numFmtId="0" fontId="6" fillId="2" borderId="0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 wrapText="1"/>
    </xf>
    <xf numFmtId="170" fontId="5" fillId="2" borderId="0" xfId="10" applyNumberFormat="1" applyFont="1" applyFill="1" applyBorder="1"/>
    <xf numFmtId="44" fontId="5" fillId="2" borderId="0" xfId="0" applyNumberFormat="1" applyFont="1" applyFill="1" applyBorder="1"/>
    <xf numFmtId="170" fontId="5" fillId="0" borderId="0" xfId="10" applyNumberFormat="1" applyFont="1"/>
    <xf numFmtId="170" fontId="5" fillId="0" borderId="0" xfId="0" applyNumberFormat="1" applyFont="1"/>
    <xf numFmtId="14" fontId="5" fillId="0" borderId="0" xfId="0" applyNumberFormat="1" applyFont="1"/>
    <xf numFmtId="0" fontId="5" fillId="0" borderId="0" xfId="0" applyFont="1" applyAlignment="1">
      <alignment wrapText="1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wrapText="1"/>
    </xf>
    <xf numFmtId="4" fontId="5" fillId="0" borderId="18" xfId="0" applyNumberFormat="1" applyFont="1" applyBorder="1"/>
    <xf numFmtId="4" fontId="5" fillId="0" borderId="18" xfId="0" applyNumberFormat="1" applyFont="1" applyFill="1" applyBorder="1"/>
    <xf numFmtId="0" fontId="10" fillId="0" borderId="18" xfId="0" applyFont="1" applyBorder="1"/>
    <xf numFmtId="0" fontId="5" fillId="0" borderId="18" xfId="0" applyFont="1" applyBorder="1"/>
    <xf numFmtId="4" fontId="5" fillId="0" borderId="0" xfId="0" applyNumberFormat="1" applyFont="1" applyBorder="1"/>
    <xf numFmtId="0" fontId="10" fillId="0" borderId="0" xfId="0" applyFont="1" applyBorder="1"/>
    <xf numFmtId="4" fontId="5" fillId="0" borderId="2" xfId="0" applyNumberFormat="1" applyFont="1" applyBorder="1"/>
    <xf numFmtId="0" fontId="10" fillId="0" borderId="2" xfId="0" applyFont="1" applyBorder="1"/>
    <xf numFmtId="0" fontId="5" fillId="0" borderId="2" xfId="0" applyFont="1" applyBorder="1"/>
    <xf numFmtId="4" fontId="5" fillId="0" borderId="23" xfId="0" applyNumberFormat="1" applyFont="1" applyBorder="1"/>
    <xf numFmtId="4" fontId="5" fillId="0" borderId="23" xfId="0" applyNumberFormat="1" applyFont="1" applyFill="1" applyBorder="1"/>
    <xf numFmtId="0" fontId="10" fillId="0" borderId="23" xfId="0" applyFont="1" applyBorder="1"/>
    <xf numFmtId="0" fontId="5" fillId="0" borderId="23" xfId="0" applyFont="1" applyBorder="1"/>
    <xf numFmtId="4" fontId="5" fillId="0" borderId="5" xfId="0" applyNumberFormat="1" applyFont="1" applyBorder="1"/>
    <xf numFmtId="4" fontId="5" fillId="0" borderId="5" xfId="0" applyNumberFormat="1" applyFont="1" applyFill="1" applyBorder="1"/>
    <xf numFmtId="0" fontId="10" fillId="0" borderId="5" xfId="0" applyFont="1" applyBorder="1"/>
    <xf numFmtId="0" fontId="5" fillId="0" borderId="5" xfId="0" applyFont="1" applyBorder="1"/>
    <xf numFmtId="3" fontId="4" fillId="0" borderId="0" xfId="4" applyNumberFormat="1" applyFont="1" applyFill="1" applyBorder="1" applyAlignment="1">
      <alignment horizontal="center" wrapText="1"/>
    </xf>
    <xf numFmtId="0" fontId="4" fillId="0" borderId="0" xfId="4" applyFont="1" applyFill="1" applyBorder="1" applyAlignment="1">
      <alignment horizontal="center" wrapText="1"/>
    </xf>
    <xf numFmtId="3" fontId="4" fillId="0" borderId="0" xfId="4" applyNumberFormat="1" applyFont="1" applyFill="1" applyBorder="1" applyAlignment="1">
      <alignment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/>
    <xf numFmtId="0" fontId="5" fillId="0" borderId="0" xfId="0" applyFont="1" applyAlignment="1">
      <alignment wrapText="1"/>
    </xf>
    <xf numFmtId="4" fontId="5" fillId="0" borderId="0" xfId="0" applyNumberFormat="1" applyFont="1" applyAlignment="1">
      <alignment wrapText="1"/>
    </xf>
    <xf numFmtId="0" fontId="0" fillId="0" borderId="0" xfId="0" applyFont="1" applyAlignment="1">
      <alignment wrapText="1"/>
    </xf>
    <xf numFmtId="0" fontId="4" fillId="0" borderId="8" xfId="4" applyFont="1" applyFill="1" applyBorder="1" applyAlignment="1">
      <alignment horizontal="center"/>
    </xf>
    <xf numFmtId="0" fontId="4" fillId="0" borderId="9" xfId="4" applyFont="1" applyFill="1" applyBorder="1" applyAlignment="1">
      <alignment horizontal="center"/>
    </xf>
    <xf numFmtId="0" fontId="5" fillId="0" borderId="12" xfId="4" applyFont="1" applyFill="1" applyBorder="1" applyAlignment="1">
      <alignment horizontal="center"/>
    </xf>
    <xf numFmtId="0" fontId="5" fillId="0" borderId="13" xfId="4" applyFont="1" applyFill="1" applyBorder="1" applyAlignment="1">
      <alignment horizontal="center"/>
    </xf>
    <xf numFmtId="168" fontId="5" fillId="39" borderId="0" xfId="5" applyNumberFormat="1" applyFont="1" applyFill="1"/>
    <xf numFmtId="3" fontId="5" fillId="39" borderId="0" xfId="4" applyNumberFormat="1" applyFont="1" applyFill="1"/>
    <xf numFmtId="168" fontId="5" fillId="39" borderId="1" xfId="5" applyNumberFormat="1" applyFont="1" applyFill="1" applyBorder="1"/>
    <xf numFmtId="3" fontId="5" fillId="39" borderId="1" xfId="4" applyNumberFormat="1" applyFont="1" applyFill="1" applyBorder="1"/>
    <xf numFmtId="169" fontId="5" fillId="39" borderId="0" xfId="4" applyNumberFormat="1" applyFont="1" applyFill="1" applyBorder="1"/>
    <xf numFmtId="170" fontId="5" fillId="39" borderId="10" xfId="6" applyNumberFormat="1" applyFont="1" applyFill="1" applyBorder="1"/>
    <xf numFmtId="170" fontId="5" fillId="39" borderId="11" xfId="6" applyNumberFormat="1" applyFont="1" applyFill="1" applyBorder="1"/>
    <xf numFmtId="0" fontId="5" fillId="39" borderId="0" xfId="4" applyFont="1" applyFill="1"/>
    <xf numFmtId="170" fontId="5" fillId="39" borderId="0" xfId="6" applyNumberFormat="1" applyFont="1" applyFill="1"/>
    <xf numFmtId="169" fontId="5" fillId="39" borderId="1" xfId="4" applyNumberFormat="1" applyFont="1" applyFill="1" applyBorder="1"/>
    <xf numFmtId="165" fontId="5" fillId="39" borderId="1" xfId="4" applyNumberFormat="1" applyFont="1" applyFill="1" applyBorder="1"/>
    <xf numFmtId="170" fontId="5" fillId="39" borderId="0" xfId="6" applyNumberFormat="1" applyFont="1" applyFill="1" applyBorder="1"/>
    <xf numFmtId="170" fontId="5" fillId="39" borderId="0" xfId="4" applyNumberFormat="1" applyFont="1" applyFill="1"/>
  </cellXfs>
  <cellStyles count="200">
    <cellStyle name="20% - Accent1 2" xfId="47"/>
    <cellStyle name="20% - Accent1 3" xfId="41"/>
    <cellStyle name="20% - Accent1 4" xfId="37"/>
    <cellStyle name="20% - Accent2 2" xfId="26"/>
    <cellStyle name="20% - Accent2 3" xfId="28"/>
    <cellStyle name="20% - Accent2 4" xfId="43"/>
    <cellStyle name="20% - Accent3 2" xfId="44"/>
    <cellStyle name="20% - Accent3 3" xfId="46"/>
    <cellStyle name="20% - Accent3 4" xfId="38"/>
    <cellStyle name="20% - Accent4 2" xfId="27"/>
    <cellStyle name="20% - Accent4 3" xfId="39"/>
    <cellStyle name="20% - Accent4 4" xfId="40"/>
    <cellStyle name="20% - Accent5 2" xfId="35"/>
    <cellStyle name="20% - Accent5 3" xfId="42"/>
    <cellStyle name="20% - Accent5 4" xfId="36"/>
    <cellStyle name="20% - Accent6 2" xfId="34"/>
    <cellStyle name="20% - Accent6 3" xfId="48"/>
    <cellStyle name="20% - Accent6 4" xfId="45"/>
    <cellStyle name="40% - Accent1 2" xfId="50"/>
    <cellStyle name="40% - Accent1 3" xfId="51"/>
    <cellStyle name="40% - Accent1 4" xfId="49"/>
    <cellStyle name="40% - Accent2 2" xfId="53"/>
    <cellStyle name="40% - Accent2 3" xfId="54"/>
    <cellStyle name="40% - Accent2 4" xfId="52"/>
    <cellStyle name="40% - Accent3 2" xfId="56"/>
    <cellStyle name="40% - Accent3 3" xfId="57"/>
    <cellStyle name="40% - Accent3 4" xfId="55"/>
    <cellStyle name="40% - Accent4 2" xfId="59"/>
    <cellStyle name="40% - Accent4 3" xfId="60"/>
    <cellStyle name="40% - Accent4 4" xfId="58"/>
    <cellStyle name="40% - Accent5 2" xfId="62"/>
    <cellStyle name="40% - Accent5 3" xfId="63"/>
    <cellStyle name="40% - Accent5 4" xfId="61"/>
    <cellStyle name="40% - Accent6 2" xfId="65"/>
    <cellStyle name="40% - Accent6 3" xfId="66"/>
    <cellStyle name="40% - Accent6 4" xfId="64"/>
    <cellStyle name="60% - Accent1 2" xfId="67"/>
    <cellStyle name="60% - Accent2 2" xfId="68"/>
    <cellStyle name="60% - Accent3 2" xfId="69"/>
    <cellStyle name="60% - Accent4 2" xfId="70"/>
    <cellStyle name="60% - Accent5 2" xfId="71"/>
    <cellStyle name="60% - Accent6 2" xfId="72"/>
    <cellStyle name="Accent1 2" xfId="73"/>
    <cellStyle name="Accent2 2" xfId="74"/>
    <cellStyle name="Accent3 2" xfId="75"/>
    <cellStyle name="Accent4 2" xfId="76"/>
    <cellStyle name="Accent5 2" xfId="77"/>
    <cellStyle name="Accent6 2" xfId="78"/>
    <cellStyle name="Bad 2" xfId="79"/>
    <cellStyle name="Calculation 2" xfId="80"/>
    <cellStyle name="Check Cell 2" xfId="81"/>
    <cellStyle name="ColumnAttributeAbovePrompt" xfId="148"/>
    <cellStyle name="ColumnAttributePrompt" xfId="149"/>
    <cellStyle name="ColumnAttributeValue" xfId="150"/>
    <cellStyle name="ColumnHeadingPrompt" xfId="151"/>
    <cellStyle name="ColumnHeadingValue" xfId="152"/>
    <cellStyle name="Comma" xfId="1" builtinId="3"/>
    <cellStyle name="Comma [0] 2" xfId="186"/>
    <cellStyle name="Comma 2" xfId="5"/>
    <cellStyle name="Comma 2 2" xfId="82"/>
    <cellStyle name="Comma 3" xfId="8"/>
    <cellStyle name="Comma 3 2" xfId="83"/>
    <cellStyle name="Comma 4" xfId="84"/>
    <cellStyle name="Comma 5" xfId="85"/>
    <cellStyle name="Comma 6" xfId="172"/>
    <cellStyle name="Comma 7" xfId="189"/>
    <cellStyle name="Comma 8" xfId="197"/>
    <cellStyle name="Currency" xfId="10" builtinId="4"/>
    <cellStyle name="Currency [0] 2" xfId="187"/>
    <cellStyle name="Currency 2" xfId="6"/>
    <cellStyle name="Currency 3" xfId="13"/>
    <cellStyle name="Currency 4" xfId="193"/>
    <cellStyle name="Currency 5" xfId="191"/>
    <cellStyle name="Entered" xfId="86"/>
    <cellStyle name="Explanatory Text 2" xfId="87"/>
    <cellStyle name="Followed Hyperlink" xfId="14" builtinId="9" customBuiltin="1"/>
    <cellStyle name="Followed Hyperlink 2" xfId="32"/>
    <cellStyle name="Followed Hyperlink 3" xfId="31"/>
    <cellStyle name="Good 2" xfId="88"/>
    <cellStyle name="Grey" xfId="89"/>
    <cellStyle name="Heading 1 2" xfId="90"/>
    <cellStyle name="Heading 2 2" xfId="91"/>
    <cellStyle name="Heading 3 2" xfId="92"/>
    <cellStyle name="Heading 4 2" xfId="93"/>
    <cellStyle name="Heading1" xfId="94"/>
    <cellStyle name="Heading2" xfId="95"/>
    <cellStyle name="Hyperlink" xfId="15" builtinId="8" customBuiltin="1"/>
    <cellStyle name="Hyperlink 2" xfId="33"/>
    <cellStyle name="Hyperlink 3" xfId="30"/>
    <cellStyle name="Input [yellow]" xfId="97"/>
    <cellStyle name="Input 2" xfId="96"/>
    <cellStyle name="LineItemPrompt" xfId="153"/>
    <cellStyle name="LineItemValue" xfId="154"/>
    <cellStyle name="Linked Cell 2" xfId="98"/>
    <cellStyle name="Manual-Input" xfId="23"/>
    <cellStyle name="Neutral 2" xfId="99"/>
    <cellStyle name="Normal" xfId="0" builtinId="0"/>
    <cellStyle name="Normal - Style1" xfId="100"/>
    <cellStyle name="Normal 10" xfId="101"/>
    <cellStyle name="Normal 11" xfId="178"/>
    <cellStyle name="Normal 12" xfId="174"/>
    <cellStyle name="Normal 13" xfId="179"/>
    <cellStyle name="Normal 14" xfId="180"/>
    <cellStyle name="Normal 15" xfId="181"/>
    <cellStyle name="Normal 16" xfId="182"/>
    <cellStyle name="Normal 17" xfId="183"/>
    <cellStyle name="Normal 18" xfId="188"/>
    <cellStyle name="Normal 19" xfId="192"/>
    <cellStyle name="Normal 2" xfId="3"/>
    <cellStyle name="Normal 2 10" xfId="102"/>
    <cellStyle name="Normal 2 2" xfId="16"/>
    <cellStyle name="Normal 2 2 2" xfId="103"/>
    <cellStyle name="Normal 2 2 2 2" xfId="104"/>
    <cellStyle name="Normal 2 2 2 2 2" xfId="105"/>
    <cellStyle name="Normal 2 2 3" xfId="106"/>
    <cellStyle name="Normal 2 2 4" xfId="107"/>
    <cellStyle name="Normal 2 3" xfId="17"/>
    <cellStyle name="Normal 2 3 2" xfId="184"/>
    <cellStyle name="Normal 2 3 3" xfId="108"/>
    <cellStyle name="Normal 2 4" xfId="22"/>
    <cellStyle name="Normal 2 4 2" xfId="198"/>
    <cellStyle name="Normal 2 4 3" xfId="109"/>
    <cellStyle name="Normal 2 5" xfId="110"/>
    <cellStyle name="Normal 2 6" xfId="111"/>
    <cellStyle name="Normal 2 7" xfId="112"/>
    <cellStyle name="Normal 2 8" xfId="173"/>
    <cellStyle name="Normal 2 9" xfId="185"/>
    <cellStyle name="Normal 3" xfId="4"/>
    <cellStyle name="Normal 3 2" xfId="12"/>
    <cellStyle name="Normal 3 2 2" xfId="195"/>
    <cellStyle name="Normal 3 2 3" xfId="113"/>
    <cellStyle name="Normal 3 3" xfId="114"/>
    <cellStyle name="Normal 3 4" xfId="147"/>
    <cellStyle name="Normal 4" xfId="11"/>
    <cellStyle name="Normal 4 2" xfId="194"/>
    <cellStyle name="Normal 4 3" xfId="115"/>
    <cellStyle name="Normal 5" xfId="25"/>
    <cellStyle name="Normal 5 2" xfId="199"/>
    <cellStyle name="Normal 5 3" xfId="116"/>
    <cellStyle name="Normal 6" xfId="18"/>
    <cellStyle name="Normal 7" xfId="175"/>
    <cellStyle name="Normal 8" xfId="176"/>
    <cellStyle name="Normal 9" xfId="177"/>
    <cellStyle name="Normal_DFIT-WaEle_SUM" xfId="19"/>
    <cellStyle name="Normal_WAElec6_97" xfId="20"/>
    <cellStyle name="Normal_WAGas6_97" xfId="29"/>
    <cellStyle name="Note 10" xfId="117"/>
    <cellStyle name="Note 10 2" xfId="118"/>
    <cellStyle name="Note 11" xfId="119"/>
    <cellStyle name="Note 11 2" xfId="120"/>
    <cellStyle name="Note 2" xfId="121"/>
    <cellStyle name="Note 2 2" xfId="122"/>
    <cellStyle name="Note 3" xfId="123"/>
    <cellStyle name="Note 3 2" xfId="124"/>
    <cellStyle name="Note 4" xfId="125"/>
    <cellStyle name="Note 4 2" xfId="126"/>
    <cellStyle name="Note 5" xfId="127"/>
    <cellStyle name="Note 5 2" xfId="128"/>
    <cellStyle name="Note 6" xfId="129"/>
    <cellStyle name="Note 6 2" xfId="130"/>
    <cellStyle name="Note 7" xfId="131"/>
    <cellStyle name="Note 7 2" xfId="132"/>
    <cellStyle name="Note 8" xfId="133"/>
    <cellStyle name="Note 8 2" xfId="134"/>
    <cellStyle name="Note 9" xfId="135"/>
    <cellStyle name="Note 9 2" xfId="136"/>
    <cellStyle name="Output 2" xfId="137"/>
    <cellStyle name="Output Amounts" xfId="155"/>
    <cellStyle name="Output Column Headings" xfId="138"/>
    <cellStyle name="Output Line Items" xfId="156"/>
    <cellStyle name="Output Report Heading" xfId="139"/>
    <cellStyle name="Output Report Title" xfId="140"/>
    <cellStyle name="Percent" xfId="2" builtinId="5"/>
    <cellStyle name="Percent [2]" xfId="141"/>
    <cellStyle name="Percent 2" xfId="7"/>
    <cellStyle name="Percent 3" xfId="9"/>
    <cellStyle name="Percent 3 2" xfId="21"/>
    <cellStyle name="Percent 4" xfId="190"/>
    <cellStyle name="Percent 5" xfId="196"/>
    <cellStyle name="ReportTitlePrompt" xfId="157"/>
    <cellStyle name="ReportTitleValue" xfId="158"/>
    <cellStyle name="RowAcctAbovePrompt" xfId="159"/>
    <cellStyle name="RowAcctSOBAbovePrompt" xfId="160"/>
    <cellStyle name="RowAcctSOBValue" xfId="161"/>
    <cellStyle name="RowAcctValue" xfId="162"/>
    <cellStyle name="RowAttrAbovePrompt" xfId="163"/>
    <cellStyle name="RowAttrValue" xfId="164"/>
    <cellStyle name="RowColSetAbovePrompt" xfId="165"/>
    <cellStyle name="RowColSetLeftPrompt" xfId="166"/>
    <cellStyle name="RowColSetValue" xfId="167"/>
    <cellStyle name="RowLeftPrompt" xfId="168"/>
    <cellStyle name="SampleUsingFormatMask" xfId="169"/>
    <cellStyle name="SampleWithNoFormatMask" xfId="170"/>
    <cellStyle name="StmtTtl1" xfId="142"/>
    <cellStyle name="StmtTtl2" xfId="143"/>
    <cellStyle name="Style 1" xfId="144"/>
    <cellStyle name="Title" xfId="24" builtinId="15" customBuiltin="1"/>
    <cellStyle name="Total 2" xfId="145"/>
    <cellStyle name="UploadThisRowValue" xfId="171"/>
    <cellStyle name="Warning Text 2" xfId="14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49</xdr:row>
      <xdr:rowOff>0</xdr:rowOff>
    </xdr:from>
    <xdr:to>
      <xdr:col>7</xdr:col>
      <xdr:colOff>990600</xdr:colOff>
      <xdr:row>51</xdr:row>
      <xdr:rowOff>85725</xdr:rowOff>
    </xdr:to>
    <xdr:sp macro="" textlink="">
      <xdr:nvSpPr>
        <xdr:cNvPr id="2" name="Text Box 18"/>
        <xdr:cNvSpPr txBox="1">
          <a:spLocks noChangeArrowheads="1"/>
        </xdr:cNvSpPr>
      </xdr:nvSpPr>
      <xdr:spPr bwMode="auto">
        <a:xfrm>
          <a:off x="781050" y="8382000"/>
          <a:ext cx="4772025" cy="4095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The purpose of the property tax adjustment is to look at future expense that we think will be paid. In this case we looked at what should be accrued/paid in 2011. 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fzx7qm\TM_Prop%20Tax_Ferc-Kare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ETemp\Temporary%20Internet%20Files\Content.Outlook\8KX3CCU4\HPA-1%20Historical%20and%20Proforma%20Analysis%20Update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nsaction Summary"/>
      <sheetName val="Macro1"/>
    </sheetNames>
    <sheetDataSet>
      <sheetData sheetId="0"/>
      <sheetData sheetId="1">
        <row r="110">
          <cell r="A110" t="str">
            <v>Recover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6-2007-2008"/>
      <sheetName val="2009-2010"/>
      <sheetName val="2011-2012-2013"/>
      <sheetName val="HPA-1"/>
    </sheetNames>
    <sheetDataSet>
      <sheetData sheetId="0" refreshError="1"/>
      <sheetData sheetId="1" refreshError="1"/>
      <sheetData sheetId="2">
        <row r="24">
          <cell r="L24">
            <v>735679.97712864005</v>
          </cell>
        </row>
        <row r="47">
          <cell r="F47">
            <v>394924.71850800002</v>
          </cell>
        </row>
        <row r="49">
          <cell r="H49">
            <v>406506.12428934866</v>
          </cell>
        </row>
        <row r="50">
          <cell r="F50">
            <v>9.697894421110187E-3</v>
          </cell>
          <cell r="H50">
            <v>1.06637011098644E-2</v>
          </cell>
        </row>
        <row r="73">
          <cell r="H73">
            <v>21607.814719841692</v>
          </cell>
        </row>
        <row r="74">
          <cell r="H74">
            <v>0.32067010000000001</v>
          </cell>
        </row>
        <row r="146">
          <cell r="F146">
            <v>69964.208587000001</v>
          </cell>
          <cell r="H146">
            <v>68720.338219014651</v>
          </cell>
        </row>
        <row r="154">
          <cell r="F154">
            <v>130466</v>
          </cell>
          <cell r="H154">
            <v>142400</v>
          </cell>
        </row>
        <row r="165">
          <cell r="F165">
            <v>1.2656240695666537E-2</v>
          </cell>
          <cell r="H165">
            <v>1.2577468258426967E-2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3"/>
  <sheetViews>
    <sheetView zoomScaleNormal="100" workbookViewId="0">
      <selection activeCell="D202" sqref="D202"/>
    </sheetView>
  </sheetViews>
  <sheetFormatPr defaultRowHeight="12"/>
  <cols>
    <col min="1" max="1" width="18.140625" style="18" customWidth="1"/>
    <col min="2" max="2" width="22.42578125" style="18" bestFit="1" customWidth="1"/>
    <col min="3" max="3" width="17.7109375" style="18" bestFit="1" customWidth="1"/>
    <col min="4" max="4" width="11.85546875" style="18" bestFit="1" customWidth="1"/>
    <col min="5" max="5" width="11.42578125" style="18" customWidth="1"/>
    <col min="6" max="16384" width="9.140625" style="18"/>
  </cols>
  <sheetData>
    <row r="1" spans="1:7">
      <c r="A1" s="18" t="s">
        <v>265</v>
      </c>
    </row>
    <row r="2" spans="1:7">
      <c r="A2" s="18" t="s">
        <v>266</v>
      </c>
    </row>
    <row r="4" spans="1:7">
      <c r="A4" s="18" t="s">
        <v>267</v>
      </c>
      <c r="B4" s="18" t="s">
        <v>268</v>
      </c>
      <c r="C4" s="18" t="s">
        <v>269</v>
      </c>
      <c r="E4" s="222">
        <v>41107</v>
      </c>
    </row>
    <row r="5" spans="1:7">
      <c r="E5" s="222"/>
    </row>
    <row r="6" spans="1:7">
      <c r="A6" s="18" t="s">
        <v>270</v>
      </c>
      <c r="B6" s="18" t="s">
        <v>271</v>
      </c>
      <c r="C6" s="18" t="s">
        <v>272</v>
      </c>
      <c r="D6" s="18" t="s">
        <v>273</v>
      </c>
    </row>
    <row r="7" spans="1:7">
      <c r="A7" s="18" t="s">
        <v>274</v>
      </c>
      <c r="B7" s="18" t="s">
        <v>275</v>
      </c>
      <c r="C7" s="18" t="s">
        <v>276</v>
      </c>
      <c r="D7" s="18" t="s">
        <v>277</v>
      </c>
    </row>
    <row r="8" spans="1:7">
      <c r="A8" s="18" t="s">
        <v>278</v>
      </c>
      <c r="B8" s="18" t="s">
        <v>279</v>
      </c>
      <c r="C8" s="18" t="s">
        <v>280</v>
      </c>
      <c r="D8" s="18" t="s">
        <v>281</v>
      </c>
    </row>
    <row r="9" spans="1:7">
      <c r="A9" s="18" t="s">
        <v>282</v>
      </c>
      <c r="B9" s="18" t="s">
        <v>283</v>
      </c>
      <c r="C9" s="18" t="s">
        <v>284</v>
      </c>
      <c r="D9" s="18" t="s">
        <v>285</v>
      </c>
    </row>
    <row r="10" spans="1:7">
      <c r="C10" s="18" t="s">
        <v>286</v>
      </c>
      <c r="D10" s="18" t="s">
        <v>287</v>
      </c>
    </row>
    <row r="12" spans="1:7">
      <c r="A12" s="18" t="s">
        <v>288</v>
      </c>
    </row>
    <row r="14" spans="1:7">
      <c r="A14" s="18" t="s">
        <v>289</v>
      </c>
    </row>
    <row r="16" spans="1:7" ht="55.5" customHeight="1">
      <c r="A16" s="246" t="s">
        <v>290</v>
      </c>
      <c r="B16" s="246"/>
      <c r="C16" s="246"/>
      <c r="D16" s="246"/>
      <c r="E16" s="246"/>
      <c r="F16" s="246"/>
      <c r="G16" s="223"/>
    </row>
    <row r="18" spans="1:6">
      <c r="A18" s="18" t="s">
        <v>291</v>
      </c>
    </row>
    <row r="20" spans="1:6" ht="46.5" customHeight="1">
      <c r="A20" s="246" t="s">
        <v>293</v>
      </c>
      <c r="B20" s="247"/>
      <c r="C20" s="247"/>
      <c r="D20" s="247"/>
      <c r="E20" s="247"/>
      <c r="F20" s="247"/>
    </row>
    <row r="22" spans="1:6" ht="50.25" customHeight="1">
      <c r="A22" s="248" t="s">
        <v>292</v>
      </c>
      <c r="B22" s="248"/>
      <c r="C22" s="248"/>
      <c r="D22" s="248"/>
      <c r="E22" s="248"/>
      <c r="F22" s="248"/>
    </row>
    <row r="24" spans="1:6">
      <c r="A24" s="18" t="s">
        <v>181</v>
      </c>
    </row>
    <row r="26" spans="1:6" ht="24">
      <c r="B26" s="224" t="s">
        <v>176</v>
      </c>
      <c r="C26" s="224" t="s">
        <v>177</v>
      </c>
      <c r="D26" s="224" t="s">
        <v>180</v>
      </c>
      <c r="E26" s="225" t="s">
        <v>295</v>
      </c>
    </row>
    <row r="27" spans="1:6">
      <c r="A27" s="18" t="s">
        <v>294</v>
      </c>
      <c r="B27" s="220">
        <v>-1303346</v>
      </c>
      <c r="C27" s="220">
        <v>-1331947</v>
      </c>
      <c r="D27" s="220">
        <v>-28601</v>
      </c>
      <c r="E27" s="220">
        <v>-29945</v>
      </c>
      <c r="F27" s="220"/>
    </row>
    <row r="28" spans="1:6">
      <c r="A28" s="18" t="s">
        <v>179</v>
      </c>
      <c r="B28" s="220">
        <v>-182274</v>
      </c>
      <c r="C28" s="220">
        <v>-221952</v>
      </c>
      <c r="D28" s="220">
        <v>-39678</v>
      </c>
      <c r="E28" s="220">
        <v>-41534</v>
      </c>
      <c r="F28" s="220"/>
    </row>
    <row r="131" spans="1:3" ht="12.75" thickBot="1">
      <c r="A131" s="229"/>
      <c r="C131" s="238"/>
    </row>
    <row r="132" spans="1:3" ht="12.75" thickTop="1">
      <c r="A132" s="46"/>
      <c r="C132" s="46"/>
    </row>
    <row r="133" spans="1:3">
      <c r="A133" s="234"/>
      <c r="C133" s="242"/>
    </row>
  </sheetData>
  <mergeCells count="3">
    <mergeCell ref="A16:F16"/>
    <mergeCell ref="A20:F20"/>
    <mergeCell ref="A22:F22"/>
  </mergeCells>
  <pageMargins left="0.7" right="0.7" top="0.75" bottom="0.75" header="0.3" footer="0.3"/>
  <pageSetup orientation="portrait" r:id="rId1"/>
  <headerFooter>
    <oddHeader xml:space="preserve">&amp;CConfidential per Protective Order in UTC Dockets UE-120436 and UG-120437&amp;R
Exhibit No. ___ (MDF-3C)
Page &amp;P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3"/>
  <sheetViews>
    <sheetView zoomScaleNormal="100" workbookViewId="0">
      <selection activeCell="D202" sqref="D202"/>
    </sheetView>
  </sheetViews>
  <sheetFormatPr defaultRowHeight="12"/>
  <cols>
    <col min="1" max="1" width="19.7109375" style="18" bestFit="1" customWidth="1"/>
    <col min="2" max="2" width="12.85546875" style="18" bestFit="1" customWidth="1"/>
    <col min="3" max="4" width="11.85546875" style="18" bestFit="1" customWidth="1"/>
    <col min="5" max="5" width="12.5703125" style="18" customWidth="1"/>
    <col min="6" max="16384" width="9.140625" style="18"/>
  </cols>
  <sheetData>
    <row r="1" spans="1:5">
      <c r="A1" s="213" t="s">
        <v>181</v>
      </c>
      <c r="B1" s="213"/>
      <c r="C1" s="213"/>
      <c r="D1" s="213"/>
      <c r="E1" s="213"/>
    </row>
    <row r="2" spans="1:5">
      <c r="A2" s="213"/>
      <c r="B2" s="213"/>
      <c r="C2" s="213"/>
      <c r="D2" s="213"/>
      <c r="E2" s="214"/>
    </row>
    <row r="3" spans="1:5" ht="24">
      <c r="A3" s="215"/>
      <c r="B3" s="216" t="s">
        <v>176</v>
      </c>
      <c r="C3" s="216" t="s">
        <v>177</v>
      </c>
      <c r="D3" s="216" t="s">
        <v>180</v>
      </c>
      <c r="E3" s="217" t="s">
        <v>182</v>
      </c>
    </row>
    <row r="4" spans="1:5">
      <c r="A4" s="213"/>
      <c r="B4" s="213"/>
      <c r="C4" s="213"/>
      <c r="D4" s="213"/>
      <c r="E4" s="213"/>
    </row>
    <row r="5" spans="1:5">
      <c r="A5" s="213" t="s">
        <v>178</v>
      </c>
      <c r="B5" s="218">
        <v>-1303346.2000000002</v>
      </c>
      <c r="C5" s="218">
        <v>-1331947</v>
      </c>
      <c r="D5" s="218">
        <f>C5-B5</f>
        <v>-28600.799999999814</v>
      </c>
      <c r="E5" s="219">
        <f>(D5*0.65)/0.62082</f>
        <v>-29945.104861312262</v>
      </c>
    </row>
    <row r="6" spans="1:5">
      <c r="A6" s="213"/>
      <c r="B6" s="218"/>
      <c r="C6" s="218"/>
      <c r="D6" s="218"/>
      <c r="E6" s="213"/>
    </row>
    <row r="7" spans="1:5">
      <c r="A7" s="213" t="s">
        <v>179</v>
      </c>
      <c r="B7" s="218">
        <v>-182274</v>
      </c>
      <c r="C7" s="218">
        <v>-221952</v>
      </c>
      <c r="D7" s="218">
        <f>C7-B7</f>
        <v>-39678</v>
      </c>
      <c r="E7" s="219">
        <f>(D7*0.65)/0.62095</f>
        <v>-41534.262017875837</v>
      </c>
    </row>
    <row r="8" spans="1:5">
      <c r="B8" s="220"/>
      <c r="C8" s="220"/>
      <c r="D8" s="220"/>
    </row>
    <row r="9" spans="1:5">
      <c r="B9" s="221"/>
      <c r="C9" s="221"/>
    </row>
    <row r="131" spans="1:3" ht="12.75" thickBot="1">
      <c r="A131" s="229"/>
      <c r="C131" s="238"/>
    </row>
    <row r="132" spans="1:3" ht="12.75" thickTop="1">
      <c r="A132" s="46"/>
      <c r="C132" s="46"/>
    </row>
    <row r="133" spans="1:3">
      <c r="A133" s="234"/>
      <c r="C133" s="242"/>
    </row>
  </sheetData>
  <pageMargins left="0.7" right="0.7" top="0.75" bottom="0.75" header="0.3" footer="0.3"/>
  <pageSetup orientation="portrait" r:id="rId1"/>
  <headerFooter>
    <oddHeader xml:space="preserve">&amp;CConfidential per Protective Order in UTC Dockets UE-120436 and UG-120437&amp;R
Exhibit No. ___ (MDF-3C)
Page &amp;P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3"/>
  <sheetViews>
    <sheetView topLeftCell="A7" zoomScaleNormal="100" workbookViewId="0">
      <selection activeCell="D202" sqref="D202"/>
    </sheetView>
  </sheetViews>
  <sheetFormatPr defaultRowHeight="12.75"/>
  <cols>
    <col min="1" max="1" width="9.140625" style="39"/>
    <col min="2" max="2" width="15.5703125" style="39" customWidth="1"/>
    <col min="3" max="3" width="9.140625" style="39"/>
    <col min="4" max="4" width="14.140625" style="39" customWidth="1"/>
    <col min="5" max="5" width="10.7109375" style="39" bestFit="1" customWidth="1"/>
    <col min="6" max="16384" width="9.140625" style="39"/>
  </cols>
  <sheetData>
    <row r="1" spans="1:5" ht="15.75">
      <c r="A1" s="208"/>
      <c r="B1" s="208"/>
      <c r="C1" s="208"/>
      <c r="D1" s="208"/>
      <c r="E1" s="209"/>
    </row>
    <row r="2" spans="1:5" ht="15.75">
      <c r="A2" s="67" t="s">
        <v>183</v>
      </c>
      <c r="B2" s="208"/>
      <c r="C2" s="208"/>
      <c r="D2" s="69"/>
      <c r="E2" s="209"/>
    </row>
    <row r="3" spans="1:5" ht="15.75">
      <c r="A3" s="67" t="s">
        <v>184</v>
      </c>
      <c r="B3" s="208"/>
      <c r="C3" s="208"/>
      <c r="D3" s="69"/>
      <c r="E3" s="209"/>
    </row>
    <row r="4" spans="1:5" ht="15.75">
      <c r="A4" s="67"/>
      <c r="B4" s="208"/>
      <c r="C4" s="208"/>
      <c r="D4" s="69"/>
      <c r="E4" s="209"/>
    </row>
    <row r="5" spans="1:5" ht="15.75">
      <c r="A5" s="67" t="s">
        <v>186</v>
      </c>
      <c r="B5" s="208"/>
      <c r="C5" s="208"/>
      <c r="D5" s="69"/>
      <c r="E5" s="209"/>
    </row>
    <row r="6" spans="1:5">
      <c r="A6" s="70"/>
      <c r="B6" s="71"/>
      <c r="C6" s="71"/>
      <c r="D6" s="70"/>
      <c r="E6" s="100" t="s">
        <v>187</v>
      </c>
    </row>
    <row r="7" spans="1:5">
      <c r="A7" s="72"/>
      <c r="B7" s="73"/>
      <c r="C7" s="74"/>
      <c r="D7" s="74"/>
      <c r="E7" s="101"/>
    </row>
    <row r="8" spans="1:5">
      <c r="A8" s="75" t="s">
        <v>188</v>
      </c>
      <c r="B8" s="76"/>
      <c r="C8" s="77"/>
      <c r="D8" s="77"/>
      <c r="E8" s="102" t="s">
        <v>189</v>
      </c>
    </row>
    <row r="9" spans="1:5" ht="15.75">
      <c r="A9" s="78" t="s">
        <v>190</v>
      </c>
      <c r="B9" s="79" t="s">
        <v>191</v>
      </c>
      <c r="C9" s="79"/>
      <c r="D9" s="210"/>
      <c r="E9" s="103"/>
    </row>
    <row r="10" spans="1:5">
      <c r="A10" s="88"/>
      <c r="B10" s="89" t="s">
        <v>192</v>
      </c>
      <c r="C10" s="88"/>
      <c r="D10" s="88"/>
      <c r="E10" s="104">
        <v>3.06</v>
      </c>
    </row>
    <row r="11" spans="1:5">
      <c r="A11" s="88"/>
      <c r="B11" s="89" t="s">
        <v>193</v>
      </c>
      <c r="C11" s="88"/>
      <c r="D11" s="88"/>
      <c r="E11" s="105"/>
    </row>
    <row r="12" spans="1:5">
      <c r="A12" s="88"/>
      <c r="B12" s="89"/>
      <c r="C12" s="88"/>
      <c r="D12" s="88"/>
      <c r="E12" s="105"/>
    </row>
    <row r="13" spans="1:5">
      <c r="A13" s="208"/>
      <c r="B13" s="68" t="s">
        <v>194</v>
      </c>
      <c r="C13" s="208"/>
      <c r="D13" s="208"/>
      <c r="E13" s="105"/>
    </row>
    <row r="14" spans="1:5">
      <c r="A14" s="80">
        <v>1</v>
      </c>
      <c r="B14" s="81" t="s">
        <v>195</v>
      </c>
      <c r="C14" s="81"/>
      <c r="D14" s="81"/>
      <c r="E14" s="105">
        <v>0</v>
      </c>
    </row>
    <row r="15" spans="1:5">
      <c r="A15" s="80">
        <v>2</v>
      </c>
      <c r="B15" s="82" t="s">
        <v>196</v>
      </c>
      <c r="C15" s="82"/>
      <c r="D15" s="82"/>
      <c r="E15" s="105"/>
    </row>
    <row r="16" spans="1:5">
      <c r="A16" s="80">
        <v>3</v>
      </c>
      <c r="B16" s="82" t="s">
        <v>197</v>
      </c>
      <c r="C16" s="82"/>
      <c r="D16" s="82"/>
      <c r="E16" s="106"/>
    </row>
    <row r="17" spans="1:5">
      <c r="A17" s="80">
        <v>4</v>
      </c>
      <c r="B17" s="82" t="s">
        <v>198</v>
      </c>
      <c r="C17" s="82"/>
      <c r="D17" s="82"/>
      <c r="E17" s="105"/>
    </row>
    <row r="18" spans="1:5">
      <c r="A18" s="80">
        <v>5</v>
      </c>
      <c r="B18" s="82" t="s">
        <v>199</v>
      </c>
      <c r="C18" s="82"/>
      <c r="D18" s="82"/>
      <c r="E18" s="106"/>
    </row>
    <row r="19" spans="1:5">
      <c r="A19" s="80">
        <v>6</v>
      </c>
      <c r="B19" s="82" t="s">
        <v>200</v>
      </c>
      <c r="C19" s="82"/>
      <c r="D19" s="82"/>
      <c r="E19" s="105"/>
    </row>
    <row r="20" spans="1:5">
      <c r="A20" s="80"/>
      <c r="B20" s="82"/>
      <c r="C20" s="82"/>
      <c r="D20" s="82"/>
      <c r="E20" s="105"/>
    </row>
    <row r="21" spans="1:5">
      <c r="A21" s="80"/>
      <c r="B21" s="82" t="s">
        <v>201</v>
      </c>
      <c r="C21" s="82"/>
      <c r="D21" s="82"/>
      <c r="E21" s="105"/>
    </row>
    <row r="22" spans="1:5">
      <c r="A22" s="80"/>
      <c r="B22" s="82" t="s">
        <v>202</v>
      </c>
      <c r="C22" s="82"/>
      <c r="D22" s="82"/>
      <c r="E22" s="105"/>
    </row>
    <row r="23" spans="1:5">
      <c r="A23" s="80">
        <v>7</v>
      </c>
      <c r="B23" s="82"/>
      <c r="C23" s="82" t="s">
        <v>203</v>
      </c>
      <c r="D23" s="82"/>
      <c r="E23" s="105"/>
    </row>
    <row r="24" spans="1:5">
      <c r="A24" s="80">
        <v>8</v>
      </c>
      <c r="B24" s="82"/>
      <c r="C24" s="82" t="s">
        <v>204</v>
      </c>
      <c r="D24" s="82"/>
      <c r="E24" s="105"/>
    </row>
    <row r="25" spans="1:5">
      <c r="A25" s="80">
        <v>9</v>
      </c>
      <c r="B25" s="82"/>
      <c r="C25" s="82" t="s">
        <v>205</v>
      </c>
      <c r="D25" s="82"/>
      <c r="E25" s="105"/>
    </row>
    <row r="26" spans="1:5">
      <c r="A26" s="80">
        <v>10</v>
      </c>
      <c r="B26" s="82"/>
      <c r="C26" s="85" t="s">
        <v>206</v>
      </c>
      <c r="D26" s="85"/>
      <c r="E26" s="105"/>
    </row>
    <row r="27" spans="1:5">
      <c r="A27" s="80">
        <v>11</v>
      </c>
      <c r="B27" s="82"/>
      <c r="C27" s="82" t="s">
        <v>207</v>
      </c>
      <c r="D27" s="82"/>
      <c r="E27" s="106">
        <f>('C-PT'!F12/1000)-1341</f>
        <v>15.224999999999909</v>
      </c>
    </row>
    <row r="28" spans="1:5">
      <c r="A28" s="80">
        <v>12</v>
      </c>
      <c r="B28" s="82" t="s">
        <v>208</v>
      </c>
      <c r="C28" s="82"/>
      <c r="D28" s="82"/>
      <c r="E28" s="105">
        <f>SUM(E27)</f>
        <v>15.224999999999909</v>
      </c>
    </row>
    <row r="29" spans="1:5">
      <c r="A29" s="80"/>
      <c r="B29" s="82"/>
      <c r="C29" s="82"/>
      <c r="D29" s="82"/>
      <c r="E29" s="105"/>
    </row>
    <row r="30" spans="1:5">
      <c r="A30" s="80"/>
      <c r="B30" s="82" t="s">
        <v>209</v>
      </c>
      <c r="C30" s="82"/>
      <c r="D30" s="82"/>
      <c r="E30" s="105"/>
    </row>
    <row r="31" spans="1:5">
      <c r="A31" s="80">
        <v>13</v>
      </c>
      <c r="B31" s="82"/>
      <c r="C31" s="82" t="s">
        <v>203</v>
      </c>
      <c r="D31" s="82"/>
      <c r="E31" s="105"/>
    </row>
    <row r="32" spans="1:5">
      <c r="A32" s="80">
        <v>14</v>
      </c>
      <c r="B32" s="82"/>
      <c r="C32" s="82" t="s">
        <v>210</v>
      </c>
      <c r="D32" s="82"/>
      <c r="E32" s="105"/>
    </row>
    <row r="33" spans="1:5">
      <c r="A33" s="80">
        <v>15</v>
      </c>
      <c r="B33" s="82"/>
      <c r="C33" s="82" t="s">
        <v>207</v>
      </c>
      <c r="D33" s="82"/>
      <c r="E33" s="106">
        <f>('C-PT'!F14/1000)-651</f>
        <v>28.211999999999989</v>
      </c>
    </row>
    <row r="34" spans="1:5">
      <c r="A34" s="80">
        <v>16</v>
      </c>
      <c r="B34" s="82" t="s">
        <v>211</v>
      </c>
      <c r="C34" s="82"/>
      <c r="D34" s="82"/>
      <c r="E34" s="105">
        <f>SUM(E33)</f>
        <v>28.211999999999989</v>
      </c>
    </row>
    <row r="35" spans="1:5">
      <c r="A35" s="82"/>
      <c r="B35" s="82"/>
      <c r="C35" s="82"/>
      <c r="D35" s="82"/>
      <c r="E35" s="105"/>
    </row>
    <row r="36" spans="1:5">
      <c r="A36" s="80">
        <v>17</v>
      </c>
      <c r="B36" s="82" t="s">
        <v>212</v>
      </c>
      <c r="C36" s="82"/>
      <c r="D36" s="82"/>
      <c r="E36" s="105"/>
    </row>
    <row r="37" spans="1:5">
      <c r="A37" s="80">
        <v>18</v>
      </c>
      <c r="B37" s="82" t="s">
        <v>213</v>
      </c>
      <c r="C37" s="82"/>
      <c r="D37" s="82"/>
      <c r="E37" s="105"/>
    </row>
    <row r="38" spans="1:5">
      <c r="A38" s="80">
        <v>19</v>
      </c>
      <c r="B38" s="82" t="s">
        <v>214</v>
      </c>
      <c r="C38" s="82"/>
      <c r="D38" s="82"/>
      <c r="E38" s="105"/>
    </row>
    <row r="39" spans="1:5">
      <c r="A39" s="80"/>
      <c r="B39" s="82"/>
      <c r="C39" s="82"/>
      <c r="D39" s="82"/>
      <c r="E39" s="105"/>
    </row>
    <row r="40" spans="1:5">
      <c r="A40" s="82"/>
      <c r="B40" s="82" t="s">
        <v>215</v>
      </c>
      <c r="C40" s="82"/>
      <c r="D40" s="82"/>
      <c r="E40" s="105"/>
    </row>
    <row r="41" spans="1:5">
      <c r="A41" s="80">
        <v>20</v>
      </c>
      <c r="B41" s="82"/>
      <c r="C41" s="82" t="s">
        <v>203</v>
      </c>
      <c r="D41" s="82"/>
      <c r="E41" s="105"/>
    </row>
    <row r="42" spans="1:5">
      <c r="A42" s="80">
        <v>21</v>
      </c>
      <c r="B42" s="82"/>
      <c r="C42" s="82" t="s">
        <v>210</v>
      </c>
      <c r="D42" s="82"/>
      <c r="E42" s="105"/>
    </row>
    <row r="43" spans="1:5">
      <c r="A43" s="86">
        <v>22</v>
      </c>
      <c r="B43" s="82"/>
      <c r="C43" s="82" t="s">
        <v>207</v>
      </c>
      <c r="D43" s="82"/>
      <c r="E43" s="106">
        <f>('C-PT'!F16/1000)-13</f>
        <v>0.71199999999999974</v>
      </c>
    </row>
    <row r="44" spans="1:5">
      <c r="A44" s="80">
        <v>23</v>
      </c>
      <c r="B44" s="82" t="s">
        <v>216</v>
      </c>
      <c r="C44" s="82"/>
      <c r="D44" s="82"/>
      <c r="E44" s="108">
        <f>SUM(E43)</f>
        <v>0.71199999999999974</v>
      </c>
    </row>
    <row r="45" spans="1:5">
      <c r="A45" s="80">
        <v>24</v>
      </c>
      <c r="B45" s="82" t="s">
        <v>217</v>
      </c>
      <c r="C45" s="82"/>
      <c r="D45" s="82"/>
      <c r="E45" s="94">
        <f>E28+E34+E44</f>
        <v>44.148999999999901</v>
      </c>
    </row>
    <row r="46" spans="1:5">
      <c r="A46" s="82"/>
      <c r="B46" s="82"/>
      <c r="C46" s="82"/>
      <c r="D46" s="82"/>
      <c r="E46" s="105"/>
    </row>
    <row r="47" spans="1:5">
      <c r="A47" s="80">
        <v>25</v>
      </c>
      <c r="B47" s="82" t="s">
        <v>218</v>
      </c>
      <c r="C47" s="82"/>
      <c r="D47" s="82"/>
      <c r="E47" s="95">
        <f>-E45</f>
        <v>-44.148999999999901</v>
      </c>
    </row>
    <row r="48" spans="1:5">
      <c r="A48" s="80"/>
      <c r="B48" s="82"/>
      <c r="C48" s="82"/>
      <c r="D48" s="82"/>
      <c r="E48" s="105"/>
    </row>
    <row r="49" spans="1:5">
      <c r="A49" s="84"/>
      <c r="B49" s="82" t="s">
        <v>219</v>
      </c>
      <c r="C49" s="82"/>
      <c r="D49" s="82"/>
      <c r="E49" s="105"/>
    </row>
    <row r="50" spans="1:5">
      <c r="A50" s="86">
        <v>26</v>
      </c>
      <c r="B50" s="82" t="s">
        <v>220</v>
      </c>
      <c r="C50" s="82"/>
      <c r="D50" s="90"/>
      <c r="E50" s="105">
        <f>('C-PT'!F24/1000)-(-702)</f>
        <v>-15.202149999999961</v>
      </c>
    </row>
    <row r="51" spans="1:5">
      <c r="A51" s="80">
        <v>27</v>
      </c>
      <c r="B51" s="85" t="s">
        <v>221</v>
      </c>
      <c r="C51" s="85"/>
      <c r="D51" s="85"/>
      <c r="E51" s="105"/>
    </row>
    <row r="52" spans="1:5">
      <c r="A52" s="80">
        <v>28</v>
      </c>
      <c r="B52" s="82" t="s">
        <v>222</v>
      </c>
      <c r="C52" s="82"/>
      <c r="D52" s="82"/>
      <c r="E52" s="105"/>
    </row>
    <row r="53" spans="1:5">
      <c r="A53" s="84">
        <v>29</v>
      </c>
      <c r="B53" s="82" t="s">
        <v>223</v>
      </c>
      <c r="C53" s="82"/>
      <c r="D53" s="82"/>
      <c r="E53" s="106"/>
    </row>
    <row r="54" spans="1:5">
      <c r="A54" s="208"/>
      <c r="B54" s="208"/>
      <c r="C54" s="208"/>
      <c r="D54" s="208"/>
      <c r="E54" s="105"/>
    </row>
    <row r="55" spans="1:5" ht="13.5" thickBot="1">
      <c r="A55" s="83">
        <v>30</v>
      </c>
      <c r="B55" s="81" t="s">
        <v>224</v>
      </c>
      <c r="C55" s="81"/>
      <c r="D55" s="81"/>
      <c r="E55" s="96">
        <f>E47-E50</f>
        <v>-28.946849999999941</v>
      </c>
    </row>
    <row r="56" spans="1:5" ht="13.5" thickTop="1">
      <c r="A56" s="83"/>
      <c r="B56" s="208"/>
      <c r="C56" s="208"/>
      <c r="D56" s="208"/>
      <c r="E56" s="105"/>
    </row>
    <row r="57" spans="1:5">
      <c r="A57" s="83"/>
      <c r="B57" s="68" t="s">
        <v>225</v>
      </c>
      <c r="C57" s="208"/>
      <c r="D57" s="208"/>
      <c r="E57" s="105"/>
    </row>
    <row r="58" spans="1:5">
      <c r="A58" s="208"/>
      <c r="B58" s="68" t="s">
        <v>226</v>
      </c>
      <c r="C58" s="208"/>
      <c r="D58" s="208"/>
      <c r="E58" s="105"/>
    </row>
    <row r="59" spans="1:5">
      <c r="A59" s="87">
        <v>31</v>
      </c>
      <c r="B59" s="81"/>
      <c r="C59" s="81" t="s">
        <v>227</v>
      </c>
      <c r="D59" s="81"/>
      <c r="E59" s="105"/>
    </row>
    <row r="60" spans="1:5">
      <c r="A60" s="83">
        <v>32</v>
      </c>
      <c r="B60" s="82"/>
      <c r="C60" s="82" t="s">
        <v>228</v>
      </c>
      <c r="D60" s="82"/>
      <c r="E60" s="105"/>
    </row>
    <row r="61" spans="1:5">
      <c r="A61" s="83">
        <v>33</v>
      </c>
      <c r="B61" s="82"/>
      <c r="C61" s="82" t="s">
        <v>229</v>
      </c>
      <c r="D61" s="82"/>
      <c r="E61" s="105"/>
    </row>
    <row r="62" spans="1:5">
      <c r="A62" s="83">
        <v>34</v>
      </c>
      <c r="B62" s="82"/>
      <c r="C62" s="82" t="s">
        <v>209</v>
      </c>
      <c r="D62" s="82"/>
      <c r="E62" s="105"/>
    </row>
    <row r="63" spans="1:5">
      <c r="A63" s="83">
        <v>35</v>
      </c>
      <c r="B63" s="82"/>
      <c r="C63" s="82" t="s">
        <v>230</v>
      </c>
      <c r="D63" s="82"/>
      <c r="E63" s="106"/>
    </row>
    <row r="64" spans="1:5">
      <c r="A64" s="83">
        <v>36</v>
      </c>
      <c r="B64" s="82" t="s">
        <v>231</v>
      </c>
      <c r="C64" s="82"/>
      <c r="D64" s="82"/>
      <c r="E64" s="105"/>
    </row>
    <row r="65" spans="1:5">
      <c r="A65" s="83"/>
      <c r="B65" s="82" t="s">
        <v>232</v>
      </c>
      <c r="C65" s="82"/>
      <c r="D65" s="82"/>
      <c r="E65" s="105"/>
    </row>
    <row r="66" spans="1:5">
      <c r="A66" s="83">
        <v>37</v>
      </c>
      <c r="B66" s="82"/>
      <c r="C66" s="81" t="s">
        <v>227</v>
      </c>
      <c r="D66" s="82"/>
      <c r="E66" s="105"/>
    </row>
    <row r="67" spans="1:5">
      <c r="A67" s="83">
        <v>38</v>
      </c>
      <c r="B67" s="82"/>
      <c r="C67" s="82" t="s">
        <v>228</v>
      </c>
      <c r="D67" s="82"/>
      <c r="E67" s="105"/>
    </row>
    <row r="68" spans="1:5">
      <c r="A68" s="83">
        <v>39</v>
      </c>
      <c r="B68" s="82"/>
      <c r="C68" s="82" t="s">
        <v>229</v>
      </c>
      <c r="D68" s="82"/>
      <c r="E68" s="105"/>
    </row>
    <row r="69" spans="1:5">
      <c r="A69" s="83">
        <v>40</v>
      </c>
      <c r="B69" s="82"/>
      <c r="C69" s="82" t="s">
        <v>209</v>
      </c>
      <c r="D69" s="82"/>
      <c r="E69" s="105"/>
    </row>
    <row r="70" spans="1:5">
      <c r="A70" s="83">
        <v>41</v>
      </c>
      <c r="B70" s="82"/>
      <c r="C70" s="82" t="s">
        <v>230</v>
      </c>
      <c r="D70" s="82"/>
      <c r="E70" s="119"/>
    </row>
    <row r="71" spans="1:5">
      <c r="A71" s="83">
        <v>42</v>
      </c>
      <c r="B71" s="82" t="s">
        <v>233</v>
      </c>
      <c r="C71" s="82"/>
      <c r="D71" s="82"/>
      <c r="E71" s="106"/>
    </row>
    <row r="72" spans="1:5">
      <c r="A72" s="83">
        <v>43</v>
      </c>
      <c r="B72" s="82" t="s">
        <v>234</v>
      </c>
      <c r="C72" s="82"/>
      <c r="D72" s="82"/>
      <c r="E72" s="105"/>
    </row>
    <row r="73" spans="1:5">
      <c r="A73" s="83"/>
      <c r="B73" s="82"/>
      <c r="C73" s="82"/>
      <c r="D73" s="82"/>
      <c r="E73" s="105"/>
    </row>
    <row r="74" spans="1:5">
      <c r="A74" s="84">
        <v>44</v>
      </c>
      <c r="B74" s="82" t="s">
        <v>235</v>
      </c>
      <c r="C74" s="82"/>
      <c r="D74" s="82"/>
      <c r="E74" s="106"/>
    </row>
    <row r="75" spans="1:5">
      <c r="A75" s="84">
        <v>45</v>
      </c>
      <c r="B75" s="82"/>
      <c r="C75" s="82" t="s">
        <v>236</v>
      </c>
      <c r="D75" s="82"/>
      <c r="E75" s="105"/>
    </row>
    <row r="76" spans="1:5">
      <c r="A76" s="83">
        <v>46</v>
      </c>
      <c r="B76" s="82" t="s">
        <v>237</v>
      </c>
      <c r="C76" s="82"/>
      <c r="D76" s="82"/>
      <c r="E76" s="105"/>
    </row>
    <row r="77" spans="1:5">
      <c r="A77" s="83">
        <v>47</v>
      </c>
      <c r="B77" s="82" t="s">
        <v>238</v>
      </c>
      <c r="C77" s="82"/>
      <c r="D77" s="82"/>
      <c r="E77" s="106"/>
    </row>
    <row r="78" spans="1:5">
      <c r="A78" s="84"/>
      <c r="B78" s="82"/>
      <c r="C78" s="82"/>
      <c r="D78" s="82"/>
      <c r="E78" s="105"/>
    </row>
    <row r="79" spans="1:5">
      <c r="A79" s="80">
        <v>48</v>
      </c>
      <c r="B79" s="81" t="s">
        <v>239</v>
      </c>
      <c r="C79" s="81"/>
      <c r="D79" s="81"/>
      <c r="E79" s="105">
        <v>0</v>
      </c>
    </row>
    <row r="80" spans="1:5">
      <c r="A80" s="93"/>
      <c r="B80" s="92"/>
      <c r="C80" s="212"/>
      <c r="D80" s="212"/>
      <c r="E80" s="118"/>
    </row>
    <row r="81" spans="1:5">
      <c r="A81" s="91"/>
      <c r="B81" s="92"/>
      <c r="C81" s="212"/>
      <c r="D81" s="212"/>
      <c r="E81" s="118"/>
    </row>
    <row r="82" spans="1:5">
      <c r="A82" s="212"/>
      <c r="B82" s="212"/>
      <c r="C82" s="212"/>
      <c r="D82" s="212"/>
      <c r="E82" s="118"/>
    </row>
    <row r="131" spans="1:3" ht="13.5" thickBot="1">
      <c r="A131" s="228"/>
      <c r="C131" s="237"/>
    </row>
    <row r="132" spans="1:3" ht="13.5" thickTop="1">
      <c r="A132" s="231"/>
      <c r="C132" s="231"/>
    </row>
    <row r="133" spans="1:3">
      <c r="A133" s="233"/>
      <c r="C133" s="241"/>
    </row>
  </sheetData>
  <pageMargins left="0.7" right="0.7" top="0.75" bottom="0.75" header="0.3" footer="0.3"/>
  <pageSetup orientation="portrait" r:id="rId1"/>
  <headerFooter>
    <oddHeader xml:space="preserve">&amp;CConfidential per Protective Order in UTC Dockets UE-120436 and UG-120437&amp;R
Exhibit No. ___ (MDF-3C)
Page &amp;P
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3"/>
  <sheetViews>
    <sheetView topLeftCell="A25" zoomScaleNormal="100" workbookViewId="0">
      <selection activeCell="D202" sqref="D202"/>
    </sheetView>
  </sheetViews>
  <sheetFormatPr defaultRowHeight="12.75"/>
  <cols>
    <col min="1" max="1" width="11.42578125" style="39" customWidth="1"/>
    <col min="2" max="2" width="24.7109375" style="39" customWidth="1"/>
    <col min="3" max="3" width="14.42578125" style="39" customWidth="1"/>
    <col min="4" max="4" width="7.140625" style="39" customWidth="1"/>
    <col min="5" max="5" width="11" style="39" customWidth="1"/>
    <col min="6" max="16384" width="9.140625" style="39"/>
  </cols>
  <sheetData>
    <row r="1" spans="1:5" ht="15.75">
      <c r="A1" s="67" t="s">
        <v>183</v>
      </c>
      <c r="B1" s="208"/>
      <c r="C1" s="208"/>
      <c r="D1" s="69"/>
      <c r="E1" s="209"/>
    </row>
    <row r="2" spans="1:5" ht="15.75">
      <c r="A2" s="67" t="s">
        <v>262</v>
      </c>
      <c r="B2" s="208"/>
      <c r="C2" s="208"/>
      <c r="D2" s="69"/>
      <c r="E2" s="209"/>
    </row>
    <row r="3" spans="1:5" ht="15.75">
      <c r="A3" s="67" t="s">
        <v>185</v>
      </c>
      <c r="B3" s="208"/>
      <c r="C3" s="208"/>
      <c r="D3" s="69"/>
      <c r="E3" s="209"/>
    </row>
    <row r="4" spans="1:5" ht="15.75">
      <c r="A4" s="67" t="s">
        <v>186</v>
      </c>
      <c r="B4" s="208"/>
      <c r="C4" s="208"/>
      <c r="D4" s="69"/>
      <c r="E4" s="209"/>
    </row>
    <row r="5" spans="1:5">
      <c r="A5" s="70"/>
      <c r="B5" s="71"/>
      <c r="C5" s="71"/>
      <c r="D5" s="70"/>
      <c r="E5" s="100" t="s">
        <v>187</v>
      </c>
    </row>
    <row r="6" spans="1:5">
      <c r="A6" s="72"/>
      <c r="B6" s="73"/>
      <c r="C6" s="74"/>
      <c r="D6" s="74"/>
      <c r="E6" s="101"/>
    </row>
    <row r="7" spans="1:5">
      <c r="A7" s="75" t="s">
        <v>188</v>
      </c>
      <c r="B7" s="76"/>
      <c r="C7" s="77"/>
      <c r="D7" s="77"/>
      <c r="E7" s="102" t="s">
        <v>189</v>
      </c>
    </row>
    <row r="8" spans="1:5" ht="15.75">
      <c r="A8" s="78" t="s">
        <v>190</v>
      </c>
      <c r="B8" s="79" t="s">
        <v>191</v>
      </c>
      <c r="C8" s="79"/>
      <c r="D8" s="210"/>
      <c r="E8" s="103"/>
    </row>
    <row r="9" spans="1:5">
      <c r="A9" s="88"/>
      <c r="B9" s="89" t="s">
        <v>192</v>
      </c>
      <c r="C9" s="88"/>
      <c r="D9" s="88"/>
      <c r="E9" s="104">
        <v>3.06</v>
      </c>
    </row>
    <row r="10" spans="1:5">
      <c r="A10" s="88"/>
      <c r="B10" s="89" t="s">
        <v>193</v>
      </c>
      <c r="C10" s="88"/>
      <c r="D10" s="88"/>
      <c r="E10" s="105"/>
    </row>
    <row r="11" spans="1:5">
      <c r="A11" s="88"/>
      <c r="B11" s="89"/>
      <c r="C11" s="88"/>
      <c r="D11" s="88"/>
      <c r="E11" s="105"/>
    </row>
    <row r="12" spans="1:5">
      <c r="A12" s="208"/>
      <c r="B12" s="68" t="s">
        <v>194</v>
      </c>
      <c r="C12" s="208"/>
      <c r="D12" s="208"/>
      <c r="E12" s="105"/>
    </row>
    <row r="13" spans="1:5">
      <c r="A13" s="80">
        <v>1</v>
      </c>
      <c r="B13" s="81" t="s">
        <v>195</v>
      </c>
      <c r="C13" s="81"/>
      <c r="D13" s="81"/>
      <c r="E13" s="105">
        <v>0</v>
      </c>
    </row>
    <row r="14" spans="1:5">
      <c r="A14" s="80">
        <v>2</v>
      </c>
      <c r="B14" s="82" t="s">
        <v>240</v>
      </c>
      <c r="C14" s="82"/>
      <c r="D14" s="82"/>
      <c r="E14" s="106"/>
    </row>
    <row r="15" spans="1:5">
      <c r="A15" s="80">
        <v>3</v>
      </c>
      <c r="B15" s="82" t="s">
        <v>199</v>
      </c>
      <c r="C15" s="82"/>
      <c r="D15" s="82"/>
      <c r="E15" s="106"/>
    </row>
    <row r="16" spans="1:5">
      <c r="A16" s="80">
        <v>4</v>
      </c>
      <c r="B16" s="82" t="s">
        <v>241</v>
      </c>
      <c r="C16" s="82"/>
      <c r="D16" s="82"/>
      <c r="E16" s="105"/>
    </row>
    <row r="17" spans="1:5">
      <c r="A17" s="80"/>
      <c r="B17" s="82"/>
      <c r="C17" s="82"/>
      <c r="D17" s="82"/>
      <c r="E17" s="105"/>
    </row>
    <row r="18" spans="1:5">
      <c r="A18" s="80"/>
      <c r="B18" s="82" t="s">
        <v>201</v>
      </c>
      <c r="C18" s="82"/>
      <c r="D18" s="82"/>
      <c r="E18" s="105"/>
    </row>
    <row r="19" spans="1:5">
      <c r="A19" s="80"/>
      <c r="B19" s="82" t="s">
        <v>242</v>
      </c>
      <c r="C19" s="82"/>
      <c r="D19" s="82"/>
      <c r="E19" s="105"/>
    </row>
    <row r="20" spans="1:5">
      <c r="A20" s="80">
        <v>5</v>
      </c>
      <c r="B20" s="82"/>
      <c r="C20" s="82" t="s">
        <v>243</v>
      </c>
      <c r="D20" s="82"/>
      <c r="E20" s="105"/>
    </row>
    <row r="21" spans="1:5">
      <c r="A21" s="80">
        <v>6</v>
      </c>
      <c r="B21" s="82"/>
      <c r="C21" s="82" t="s">
        <v>244</v>
      </c>
      <c r="D21" s="82"/>
      <c r="E21" s="105"/>
    </row>
    <row r="22" spans="1:5">
      <c r="A22" s="80">
        <v>7</v>
      </c>
      <c r="B22" s="82"/>
      <c r="C22" s="82" t="s">
        <v>245</v>
      </c>
      <c r="D22" s="82"/>
      <c r="E22" s="105"/>
    </row>
    <row r="23" spans="1:5">
      <c r="A23" s="80">
        <v>8</v>
      </c>
      <c r="B23" s="82" t="s">
        <v>246</v>
      </c>
      <c r="C23" s="82"/>
      <c r="D23" s="82"/>
      <c r="E23" s="211"/>
    </row>
    <row r="24" spans="1:5">
      <c r="A24" s="80"/>
      <c r="B24" s="82"/>
      <c r="C24" s="82"/>
      <c r="D24" s="82"/>
      <c r="E24" s="105"/>
    </row>
    <row r="25" spans="1:5">
      <c r="A25" s="80"/>
      <c r="B25" s="107" t="s">
        <v>29</v>
      </c>
      <c r="C25" s="208"/>
      <c r="D25" s="107"/>
      <c r="E25" s="105"/>
    </row>
    <row r="26" spans="1:5">
      <c r="A26" s="80">
        <v>9</v>
      </c>
      <c r="B26" s="208"/>
      <c r="C26" s="107" t="s">
        <v>247</v>
      </c>
      <c r="D26" s="107"/>
      <c r="E26" s="105"/>
    </row>
    <row r="27" spans="1:5">
      <c r="A27" s="80">
        <v>10</v>
      </c>
      <c r="B27" s="208"/>
      <c r="C27" s="107" t="s">
        <v>210</v>
      </c>
      <c r="D27" s="107"/>
      <c r="E27" s="105"/>
    </row>
    <row r="28" spans="1:5">
      <c r="A28" s="80">
        <v>11</v>
      </c>
      <c r="B28" s="208"/>
      <c r="C28" s="107" t="s">
        <v>248</v>
      </c>
      <c r="D28" s="107"/>
      <c r="E28" s="106">
        <f>('C-PT'!O12/1000)-19</f>
        <v>3.41</v>
      </c>
    </row>
    <row r="29" spans="1:5">
      <c r="A29" s="80">
        <v>12</v>
      </c>
      <c r="B29" s="107" t="s">
        <v>249</v>
      </c>
      <c r="C29" s="107"/>
      <c r="D29" s="208"/>
      <c r="E29" s="108">
        <f>SUM(E28)</f>
        <v>3.41</v>
      </c>
    </row>
    <row r="30" spans="1:5">
      <c r="A30" s="80"/>
      <c r="B30" s="82"/>
      <c r="C30" s="82"/>
      <c r="D30" s="82"/>
      <c r="E30" s="105"/>
    </row>
    <row r="31" spans="1:5">
      <c r="A31" s="80"/>
      <c r="B31" s="82"/>
      <c r="C31" s="82"/>
      <c r="D31" s="82"/>
      <c r="E31" s="105"/>
    </row>
    <row r="32" spans="1:5">
      <c r="A32" s="80"/>
      <c r="B32" s="82" t="s">
        <v>209</v>
      </c>
      <c r="C32" s="82"/>
      <c r="D32" s="82"/>
      <c r="E32" s="105"/>
    </row>
    <row r="33" spans="1:5">
      <c r="A33" s="80">
        <v>13</v>
      </c>
      <c r="B33" s="82"/>
      <c r="C33" s="82" t="s">
        <v>203</v>
      </c>
      <c r="D33" s="82"/>
      <c r="E33" s="105"/>
    </row>
    <row r="34" spans="1:5">
      <c r="A34" s="80">
        <v>14</v>
      </c>
      <c r="B34" s="82"/>
      <c r="C34" s="82" t="s">
        <v>210</v>
      </c>
      <c r="D34" s="82"/>
      <c r="E34" s="105"/>
    </row>
    <row r="35" spans="1:5">
      <c r="A35" s="80">
        <v>15</v>
      </c>
      <c r="B35" s="82"/>
      <c r="C35" s="82" t="s">
        <v>207</v>
      </c>
      <c r="D35" s="82"/>
      <c r="E35" s="106">
        <f>('C-PT'!O14/1000)-257</f>
        <v>57.377999999999986</v>
      </c>
    </row>
    <row r="36" spans="1:5">
      <c r="A36" s="80">
        <v>16</v>
      </c>
      <c r="B36" s="82" t="s">
        <v>211</v>
      </c>
      <c r="C36" s="82"/>
      <c r="D36" s="82"/>
      <c r="E36" s="105">
        <f>SUM(E35)</f>
        <v>57.377999999999986</v>
      </c>
    </row>
    <row r="37" spans="1:5">
      <c r="A37" s="82"/>
      <c r="B37" s="82"/>
      <c r="C37" s="82"/>
      <c r="D37" s="82"/>
      <c r="E37" s="105"/>
    </row>
    <row r="38" spans="1:5">
      <c r="A38" s="80">
        <v>17</v>
      </c>
      <c r="B38" s="82" t="s">
        <v>212</v>
      </c>
      <c r="C38" s="82"/>
      <c r="D38" s="82"/>
      <c r="E38" s="105"/>
    </row>
    <row r="39" spans="1:5">
      <c r="A39" s="80">
        <v>18</v>
      </c>
      <c r="B39" s="82" t="s">
        <v>213</v>
      </c>
      <c r="C39" s="82"/>
      <c r="D39" s="82"/>
      <c r="E39" s="105"/>
    </row>
    <row r="40" spans="1:5">
      <c r="A40" s="80">
        <v>19</v>
      </c>
      <c r="B40" s="82" t="s">
        <v>214</v>
      </c>
      <c r="C40" s="82"/>
      <c r="D40" s="82"/>
      <c r="E40" s="105"/>
    </row>
    <row r="41" spans="1:5">
      <c r="A41" s="80"/>
      <c r="B41" s="82"/>
      <c r="C41" s="82"/>
      <c r="D41" s="82"/>
      <c r="E41" s="105"/>
    </row>
    <row r="42" spans="1:5">
      <c r="A42" s="82"/>
      <c r="B42" s="82" t="s">
        <v>215</v>
      </c>
      <c r="C42" s="82"/>
      <c r="D42" s="82"/>
      <c r="E42" s="105"/>
    </row>
    <row r="43" spans="1:5">
      <c r="A43" s="80">
        <v>20</v>
      </c>
      <c r="B43" s="82"/>
      <c r="C43" s="82" t="s">
        <v>203</v>
      </c>
      <c r="D43" s="82"/>
      <c r="E43" s="105"/>
    </row>
    <row r="44" spans="1:5">
      <c r="A44" s="80">
        <v>21</v>
      </c>
      <c r="B44" s="82"/>
      <c r="C44" s="82" t="s">
        <v>210</v>
      </c>
      <c r="D44" s="82"/>
      <c r="E44" s="105"/>
    </row>
    <row r="45" spans="1:5">
      <c r="A45" s="80">
        <v>22</v>
      </c>
      <c r="B45" s="82"/>
      <c r="C45" s="97" t="s">
        <v>250</v>
      </c>
      <c r="D45" s="82"/>
      <c r="E45" s="105"/>
    </row>
    <row r="46" spans="1:5">
      <c r="A46" s="86">
        <v>23</v>
      </c>
      <c r="B46" s="82"/>
      <c r="C46" s="82" t="s">
        <v>207</v>
      </c>
      <c r="D46" s="82"/>
      <c r="E46" s="106">
        <f>('C-PT'!O16/1000)-4</f>
        <v>0.67600000000000016</v>
      </c>
    </row>
    <row r="47" spans="1:5">
      <c r="A47" s="80">
        <v>24</v>
      </c>
      <c r="B47" s="82" t="s">
        <v>216</v>
      </c>
      <c r="C47" s="82"/>
      <c r="D47" s="82"/>
      <c r="E47" s="108">
        <f>SUM(E46)</f>
        <v>0.67600000000000016</v>
      </c>
    </row>
    <row r="48" spans="1:5">
      <c r="A48" s="80">
        <v>25</v>
      </c>
      <c r="B48" s="82" t="s">
        <v>251</v>
      </c>
      <c r="C48" s="82"/>
      <c r="D48" s="82"/>
      <c r="E48" s="94">
        <f>E29+E36+E47</f>
        <v>61.463999999999984</v>
      </c>
    </row>
    <row r="49" spans="1:5">
      <c r="A49" s="82"/>
      <c r="B49" s="82"/>
      <c r="C49" s="82"/>
      <c r="D49" s="82"/>
      <c r="E49" s="105"/>
    </row>
    <row r="50" spans="1:5">
      <c r="A50" s="80">
        <v>26</v>
      </c>
      <c r="B50" s="82" t="s">
        <v>218</v>
      </c>
      <c r="C50" s="82"/>
      <c r="D50" s="82"/>
      <c r="E50" s="95">
        <f>-E48</f>
        <v>-61.463999999999984</v>
      </c>
    </row>
    <row r="51" spans="1:5">
      <c r="A51" s="80"/>
      <c r="B51" s="82"/>
      <c r="C51" s="82"/>
      <c r="D51" s="82"/>
      <c r="E51" s="105"/>
    </row>
    <row r="52" spans="1:5">
      <c r="A52" s="84"/>
      <c r="B52" s="82" t="s">
        <v>219</v>
      </c>
      <c r="C52" s="82"/>
      <c r="D52" s="82"/>
      <c r="E52" s="105"/>
    </row>
    <row r="53" spans="1:5">
      <c r="A53" s="86">
        <v>27</v>
      </c>
      <c r="B53" s="82" t="s">
        <v>220</v>
      </c>
      <c r="C53" s="82"/>
      <c r="D53" s="90"/>
      <c r="E53" s="105">
        <f>('C-PT'!O24/1000)-(-98)</f>
        <v>-21.5124</v>
      </c>
    </row>
    <row r="54" spans="1:5">
      <c r="A54" s="80">
        <v>28</v>
      </c>
      <c r="B54" s="85" t="s">
        <v>221</v>
      </c>
      <c r="C54" s="85"/>
      <c r="D54" s="85"/>
      <c r="E54" s="105"/>
    </row>
    <row r="55" spans="1:5">
      <c r="A55" s="80">
        <v>29</v>
      </c>
      <c r="B55" s="82" t="s">
        <v>222</v>
      </c>
      <c r="C55" s="82"/>
      <c r="D55" s="82"/>
      <c r="E55" s="105"/>
    </row>
    <row r="56" spans="1:5">
      <c r="A56" s="84">
        <v>30</v>
      </c>
      <c r="B56" s="82" t="s">
        <v>223</v>
      </c>
      <c r="C56" s="82"/>
      <c r="D56" s="82"/>
      <c r="E56" s="106"/>
    </row>
    <row r="57" spans="1:5">
      <c r="A57" s="208"/>
      <c r="B57" s="208"/>
      <c r="C57" s="208"/>
      <c r="D57" s="208"/>
      <c r="E57" s="105"/>
    </row>
    <row r="58" spans="1:5" ht="13.5" thickBot="1">
      <c r="A58" s="83">
        <v>31</v>
      </c>
      <c r="B58" s="81" t="s">
        <v>224</v>
      </c>
      <c r="C58" s="81"/>
      <c r="D58" s="81"/>
      <c r="E58" s="96">
        <f>E50-E53</f>
        <v>-39.951599999999985</v>
      </c>
    </row>
    <row r="59" spans="1:5" ht="13.5" thickTop="1">
      <c r="A59" s="83"/>
      <c r="B59" s="208"/>
      <c r="C59" s="208"/>
      <c r="D59" s="208"/>
      <c r="E59" s="105"/>
    </row>
    <row r="60" spans="1:5">
      <c r="A60" s="83"/>
      <c r="B60" s="109" t="s">
        <v>252</v>
      </c>
      <c r="C60" s="208"/>
      <c r="D60" s="208"/>
      <c r="E60" s="110"/>
    </row>
    <row r="61" spans="1:5">
      <c r="A61" s="208"/>
      <c r="B61" s="109" t="s">
        <v>253</v>
      </c>
      <c r="C61" s="208"/>
      <c r="D61" s="208"/>
      <c r="E61" s="110"/>
    </row>
    <row r="62" spans="1:5">
      <c r="A62" s="87">
        <v>32</v>
      </c>
      <c r="B62" s="107"/>
      <c r="C62" s="107" t="s">
        <v>29</v>
      </c>
      <c r="D62" s="107"/>
      <c r="E62" s="111">
        <v>0</v>
      </c>
    </row>
    <row r="63" spans="1:5">
      <c r="A63" s="83">
        <v>33</v>
      </c>
      <c r="B63" s="107"/>
      <c r="C63" s="107" t="s">
        <v>254</v>
      </c>
      <c r="D63" s="107"/>
      <c r="E63" s="110">
        <v>0</v>
      </c>
    </row>
    <row r="64" spans="1:5">
      <c r="A64" s="83">
        <v>34</v>
      </c>
      <c r="B64" s="107"/>
      <c r="C64" s="107" t="s">
        <v>255</v>
      </c>
      <c r="D64" s="107"/>
      <c r="E64" s="112">
        <v>0</v>
      </c>
    </row>
    <row r="65" spans="1:5">
      <c r="A65" s="83">
        <v>35</v>
      </c>
      <c r="B65" s="107" t="s">
        <v>256</v>
      </c>
      <c r="C65" s="107"/>
      <c r="D65" s="208"/>
      <c r="E65" s="110">
        <v>0</v>
      </c>
    </row>
    <row r="66" spans="1:5">
      <c r="A66" s="83"/>
      <c r="B66" s="107"/>
      <c r="C66" s="107"/>
      <c r="D66" s="208"/>
      <c r="E66" s="110"/>
    </row>
    <row r="67" spans="1:5">
      <c r="A67" s="83"/>
      <c r="B67" s="107" t="s">
        <v>232</v>
      </c>
      <c r="C67" s="107"/>
      <c r="D67" s="107"/>
      <c r="E67" s="110"/>
    </row>
    <row r="68" spans="1:5">
      <c r="A68" s="83">
        <v>36</v>
      </c>
      <c r="B68" s="107"/>
      <c r="C68" s="107" t="s">
        <v>29</v>
      </c>
      <c r="D68" s="107"/>
      <c r="E68" s="110">
        <v>0</v>
      </c>
    </row>
    <row r="69" spans="1:5">
      <c r="A69" s="83">
        <v>37</v>
      </c>
      <c r="B69" s="107"/>
      <c r="C69" s="107" t="s">
        <v>254</v>
      </c>
      <c r="D69" s="107"/>
      <c r="E69" s="110">
        <v>0</v>
      </c>
    </row>
    <row r="70" spans="1:5">
      <c r="A70" s="83">
        <v>38</v>
      </c>
      <c r="B70" s="107"/>
      <c r="C70" s="107" t="s">
        <v>255</v>
      </c>
      <c r="D70" s="107"/>
      <c r="E70" s="112">
        <v>0</v>
      </c>
    </row>
    <row r="71" spans="1:5">
      <c r="A71" s="83">
        <v>39</v>
      </c>
      <c r="B71" s="107" t="s">
        <v>257</v>
      </c>
      <c r="C71" s="107"/>
      <c r="D71" s="208"/>
      <c r="E71" s="113">
        <v>0</v>
      </c>
    </row>
    <row r="72" spans="1:5">
      <c r="A72" s="83">
        <v>40</v>
      </c>
      <c r="B72" s="107" t="s">
        <v>258</v>
      </c>
      <c r="C72" s="107"/>
      <c r="D72" s="107"/>
      <c r="E72" s="114">
        <v>0</v>
      </c>
    </row>
    <row r="73" spans="1:5">
      <c r="A73" s="83">
        <v>41</v>
      </c>
      <c r="B73" s="115" t="s">
        <v>263</v>
      </c>
      <c r="C73" s="115"/>
      <c r="D73" s="115"/>
      <c r="E73" s="112">
        <v>0</v>
      </c>
    </row>
    <row r="74" spans="1:5">
      <c r="A74" s="83">
        <v>42</v>
      </c>
      <c r="B74" s="115" t="s">
        <v>264</v>
      </c>
      <c r="C74" s="115"/>
      <c r="D74" s="115"/>
      <c r="E74" s="114">
        <v>0</v>
      </c>
    </row>
    <row r="75" spans="1:5">
      <c r="A75" s="83">
        <v>43</v>
      </c>
      <c r="B75" s="107" t="s">
        <v>259</v>
      </c>
      <c r="C75" s="107"/>
      <c r="D75" s="107"/>
      <c r="E75" s="110">
        <v>0</v>
      </c>
    </row>
    <row r="76" spans="1:5">
      <c r="A76" s="83">
        <v>44</v>
      </c>
      <c r="B76" s="115" t="s">
        <v>260</v>
      </c>
      <c r="C76" s="115"/>
      <c r="D76" s="115"/>
      <c r="E76" s="110">
        <v>0</v>
      </c>
    </row>
    <row r="77" spans="1:5">
      <c r="A77" s="84">
        <v>45</v>
      </c>
      <c r="B77" s="115" t="s">
        <v>127</v>
      </c>
      <c r="C77" s="115"/>
      <c r="D77" s="115"/>
      <c r="E77" s="110">
        <v>0</v>
      </c>
    </row>
    <row r="78" spans="1:5">
      <c r="A78" s="84">
        <v>46</v>
      </c>
      <c r="B78" s="107" t="s">
        <v>238</v>
      </c>
      <c r="C78" s="107"/>
      <c r="D78" s="107"/>
      <c r="E78" s="112">
        <v>0</v>
      </c>
    </row>
    <row r="79" spans="1:5">
      <c r="A79" s="83"/>
      <c r="B79" s="82"/>
      <c r="C79" s="82"/>
      <c r="D79" s="82"/>
      <c r="E79" s="105"/>
    </row>
    <row r="80" spans="1:5">
      <c r="A80" s="83"/>
      <c r="B80" s="208"/>
      <c r="C80" s="208"/>
      <c r="D80" s="208"/>
      <c r="E80" s="110"/>
    </row>
    <row r="81" spans="1:5" ht="13.5" thickBot="1">
      <c r="A81" s="84">
        <v>47</v>
      </c>
      <c r="B81" s="116" t="s">
        <v>261</v>
      </c>
      <c r="C81" s="116"/>
      <c r="D81" s="116"/>
      <c r="E81" s="117">
        <v>0</v>
      </c>
    </row>
    <row r="82" spans="1:5" ht="13.5" thickTop="1">
      <c r="A82" s="80"/>
      <c r="B82" s="208"/>
      <c r="C82" s="208"/>
      <c r="D82" s="208"/>
      <c r="E82" s="110"/>
    </row>
    <row r="83" spans="1:5">
      <c r="A83" s="93"/>
      <c r="B83" s="92"/>
      <c r="C83" s="212"/>
      <c r="D83" s="212"/>
      <c r="E83" s="118"/>
    </row>
    <row r="84" spans="1:5">
      <c r="A84" s="91"/>
      <c r="B84" s="92"/>
      <c r="C84" s="212"/>
      <c r="D84" s="212"/>
      <c r="E84" s="118"/>
    </row>
    <row r="85" spans="1:5">
      <c r="A85" s="212"/>
      <c r="B85" s="212"/>
      <c r="C85" s="212"/>
      <c r="D85" s="212"/>
      <c r="E85" s="118"/>
    </row>
    <row r="131" spans="1:3" ht="13.5" thickBot="1">
      <c r="A131" s="228"/>
      <c r="C131" s="237"/>
    </row>
    <row r="132" spans="1:3" ht="13.5" thickTop="1">
      <c r="A132" s="231"/>
      <c r="C132" s="231"/>
    </row>
    <row r="133" spans="1:3">
      <c r="A133" s="233"/>
      <c r="C133" s="241"/>
    </row>
  </sheetData>
  <pageMargins left="0.7" right="0.7" top="0.75" bottom="0.75" header="0.3" footer="0.3"/>
  <pageSetup orientation="portrait" r:id="rId1"/>
  <headerFooter>
    <oddHeader xml:space="preserve">&amp;CConfidential per Protective Order in UTC Dockets UE-120436 and UG-120437&amp;R
Exhibit No. ___ (MDF-3C)
Page &amp;P
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133"/>
  <sheetViews>
    <sheetView zoomScaleNormal="100" workbookViewId="0">
      <selection activeCell="D202" sqref="D202"/>
    </sheetView>
  </sheetViews>
  <sheetFormatPr defaultColWidth="10.7109375" defaultRowHeight="12"/>
  <cols>
    <col min="1" max="1" width="3.140625" style="4" customWidth="1"/>
    <col min="2" max="3" width="10.7109375" style="4" customWidth="1"/>
    <col min="4" max="4" width="5.85546875" style="4" customWidth="1"/>
    <col min="5" max="5" width="11.28515625" style="4" customWidth="1"/>
    <col min="6" max="8" width="10.7109375" style="4" customWidth="1"/>
    <col min="9" max="9" width="11.85546875" style="4" customWidth="1"/>
    <col min="10" max="10" width="0.7109375" style="4" customWidth="1"/>
    <col min="11" max="11" width="10.7109375" style="4" customWidth="1"/>
    <col min="12" max="12" width="19.28515625" style="4" customWidth="1"/>
    <col min="13" max="13" width="8" style="9" customWidth="1"/>
    <col min="14" max="16384" width="10.7109375" style="4"/>
  </cols>
  <sheetData>
    <row r="1" spans="1:19">
      <c r="A1" s="1" t="s">
        <v>0</v>
      </c>
      <c r="B1" s="2"/>
      <c r="C1" s="2"/>
      <c r="D1" s="3"/>
      <c r="E1" s="3"/>
      <c r="F1" s="3"/>
      <c r="G1" s="2"/>
      <c r="H1" s="2"/>
      <c r="I1" s="2"/>
      <c r="K1" s="1" t="s">
        <v>0</v>
      </c>
      <c r="L1" s="2"/>
      <c r="M1" s="3"/>
      <c r="N1" s="3"/>
      <c r="O1" s="3"/>
      <c r="P1" s="2"/>
      <c r="Q1" s="4" t="s">
        <v>1</v>
      </c>
      <c r="R1" s="4" t="s">
        <v>2</v>
      </c>
      <c r="S1" s="4" t="s">
        <v>3</v>
      </c>
    </row>
    <row r="2" spans="1:19">
      <c r="A2" s="2"/>
      <c r="B2" s="6"/>
      <c r="C2" s="2"/>
      <c r="D2" s="3"/>
      <c r="E2" s="3"/>
      <c r="F2" s="3"/>
      <c r="G2" s="2"/>
      <c r="H2" s="2"/>
      <c r="I2" s="2"/>
      <c r="K2" s="2"/>
      <c r="L2" s="2"/>
      <c r="M2" s="3"/>
      <c r="N2" s="3"/>
      <c r="O2" s="3"/>
      <c r="P2" s="2"/>
      <c r="R2" s="4" t="s">
        <v>4</v>
      </c>
      <c r="S2" s="4" t="s">
        <v>5</v>
      </c>
    </row>
    <row r="3" spans="1:19">
      <c r="A3" s="2" t="s">
        <v>6</v>
      </c>
      <c r="B3" s="2"/>
      <c r="C3" s="2"/>
      <c r="D3" s="3"/>
      <c r="E3" s="3"/>
      <c r="F3" s="3"/>
      <c r="G3" s="2"/>
      <c r="H3" s="2"/>
      <c r="I3" s="2"/>
      <c r="K3" s="2" t="s">
        <v>7</v>
      </c>
      <c r="L3" s="2"/>
      <c r="M3" s="3"/>
      <c r="N3" s="3"/>
      <c r="O3" s="3"/>
      <c r="P3" s="2"/>
      <c r="R3" s="4" t="s">
        <v>2</v>
      </c>
      <c r="S3" s="4" t="s">
        <v>8</v>
      </c>
    </row>
    <row r="4" spans="1:19">
      <c r="A4" s="7" t="s">
        <v>9</v>
      </c>
      <c r="B4" s="7"/>
      <c r="C4" s="2"/>
      <c r="D4" s="3"/>
      <c r="E4" s="3"/>
      <c r="F4" s="3"/>
      <c r="G4" s="2"/>
      <c r="H4" s="2"/>
      <c r="I4" s="2"/>
      <c r="K4" s="7" t="str">
        <f>A4</f>
        <v>For the Twelve Months Ended December 31, 2011</v>
      </c>
      <c r="L4" s="2"/>
      <c r="M4" s="3"/>
      <c r="N4" s="3"/>
      <c r="O4" s="3"/>
      <c r="P4" s="2"/>
    </row>
    <row r="5" spans="1:19" ht="15.75">
      <c r="A5" s="2"/>
      <c r="B5" s="2"/>
      <c r="C5" s="8"/>
      <c r="D5" s="8"/>
      <c r="E5" s="8"/>
      <c r="F5" s="8"/>
      <c r="G5" s="2"/>
      <c r="H5" s="2"/>
      <c r="I5" s="2"/>
      <c r="Q5" s="98"/>
    </row>
    <row r="7" spans="1:19">
      <c r="H7" s="10"/>
      <c r="I7" s="10"/>
    </row>
    <row r="8" spans="1:19">
      <c r="E8" s="9" t="s">
        <v>10</v>
      </c>
      <c r="F8" s="9" t="s">
        <v>11</v>
      </c>
      <c r="G8" s="9" t="s">
        <v>12</v>
      </c>
      <c r="H8" s="11"/>
      <c r="I8" s="11"/>
      <c r="N8" s="9" t="s">
        <v>10</v>
      </c>
      <c r="O8" s="9" t="s">
        <v>11</v>
      </c>
      <c r="P8" s="9" t="s">
        <v>12</v>
      </c>
    </row>
    <row r="9" spans="1:19">
      <c r="E9" s="12"/>
      <c r="F9" s="12"/>
      <c r="G9" s="12"/>
      <c r="H9" s="13"/>
      <c r="I9" s="13"/>
    </row>
    <row r="10" spans="1:19">
      <c r="A10" s="4" t="s">
        <v>13</v>
      </c>
      <c r="B10" s="14"/>
      <c r="H10" s="10"/>
      <c r="I10" s="10"/>
      <c r="K10" s="4" t="s">
        <v>13</v>
      </c>
      <c r="N10" s="15"/>
      <c r="O10" s="15"/>
      <c r="P10" s="15"/>
    </row>
    <row r="11" spans="1:19" ht="12.75" thickBot="1">
      <c r="B11" s="14"/>
      <c r="H11" s="10"/>
      <c r="I11" s="10"/>
    </row>
    <row r="12" spans="1:19" ht="13.5" thickTop="1" thickBot="1">
      <c r="A12" s="14"/>
      <c r="B12" s="4" t="s">
        <v>14</v>
      </c>
      <c r="C12" s="14"/>
      <c r="E12" s="16">
        <f>E77</f>
        <v>2081376</v>
      </c>
      <c r="F12" s="66">
        <f>F77</f>
        <v>1356225</v>
      </c>
      <c r="G12" s="16">
        <f>G77</f>
        <v>725151.42479999992</v>
      </c>
      <c r="H12" s="17"/>
      <c r="I12" s="17"/>
      <c r="K12" s="4" t="s">
        <v>15</v>
      </c>
      <c r="N12" s="16">
        <f>N66</f>
        <v>32291</v>
      </c>
      <c r="O12" s="66">
        <f>O66</f>
        <v>22410</v>
      </c>
      <c r="P12" s="16">
        <f>P66</f>
        <v>9881</v>
      </c>
    </row>
    <row r="13" spans="1:19" ht="13.5" thickTop="1" thickBot="1">
      <c r="A13" s="14"/>
      <c r="C13" s="14"/>
      <c r="E13" s="16"/>
      <c r="F13" s="16"/>
      <c r="G13" s="16"/>
      <c r="H13" s="17"/>
      <c r="I13" s="17"/>
      <c r="N13" s="16"/>
      <c r="O13" s="16"/>
      <c r="P13" s="16"/>
    </row>
    <row r="14" spans="1:19" ht="13.5" thickTop="1" thickBot="1">
      <c r="A14" s="14"/>
      <c r="B14" s="4" t="s">
        <v>16</v>
      </c>
      <c r="C14" s="14"/>
      <c r="E14" s="16">
        <f>E78</f>
        <v>1025068</v>
      </c>
      <c r="F14" s="66">
        <f>F78</f>
        <v>679212</v>
      </c>
      <c r="G14" s="16">
        <f>G78</f>
        <v>345856</v>
      </c>
      <c r="H14" s="17"/>
      <c r="I14" s="17"/>
      <c r="K14" s="4" t="s">
        <v>17</v>
      </c>
      <c r="N14" s="16">
        <f>N67</f>
        <v>457103</v>
      </c>
      <c r="O14" s="66">
        <f>O67</f>
        <v>314378</v>
      </c>
      <c r="P14" s="16">
        <f>P67</f>
        <v>142725</v>
      </c>
    </row>
    <row r="15" spans="1:19" ht="13.5" thickTop="1" thickBot="1">
      <c r="A15" s="14"/>
      <c r="C15" s="14"/>
      <c r="E15" s="16"/>
      <c r="F15" s="16"/>
      <c r="G15" s="16"/>
      <c r="H15" s="17"/>
      <c r="I15" s="17"/>
      <c r="N15" s="16"/>
      <c r="O15" s="16"/>
      <c r="P15" s="16"/>
    </row>
    <row r="16" spans="1:19" s="14" customFormat="1" ht="13.5" thickTop="1" thickBot="1">
      <c r="B16" s="14" t="s">
        <v>18</v>
      </c>
      <c r="E16" s="16">
        <f>E79</f>
        <v>20653</v>
      </c>
      <c r="F16" s="66">
        <f>F79</f>
        <v>13712</v>
      </c>
      <c r="G16" s="16">
        <f>G79</f>
        <v>6941</v>
      </c>
      <c r="H16" s="17"/>
      <c r="I16" s="17"/>
      <c r="K16" s="4" t="s">
        <v>19</v>
      </c>
      <c r="L16" s="4"/>
      <c r="M16" s="9"/>
      <c r="N16" s="16">
        <f>N68</f>
        <v>6825</v>
      </c>
      <c r="O16" s="66">
        <f>O68</f>
        <v>4676</v>
      </c>
      <c r="P16" s="16">
        <f>P68</f>
        <v>2149</v>
      </c>
    </row>
    <row r="17" spans="1:16" ht="12.75" thickTop="1">
      <c r="B17" s="14"/>
      <c r="E17" s="16"/>
      <c r="F17" s="16"/>
      <c r="G17" s="16"/>
      <c r="H17" s="17"/>
      <c r="I17" s="17"/>
      <c r="N17" s="16"/>
      <c r="O17" s="16"/>
      <c r="P17" s="16"/>
    </row>
    <row r="18" spans="1:16">
      <c r="A18" s="4" t="s">
        <v>20</v>
      </c>
      <c r="B18" s="14"/>
      <c r="C18" s="19">
        <v>1.5093000000000001E-2</v>
      </c>
      <c r="E18" s="16">
        <f>F18+G18+H18</f>
        <v>-16269.4755755064</v>
      </c>
      <c r="F18" s="16"/>
      <c r="G18" s="16">
        <f>-(G12+G14+G16)*C18</f>
        <v>-16269.4755755064</v>
      </c>
      <c r="H18" s="17"/>
      <c r="I18" s="17"/>
      <c r="K18" s="4" t="s">
        <v>20</v>
      </c>
      <c r="L18" s="19">
        <f>C18</f>
        <v>1.5093000000000001E-2</v>
      </c>
      <c r="N18" s="20">
        <f>O18+P18</f>
        <v>-2335.7172150000001</v>
      </c>
      <c r="O18" s="20"/>
      <c r="P18" s="20">
        <f>(P12+P14+P16)*-L18</f>
        <v>-2335.7172150000001</v>
      </c>
    </row>
    <row r="19" spans="1:16">
      <c r="B19" s="14"/>
      <c r="C19" s="21"/>
      <c r="E19" s="22"/>
      <c r="F19" s="22"/>
      <c r="G19" s="22"/>
      <c r="H19" s="17"/>
      <c r="I19" s="17"/>
      <c r="N19" s="16"/>
      <c r="O19" s="16"/>
      <c r="P19" s="16"/>
    </row>
    <row r="20" spans="1:16">
      <c r="A20" s="4" t="s">
        <v>21</v>
      </c>
      <c r="B20" s="14"/>
      <c r="E20" s="16">
        <f>F20+G20</f>
        <v>3110827.9492244935</v>
      </c>
      <c r="F20" s="16">
        <f>SUM(F12:F18)</f>
        <v>2049149</v>
      </c>
      <c r="G20" s="16">
        <f>SUM(G12:G18)</f>
        <v>1061678.9492244935</v>
      </c>
      <c r="H20" s="17"/>
      <c r="I20" s="17"/>
      <c r="K20" s="4" t="s">
        <v>21</v>
      </c>
      <c r="N20" s="20">
        <f>O20+P20</f>
        <v>493883.28278499999</v>
      </c>
      <c r="O20" s="20">
        <f>SUM(O12:O18)</f>
        <v>341464</v>
      </c>
      <c r="P20" s="20">
        <f>SUM(P12:P18)</f>
        <v>152419.28278499999</v>
      </c>
    </row>
    <row r="21" spans="1:16">
      <c r="B21" s="14"/>
      <c r="E21" s="20"/>
      <c r="F21" s="20"/>
      <c r="G21" s="20"/>
      <c r="H21" s="17"/>
      <c r="I21" s="17"/>
      <c r="N21" s="16"/>
      <c r="O21" s="16"/>
      <c r="P21" s="16"/>
    </row>
    <row r="22" spans="1:16">
      <c r="A22" s="4" t="s">
        <v>22</v>
      </c>
      <c r="B22" s="14"/>
      <c r="E22" s="16">
        <f>F22+G22</f>
        <v>-3110827.9492244935</v>
      </c>
      <c r="F22" s="16">
        <f>-F20</f>
        <v>-2049149</v>
      </c>
      <c r="G22" s="16">
        <f>-G20</f>
        <v>-1061678.9492244935</v>
      </c>
      <c r="H22" s="17"/>
      <c r="I22" s="17"/>
      <c r="K22" s="4" t="s">
        <v>22</v>
      </c>
      <c r="N22" s="16">
        <f>O22+P22</f>
        <v>-493883.28278499999</v>
      </c>
      <c r="O22" s="16">
        <f>-O20</f>
        <v>-341464</v>
      </c>
      <c r="P22" s="16">
        <f>-P20</f>
        <v>-152419.28278499999</v>
      </c>
    </row>
    <row r="23" spans="1:16">
      <c r="B23" s="14"/>
      <c r="E23" s="16"/>
      <c r="F23" s="16"/>
      <c r="G23" s="16"/>
      <c r="H23" s="17"/>
      <c r="I23" s="17"/>
      <c r="N23" s="16"/>
      <c r="O23" s="16"/>
      <c r="P23" s="16"/>
    </row>
    <row r="24" spans="1:16">
      <c r="A24" s="4" t="s">
        <v>23</v>
      </c>
      <c r="B24" s="14"/>
      <c r="C24" s="23">
        <v>0.35</v>
      </c>
      <c r="E24" s="16">
        <f>F24+G24+H24</f>
        <v>-1088789.7822285725</v>
      </c>
      <c r="F24" s="16">
        <f>F22*C24</f>
        <v>-717202.14999999991</v>
      </c>
      <c r="G24" s="16">
        <f>G22*C24</f>
        <v>-371587.63222857268</v>
      </c>
      <c r="H24" s="17"/>
      <c r="I24" s="17"/>
      <c r="K24" s="4" t="s">
        <v>23</v>
      </c>
      <c r="L24" s="23">
        <v>0.35</v>
      </c>
      <c r="N24" s="20">
        <f>O24+P24</f>
        <v>-172859.14897474999</v>
      </c>
      <c r="O24" s="20">
        <f>O22*L24</f>
        <v>-119512.4</v>
      </c>
      <c r="P24" s="20">
        <f>P22*L24</f>
        <v>-53346.748974749993</v>
      </c>
    </row>
    <row r="25" spans="1:16">
      <c r="B25" s="14"/>
      <c r="E25" s="20"/>
      <c r="F25" s="20"/>
      <c r="G25" s="20"/>
      <c r="H25" s="17"/>
      <c r="I25" s="17"/>
      <c r="N25" s="16"/>
      <c r="O25" s="16"/>
      <c r="P25" s="16"/>
    </row>
    <row r="26" spans="1:16">
      <c r="A26" s="4" t="s">
        <v>24</v>
      </c>
      <c r="B26" s="14"/>
      <c r="E26" s="16">
        <f>F26+G26+H26</f>
        <v>-2022038.1669959209</v>
      </c>
      <c r="F26" s="16">
        <f>F22-F24</f>
        <v>-1331946.8500000001</v>
      </c>
      <c r="G26" s="16">
        <f>G22-G24</f>
        <v>-690091.31699592085</v>
      </c>
      <c r="H26" s="17"/>
      <c r="I26" s="17"/>
      <c r="K26" s="4" t="s">
        <v>24</v>
      </c>
      <c r="N26" s="16">
        <f>O26+P26</f>
        <v>-321024.13381024997</v>
      </c>
      <c r="O26" s="16">
        <f>O22-O24</f>
        <v>-221951.6</v>
      </c>
      <c r="P26" s="16">
        <f>P22-P24</f>
        <v>-99072.533810249995</v>
      </c>
    </row>
    <row r="27" spans="1:16">
      <c r="B27" s="14"/>
      <c r="E27" s="16"/>
      <c r="F27" s="16"/>
      <c r="G27" s="16"/>
      <c r="H27" s="17"/>
      <c r="I27" s="17"/>
      <c r="N27" s="16"/>
      <c r="O27" s="16"/>
      <c r="P27" s="16"/>
    </row>
    <row r="29" spans="1:16">
      <c r="A29" s="14"/>
      <c r="H29" s="24"/>
      <c r="I29" s="24"/>
    </row>
    <row r="30" spans="1:16">
      <c r="A30" s="14"/>
      <c r="H30" s="25"/>
      <c r="I30" s="25"/>
    </row>
    <row r="31" spans="1:16">
      <c r="A31" s="26"/>
      <c r="E31" s="1" t="s">
        <v>0</v>
      </c>
      <c r="F31" s="14"/>
      <c r="K31" s="1" t="s">
        <v>0</v>
      </c>
      <c r="L31" s="2"/>
      <c r="M31" s="3"/>
      <c r="N31" s="3"/>
      <c r="O31" s="3"/>
      <c r="P31" s="2"/>
    </row>
    <row r="32" spans="1:16">
      <c r="A32" s="27"/>
      <c r="B32" s="27"/>
      <c r="C32" s="28"/>
      <c r="E32" s="9"/>
      <c r="F32" s="14"/>
      <c r="K32" s="2"/>
      <c r="L32" s="2"/>
      <c r="M32" s="3"/>
      <c r="N32" s="3"/>
      <c r="O32" s="3"/>
      <c r="P32" s="2"/>
    </row>
    <row r="33" spans="1:16">
      <c r="C33" s="28"/>
      <c r="E33" s="9" t="s">
        <v>6</v>
      </c>
      <c r="F33" s="14"/>
      <c r="K33" s="2" t="s">
        <v>7</v>
      </c>
      <c r="L33" s="2"/>
      <c r="M33" s="3"/>
      <c r="N33" s="3"/>
      <c r="O33" s="3"/>
      <c r="P33" s="2"/>
    </row>
    <row r="34" spans="1:16">
      <c r="E34" s="29" t="str">
        <f>A4</f>
        <v>For the Twelve Months Ended December 31, 2011</v>
      </c>
      <c r="F34" s="14"/>
      <c r="K34" s="7" t="str">
        <f>K4</f>
        <v>For the Twelve Months Ended December 31, 2011</v>
      </c>
      <c r="L34" s="2"/>
      <c r="M34" s="3"/>
      <c r="N34" s="3"/>
      <c r="O34" s="3"/>
      <c r="P34" s="2"/>
    </row>
    <row r="36" spans="1:16">
      <c r="A36" s="10" t="s">
        <v>25</v>
      </c>
      <c r="B36" s="14"/>
      <c r="K36" s="4" t="str">
        <f>A36</f>
        <v>Functionalization based on Plant Balances at 12/31/2009</v>
      </c>
    </row>
    <row r="37" spans="1:16">
      <c r="B37" s="14"/>
      <c r="E37" s="11" t="s">
        <v>10</v>
      </c>
      <c r="F37" s="11" t="s">
        <v>11</v>
      </c>
      <c r="G37" s="11" t="s">
        <v>12</v>
      </c>
      <c r="H37" s="11" t="s">
        <v>26</v>
      </c>
      <c r="I37" s="11" t="s">
        <v>27</v>
      </c>
      <c r="N37" s="9" t="s">
        <v>10</v>
      </c>
      <c r="O37" s="9" t="s">
        <v>11</v>
      </c>
      <c r="P37" s="9" t="s">
        <v>12</v>
      </c>
    </row>
    <row r="38" spans="1:16">
      <c r="A38" s="10" t="s">
        <v>28</v>
      </c>
      <c r="B38" s="14"/>
      <c r="E38" s="16">
        <f>SUM(F38:I38)</f>
        <v>1544846</v>
      </c>
      <c r="F38" s="16">
        <f>ROUND(F$43*F46,0)</f>
        <v>292061</v>
      </c>
      <c r="G38" s="16">
        <f t="shared" ref="F38:H41" si="0">ROUND(G$43*G46,0)</f>
        <v>142666</v>
      </c>
      <c r="H38" s="16">
        <f t="shared" si="0"/>
        <v>1025970</v>
      </c>
      <c r="I38" s="16">
        <f>ROUND(I$43*I46,0)</f>
        <v>84149</v>
      </c>
      <c r="K38" s="4" t="s">
        <v>29</v>
      </c>
      <c r="N38" s="16">
        <f>O38+P38</f>
        <v>32291</v>
      </c>
      <c r="O38" s="16">
        <f>ROUND(O$42*O45,0)</f>
        <v>23618</v>
      </c>
      <c r="P38" s="16">
        <f t="shared" ref="O38:P40" si="1">ROUND(P$42*P45,0)</f>
        <v>8673</v>
      </c>
    </row>
    <row r="39" spans="1:16">
      <c r="A39" s="10" t="s">
        <v>30</v>
      </c>
      <c r="B39" s="14"/>
      <c r="E39" s="16">
        <f>SUM(F39:I39)</f>
        <v>536530</v>
      </c>
      <c r="F39" s="16">
        <f t="shared" si="0"/>
        <v>261861</v>
      </c>
      <c r="G39" s="16">
        <f t="shared" si="0"/>
        <v>143057</v>
      </c>
      <c r="H39" s="16">
        <f t="shared" si="0"/>
        <v>127043</v>
      </c>
      <c r="I39" s="16">
        <f>ROUND(I$43*I47,0)</f>
        <v>4569</v>
      </c>
      <c r="K39" s="4" t="s">
        <v>16</v>
      </c>
      <c r="N39" s="16">
        <f>O39+P39</f>
        <v>457103</v>
      </c>
      <c r="O39" s="16">
        <f>ROUND(O$42*O46,0)</f>
        <v>314378</v>
      </c>
      <c r="P39" s="16">
        <f t="shared" si="1"/>
        <v>142725</v>
      </c>
    </row>
    <row r="40" spans="1:16">
      <c r="A40" s="10" t="s">
        <v>16</v>
      </c>
      <c r="B40" s="14"/>
      <c r="E40" s="16">
        <f>SUM(F40:I40)</f>
        <v>1025068</v>
      </c>
      <c r="F40" s="16">
        <f>ROUND(F$43*F48,0)</f>
        <v>679212</v>
      </c>
      <c r="G40" s="16">
        <f>ROUND(G$43*G48,0)</f>
        <v>345382</v>
      </c>
      <c r="H40" s="16">
        <f t="shared" si="0"/>
        <v>474</v>
      </c>
      <c r="I40" s="16">
        <f>ROUND(I$43*I48,0)</f>
        <v>0</v>
      </c>
      <c r="K40" s="4" t="s">
        <v>18</v>
      </c>
      <c r="N40" s="16">
        <f>O40+P40</f>
        <v>6825</v>
      </c>
      <c r="O40" s="16">
        <f t="shared" si="1"/>
        <v>4183</v>
      </c>
      <c r="P40" s="16">
        <f t="shared" si="1"/>
        <v>2642</v>
      </c>
    </row>
    <row r="41" spans="1:16">
      <c r="A41" s="30" t="s">
        <v>18</v>
      </c>
      <c r="B41" s="14"/>
      <c r="E41" s="16">
        <f>SUM(F41:I41)</f>
        <v>20653</v>
      </c>
      <c r="F41" s="16">
        <f>ROUND(F$43*F49,0)</f>
        <v>10634</v>
      </c>
      <c r="G41" s="16">
        <f t="shared" si="0"/>
        <v>10019</v>
      </c>
      <c r="H41" s="16">
        <f t="shared" si="0"/>
        <v>0</v>
      </c>
      <c r="I41" s="16">
        <f>ROUND(I$43*I49,0)</f>
        <v>0</v>
      </c>
      <c r="N41" s="22"/>
      <c r="O41" s="22"/>
      <c r="P41" s="22"/>
    </row>
    <row r="42" spans="1:16">
      <c r="A42" s="14"/>
      <c r="B42" s="14"/>
      <c r="E42" s="22"/>
      <c r="F42" s="22"/>
      <c r="G42" s="22"/>
      <c r="H42" s="22"/>
      <c r="I42" s="22"/>
      <c r="K42" s="4" t="s">
        <v>31</v>
      </c>
      <c r="M42" s="120" t="s">
        <v>76</v>
      </c>
      <c r="N42" s="16">
        <f>O42+P42</f>
        <v>496219.05000000005</v>
      </c>
      <c r="O42" s="17">
        <f>'C-PT-1'!F11</f>
        <v>342179.24000000022</v>
      </c>
      <c r="P42" s="17">
        <f>'C-PT-1'!F16</f>
        <v>154039.80999999982</v>
      </c>
    </row>
    <row r="43" spans="1:16">
      <c r="A43" s="14"/>
      <c r="B43" s="10" t="s">
        <v>31</v>
      </c>
      <c r="D43" s="120" t="s">
        <v>76</v>
      </c>
      <c r="E43" s="16">
        <f>SUM(F43:I43)</f>
        <v>3127095.7399999993</v>
      </c>
      <c r="F43" s="17">
        <f>'C-PT-1'!E11</f>
        <v>1243767.379999999</v>
      </c>
      <c r="G43" s="17">
        <f>'C-PT-1'!E16</f>
        <v>641122.37000000011</v>
      </c>
      <c r="H43" s="17">
        <f>'C-PT-1'!E21</f>
        <v>1153488.08</v>
      </c>
      <c r="I43" s="17">
        <f>'C-PT-1'!E28</f>
        <v>88717.909999999916</v>
      </c>
    </row>
    <row r="44" spans="1:16">
      <c r="B44" s="14"/>
      <c r="K44" s="4" t="s">
        <v>32</v>
      </c>
    </row>
    <row r="45" spans="1:16">
      <c r="A45" s="10" t="s">
        <v>32</v>
      </c>
      <c r="B45" s="14"/>
      <c r="K45" s="4" t="s">
        <v>29</v>
      </c>
      <c r="M45" s="31"/>
      <c r="N45" s="32"/>
      <c r="O45" s="33">
        <f>20046963/290443556</f>
        <v>6.9021889402841499E-2</v>
      </c>
      <c r="P45" s="33">
        <f>8839151/156996981</f>
        <v>5.6301407477383277E-2</v>
      </c>
    </row>
    <row r="46" spans="1:16">
      <c r="A46" s="10" t="s">
        <v>28</v>
      </c>
      <c r="B46" s="14"/>
      <c r="E46" s="32"/>
      <c r="F46" s="36">
        <f>268895797/1145118031</f>
        <v>0.23481928475545941</v>
      </c>
      <c r="G46" s="36">
        <f>163723165/735753056</f>
        <v>0.22252461429123849</v>
      </c>
      <c r="H46" s="36">
        <f>465535485/523396829</f>
        <v>0.88945033520636785</v>
      </c>
      <c r="I46" s="36">
        <f>161403740/170166505</f>
        <v>0.94850476008777407</v>
      </c>
      <c r="K46" s="4" t="s">
        <v>16</v>
      </c>
      <c r="N46" s="32"/>
      <c r="O46" s="33">
        <f>266845782/290443556</f>
        <v>0.91875263364424586</v>
      </c>
      <c r="P46" s="33">
        <f>145465343/156996981</f>
        <v>0.92654866401539271</v>
      </c>
    </row>
    <row r="47" spans="1:16">
      <c r="A47" s="10" t="s">
        <v>30</v>
      </c>
      <c r="B47" s="14"/>
      <c r="E47" s="32"/>
      <c r="F47" s="36">
        <f>241091830/1145118031</f>
        <v>0.21053884706492759</v>
      </c>
      <c r="G47" s="36">
        <f>164172213/735753056</f>
        <v>0.22313493863354064</v>
      </c>
      <c r="H47" s="36">
        <f>57646154/523396829</f>
        <v>0.11013852359430325</v>
      </c>
      <c r="I47" s="36">
        <f>8762765/170166505</f>
        <v>5.1495239912225967E-2</v>
      </c>
      <c r="K47" s="4" t="s">
        <v>18</v>
      </c>
      <c r="N47" s="32"/>
      <c r="O47" s="33">
        <f>3550811/290443556</f>
        <v>1.2225476952912668E-2</v>
      </c>
      <c r="P47" s="33">
        <f>2692487/156996981</f>
        <v>1.7149928507223969E-2</v>
      </c>
    </row>
    <row r="48" spans="1:16">
      <c r="A48" s="10" t="s">
        <v>16</v>
      </c>
      <c r="B48" s="14"/>
      <c r="E48" s="32"/>
      <c r="F48" s="36">
        <f>625340246/1145118031</f>
        <v>0.54609239316047409</v>
      </c>
      <c r="G48" s="36">
        <f>396360366/735753056</f>
        <v>0.53871385618818279</v>
      </c>
      <c r="H48" s="36">
        <f>215190/523396829</f>
        <v>4.111411993288939E-4</v>
      </c>
      <c r="I48" s="36">
        <v>0</v>
      </c>
      <c r="O48" s="33"/>
      <c r="P48" s="33"/>
    </row>
    <row r="49" spans="1:16">
      <c r="A49" s="10" t="s">
        <v>18</v>
      </c>
      <c r="B49" s="14"/>
      <c r="E49" s="32"/>
      <c r="F49" s="36">
        <f>9790158/1145118031</f>
        <v>8.5494750191388788E-3</v>
      </c>
      <c r="G49" s="36">
        <f>11497312/735753056</f>
        <v>1.5626590887038057E-2</v>
      </c>
      <c r="H49" s="36">
        <v>0</v>
      </c>
      <c r="I49" s="36">
        <v>0</v>
      </c>
      <c r="K49" s="4" t="s">
        <v>33</v>
      </c>
      <c r="O49" s="33">
        <f>SUM(O45:O48)</f>
        <v>1</v>
      </c>
      <c r="P49" s="33">
        <f>SUM(P45:P48)</f>
        <v>1</v>
      </c>
    </row>
    <row r="50" spans="1:16">
      <c r="B50" s="14"/>
      <c r="F50" s="33"/>
      <c r="G50" s="33"/>
      <c r="H50" s="33"/>
      <c r="I50" s="33"/>
    </row>
    <row r="51" spans="1:16">
      <c r="A51" s="14"/>
      <c r="B51" s="10" t="s">
        <v>31</v>
      </c>
      <c r="F51" s="33">
        <f>SUM(F46:F49)</f>
        <v>0.99999999999999989</v>
      </c>
      <c r="G51" s="33">
        <f>SUM(G46:G49)</f>
        <v>1</v>
      </c>
      <c r="H51" s="33">
        <f>SUM(H46:H49)</f>
        <v>1</v>
      </c>
      <c r="I51" s="33">
        <f>SUM(I46:I49)</f>
        <v>1</v>
      </c>
      <c r="M51" s="9" t="s">
        <v>34</v>
      </c>
    </row>
    <row r="52" spans="1:16">
      <c r="B52" s="14"/>
      <c r="M52" s="4"/>
    </row>
    <row r="53" spans="1:16">
      <c r="A53" s="4" t="s">
        <v>35</v>
      </c>
      <c r="B53" s="14"/>
      <c r="M53" s="4"/>
    </row>
    <row r="54" spans="1:16">
      <c r="B54" s="14"/>
      <c r="M54" s="9" t="s">
        <v>36</v>
      </c>
      <c r="N54" s="9" t="s">
        <v>10</v>
      </c>
      <c r="O54" s="9" t="s">
        <v>11</v>
      </c>
      <c r="P54" s="9" t="s">
        <v>12</v>
      </c>
    </row>
    <row r="55" spans="1:16">
      <c r="B55" s="14"/>
      <c r="E55" s="10" t="s">
        <v>10</v>
      </c>
      <c r="F55" s="10" t="s">
        <v>11</v>
      </c>
      <c r="G55" s="11" t="s">
        <v>12</v>
      </c>
      <c r="K55" s="4" t="s">
        <v>37</v>
      </c>
      <c r="M55" s="31"/>
    </row>
    <row r="56" spans="1:16">
      <c r="A56" s="10" t="s">
        <v>37</v>
      </c>
      <c r="B56" s="14"/>
      <c r="D56" s="31"/>
      <c r="K56" s="4" t="s">
        <v>38</v>
      </c>
      <c r="M56" s="31" t="s">
        <v>39</v>
      </c>
      <c r="N56" s="16">
        <f>O38</f>
        <v>23618</v>
      </c>
      <c r="O56" s="16">
        <f>ROUND($N56*O72,0)</f>
        <v>16391</v>
      </c>
      <c r="P56" s="16">
        <f>ROUND($N56*P72,0)</f>
        <v>7227</v>
      </c>
    </row>
    <row r="57" spans="1:16">
      <c r="A57" s="14"/>
      <c r="B57" s="10" t="s">
        <v>14</v>
      </c>
      <c r="C57" s="14"/>
      <c r="D57" s="34">
        <v>1</v>
      </c>
      <c r="E57" s="16">
        <f>F38+F39</f>
        <v>553922</v>
      </c>
      <c r="F57" s="16">
        <f>ROUND($E57*F83,0)</f>
        <v>360936</v>
      </c>
      <c r="G57" s="16">
        <f>$E57*G83</f>
        <v>192986.42479999998</v>
      </c>
      <c r="H57" s="16"/>
      <c r="I57" s="16"/>
      <c r="K57" s="4" t="s">
        <v>40</v>
      </c>
      <c r="M57" s="31">
        <v>99</v>
      </c>
      <c r="N57" s="16">
        <f>O39</f>
        <v>314378</v>
      </c>
      <c r="O57" s="16">
        <f>O39</f>
        <v>314378</v>
      </c>
      <c r="P57" s="16">
        <v>0</v>
      </c>
    </row>
    <row r="58" spans="1:16">
      <c r="A58" s="14"/>
      <c r="B58" s="10" t="s">
        <v>16</v>
      </c>
      <c r="C58" s="14"/>
      <c r="D58" s="34">
        <v>99</v>
      </c>
      <c r="E58" s="16">
        <f>F40</f>
        <v>679212</v>
      </c>
      <c r="F58" s="16">
        <f>F40</f>
        <v>679212</v>
      </c>
      <c r="G58" s="17">
        <v>0</v>
      </c>
      <c r="H58" s="16"/>
      <c r="I58" s="16"/>
      <c r="K58" s="4" t="s">
        <v>41</v>
      </c>
      <c r="M58" s="31">
        <v>4</v>
      </c>
      <c r="N58" s="20">
        <f>O40</f>
        <v>4183</v>
      </c>
      <c r="O58" s="20">
        <f>ROUND($N58*O73,0)</f>
        <v>2866</v>
      </c>
      <c r="P58" s="20">
        <f>ROUND($N58*P73,0)</f>
        <v>1317</v>
      </c>
    </row>
    <row r="59" spans="1:16">
      <c r="A59" s="14"/>
      <c r="B59" s="10" t="s">
        <v>18</v>
      </c>
      <c r="C59" s="14"/>
      <c r="D59" s="34">
        <v>4</v>
      </c>
      <c r="E59" s="16">
        <f>F41</f>
        <v>10634</v>
      </c>
      <c r="F59" s="16">
        <f>ROUND($E59*F84,0)</f>
        <v>7060</v>
      </c>
      <c r="G59" s="16">
        <f>ROUND($E59*G84,0)</f>
        <v>3574</v>
      </c>
      <c r="H59" s="16"/>
      <c r="I59" s="16"/>
      <c r="K59" s="4" t="s">
        <v>42</v>
      </c>
      <c r="M59" s="31"/>
      <c r="N59" s="16">
        <f>SUM(N56:N58)</f>
        <v>342179</v>
      </c>
      <c r="O59" s="16">
        <f>SUM(O56:O58)</f>
        <v>333635</v>
      </c>
      <c r="P59" s="16">
        <f>SUM(P56:P58)</f>
        <v>8544</v>
      </c>
    </row>
    <row r="60" spans="1:16">
      <c r="A60" s="10" t="s">
        <v>34</v>
      </c>
      <c r="B60" s="35" t="s">
        <v>31</v>
      </c>
      <c r="D60" s="31"/>
      <c r="E60" s="22">
        <f>SUM(E57:E59)</f>
        <v>1243768</v>
      </c>
      <c r="F60" s="22">
        <f>SUM(F57:F59)</f>
        <v>1047208</v>
      </c>
      <c r="G60" s="22">
        <f>SUM(G57:G59)</f>
        <v>196560.42479999998</v>
      </c>
      <c r="H60" s="22"/>
      <c r="I60" s="17"/>
      <c r="K60" s="4" t="s">
        <v>43</v>
      </c>
      <c r="M60" s="31"/>
      <c r="N60" s="16"/>
      <c r="O60" s="16"/>
      <c r="P60" s="16"/>
    </row>
    <row r="61" spans="1:16">
      <c r="A61" s="10" t="s">
        <v>43</v>
      </c>
      <c r="B61" s="14"/>
      <c r="D61" s="31"/>
      <c r="E61" s="16"/>
      <c r="F61" s="16"/>
      <c r="G61" s="16"/>
      <c r="H61" s="16"/>
      <c r="I61" s="16"/>
      <c r="K61" s="4" t="s">
        <v>38</v>
      </c>
      <c r="M61" s="31" t="s">
        <v>39</v>
      </c>
      <c r="N61" s="16">
        <f>P38</f>
        <v>8673</v>
      </c>
      <c r="O61" s="17">
        <f>ROUND($N61*O72,0)</f>
        <v>6019</v>
      </c>
      <c r="P61" s="17">
        <f>ROUND($N61*P72,0)</f>
        <v>2654</v>
      </c>
    </row>
    <row r="62" spans="1:16">
      <c r="A62" s="14"/>
      <c r="B62" s="10" t="s">
        <v>14</v>
      </c>
      <c r="C62" s="14"/>
      <c r="D62" s="34">
        <v>1</v>
      </c>
      <c r="E62" s="16">
        <f>G38+G39</f>
        <v>285723</v>
      </c>
      <c r="F62" s="16">
        <f>ROUND($E62*F83,0)</f>
        <v>186177</v>
      </c>
      <c r="G62" s="16">
        <f>ROUND($E62*G83,0)</f>
        <v>99546</v>
      </c>
      <c r="H62" s="16"/>
      <c r="I62" s="16"/>
      <c r="K62" s="4" t="s">
        <v>40</v>
      </c>
      <c r="M62" s="31">
        <v>99</v>
      </c>
      <c r="N62" s="16">
        <f>P39</f>
        <v>142725</v>
      </c>
      <c r="O62" s="16">
        <v>0</v>
      </c>
      <c r="P62" s="16">
        <f>P39</f>
        <v>142725</v>
      </c>
    </row>
    <row r="63" spans="1:16">
      <c r="A63" s="14"/>
      <c r="B63" s="10" t="s">
        <v>16</v>
      </c>
      <c r="C63" s="14"/>
      <c r="D63" s="34">
        <v>99</v>
      </c>
      <c r="E63" s="16">
        <f>G40</f>
        <v>345382</v>
      </c>
      <c r="F63" s="17">
        <v>0</v>
      </c>
      <c r="G63" s="16">
        <f>G40</f>
        <v>345382</v>
      </c>
      <c r="H63" s="16"/>
      <c r="I63" s="16"/>
      <c r="K63" s="4" t="s">
        <v>41</v>
      </c>
      <c r="M63" s="31">
        <v>4</v>
      </c>
      <c r="N63" s="20">
        <f>P40</f>
        <v>2642</v>
      </c>
      <c r="O63" s="20">
        <f>ROUND($N63*O73,0)</f>
        <v>1810</v>
      </c>
      <c r="P63" s="20">
        <f>ROUND($N63*P73,0)</f>
        <v>832</v>
      </c>
    </row>
    <row r="64" spans="1:16">
      <c r="A64" s="14"/>
      <c r="B64" s="10" t="s">
        <v>18</v>
      </c>
      <c r="C64" s="14"/>
      <c r="D64" s="34">
        <v>4</v>
      </c>
      <c r="E64" s="16">
        <f>G41</f>
        <v>10019</v>
      </c>
      <c r="F64" s="16">
        <f>ROUND($E64*F84,0)</f>
        <v>6652</v>
      </c>
      <c r="G64" s="16">
        <f>ROUND($E64*G84,0)</f>
        <v>3367</v>
      </c>
      <c r="H64" s="16"/>
      <c r="I64" s="16"/>
      <c r="K64" s="4" t="s">
        <v>42</v>
      </c>
      <c r="M64" s="31"/>
      <c r="N64" s="16">
        <f>SUM(N61:N63)</f>
        <v>154040</v>
      </c>
      <c r="O64" s="16">
        <f>SUM(O61:O63)</f>
        <v>7829</v>
      </c>
      <c r="P64" s="16">
        <f>SUM(P61:P63)</f>
        <v>146211</v>
      </c>
    </row>
    <row r="65" spans="1:16" ht="12.75" thickBot="1">
      <c r="A65" s="10" t="s">
        <v>34</v>
      </c>
      <c r="B65" s="35" t="s">
        <v>31</v>
      </c>
      <c r="C65" s="14"/>
      <c r="D65" s="31"/>
      <c r="E65" s="22">
        <f>SUM(E62:E64)</f>
        <v>641124</v>
      </c>
      <c r="F65" s="22">
        <f>SUM(F62:F64)</f>
        <v>192829</v>
      </c>
      <c r="G65" s="22">
        <f>SUM(G62:G64)</f>
        <v>448295</v>
      </c>
      <c r="H65" s="22"/>
      <c r="I65" s="17"/>
      <c r="M65" s="31"/>
      <c r="N65" s="16"/>
      <c r="O65" s="16"/>
      <c r="P65" s="16"/>
    </row>
    <row r="66" spans="1:16" ht="13.5" thickTop="1" thickBot="1">
      <c r="A66" s="10" t="s">
        <v>44</v>
      </c>
      <c r="B66" s="14"/>
      <c r="D66" s="31"/>
      <c r="E66" s="16"/>
      <c r="F66" s="16"/>
      <c r="G66" s="16"/>
      <c r="H66" s="16"/>
      <c r="I66" s="16"/>
      <c r="K66" s="4" t="s">
        <v>45</v>
      </c>
      <c r="M66" s="31"/>
      <c r="N66" s="16">
        <f>N56+N61</f>
        <v>32291</v>
      </c>
      <c r="O66" s="99">
        <f t="shared" ref="N66:P69" si="2">O56+O61</f>
        <v>22410</v>
      </c>
      <c r="P66" s="16">
        <f t="shared" si="2"/>
        <v>9881</v>
      </c>
    </row>
    <row r="67" spans="1:16" ht="13.5" thickTop="1" thickBot="1">
      <c r="A67" s="14"/>
      <c r="B67" s="10" t="s">
        <v>14</v>
      </c>
      <c r="D67" s="34">
        <v>1</v>
      </c>
      <c r="E67" s="16">
        <f>H38+H39</f>
        <v>1153013</v>
      </c>
      <c r="F67" s="16">
        <f>ROUND($E67*F83,0)</f>
        <v>751303</v>
      </c>
      <c r="G67" s="16">
        <f>ROUND($E67*G83,0)</f>
        <v>401710</v>
      </c>
      <c r="H67" s="16"/>
      <c r="I67" s="16"/>
      <c r="K67" s="4" t="s">
        <v>46</v>
      </c>
      <c r="M67" s="31"/>
      <c r="N67" s="16">
        <f t="shared" si="2"/>
        <v>457103</v>
      </c>
      <c r="O67" s="99">
        <f t="shared" si="2"/>
        <v>314378</v>
      </c>
      <c r="P67" s="16">
        <f t="shared" si="2"/>
        <v>142725</v>
      </c>
    </row>
    <row r="68" spans="1:16" ht="13.5" thickTop="1" thickBot="1">
      <c r="A68" s="14"/>
      <c r="B68" s="10" t="s">
        <v>16</v>
      </c>
      <c r="D68" s="34">
        <v>99</v>
      </c>
      <c r="E68" s="16">
        <f>H40</f>
        <v>474</v>
      </c>
      <c r="F68" s="17">
        <v>0</v>
      </c>
      <c r="G68" s="16">
        <f>H40</f>
        <v>474</v>
      </c>
      <c r="H68" s="16"/>
      <c r="I68" s="16"/>
      <c r="K68" s="4" t="s">
        <v>47</v>
      </c>
      <c r="N68" s="16">
        <f t="shared" si="2"/>
        <v>6825</v>
      </c>
      <c r="O68" s="99">
        <f t="shared" si="2"/>
        <v>4676</v>
      </c>
      <c r="P68" s="16">
        <f t="shared" si="2"/>
        <v>2149</v>
      </c>
    </row>
    <row r="69" spans="1:16" ht="13.5" thickTop="1" thickBot="1">
      <c r="A69" s="14"/>
      <c r="B69" s="10" t="s">
        <v>18</v>
      </c>
      <c r="D69" s="34">
        <v>4</v>
      </c>
      <c r="E69" s="16">
        <f>H41</f>
        <v>0</v>
      </c>
      <c r="F69" s="16">
        <f>ROUND($E69*F84,0)</f>
        <v>0</v>
      </c>
      <c r="G69" s="16">
        <f>ROUND($E69*G84,0)</f>
        <v>0</v>
      </c>
      <c r="H69" s="16"/>
      <c r="I69" s="16"/>
      <c r="K69" s="4" t="s">
        <v>48</v>
      </c>
      <c r="N69" s="16">
        <f t="shared" si="2"/>
        <v>496219</v>
      </c>
      <c r="O69" s="99">
        <f t="shared" si="2"/>
        <v>341464</v>
      </c>
      <c r="P69" s="16">
        <f t="shared" si="2"/>
        <v>154755</v>
      </c>
    </row>
    <row r="70" spans="1:16" ht="12.75" thickTop="1">
      <c r="A70" s="10" t="s">
        <v>34</v>
      </c>
      <c r="B70" s="35" t="s">
        <v>31</v>
      </c>
      <c r="D70" s="31"/>
      <c r="E70" s="22">
        <f>SUM(E67:E69)</f>
        <v>1153487</v>
      </c>
      <c r="F70" s="22">
        <f>SUM(F67:F69)</f>
        <v>751303</v>
      </c>
      <c r="G70" s="22">
        <f>SUM(G67:G69)</f>
        <v>402184</v>
      </c>
      <c r="H70" s="22"/>
      <c r="I70" s="17"/>
    </row>
    <row r="71" spans="1:16">
      <c r="A71" s="10" t="s">
        <v>49</v>
      </c>
      <c r="B71" s="14"/>
      <c r="D71" s="31"/>
      <c r="E71" s="16"/>
      <c r="F71" s="16"/>
      <c r="G71" s="16"/>
      <c r="H71" s="16"/>
      <c r="I71" s="17"/>
      <c r="K71" s="4" t="s">
        <v>50</v>
      </c>
    </row>
    <row r="72" spans="1:16">
      <c r="A72" s="14"/>
      <c r="B72" s="10" t="s">
        <v>14</v>
      </c>
      <c r="D72" s="34">
        <v>1</v>
      </c>
      <c r="E72" s="16">
        <f>I38+I39</f>
        <v>88718</v>
      </c>
      <c r="F72" s="16">
        <f>ROUND($E72*F83,0)</f>
        <v>57809</v>
      </c>
      <c r="G72" s="16">
        <f>ROUND($E72*G83,0)</f>
        <v>30909</v>
      </c>
      <c r="H72" s="16"/>
      <c r="I72" s="17"/>
      <c r="K72" s="4" t="s">
        <v>51</v>
      </c>
      <c r="M72" s="31" t="s">
        <v>39</v>
      </c>
      <c r="N72" s="33">
        <f>SUM(O72:P72)</f>
        <v>1</v>
      </c>
      <c r="O72" s="33">
        <v>0.69399999999999995</v>
      </c>
      <c r="P72" s="33">
        <v>0.30599999999999999</v>
      </c>
    </row>
    <row r="73" spans="1:16">
      <c r="A73" s="14"/>
      <c r="B73" s="10" t="s">
        <v>16</v>
      </c>
      <c r="D73" s="34">
        <v>99</v>
      </c>
      <c r="E73" s="16">
        <f>I40</f>
        <v>0</v>
      </c>
      <c r="F73" s="17">
        <v>0</v>
      </c>
      <c r="G73" s="16">
        <f>H45</f>
        <v>0</v>
      </c>
      <c r="H73" s="16"/>
      <c r="I73" s="17"/>
      <c r="K73" s="4" t="s">
        <v>52</v>
      </c>
      <c r="M73" s="31">
        <v>4</v>
      </c>
      <c r="N73" s="33">
        <f>SUM(O73:P73)</f>
        <v>1</v>
      </c>
      <c r="O73" s="33">
        <v>0.68518000000000001</v>
      </c>
      <c r="P73" s="33">
        <v>0.31481999999999999</v>
      </c>
    </row>
    <row r="74" spans="1:16">
      <c r="A74" s="14"/>
      <c r="B74" s="10" t="s">
        <v>18</v>
      </c>
      <c r="D74" s="34">
        <v>4</v>
      </c>
      <c r="E74" s="16">
        <f>I41</f>
        <v>0</v>
      </c>
      <c r="F74" s="16">
        <f>ROUND($E74*F89,0)</f>
        <v>0</v>
      </c>
      <c r="G74" s="16">
        <f>ROUND($E74*G89,0)</f>
        <v>0</v>
      </c>
      <c r="H74" s="16"/>
      <c r="I74" s="17"/>
      <c r="K74" s="4" t="s">
        <v>53</v>
      </c>
      <c r="M74" s="31">
        <v>99</v>
      </c>
      <c r="N74" s="33">
        <f>SUM(O74:P74)</f>
        <v>0</v>
      </c>
      <c r="O74" s="33">
        <v>0</v>
      </c>
      <c r="P74" s="33">
        <v>0</v>
      </c>
    </row>
    <row r="75" spans="1:16">
      <c r="A75" s="10" t="s">
        <v>34</v>
      </c>
      <c r="B75" s="35" t="s">
        <v>31</v>
      </c>
      <c r="D75" s="31"/>
      <c r="E75" s="22">
        <f>SUM(E72:E74)</f>
        <v>88718</v>
      </c>
      <c r="F75" s="22">
        <f>SUM(F72:F74)</f>
        <v>57809</v>
      </c>
      <c r="G75" s="22">
        <f>SUM(G72:G74)</f>
        <v>30909</v>
      </c>
      <c r="H75" s="22"/>
      <c r="I75" s="17"/>
      <c r="M75" s="31"/>
      <c r="N75" s="33"/>
      <c r="O75" s="33"/>
      <c r="P75" s="33"/>
    </row>
    <row r="76" spans="1:16" ht="12.75" thickBot="1">
      <c r="B76" s="14"/>
      <c r="D76" s="31"/>
      <c r="E76" s="16"/>
      <c r="F76" s="16"/>
      <c r="G76" s="16"/>
      <c r="H76" s="16"/>
      <c r="I76" s="16"/>
    </row>
    <row r="77" spans="1:16" ht="13.5" thickTop="1" thickBot="1">
      <c r="A77" s="14"/>
      <c r="B77" s="10" t="s">
        <v>54</v>
      </c>
      <c r="D77" s="31"/>
      <c r="E77" s="16">
        <f t="shared" ref="E77:G80" si="3">E57+E62+E67+E72</f>
        <v>2081376</v>
      </c>
      <c r="F77" s="99">
        <f>F57+F62+F67+F72</f>
        <v>1356225</v>
      </c>
      <c r="G77" s="16">
        <f>G57+G62+G67+G72</f>
        <v>725151.42479999992</v>
      </c>
      <c r="H77" s="16"/>
      <c r="I77" s="16"/>
    </row>
    <row r="78" spans="1:16" ht="13.5" thickTop="1" thickBot="1">
      <c r="A78" s="14"/>
      <c r="B78" s="10" t="s">
        <v>55</v>
      </c>
      <c r="D78" s="31"/>
      <c r="E78" s="16">
        <f t="shared" si="3"/>
        <v>1025068</v>
      </c>
      <c r="F78" s="99">
        <f t="shared" si="3"/>
        <v>679212</v>
      </c>
      <c r="G78" s="16">
        <f t="shared" si="3"/>
        <v>345856</v>
      </c>
      <c r="H78" s="16"/>
      <c r="I78" s="16"/>
    </row>
    <row r="79" spans="1:16" ht="13.5" thickTop="1" thickBot="1">
      <c r="A79" s="14"/>
      <c r="B79" s="10" t="s">
        <v>56</v>
      </c>
      <c r="D79" s="31"/>
      <c r="E79" s="16">
        <f t="shared" si="3"/>
        <v>20653</v>
      </c>
      <c r="F79" s="99">
        <f t="shared" si="3"/>
        <v>13712</v>
      </c>
      <c r="G79" s="16">
        <f t="shared" si="3"/>
        <v>6941</v>
      </c>
      <c r="H79" s="16"/>
      <c r="I79" s="16"/>
    </row>
    <row r="80" spans="1:16" ht="13.5" thickTop="1" thickBot="1">
      <c r="A80" s="30" t="s">
        <v>57</v>
      </c>
      <c r="D80" s="31"/>
      <c r="E80" s="22">
        <f>E60+E65+E70+E75</f>
        <v>3127097</v>
      </c>
      <c r="F80" s="99">
        <f t="shared" si="3"/>
        <v>2049149</v>
      </c>
      <c r="G80" s="22">
        <f t="shared" si="3"/>
        <v>1077948.4247999999</v>
      </c>
      <c r="H80" s="22"/>
      <c r="I80" s="17"/>
    </row>
    <row r="81" spans="1:9" ht="12.75" thickTop="1">
      <c r="B81" s="14"/>
      <c r="D81" s="31"/>
    </row>
    <row r="82" spans="1:9">
      <c r="A82" s="10" t="s">
        <v>50</v>
      </c>
      <c r="B82" s="14"/>
      <c r="D82" s="31"/>
    </row>
    <row r="83" spans="1:9">
      <c r="A83" s="10" t="s">
        <v>58</v>
      </c>
      <c r="B83" s="14"/>
      <c r="D83" s="34">
        <v>1</v>
      </c>
      <c r="E83" s="33">
        <f>SUM(F83:G83)</f>
        <v>1</v>
      </c>
      <c r="F83" s="36">
        <v>0.65159999999999996</v>
      </c>
      <c r="G83" s="36">
        <v>0.34839999999999999</v>
      </c>
      <c r="H83" s="33"/>
      <c r="I83" s="33"/>
    </row>
    <row r="84" spans="1:9">
      <c r="A84" s="10" t="s">
        <v>59</v>
      </c>
      <c r="B84" s="14"/>
      <c r="D84" s="34">
        <v>4</v>
      </c>
      <c r="E84" s="33">
        <f>SUM(F84:G84)</f>
        <v>1</v>
      </c>
      <c r="F84" s="36">
        <v>0.66390000000000005</v>
      </c>
      <c r="G84" s="36">
        <v>0.33610000000000001</v>
      </c>
      <c r="H84" s="33"/>
      <c r="I84" s="33"/>
    </row>
    <row r="85" spans="1:9">
      <c r="A85" s="10" t="s">
        <v>53</v>
      </c>
      <c r="B85" s="14"/>
      <c r="D85" s="34">
        <v>99</v>
      </c>
      <c r="E85" s="33">
        <f>SUM(F85:G85)</f>
        <v>0</v>
      </c>
      <c r="F85" s="36">
        <v>0</v>
      </c>
      <c r="G85" s="36">
        <v>0</v>
      </c>
      <c r="H85" s="33"/>
      <c r="I85" s="33"/>
    </row>
    <row r="86" spans="1:9">
      <c r="B86" s="14"/>
    </row>
    <row r="88" spans="1:9">
      <c r="H88" s="14"/>
      <c r="I88" s="14"/>
    </row>
    <row r="89" spans="1:9">
      <c r="H89" s="14"/>
      <c r="I89" s="14"/>
    </row>
    <row r="131" spans="1:3" ht="12.75" thickBot="1">
      <c r="A131" s="227"/>
      <c r="C131" s="236"/>
    </row>
    <row r="132" spans="1:3" ht="12.75" thickTop="1">
      <c r="A132" s="10"/>
      <c r="C132" s="10"/>
    </row>
    <row r="133" spans="1:3">
      <c r="A133" s="15"/>
      <c r="C133" s="240"/>
    </row>
  </sheetData>
  <pageMargins left="0.7" right="0.7" top="0.75" bottom="0.75" header="0.3" footer="0.3"/>
  <pageSetup orientation="portrait" r:id="rId1"/>
  <headerFooter>
    <oddHeader xml:space="preserve">&amp;CConfidential per Protective Order in UTC Dockets UE-120436 and UG-120437&amp;R
Exhibit No. ___ (MDF-3C)
Page &amp;P
</oddHeader>
  </headerFooter>
  <rowBreaks count="1" manualBreakCount="1">
    <brk id="30" max="15" man="1"/>
  </rowBreaks>
  <colBreaks count="1" manualBreakCount="1">
    <brk id="16" max="1048575" man="1"/>
  </colBreaks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3"/>
  <sheetViews>
    <sheetView zoomScaleNormal="100" workbookViewId="0">
      <selection activeCell="D202" sqref="D202"/>
    </sheetView>
  </sheetViews>
  <sheetFormatPr defaultRowHeight="12.75"/>
  <cols>
    <col min="1" max="1" width="10.7109375" style="5" customWidth="1"/>
    <col min="2" max="2" width="15.28515625" style="5" customWidth="1"/>
    <col min="3" max="3" width="11.85546875" style="5" customWidth="1"/>
    <col min="4" max="4" width="7.42578125" style="5" customWidth="1"/>
    <col min="5" max="6" width="10.7109375" style="54" customWidth="1"/>
    <col min="7" max="7" width="1.7109375" style="44" customWidth="1"/>
    <col min="8" max="8" width="15.7109375" style="44" bestFit="1" customWidth="1"/>
    <col min="9" max="9" width="9.28515625" style="39" bestFit="1" customWidth="1"/>
    <col min="10" max="10" width="10.85546875" style="39" bestFit="1" customWidth="1"/>
    <col min="11" max="11" width="11.42578125" style="39" bestFit="1" customWidth="1"/>
    <col min="12" max="16384" width="9.140625" style="39"/>
  </cols>
  <sheetData>
    <row r="1" spans="1:10">
      <c r="A1" s="37" t="s">
        <v>0</v>
      </c>
      <c r="B1" s="38"/>
      <c r="C1" s="38"/>
      <c r="D1" s="38"/>
      <c r="E1" s="58"/>
      <c r="F1" s="58"/>
    </row>
    <row r="2" spans="1:10">
      <c r="A2" s="37"/>
      <c r="B2" s="38"/>
      <c r="C2" s="38"/>
      <c r="D2" s="38"/>
      <c r="E2" s="58"/>
      <c r="F2" s="58"/>
    </row>
    <row r="3" spans="1:10">
      <c r="A3" s="37" t="s">
        <v>13</v>
      </c>
      <c r="B3" s="38"/>
      <c r="C3" s="38"/>
      <c r="D3" s="38"/>
      <c r="E3" s="58"/>
      <c r="F3" s="58"/>
    </row>
    <row r="4" spans="1:10">
      <c r="A4" s="40" t="str">
        <f>'C-PT'!A4</f>
        <v>For the Twelve Months Ended December 31, 2011</v>
      </c>
      <c r="B4" s="38"/>
      <c r="C4" s="38"/>
      <c r="D4" s="38"/>
      <c r="E4" s="58"/>
      <c r="F4" s="58"/>
      <c r="I4" s="121"/>
    </row>
    <row r="5" spans="1:10">
      <c r="A5" s="18"/>
      <c r="B5" s="18"/>
      <c r="C5" s="18"/>
      <c r="D5" s="18"/>
      <c r="I5" s="121"/>
    </row>
    <row r="6" spans="1:10">
      <c r="A6" s="18"/>
      <c r="B6" s="18"/>
      <c r="C6" s="18"/>
      <c r="D6" s="18"/>
    </row>
    <row r="7" spans="1:10">
      <c r="A7" s="18"/>
      <c r="B7" s="18"/>
      <c r="C7" s="18"/>
      <c r="D7" s="18"/>
      <c r="E7" s="59" t="s">
        <v>60</v>
      </c>
      <c r="F7" s="59" t="s">
        <v>61</v>
      </c>
    </row>
    <row r="8" spans="1:10">
      <c r="A8" s="41" t="s">
        <v>11</v>
      </c>
      <c r="B8" s="18"/>
      <c r="C8" s="18"/>
      <c r="D8" s="18"/>
    </row>
    <row r="9" spans="1:10">
      <c r="A9" s="42" t="s">
        <v>62</v>
      </c>
      <c r="B9" s="18"/>
      <c r="C9" s="18"/>
      <c r="D9" s="18" t="s">
        <v>81</v>
      </c>
      <c r="E9" s="16">
        <f>735680*0.012202*1000</f>
        <v>8976767.3599999994</v>
      </c>
      <c r="F9" s="16">
        <f>176267*0.01272*1000</f>
        <v>2242116.2400000002</v>
      </c>
      <c r="H9" s="60"/>
      <c r="I9" s="43"/>
      <c r="J9" s="43"/>
    </row>
    <row r="10" spans="1:10">
      <c r="A10" s="14" t="s">
        <v>63</v>
      </c>
      <c r="B10" s="18"/>
      <c r="C10" s="18"/>
      <c r="D10" s="122" t="s">
        <v>77</v>
      </c>
      <c r="E10" s="16">
        <v>7732999.9800000004</v>
      </c>
      <c r="F10" s="16">
        <v>1899937</v>
      </c>
      <c r="H10" s="60"/>
    </row>
    <row r="11" spans="1:10">
      <c r="A11" s="18" t="s">
        <v>64</v>
      </c>
      <c r="B11" s="18"/>
      <c r="C11" s="18"/>
      <c r="D11" s="18"/>
      <c r="E11" s="47">
        <f>E9-E10</f>
        <v>1243767.379999999</v>
      </c>
      <c r="F11" s="47">
        <f>F9-F10</f>
        <v>342179.24000000022</v>
      </c>
    </row>
    <row r="12" spans="1:10">
      <c r="A12" s="18"/>
      <c r="B12" s="18"/>
      <c r="C12" s="18"/>
      <c r="D12" s="18"/>
      <c r="E12" s="16"/>
      <c r="F12" s="16"/>
    </row>
    <row r="13" spans="1:10">
      <c r="A13" s="41" t="s">
        <v>12</v>
      </c>
      <c r="B13" s="18"/>
      <c r="C13" s="18"/>
      <c r="D13" s="18"/>
      <c r="E13" s="16"/>
      <c r="F13" s="16"/>
    </row>
    <row r="14" spans="1:10">
      <c r="A14" s="42" t="s">
        <v>62</v>
      </c>
      <c r="B14" s="18"/>
      <c r="C14" s="18"/>
      <c r="D14" s="18" t="s">
        <v>81</v>
      </c>
      <c r="E14" s="16">
        <v>4974478</v>
      </c>
      <c r="F14" s="16">
        <v>1010130</v>
      </c>
      <c r="I14" s="43"/>
      <c r="J14" s="43"/>
    </row>
    <row r="15" spans="1:10">
      <c r="A15" s="14" t="s">
        <v>63</v>
      </c>
      <c r="B15" s="18"/>
      <c r="C15" s="18"/>
      <c r="D15" s="122" t="s">
        <v>78</v>
      </c>
      <c r="E15" s="16">
        <v>4333355.63</v>
      </c>
      <c r="F15" s="16">
        <v>856090.19000000018</v>
      </c>
    </row>
    <row r="16" spans="1:10">
      <c r="A16" s="18" t="s">
        <v>64</v>
      </c>
      <c r="B16" s="18"/>
      <c r="C16" s="18"/>
      <c r="D16" s="18"/>
      <c r="E16" s="47">
        <f>E14-E15</f>
        <v>641122.37000000011</v>
      </c>
      <c r="F16" s="47">
        <f>F14-F15</f>
        <v>154039.80999999982</v>
      </c>
    </row>
    <row r="17" spans="1:9">
      <c r="A17" s="18"/>
      <c r="B17" s="18"/>
      <c r="C17" s="18"/>
      <c r="D17" s="18"/>
      <c r="E17" s="16"/>
      <c r="F17" s="16"/>
    </row>
    <row r="18" spans="1:9">
      <c r="A18" s="41" t="s">
        <v>26</v>
      </c>
      <c r="B18" s="18"/>
      <c r="C18" s="18"/>
      <c r="D18" s="18"/>
      <c r="E18" s="16"/>
      <c r="F18" s="16"/>
    </row>
    <row r="19" spans="1:9">
      <c r="A19" s="42" t="s">
        <v>62</v>
      </c>
      <c r="B19" s="18"/>
      <c r="C19" s="18"/>
      <c r="D19" s="18" t="s">
        <v>81</v>
      </c>
      <c r="E19" s="16">
        <f>25162*0.32067*1000</f>
        <v>8068698.54</v>
      </c>
      <c r="F19" s="16"/>
      <c r="I19" s="43"/>
    </row>
    <row r="20" spans="1:9">
      <c r="A20" s="14" t="s">
        <v>63</v>
      </c>
      <c r="B20" s="18"/>
      <c r="C20" s="18"/>
      <c r="D20" s="122" t="s">
        <v>79</v>
      </c>
      <c r="E20" s="16">
        <v>6915210.46</v>
      </c>
      <c r="F20" s="16"/>
    </row>
    <row r="21" spans="1:9">
      <c r="A21" s="18" t="s">
        <v>64</v>
      </c>
      <c r="B21" s="18"/>
      <c r="C21" s="18"/>
      <c r="D21" s="46"/>
      <c r="E21" s="47">
        <f>E19-E20</f>
        <v>1153488.08</v>
      </c>
      <c r="F21" s="16"/>
    </row>
    <row r="22" spans="1:9">
      <c r="A22" s="18"/>
      <c r="B22" s="18"/>
      <c r="C22" s="18"/>
      <c r="D22" s="18"/>
      <c r="E22" s="16"/>
      <c r="F22" s="16"/>
    </row>
    <row r="23" spans="1:9">
      <c r="A23" s="41" t="s">
        <v>27</v>
      </c>
      <c r="B23" s="18"/>
      <c r="C23" s="18"/>
      <c r="D23" s="18"/>
      <c r="E23" s="16"/>
      <c r="F23" s="16"/>
    </row>
    <row r="24" spans="1:9">
      <c r="A24" s="42" t="s">
        <v>62</v>
      </c>
      <c r="B24" s="18"/>
      <c r="C24" s="18"/>
      <c r="D24" s="18" t="s">
        <v>81</v>
      </c>
      <c r="E24" s="16">
        <v>8633</v>
      </c>
      <c r="F24" s="16"/>
      <c r="I24" s="43"/>
    </row>
    <row r="25" spans="1:9">
      <c r="A25" s="18" t="s">
        <v>65</v>
      </c>
      <c r="B25" s="18"/>
      <c r="C25" s="18"/>
      <c r="D25" s="18" t="s">
        <v>81</v>
      </c>
      <c r="E25" s="20">
        <v>2031000</v>
      </c>
      <c r="F25" s="16"/>
    </row>
    <row r="26" spans="1:9">
      <c r="A26" s="48" t="s">
        <v>66</v>
      </c>
      <c r="B26" s="18"/>
      <c r="C26" s="18"/>
      <c r="D26" s="18"/>
      <c r="E26" s="17">
        <f>SUM(E24:E25)</f>
        <v>2039633</v>
      </c>
      <c r="F26" s="16"/>
    </row>
    <row r="27" spans="1:9">
      <c r="A27" s="14" t="s">
        <v>63</v>
      </c>
      <c r="B27" s="18"/>
      <c r="C27" s="18"/>
      <c r="D27" s="45"/>
      <c r="E27" s="16">
        <v>1950915.09</v>
      </c>
      <c r="F27" s="16"/>
    </row>
    <row r="28" spans="1:9">
      <c r="A28" s="18" t="s">
        <v>64</v>
      </c>
      <c r="B28" s="18"/>
      <c r="C28" s="18"/>
      <c r="D28" s="46"/>
      <c r="E28" s="22">
        <f>E26-E27</f>
        <v>88717.909999999916</v>
      </c>
      <c r="F28" s="16"/>
    </row>
    <row r="29" spans="1:9">
      <c r="A29" s="18"/>
      <c r="B29" s="18"/>
      <c r="C29" s="18"/>
      <c r="D29" s="18"/>
      <c r="E29" s="16"/>
      <c r="F29" s="16"/>
    </row>
    <row r="30" spans="1:9">
      <c r="A30" s="41" t="s">
        <v>67</v>
      </c>
      <c r="B30" s="18"/>
      <c r="C30" s="18"/>
      <c r="D30" s="18"/>
      <c r="E30" s="16"/>
      <c r="F30" s="16"/>
    </row>
    <row r="31" spans="1:9">
      <c r="A31" s="39" t="s">
        <v>62</v>
      </c>
      <c r="B31" s="18"/>
      <c r="C31" s="18"/>
      <c r="D31" s="18" t="s">
        <v>81</v>
      </c>
      <c r="E31" s="16">
        <v>2963</v>
      </c>
      <c r="F31" s="16"/>
    </row>
    <row r="32" spans="1:9">
      <c r="A32" s="14" t="s">
        <v>68</v>
      </c>
      <c r="B32" s="18"/>
      <c r="C32" s="18"/>
      <c r="D32" s="122" t="s">
        <v>80</v>
      </c>
      <c r="E32" s="20">
        <v>3129</v>
      </c>
      <c r="F32" s="16"/>
    </row>
    <row r="33" spans="1:10">
      <c r="A33" s="18" t="s">
        <v>64</v>
      </c>
      <c r="B33" s="18"/>
      <c r="C33" s="18"/>
      <c r="D33" s="18"/>
      <c r="E33" s="22">
        <f>E31-E32</f>
        <v>-166</v>
      </c>
      <c r="F33" s="16"/>
    </row>
    <row r="34" spans="1:10">
      <c r="A34" s="18"/>
      <c r="B34" s="18"/>
      <c r="C34" s="18"/>
      <c r="D34" s="18"/>
      <c r="E34" s="17"/>
      <c r="F34" s="16"/>
    </row>
    <row r="35" spans="1:10">
      <c r="A35" s="18"/>
      <c r="B35" s="18"/>
      <c r="C35" s="18"/>
      <c r="D35" s="18"/>
      <c r="E35" s="16"/>
      <c r="F35" s="16"/>
    </row>
    <row r="36" spans="1:10">
      <c r="A36" s="18" t="s">
        <v>31</v>
      </c>
      <c r="B36" s="18"/>
      <c r="C36" s="18"/>
      <c r="D36" s="18"/>
      <c r="E36" s="61">
        <f>E11+E16+E21+E28+E33</f>
        <v>3126929.7399999993</v>
      </c>
      <c r="F36" s="61">
        <f>F11+F16+F21+F28</f>
        <v>496219.05000000005</v>
      </c>
      <c r="I36" s="49"/>
      <c r="J36" s="49"/>
    </row>
    <row r="37" spans="1:10">
      <c r="A37" s="18" t="s">
        <v>69</v>
      </c>
      <c r="B37" s="18"/>
      <c r="C37" s="18"/>
      <c r="D37" s="18"/>
      <c r="E37" s="62">
        <f>-E33</f>
        <v>166</v>
      </c>
      <c r="F37" s="62"/>
      <c r="I37" s="49"/>
      <c r="J37" s="49"/>
    </row>
    <row r="38" spans="1:10">
      <c r="A38" s="18" t="s">
        <v>31</v>
      </c>
      <c r="B38" s="18"/>
      <c r="C38" s="18"/>
      <c r="D38" s="18"/>
      <c r="E38" s="63">
        <f>SUM(E36:E37)</f>
        <v>3127095.7399999993</v>
      </c>
      <c r="F38" s="20">
        <f>F36</f>
        <v>496219.05000000005</v>
      </c>
      <c r="I38" s="44"/>
      <c r="J38" s="44"/>
    </row>
    <row r="39" spans="1:10">
      <c r="A39" s="18"/>
      <c r="B39" s="18"/>
      <c r="C39" s="18"/>
      <c r="D39" s="18"/>
      <c r="E39" s="16"/>
      <c r="F39" s="16"/>
    </row>
    <row r="40" spans="1:10">
      <c r="A40" s="41" t="s">
        <v>31</v>
      </c>
      <c r="B40" s="18"/>
      <c r="C40" s="18"/>
      <c r="D40" s="18"/>
      <c r="E40" s="16"/>
      <c r="F40" s="16"/>
    </row>
    <row r="41" spans="1:10">
      <c r="A41" s="42" t="s">
        <v>62</v>
      </c>
      <c r="B41" s="18"/>
      <c r="C41" s="18"/>
      <c r="D41" s="18"/>
      <c r="E41" s="16">
        <f>E9+E14+E19+E24+E31+E25</f>
        <v>24062539.899999999</v>
      </c>
      <c r="F41" s="16">
        <f>F9+F14</f>
        <v>3252246.24</v>
      </c>
      <c r="I41" s="50"/>
    </row>
    <row r="42" spans="1:10">
      <c r="A42" s="18" t="s">
        <v>70</v>
      </c>
      <c r="B42" s="18"/>
      <c r="C42" s="18"/>
      <c r="D42" s="18"/>
      <c r="E42" s="16">
        <f>E10+E15+E20+E27+E32</f>
        <v>20935610.16</v>
      </c>
      <c r="F42" s="16">
        <f>F10+F15</f>
        <v>2756027.1900000004</v>
      </c>
      <c r="I42" s="50"/>
    </row>
    <row r="43" spans="1:10" ht="13.5" thickBot="1">
      <c r="A43" s="18" t="s">
        <v>64</v>
      </c>
      <c r="B43" s="18"/>
      <c r="C43" s="18"/>
      <c r="D43" s="18"/>
      <c r="E43" s="47">
        <f>E41-E42</f>
        <v>3126929.7399999984</v>
      </c>
      <c r="F43" s="47">
        <f>F41-F42</f>
        <v>496219.04999999981</v>
      </c>
    </row>
    <row r="44" spans="1:10" ht="13.5" thickTop="1">
      <c r="E44" s="64"/>
      <c r="F44" s="64"/>
    </row>
    <row r="45" spans="1:10">
      <c r="A45" s="10"/>
      <c r="B45" s="10"/>
      <c r="C45" s="10"/>
      <c r="D45" s="10"/>
      <c r="E45" s="65"/>
      <c r="F45" s="51"/>
    </row>
    <row r="46" spans="1:10" ht="27.75" customHeight="1">
      <c r="A46" s="52" t="s">
        <v>71</v>
      </c>
      <c r="B46" s="249" t="s">
        <v>72</v>
      </c>
      <c r="C46" s="250"/>
      <c r="D46" s="250"/>
      <c r="E46" s="250"/>
      <c r="F46" s="250"/>
      <c r="G46" s="250"/>
    </row>
    <row r="47" spans="1:10">
      <c r="A47" s="10"/>
      <c r="B47" s="10"/>
      <c r="C47" s="10"/>
      <c r="D47" s="10"/>
      <c r="E47" s="51"/>
      <c r="F47" s="51"/>
    </row>
    <row r="48" spans="1:10">
      <c r="B48" s="5" t="s">
        <v>73</v>
      </c>
    </row>
    <row r="49" spans="1:12" ht="18.75" customHeight="1"/>
    <row r="50" spans="1:12">
      <c r="A50" s="52" t="s">
        <v>74</v>
      </c>
    </row>
    <row r="57" spans="1:12">
      <c r="H57" s="53"/>
      <c r="I57" s="44"/>
    </row>
    <row r="58" spans="1:12">
      <c r="I58" s="44"/>
      <c r="K58" s="55"/>
      <c r="L58" s="55"/>
    </row>
    <row r="59" spans="1:12">
      <c r="H59" s="54"/>
      <c r="I59" s="44"/>
      <c r="J59" s="56"/>
      <c r="K59" s="57"/>
    </row>
    <row r="131" spans="1:3" ht="13.5" thickBot="1">
      <c r="A131" s="226"/>
      <c r="C131" s="235"/>
    </row>
    <row r="132" spans="1:3" ht="13.5" thickTop="1">
      <c r="A132" s="230"/>
      <c r="C132" s="230"/>
    </row>
    <row r="133" spans="1:3">
      <c r="A133" s="232"/>
      <c r="C133" s="239"/>
    </row>
  </sheetData>
  <mergeCells count="1">
    <mergeCell ref="B46:G46"/>
  </mergeCells>
  <pageMargins left="0.7" right="0.7" top="0.75" bottom="0.75" header="0.3" footer="0.3"/>
  <pageSetup orientation="portrait" r:id="rId1"/>
  <headerFooter>
    <oddHeader xml:space="preserve">&amp;CConfidential per Protective Order in UTC Dockets UE-120436 and UG-120437&amp;R
Exhibit No. ___ (MDF-3C)
Page &amp;P
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139"/>
  <sheetViews>
    <sheetView tabSelected="1" zoomScaleNormal="100" workbookViewId="0">
      <selection activeCell="D122" sqref="D122"/>
    </sheetView>
  </sheetViews>
  <sheetFormatPr defaultColWidth="19.7109375" defaultRowHeight="12"/>
  <cols>
    <col min="1" max="1" width="23.85546875" style="126" customWidth="1"/>
    <col min="2" max="6" width="15.85546875" style="126" customWidth="1"/>
    <col min="7" max="7" width="5.28515625" style="126" customWidth="1"/>
    <col min="8" max="9" width="15.85546875" style="126" customWidth="1"/>
    <col min="10" max="16384" width="19.7109375" style="126"/>
  </cols>
  <sheetData>
    <row r="1" spans="1:9" s="123" customFormat="1">
      <c r="A1" s="123" t="s">
        <v>82</v>
      </c>
      <c r="B1" s="124">
        <v>2006</v>
      </c>
      <c r="C1" s="124">
        <v>2007</v>
      </c>
      <c r="D1" s="124">
        <v>2008</v>
      </c>
      <c r="E1" s="124">
        <v>2009</v>
      </c>
      <c r="F1" s="123">
        <v>2010</v>
      </c>
      <c r="H1" s="123">
        <v>2011</v>
      </c>
      <c r="I1" s="123">
        <v>2012</v>
      </c>
    </row>
    <row r="2" spans="1:9" s="123" customFormat="1">
      <c r="A2" s="123" t="s">
        <v>83</v>
      </c>
      <c r="B2" s="124">
        <v>2007</v>
      </c>
      <c r="C2" s="124">
        <v>2008</v>
      </c>
      <c r="D2" s="124">
        <v>2009</v>
      </c>
      <c r="E2" s="124">
        <v>2010</v>
      </c>
      <c r="F2" s="123">
        <v>2011</v>
      </c>
      <c r="H2" s="123">
        <v>2012</v>
      </c>
      <c r="I2" s="123">
        <v>2013</v>
      </c>
    </row>
    <row r="4" spans="1:9" ht="12.75" thickBot="1">
      <c r="A4" s="125" t="s">
        <v>60</v>
      </c>
      <c r="H4" s="127"/>
    </row>
    <row r="5" spans="1:9" ht="12.75" thickBot="1">
      <c r="H5" s="251" t="s">
        <v>84</v>
      </c>
      <c r="I5" s="252"/>
    </row>
    <row r="6" spans="1:9">
      <c r="A6" s="123" t="s">
        <v>11</v>
      </c>
      <c r="E6" s="128"/>
      <c r="F6" s="128"/>
      <c r="G6" s="128"/>
      <c r="H6" s="128"/>
    </row>
    <row r="7" spans="1:9">
      <c r="A7" s="126" t="s">
        <v>85</v>
      </c>
      <c r="B7" s="129">
        <v>545355</v>
      </c>
      <c r="C7" s="129">
        <f t="shared" ref="C7:F7" si="0">B9</f>
        <v>531430</v>
      </c>
      <c r="D7" s="129">
        <f t="shared" si="0"/>
        <v>472846</v>
      </c>
      <c r="E7" s="129">
        <f t="shared" si="0"/>
        <v>426215</v>
      </c>
      <c r="F7" s="129">
        <f t="shared" si="0"/>
        <v>553300</v>
      </c>
      <c r="G7" s="128"/>
      <c r="H7" s="255"/>
      <c r="I7" s="256"/>
    </row>
    <row r="8" spans="1:9">
      <c r="A8" s="126" t="s">
        <v>86</v>
      </c>
      <c r="B8" s="130">
        <v>-13925</v>
      </c>
      <c r="C8" s="130">
        <f t="shared" ref="C8:F8" si="1">C9-B9</f>
        <v>-58584</v>
      </c>
      <c r="D8" s="130">
        <f t="shared" si="1"/>
        <v>-46631</v>
      </c>
      <c r="E8" s="130">
        <f t="shared" si="1"/>
        <v>127085</v>
      </c>
      <c r="F8" s="130">
        <f t="shared" si="1"/>
        <v>92193</v>
      </c>
      <c r="G8" s="128"/>
      <c r="H8" s="257"/>
      <c r="I8" s="258"/>
    </row>
    <row r="9" spans="1:9">
      <c r="A9" s="126" t="s">
        <v>87</v>
      </c>
      <c r="B9" s="129">
        <v>531430</v>
      </c>
      <c r="C9" s="129">
        <v>472846</v>
      </c>
      <c r="D9" s="129">
        <v>426215</v>
      </c>
      <c r="E9" s="129">
        <v>553300</v>
      </c>
      <c r="F9" s="129">
        <v>645493</v>
      </c>
      <c r="G9" s="129"/>
      <c r="H9" s="256"/>
      <c r="I9" s="256"/>
    </row>
    <row r="10" spans="1:9">
      <c r="A10" s="126" t="s">
        <v>88</v>
      </c>
      <c r="B10" s="131">
        <v>1.1147000000000001E-2</v>
      </c>
      <c r="C10" s="131">
        <v>1.0995E-2</v>
      </c>
      <c r="D10" s="131">
        <v>1.1440000000000001E-2</v>
      </c>
      <c r="E10" s="131">
        <v>1.2009000000000001E-2</v>
      </c>
      <c r="F10" s="131">
        <v>1.2201999999999999E-2</v>
      </c>
      <c r="G10" s="132"/>
      <c r="H10" s="259"/>
      <c r="I10" s="259"/>
    </row>
    <row r="11" spans="1:9">
      <c r="A11" s="126" t="s">
        <v>89</v>
      </c>
      <c r="B11" s="133">
        <v>5923.8502100000005</v>
      </c>
      <c r="C11" s="133">
        <f t="shared" ref="C11:F11" si="2">C9*C10</f>
        <v>5198.9417699999995</v>
      </c>
      <c r="D11" s="133">
        <f t="shared" si="2"/>
        <v>4875.8996000000006</v>
      </c>
      <c r="E11" s="133">
        <f t="shared" si="2"/>
        <v>6644.5797000000002</v>
      </c>
      <c r="F11" s="133">
        <f t="shared" si="2"/>
        <v>7876.3055859999995</v>
      </c>
      <c r="G11" s="133"/>
      <c r="H11" s="260"/>
      <c r="I11" s="261"/>
    </row>
    <row r="12" spans="1:9">
      <c r="B12" s="134"/>
      <c r="H12" s="262"/>
      <c r="I12" s="263"/>
    </row>
    <row r="13" spans="1:9">
      <c r="A13" s="126" t="s">
        <v>91</v>
      </c>
      <c r="B13" s="133">
        <v>8322</v>
      </c>
      <c r="C13" s="133">
        <f>6259</f>
        <v>6259</v>
      </c>
      <c r="D13" s="133">
        <v>5406</v>
      </c>
      <c r="E13" s="133">
        <v>6148</v>
      </c>
      <c r="F13" s="133">
        <v>7733</v>
      </c>
      <c r="G13" s="133"/>
      <c r="H13" s="256"/>
      <c r="I13" s="263"/>
    </row>
    <row r="14" spans="1:9">
      <c r="A14" s="126" t="s">
        <v>92</v>
      </c>
      <c r="B14" s="135">
        <v>-1356</v>
      </c>
      <c r="C14" s="135">
        <f>-2392-6</f>
        <v>-2398</v>
      </c>
      <c r="D14" s="135">
        <f>-1059-1</f>
        <v>-1060</v>
      </c>
      <c r="E14" s="135">
        <v>-530</v>
      </c>
      <c r="F14" s="135">
        <v>487</v>
      </c>
      <c r="G14" s="136"/>
    </row>
    <row r="15" spans="1:9">
      <c r="A15" s="123" t="s">
        <v>93</v>
      </c>
      <c r="B15" s="137">
        <v>6966</v>
      </c>
      <c r="C15" s="137">
        <f t="shared" ref="C15:F15" si="3">SUM(C13:C14)</f>
        <v>3861</v>
      </c>
      <c r="D15" s="137">
        <f t="shared" si="3"/>
        <v>4346</v>
      </c>
      <c r="E15" s="137">
        <f t="shared" si="3"/>
        <v>5618</v>
      </c>
      <c r="F15" s="137">
        <f t="shared" si="3"/>
        <v>8220</v>
      </c>
      <c r="G15" s="133"/>
    </row>
    <row r="16" spans="1:9">
      <c r="B16" s="133"/>
      <c r="C16" s="133"/>
      <c r="D16" s="133"/>
      <c r="E16" s="133"/>
      <c r="F16" s="133"/>
      <c r="G16" s="133"/>
    </row>
    <row r="17" spans="1:9">
      <c r="B17" s="134"/>
      <c r="C17" s="134"/>
      <c r="D17" s="134"/>
      <c r="E17" s="134"/>
      <c r="F17" s="134"/>
    </row>
    <row r="18" spans="1:9">
      <c r="A18" s="123" t="s">
        <v>12</v>
      </c>
      <c r="E18" s="128"/>
      <c r="F18" s="128"/>
      <c r="G18" s="128"/>
      <c r="H18" s="128"/>
    </row>
    <row r="19" spans="1:9">
      <c r="A19" s="126" t="s">
        <v>85</v>
      </c>
      <c r="B19" s="129">
        <v>345887</v>
      </c>
      <c r="C19" s="129">
        <f t="shared" ref="C19:F19" si="4">B21</f>
        <v>353389</v>
      </c>
      <c r="D19" s="129">
        <f t="shared" si="4"/>
        <v>368713</v>
      </c>
      <c r="E19" s="129">
        <f t="shared" si="4"/>
        <v>369567</v>
      </c>
      <c r="F19" s="129">
        <f t="shared" si="4"/>
        <v>394924.71850800002</v>
      </c>
      <c r="G19" s="128"/>
      <c r="H19" s="255"/>
      <c r="I19" s="256"/>
    </row>
    <row r="20" spans="1:9">
      <c r="A20" s="126" t="s">
        <v>86</v>
      </c>
      <c r="B20" s="130">
        <v>7502</v>
      </c>
      <c r="C20" s="130">
        <f t="shared" ref="C20:F20" si="5">C21-B21</f>
        <v>15324</v>
      </c>
      <c r="D20" s="130">
        <f t="shared" si="5"/>
        <v>854</v>
      </c>
      <c r="E20" s="130">
        <f t="shared" si="5"/>
        <v>25357.71850800002</v>
      </c>
      <c r="F20" s="130">
        <f t="shared" si="5"/>
        <v>11581.405781348643</v>
      </c>
      <c r="G20" s="128"/>
      <c r="H20" s="257"/>
      <c r="I20" s="258"/>
    </row>
    <row r="21" spans="1:9">
      <c r="A21" s="126" t="s">
        <v>87</v>
      </c>
      <c r="B21" s="129">
        <v>353389</v>
      </c>
      <c r="C21" s="129">
        <v>368713</v>
      </c>
      <c r="D21" s="129">
        <v>369567</v>
      </c>
      <c r="E21" s="129">
        <f>'[2]2011-2012-2013'!F47</f>
        <v>394924.71850800002</v>
      </c>
      <c r="F21" s="129">
        <f>'[2]2011-2012-2013'!H49</f>
        <v>406506.12428934866</v>
      </c>
      <c r="G21" s="129"/>
      <c r="H21" s="256"/>
      <c r="I21" s="256"/>
    </row>
    <row r="22" spans="1:9">
      <c r="A22" s="126" t="s">
        <v>88</v>
      </c>
      <c r="B22" s="131">
        <v>7.5500000000000003E-3</v>
      </c>
      <c r="C22" s="131">
        <v>8.0219999999999996E-3</v>
      </c>
      <c r="D22" s="131">
        <v>8.6300000000000005E-3</v>
      </c>
      <c r="E22" s="138">
        <f>'[2]2011-2012-2013'!F50</f>
        <v>9.697894421110187E-3</v>
      </c>
      <c r="F22" s="138">
        <f>'[2]2011-2012-2013'!H50</f>
        <v>1.06637011098644E-2</v>
      </c>
      <c r="G22" s="139"/>
      <c r="H22" s="259"/>
      <c r="I22" s="259"/>
    </row>
    <row r="23" spans="1:9">
      <c r="A23" s="126" t="s">
        <v>89</v>
      </c>
      <c r="B23" s="133">
        <v>2668.0869499999999</v>
      </c>
      <c r="C23" s="133">
        <f t="shared" ref="C23:F23" si="6">C21*C22</f>
        <v>2957.8156859999999</v>
      </c>
      <c r="D23" s="133">
        <f t="shared" si="6"/>
        <v>3189.36321</v>
      </c>
      <c r="E23" s="133">
        <f t="shared" si="6"/>
        <v>3829.9382243772443</v>
      </c>
      <c r="F23" s="133">
        <f t="shared" si="6"/>
        <v>4334.8598087510027</v>
      </c>
      <c r="G23" s="133"/>
      <c r="H23" s="260"/>
      <c r="I23" s="261"/>
    </row>
    <row r="24" spans="1:9">
      <c r="B24" s="134"/>
      <c r="C24" s="134"/>
      <c r="D24" s="134"/>
      <c r="E24" s="134"/>
      <c r="F24" s="134"/>
      <c r="H24" s="262"/>
      <c r="I24" s="263"/>
    </row>
    <row r="25" spans="1:9">
      <c r="A25" s="126" t="s">
        <v>91</v>
      </c>
      <c r="B25" s="133">
        <v>2670</v>
      </c>
      <c r="C25" s="133">
        <v>3030</v>
      </c>
      <c r="D25" s="133">
        <v>3206</v>
      </c>
      <c r="E25" s="133">
        <v>3826</v>
      </c>
      <c r="F25" s="133">
        <v>4333</v>
      </c>
      <c r="G25" s="133"/>
      <c r="H25" s="256"/>
      <c r="I25" s="263"/>
    </row>
    <row r="26" spans="1:9">
      <c r="A26" s="126" t="s">
        <v>92</v>
      </c>
      <c r="B26" s="135">
        <v>5</v>
      </c>
      <c r="C26" s="135">
        <v>3</v>
      </c>
      <c r="D26" s="135">
        <v>-71</v>
      </c>
      <c r="E26" s="135">
        <v>3</v>
      </c>
      <c r="F26" s="135">
        <v>0</v>
      </c>
      <c r="G26" s="136"/>
    </row>
    <row r="27" spans="1:9">
      <c r="A27" s="123" t="s">
        <v>93</v>
      </c>
      <c r="B27" s="137">
        <v>2675</v>
      </c>
      <c r="C27" s="137">
        <f t="shared" ref="C27:F27" si="7">SUM(C25:C26)</f>
        <v>3033</v>
      </c>
      <c r="D27" s="137">
        <f t="shared" si="7"/>
        <v>3135</v>
      </c>
      <c r="E27" s="137">
        <f t="shared" si="7"/>
        <v>3829</v>
      </c>
      <c r="F27" s="137">
        <f t="shared" si="7"/>
        <v>4333</v>
      </c>
      <c r="G27" s="133"/>
    </row>
    <row r="28" spans="1:9">
      <c r="B28" s="133"/>
      <c r="C28" s="133"/>
      <c r="D28" s="133"/>
      <c r="E28" s="133"/>
      <c r="F28" s="133"/>
      <c r="G28" s="133"/>
    </row>
    <row r="30" spans="1:9">
      <c r="A30" s="123" t="s">
        <v>26</v>
      </c>
      <c r="E30" s="128"/>
      <c r="F30" s="128"/>
      <c r="G30" s="128"/>
      <c r="H30" s="128"/>
    </row>
    <row r="31" spans="1:9">
      <c r="A31" s="126" t="s">
        <v>85</v>
      </c>
      <c r="B31" s="129">
        <v>18695</v>
      </c>
      <c r="C31" s="129">
        <f t="shared" ref="C31:F31" si="8">B33</f>
        <v>19364</v>
      </c>
      <c r="D31" s="129">
        <f t="shared" si="8"/>
        <v>20874</v>
      </c>
      <c r="E31" s="129">
        <f t="shared" si="8"/>
        <v>19902</v>
      </c>
      <c r="F31" s="129">
        <f t="shared" si="8"/>
        <v>20890</v>
      </c>
      <c r="G31" s="128"/>
      <c r="H31" s="255"/>
      <c r="I31" s="256"/>
    </row>
    <row r="32" spans="1:9">
      <c r="A32" s="126" t="s">
        <v>86</v>
      </c>
      <c r="B32" s="130">
        <v>669</v>
      </c>
      <c r="C32" s="130">
        <f t="shared" ref="C32:F32" si="9">C33-B33</f>
        <v>1510</v>
      </c>
      <c r="D32" s="130">
        <f t="shared" si="9"/>
        <v>-972</v>
      </c>
      <c r="E32" s="130">
        <f t="shared" si="9"/>
        <v>988</v>
      </c>
      <c r="F32" s="130">
        <f t="shared" si="9"/>
        <v>717.81471984169184</v>
      </c>
      <c r="G32" s="128"/>
      <c r="H32" s="257"/>
      <c r="I32" s="258"/>
    </row>
    <row r="33" spans="1:9">
      <c r="A33" s="126" t="s">
        <v>87</v>
      </c>
      <c r="B33" s="129">
        <v>19364</v>
      </c>
      <c r="C33" s="129">
        <v>20874</v>
      </c>
      <c r="D33" s="129">
        <v>19902</v>
      </c>
      <c r="E33" s="129">
        <v>20890</v>
      </c>
      <c r="F33" s="129">
        <f>'[2]2011-2012-2013'!H73</f>
        <v>21607.814719841692</v>
      </c>
      <c r="G33" s="129"/>
      <c r="H33" s="256"/>
      <c r="I33" s="256"/>
    </row>
    <row r="34" spans="1:9">
      <c r="A34" s="126" t="s">
        <v>88</v>
      </c>
      <c r="B34" s="131">
        <v>0.31885000000000002</v>
      </c>
      <c r="C34" s="131">
        <v>0.31947999999999999</v>
      </c>
      <c r="D34" s="131">
        <v>0.30969999999999998</v>
      </c>
      <c r="E34" s="138">
        <v>0.31666</v>
      </c>
      <c r="F34" s="138">
        <f>'[2]2011-2012-2013'!H74</f>
        <v>0.32067010000000001</v>
      </c>
      <c r="G34" s="138"/>
      <c r="H34" s="264"/>
      <c r="I34" s="264"/>
    </row>
    <row r="35" spans="1:9">
      <c r="A35" s="126" t="s">
        <v>89</v>
      </c>
      <c r="B35" s="133">
        <v>6174.2114000000001</v>
      </c>
      <c r="C35" s="133">
        <f t="shared" ref="C35:I35" si="10">C33*C34</f>
        <v>6668.8255199999994</v>
      </c>
      <c r="D35" s="133">
        <f t="shared" si="10"/>
        <v>6163.6493999999993</v>
      </c>
      <c r="E35" s="133">
        <f t="shared" si="10"/>
        <v>6615.0273999999999</v>
      </c>
      <c r="F35" s="133">
        <f t="shared" si="10"/>
        <v>6928.9801069931073</v>
      </c>
      <c r="G35" s="133"/>
      <c r="H35" s="260"/>
      <c r="I35" s="261"/>
    </row>
    <row r="36" spans="1:9">
      <c r="B36" s="134"/>
      <c r="C36" s="134"/>
      <c r="D36" s="134"/>
      <c r="E36" s="134"/>
      <c r="F36" s="134"/>
      <c r="H36" s="262"/>
      <c r="I36" s="263"/>
    </row>
    <row r="37" spans="1:9">
      <c r="A37" s="126" t="s">
        <v>91</v>
      </c>
      <c r="B37" s="133">
        <v>6177</v>
      </c>
      <c r="C37" s="133">
        <v>6676</v>
      </c>
      <c r="D37" s="133">
        <v>6164</v>
      </c>
      <c r="E37" s="133">
        <v>6615</v>
      </c>
      <c r="F37" s="133">
        <v>6915</v>
      </c>
      <c r="G37" s="133"/>
      <c r="H37" s="256"/>
      <c r="I37" s="263"/>
    </row>
    <row r="38" spans="1:9">
      <c r="A38" s="126" t="s">
        <v>92</v>
      </c>
      <c r="B38" s="135">
        <v>-35</v>
      </c>
      <c r="C38" s="135">
        <v>-16</v>
      </c>
      <c r="D38" s="135">
        <v>-18</v>
      </c>
      <c r="E38" s="135">
        <v>-4</v>
      </c>
      <c r="F38" s="135">
        <v>0</v>
      </c>
      <c r="G38" s="136"/>
    </row>
    <row r="39" spans="1:9">
      <c r="A39" s="123" t="s">
        <v>93</v>
      </c>
      <c r="B39" s="137">
        <v>6142</v>
      </c>
      <c r="C39" s="137">
        <f t="shared" ref="C39:E39" si="11">C37+C38</f>
        <v>6660</v>
      </c>
      <c r="D39" s="137">
        <f t="shared" si="11"/>
        <v>6146</v>
      </c>
      <c r="E39" s="137">
        <f t="shared" si="11"/>
        <v>6611</v>
      </c>
      <c r="F39" s="137">
        <f>SUM(F37:F38)</f>
        <v>6915</v>
      </c>
      <c r="G39" s="133"/>
    </row>
    <row r="40" spans="1:9">
      <c r="B40" s="133"/>
      <c r="C40" s="133"/>
      <c r="D40" s="133"/>
      <c r="E40" s="133"/>
      <c r="F40" s="133"/>
      <c r="G40" s="133"/>
    </row>
    <row r="41" spans="1:9">
      <c r="A41" s="123" t="s">
        <v>27</v>
      </c>
      <c r="B41" s="126" t="s">
        <v>94</v>
      </c>
      <c r="E41" s="128"/>
      <c r="F41" s="128"/>
      <c r="G41" s="128"/>
      <c r="H41" s="128"/>
    </row>
    <row r="42" spans="1:9">
      <c r="A42" s="126" t="s">
        <v>85</v>
      </c>
      <c r="B42" s="129">
        <v>1420</v>
      </c>
      <c r="C42" s="129">
        <f t="shared" ref="C42:F42" si="12">B44</f>
        <v>1412</v>
      </c>
      <c r="D42" s="129">
        <f t="shared" si="12"/>
        <v>1354</v>
      </c>
      <c r="E42" s="129">
        <f t="shared" si="12"/>
        <v>666</v>
      </c>
      <c r="F42" s="129">
        <f t="shared" si="12"/>
        <v>841</v>
      </c>
      <c r="G42" s="128"/>
      <c r="H42" s="255"/>
      <c r="I42" s="256"/>
    </row>
    <row r="43" spans="1:9">
      <c r="A43" s="126" t="s">
        <v>86</v>
      </c>
      <c r="B43" s="130">
        <v>-8</v>
      </c>
      <c r="C43" s="130">
        <f t="shared" ref="C43" si="13">C44-B44</f>
        <v>-58</v>
      </c>
      <c r="D43" s="130">
        <f>D44-C44</f>
        <v>-688</v>
      </c>
      <c r="E43" s="130">
        <f t="shared" ref="E43:F43" si="14">E44-D44</f>
        <v>175</v>
      </c>
      <c r="F43" s="130">
        <f t="shared" si="14"/>
        <v>84</v>
      </c>
      <c r="G43" s="128"/>
      <c r="H43" s="257"/>
      <c r="I43" s="258"/>
    </row>
    <row r="44" spans="1:9">
      <c r="A44" s="126" t="s">
        <v>87</v>
      </c>
      <c r="B44" s="129">
        <v>1412</v>
      </c>
      <c r="C44" s="129">
        <v>1354</v>
      </c>
      <c r="D44" s="129">
        <v>666</v>
      </c>
      <c r="E44" s="129">
        <v>841</v>
      </c>
      <c r="F44" s="129">
        <v>925</v>
      </c>
      <c r="G44" s="129"/>
      <c r="H44" s="256"/>
      <c r="I44" s="256"/>
    </row>
    <row r="45" spans="1:9">
      <c r="A45" s="126" t="s">
        <v>88</v>
      </c>
      <c r="B45" s="131">
        <v>9.58E-3</v>
      </c>
      <c r="C45" s="131">
        <v>9.8499999999999994E-3</v>
      </c>
      <c r="D45" s="131">
        <v>9.5099999999999994E-3</v>
      </c>
      <c r="E45" s="138">
        <v>9.75E-3</v>
      </c>
      <c r="F45" s="138">
        <v>9.3299999999999998E-3</v>
      </c>
      <c r="G45" s="138"/>
      <c r="H45" s="264"/>
      <c r="I45" s="264"/>
    </row>
    <row r="46" spans="1:9">
      <c r="A46" s="126" t="s">
        <v>89</v>
      </c>
      <c r="B46" s="133">
        <v>17</v>
      </c>
      <c r="C46" s="133">
        <f t="shared" ref="C46:I46" si="15">C44*C45</f>
        <v>13.3369</v>
      </c>
      <c r="D46" s="133">
        <f>7+3</f>
        <v>10</v>
      </c>
      <c r="E46" s="133">
        <f t="shared" si="15"/>
        <v>8.1997499999999999</v>
      </c>
      <c r="F46" s="133">
        <f t="shared" si="15"/>
        <v>8.6302500000000002</v>
      </c>
      <c r="G46" s="133"/>
      <c r="H46" s="263"/>
      <c r="I46" s="263"/>
    </row>
    <row r="47" spans="1:9">
      <c r="B47" s="133"/>
      <c r="C47" s="133"/>
      <c r="D47" s="133"/>
      <c r="E47" s="133"/>
      <c r="F47" s="133"/>
      <c r="G47" s="133"/>
      <c r="H47" s="133"/>
      <c r="I47" s="133"/>
    </row>
    <row r="48" spans="1:9">
      <c r="B48" s="133" t="s">
        <v>95</v>
      </c>
      <c r="C48" s="133"/>
      <c r="D48" s="133"/>
      <c r="E48" s="133"/>
      <c r="F48" s="133"/>
      <c r="G48" s="133"/>
      <c r="H48" s="133"/>
      <c r="I48" s="133"/>
    </row>
    <row r="49" spans="1:10">
      <c r="A49" s="126" t="s">
        <v>85</v>
      </c>
      <c r="B49" s="129">
        <v>0</v>
      </c>
      <c r="C49" s="129">
        <f t="shared" ref="C49:F49" si="16">B51</f>
        <v>176588</v>
      </c>
      <c r="D49" s="129">
        <f t="shared" si="16"/>
        <v>170000</v>
      </c>
      <c r="E49" s="129">
        <f t="shared" si="16"/>
        <v>107734</v>
      </c>
      <c r="F49" s="129">
        <f t="shared" si="16"/>
        <v>104359</v>
      </c>
      <c r="G49" s="133"/>
      <c r="H49" s="255"/>
      <c r="I49" s="256"/>
    </row>
    <row r="50" spans="1:10">
      <c r="A50" s="126" t="s">
        <v>86</v>
      </c>
      <c r="B50" s="130">
        <v>176588</v>
      </c>
      <c r="C50" s="130">
        <f t="shared" ref="C50:F50" si="17">C51-B51</f>
        <v>-6588</v>
      </c>
      <c r="D50" s="130">
        <f t="shared" si="17"/>
        <v>-62266</v>
      </c>
      <c r="E50" s="130">
        <f t="shared" si="17"/>
        <v>-3375</v>
      </c>
      <c r="F50" s="130">
        <f t="shared" si="17"/>
        <v>11341</v>
      </c>
      <c r="G50" s="133"/>
      <c r="H50" s="257"/>
      <c r="I50" s="258"/>
    </row>
    <row r="51" spans="1:10">
      <c r="A51" s="126" t="s">
        <v>96</v>
      </c>
      <c r="B51" s="133">
        <v>176588</v>
      </c>
      <c r="C51" s="133">
        <v>170000</v>
      </c>
      <c r="D51" s="133">
        <v>107734</v>
      </c>
      <c r="E51" s="133">
        <v>104359</v>
      </c>
      <c r="F51" s="133">
        <v>115700</v>
      </c>
      <c r="G51" s="133"/>
      <c r="H51" s="263"/>
      <c r="I51" s="263"/>
    </row>
    <row r="52" spans="1:10">
      <c r="A52" s="126" t="s">
        <v>88</v>
      </c>
      <c r="B52" s="138">
        <v>8.097945500260493E-4</v>
      </c>
      <c r="C52" s="138">
        <f t="shared" ref="C52:E52" si="18">C53/C51</f>
        <v>8.1176470588235298E-4</v>
      </c>
      <c r="D52" s="138">
        <f t="shared" si="18"/>
        <v>1.722761616574155E-2</v>
      </c>
      <c r="E52" s="138">
        <f t="shared" si="18"/>
        <v>1.7631445299399189E-2</v>
      </c>
      <c r="F52" s="138">
        <f>F53/F51</f>
        <v>1.7545375972342264E-2</v>
      </c>
      <c r="G52" s="133"/>
      <c r="H52" s="265"/>
      <c r="I52" s="265"/>
      <c r="J52" s="126" t="s">
        <v>97</v>
      </c>
    </row>
    <row r="53" spans="1:10">
      <c r="A53" s="126" t="s">
        <v>96</v>
      </c>
      <c r="B53" s="140">
        <v>143</v>
      </c>
      <c r="C53" s="140">
        <v>138</v>
      </c>
      <c r="D53" s="140">
        <v>1856</v>
      </c>
      <c r="E53" s="140">
        <v>1840</v>
      </c>
      <c r="F53" s="140">
        <v>2030</v>
      </c>
      <c r="G53" s="136"/>
      <c r="H53" s="266"/>
      <c r="I53" s="266"/>
    </row>
    <row r="54" spans="1:10">
      <c r="B54" s="136"/>
      <c r="C54" s="136"/>
      <c r="D54" s="136"/>
      <c r="E54" s="136"/>
      <c r="F54" s="136"/>
      <c r="G54" s="136"/>
      <c r="H54" s="136"/>
      <c r="I54" s="136"/>
    </row>
    <row r="55" spans="1:10">
      <c r="A55" s="126" t="s">
        <v>85</v>
      </c>
      <c r="B55" s="129">
        <v>158</v>
      </c>
      <c r="C55" s="129">
        <f t="shared" ref="C55:E55" si="19">B57</f>
        <v>156</v>
      </c>
      <c r="D55" s="129">
        <f t="shared" si="19"/>
        <v>151.33690000000001</v>
      </c>
      <c r="E55" s="129">
        <f t="shared" si="19"/>
        <v>1008</v>
      </c>
      <c r="F55" s="129">
        <f>E57</f>
        <v>1848.19975</v>
      </c>
      <c r="G55" s="133"/>
      <c r="H55" s="260"/>
      <c r="I55" s="261"/>
    </row>
    <row r="56" spans="1:10">
      <c r="A56" s="126" t="s">
        <v>86</v>
      </c>
      <c r="B56" s="130">
        <v>-1</v>
      </c>
      <c r="C56" s="130">
        <f t="shared" ref="C56:F56" si="20">C57-B57</f>
        <v>-4.6630999999999858</v>
      </c>
      <c r="D56" s="130">
        <f t="shared" si="20"/>
        <v>856.66309999999999</v>
      </c>
      <c r="E56" s="130">
        <f t="shared" si="20"/>
        <v>840.19974999999999</v>
      </c>
      <c r="F56" s="130">
        <f t="shared" si="20"/>
        <v>101.80025000000001</v>
      </c>
      <c r="H56" s="262"/>
      <c r="I56" s="263"/>
    </row>
    <row r="57" spans="1:10">
      <c r="A57" s="126" t="s">
        <v>91</v>
      </c>
      <c r="B57" s="133">
        <v>156</v>
      </c>
      <c r="C57" s="133">
        <f t="shared" ref="C57" si="21">C46+C53</f>
        <v>151.33690000000001</v>
      </c>
      <c r="D57" s="133">
        <v>1008</v>
      </c>
      <c r="E57" s="133">
        <f>E46+E53</f>
        <v>1848.19975</v>
      </c>
      <c r="F57" s="133">
        <v>1950</v>
      </c>
      <c r="G57" s="133"/>
      <c r="H57" s="256"/>
      <c r="I57" s="263"/>
    </row>
    <row r="58" spans="1:10">
      <c r="A58" s="126" t="s">
        <v>92</v>
      </c>
      <c r="B58" s="135">
        <v>0</v>
      </c>
      <c r="C58" s="135">
        <v>-159</v>
      </c>
      <c r="D58" s="135">
        <v>10</v>
      </c>
      <c r="E58" s="135">
        <v>0</v>
      </c>
      <c r="F58" s="135">
        <v>0</v>
      </c>
      <c r="G58" s="136"/>
    </row>
    <row r="59" spans="1:10">
      <c r="A59" s="123" t="s">
        <v>93</v>
      </c>
      <c r="B59" s="137">
        <v>156</v>
      </c>
      <c r="C59" s="137">
        <f t="shared" ref="C59:E59" si="22">C57+C58</f>
        <v>-7.6630999999999858</v>
      </c>
      <c r="D59" s="137">
        <f t="shared" si="22"/>
        <v>1018</v>
      </c>
      <c r="E59" s="137">
        <f t="shared" si="22"/>
        <v>1848.19975</v>
      </c>
      <c r="F59" s="137">
        <f>SUM(F57:F58)</f>
        <v>1950</v>
      </c>
      <c r="G59" s="133"/>
      <c r="H59" s="133"/>
      <c r="I59" s="133"/>
    </row>
    <row r="60" spans="1:10">
      <c r="B60" s="133"/>
      <c r="C60" s="133"/>
      <c r="D60" s="133"/>
      <c r="E60" s="133"/>
      <c r="F60" s="133"/>
      <c r="G60" s="133"/>
    </row>
    <row r="61" spans="1:10">
      <c r="A61" s="123" t="s">
        <v>98</v>
      </c>
      <c r="B61" s="133"/>
      <c r="C61" s="133"/>
      <c r="D61" s="133"/>
      <c r="E61" s="133"/>
      <c r="F61" s="133"/>
      <c r="G61" s="133"/>
      <c r="H61" s="253" t="s">
        <v>87</v>
      </c>
      <c r="I61" s="254"/>
    </row>
    <row r="62" spans="1:10">
      <c r="A62" s="126" t="s">
        <v>99</v>
      </c>
      <c r="B62" s="136">
        <v>17325</v>
      </c>
      <c r="C62" s="136">
        <f t="shared" ref="C62:F64" si="23">C13+C25+C37+C57</f>
        <v>16116.3369</v>
      </c>
      <c r="D62" s="136">
        <f t="shared" si="23"/>
        <v>15784</v>
      </c>
      <c r="E62" s="136">
        <f t="shared" si="23"/>
        <v>18437.19975</v>
      </c>
      <c r="F62" s="136">
        <f t="shared" si="23"/>
        <v>20931</v>
      </c>
      <c r="G62" s="136"/>
      <c r="H62" s="256"/>
      <c r="I62" s="256"/>
    </row>
    <row r="63" spans="1:10">
      <c r="A63" s="126" t="s">
        <v>92</v>
      </c>
      <c r="B63" s="135">
        <v>-1386</v>
      </c>
      <c r="C63" s="135">
        <f t="shared" si="23"/>
        <v>-2570</v>
      </c>
      <c r="D63" s="135">
        <f t="shared" si="23"/>
        <v>-1139</v>
      </c>
      <c r="E63" s="135">
        <f t="shared" si="23"/>
        <v>-531</v>
      </c>
      <c r="F63" s="135">
        <f t="shared" si="23"/>
        <v>487</v>
      </c>
      <c r="G63" s="135"/>
    </row>
    <row r="64" spans="1:10">
      <c r="A64" s="123" t="s">
        <v>93</v>
      </c>
      <c r="B64" s="141">
        <v>15939</v>
      </c>
      <c r="C64" s="141">
        <f t="shared" si="23"/>
        <v>13546.3369</v>
      </c>
      <c r="D64" s="141">
        <f t="shared" si="23"/>
        <v>14645</v>
      </c>
      <c r="E64" s="141">
        <f t="shared" si="23"/>
        <v>17906.19975</v>
      </c>
      <c r="F64" s="141">
        <f t="shared" si="23"/>
        <v>21418</v>
      </c>
      <c r="G64" s="133"/>
    </row>
    <row r="65" spans="1:9">
      <c r="B65" s="133"/>
      <c r="C65" s="133"/>
      <c r="D65" s="133"/>
      <c r="E65" s="133"/>
      <c r="F65" s="133"/>
      <c r="G65" s="133"/>
    </row>
    <row r="66" spans="1:9">
      <c r="A66" s="126" t="s">
        <v>100</v>
      </c>
      <c r="B66" s="133">
        <v>17325</v>
      </c>
      <c r="C66" s="133">
        <f>C57+C37+C25+C13</f>
        <v>16116.3369</v>
      </c>
      <c r="D66" s="133">
        <f>D57+D37+D25+D13</f>
        <v>15784</v>
      </c>
      <c r="E66" s="133">
        <f>E57+E37+E25+E13</f>
        <v>18437.19975</v>
      </c>
      <c r="F66" s="133">
        <f>F57+F37+F25+F13</f>
        <v>20931</v>
      </c>
      <c r="G66" s="133"/>
      <c r="H66" s="126" t="s">
        <v>100</v>
      </c>
      <c r="I66" s="267"/>
    </row>
    <row r="67" spans="1:9">
      <c r="A67" s="126" t="s">
        <v>93</v>
      </c>
      <c r="B67" s="133">
        <v>21419</v>
      </c>
      <c r="C67" s="133">
        <v>21420</v>
      </c>
      <c r="D67" s="133">
        <v>21421</v>
      </c>
      <c r="E67" s="133">
        <v>21422</v>
      </c>
      <c r="F67" s="133">
        <v>21423</v>
      </c>
      <c r="G67" s="133"/>
      <c r="H67" s="126" t="s">
        <v>101</v>
      </c>
      <c r="I67" s="267"/>
    </row>
    <row r="68" spans="1:9">
      <c r="B68" s="133">
        <v>4094</v>
      </c>
      <c r="C68" s="133">
        <f t="shared" ref="C68:E68" si="24">C67-C66</f>
        <v>5303.6630999999998</v>
      </c>
      <c r="D68" s="133">
        <f t="shared" si="24"/>
        <v>5637</v>
      </c>
      <c r="E68" s="133">
        <f t="shared" si="24"/>
        <v>2984.8002500000002</v>
      </c>
      <c r="F68" s="133">
        <f>F67-F66</f>
        <v>492</v>
      </c>
      <c r="G68" s="133"/>
      <c r="I68" s="267"/>
    </row>
    <row r="69" spans="1:9">
      <c r="B69" s="133"/>
      <c r="C69" s="133"/>
      <c r="D69" s="133"/>
      <c r="E69" s="133"/>
      <c r="F69" s="133"/>
      <c r="G69" s="133"/>
    </row>
    <row r="70" spans="1:9">
      <c r="B70" s="133"/>
      <c r="C70" s="133"/>
      <c r="D70" s="133"/>
      <c r="E70" s="133" t="s">
        <v>87</v>
      </c>
      <c r="F70" s="133">
        <f>F9+F21+F33+F44+F51</f>
        <v>1190231.9390091903</v>
      </c>
      <c r="G70" s="133"/>
    </row>
    <row r="71" spans="1:9">
      <c r="B71" s="133"/>
      <c r="C71" s="133"/>
      <c r="D71" s="133"/>
      <c r="E71" s="133"/>
      <c r="F71" s="133"/>
      <c r="G71" s="133"/>
    </row>
    <row r="72" spans="1:9">
      <c r="B72" s="133"/>
      <c r="C72" s="133"/>
      <c r="D72" s="133"/>
      <c r="E72" s="133"/>
      <c r="F72" s="133"/>
      <c r="G72" s="133"/>
    </row>
    <row r="73" spans="1:9" s="123" customFormat="1">
      <c r="A73" s="123" t="s">
        <v>82</v>
      </c>
      <c r="B73" s="124">
        <v>2006</v>
      </c>
      <c r="C73" s="124">
        <v>2007</v>
      </c>
      <c r="D73" s="124">
        <v>2008</v>
      </c>
      <c r="E73" s="124">
        <v>2009</v>
      </c>
      <c r="F73" s="123">
        <v>2010</v>
      </c>
      <c r="H73" s="123">
        <v>2011</v>
      </c>
      <c r="I73" s="123">
        <v>2012</v>
      </c>
    </row>
    <row r="74" spans="1:9" s="123" customFormat="1">
      <c r="A74" s="123" t="s">
        <v>83</v>
      </c>
      <c r="B74" s="124">
        <v>2007</v>
      </c>
      <c r="C74" s="124">
        <v>2008</v>
      </c>
      <c r="D74" s="124">
        <v>2009</v>
      </c>
      <c r="E74" s="124">
        <v>2010</v>
      </c>
      <c r="F74" s="123">
        <v>2011</v>
      </c>
      <c r="H74" s="123">
        <v>2012</v>
      </c>
      <c r="I74" s="123">
        <v>2013</v>
      </c>
    </row>
    <row r="75" spans="1:9">
      <c r="B75" s="133"/>
      <c r="C75" s="133"/>
      <c r="D75" s="133"/>
      <c r="E75" s="133"/>
      <c r="F75" s="133"/>
      <c r="G75" s="133"/>
    </row>
    <row r="76" spans="1:9" ht="12.75" thickBot="1">
      <c r="A76" s="131" t="s">
        <v>61</v>
      </c>
    </row>
    <row r="77" spans="1:9" ht="12.75" thickBot="1">
      <c r="H77" s="251" t="s">
        <v>84</v>
      </c>
      <c r="I77" s="252"/>
    </row>
    <row r="78" spans="1:9">
      <c r="A78" s="123" t="s">
        <v>11</v>
      </c>
      <c r="E78" s="128"/>
      <c r="F78" s="128"/>
      <c r="G78" s="128"/>
      <c r="H78" s="128"/>
    </row>
    <row r="79" spans="1:9">
      <c r="A79" s="126" t="s">
        <v>85</v>
      </c>
      <c r="B79" s="129">
        <v>139724</v>
      </c>
      <c r="C79" s="129">
        <f t="shared" ref="C79:F79" si="25">B81</f>
        <v>136844</v>
      </c>
      <c r="D79" s="129">
        <f t="shared" si="25"/>
        <v>109173</v>
      </c>
      <c r="E79" s="129">
        <f t="shared" si="25"/>
        <v>124410</v>
      </c>
      <c r="F79" s="129">
        <f t="shared" si="25"/>
        <v>148021</v>
      </c>
      <c r="G79" s="133"/>
      <c r="H79" s="255"/>
      <c r="I79" s="256"/>
    </row>
    <row r="80" spans="1:9">
      <c r="A80" s="126" t="s">
        <v>86</v>
      </c>
      <c r="B80" s="130">
        <v>-2880</v>
      </c>
      <c r="C80" s="130">
        <f t="shared" ref="C80:F80" si="26">C81-B81</f>
        <v>-27671</v>
      </c>
      <c r="D80" s="130">
        <f t="shared" si="26"/>
        <v>15237</v>
      </c>
      <c r="E80" s="130">
        <f t="shared" si="26"/>
        <v>23611</v>
      </c>
      <c r="F80" s="130">
        <f t="shared" si="26"/>
        <v>4510</v>
      </c>
      <c r="H80" s="257"/>
      <c r="I80" s="258"/>
    </row>
    <row r="81" spans="1:9">
      <c r="A81" s="126" t="s">
        <v>87</v>
      </c>
      <c r="B81" s="129">
        <v>136844</v>
      </c>
      <c r="C81" s="129">
        <v>109173</v>
      </c>
      <c r="D81" s="129">
        <v>124410</v>
      </c>
      <c r="E81" s="129">
        <v>148021</v>
      </c>
      <c r="F81" s="129">
        <v>152531</v>
      </c>
      <c r="G81" s="129"/>
      <c r="H81" s="256"/>
      <c r="I81" s="256"/>
    </row>
    <row r="82" spans="1:9">
      <c r="A82" s="126" t="s">
        <v>88</v>
      </c>
      <c r="B82" s="142">
        <v>1.1362000000000001E-2</v>
      </c>
      <c r="C82" s="131">
        <v>1.1122999999999999E-2</v>
      </c>
      <c r="D82" s="131">
        <v>1.1520000000000001E-2</v>
      </c>
      <c r="E82" s="138">
        <v>1.2448000000000001E-2</v>
      </c>
      <c r="F82" s="138">
        <v>1.272E-2</v>
      </c>
      <c r="G82" s="139"/>
      <c r="H82" s="259"/>
      <c r="I82" s="259"/>
    </row>
    <row r="83" spans="1:9">
      <c r="A83" s="126" t="s">
        <v>102</v>
      </c>
      <c r="B83" s="133">
        <f>B81*B82</f>
        <v>1554.8215280000002</v>
      </c>
      <c r="C83" s="133">
        <f t="shared" ref="C83:I83" si="27">C81*C82</f>
        <v>1214.331279</v>
      </c>
      <c r="D83" s="133">
        <f t="shared" si="27"/>
        <v>1433.2032000000002</v>
      </c>
      <c r="E83" s="133">
        <f t="shared" si="27"/>
        <v>1842.5654080000002</v>
      </c>
      <c r="F83" s="133">
        <f t="shared" si="27"/>
        <v>1940.1943200000001</v>
      </c>
      <c r="G83" s="133"/>
      <c r="H83" s="260"/>
      <c r="I83" s="261"/>
    </row>
    <row r="84" spans="1:9">
      <c r="H84" s="262"/>
      <c r="I84" s="263"/>
    </row>
    <row r="85" spans="1:9">
      <c r="A85" s="126" t="s">
        <v>91</v>
      </c>
      <c r="B85" s="133">
        <v>2308</v>
      </c>
      <c r="C85" s="133">
        <v>1477</v>
      </c>
      <c r="D85" s="133">
        <v>1645</v>
      </c>
      <c r="E85" s="133">
        <v>1843</v>
      </c>
      <c r="F85" s="133">
        <v>1934</v>
      </c>
      <c r="G85" s="133"/>
      <c r="H85" s="256"/>
      <c r="I85" s="263"/>
    </row>
    <row r="86" spans="1:9">
      <c r="A86" s="126" t="s">
        <v>92</v>
      </c>
      <c r="B86" s="135">
        <v>-438</v>
      </c>
      <c r="C86" s="135">
        <v>-778</v>
      </c>
      <c r="D86" s="135">
        <v>-262</v>
      </c>
      <c r="E86" s="135">
        <v>-211</v>
      </c>
      <c r="F86" s="135">
        <v>-14</v>
      </c>
      <c r="G86" s="136"/>
      <c r="H86" s="133"/>
      <c r="I86" s="133"/>
    </row>
    <row r="87" spans="1:9">
      <c r="A87" s="123" t="s">
        <v>93</v>
      </c>
      <c r="B87" s="137">
        <v>1870</v>
      </c>
      <c r="C87" s="137">
        <f t="shared" ref="C87:E87" si="28">C85+C86</f>
        <v>699</v>
      </c>
      <c r="D87" s="137">
        <f t="shared" si="28"/>
        <v>1383</v>
      </c>
      <c r="E87" s="137">
        <f t="shared" si="28"/>
        <v>1632</v>
      </c>
      <c r="F87" s="137">
        <f>SUM(F85:F86)</f>
        <v>1920</v>
      </c>
      <c r="G87" s="133"/>
      <c r="H87" s="133"/>
      <c r="I87" s="133"/>
    </row>
    <row r="88" spans="1:9">
      <c r="B88" s="133"/>
      <c r="C88" s="133"/>
      <c r="D88" s="133"/>
      <c r="E88" s="133"/>
      <c r="F88" s="133"/>
      <c r="G88" s="133"/>
    </row>
    <row r="89" spans="1:9">
      <c r="A89" s="123" t="s">
        <v>12</v>
      </c>
      <c r="B89" s="134"/>
      <c r="C89" s="134"/>
      <c r="D89" s="134"/>
      <c r="E89" s="134"/>
      <c r="F89" s="134"/>
      <c r="G89" s="128"/>
      <c r="H89" s="128"/>
    </row>
    <row r="90" spans="1:9">
      <c r="A90" s="126" t="s">
        <v>85</v>
      </c>
      <c r="B90" s="129">
        <v>56308</v>
      </c>
      <c r="C90" s="129">
        <f t="shared" ref="C90:F90" si="29">B92</f>
        <v>58570</v>
      </c>
      <c r="D90" s="129">
        <f t="shared" si="29"/>
        <v>57277</v>
      </c>
      <c r="E90" s="129">
        <f t="shared" si="29"/>
        <v>66700</v>
      </c>
      <c r="F90" s="129">
        <f t="shared" si="29"/>
        <v>69964.208587000001</v>
      </c>
      <c r="G90" s="133"/>
      <c r="H90" s="255"/>
      <c r="I90" s="256"/>
    </row>
    <row r="91" spans="1:9">
      <c r="A91" s="126" t="s">
        <v>86</v>
      </c>
      <c r="B91" s="130">
        <v>2262</v>
      </c>
      <c r="C91" s="130">
        <f t="shared" ref="C91:F91" si="30">C92-B92</f>
        <v>-1293</v>
      </c>
      <c r="D91" s="130">
        <f t="shared" si="30"/>
        <v>9423</v>
      </c>
      <c r="E91" s="130">
        <f t="shared" si="30"/>
        <v>3264.208587000001</v>
      </c>
      <c r="F91" s="130">
        <f t="shared" si="30"/>
        <v>-1243.8703679853497</v>
      </c>
      <c r="H91" s="257"/>
      <c r="I91" s="258"/>
    </row>
    <row r="92" spans="1:9">
      <c r="A92" s="126" t="s">
        <v>87</v>
      </c>
      <c r="B92" s="129">
        <v>58570</v>
      </c>
      <c r="C92" s="129">
        <v>57277</v>
      </c>
      <c r="D92" s="129">
        <v>66700</v>
      </c>
      <c r="E92" s="129">
        <f>'[2]2011-2012-2013'!F146</f>
        <v>69964.208587000001</v>
      </c>
      <c r="F92" s="129">
        <f>'[2]2011-2012-2013'!H146</f>
        <v>68720.338219014651</v>
      </c>
      <c r="G92" s="129"/>
      <c r="H92" s="256"/>
      <c r="I92" s="256"/>
    </row>
    <row r="93" spans="1:9">
      <c r="A93" s="126" t="s">
        <v>88</v>
      </c>
      <c r="B93" s="131">
        <v>1.039E-2</v>
      </c>
      <c r="C93" s="131">
        <v>1.0829E-2</v>
      </c>
      <c r="D93" s="131">
        <v>1.082E-2</v>
      </c>
      <c r="E93" s="138">
        <v>1.1469999999999999E-2</v>
      </c>
      <c r="F93" s="138">
        <v>1.2460000000000001E-2</v>
      </c>
      <c r="G93" s="139"/>
      <c r="H93" s="259"/>
      <c r="I93" s="259"/>
    </row>
    <row r="94" spans="1:9">
      <c r="A94" s="126" t="s">
        <v>102</v>
      </c>
      <c r="B94" s="133">
        <v>608.54229999999995</v>
      </c>
      <c r="C94" s="133">
        <f t="shared" ref="C94:I94" si="31">C92*C93</f>
        <v>620.25263300000006</v>
      </c>
      <c r="D94" s="133">
        <f t="shared" si="31"/>
        <v>721.69399999999996</v>
      </c>
      <c r="E94" s="133">
        <f t="shared" si="31"/>
        <v>802.48947249288994</v>
      </c>
      <c r="F94" s="133">
        <f t="shared" si="31"/>
        <v>856.25541420892262</v>
      </c>
      <c r="G94" s="133"/>
      <c r="H94" s="260"/>
      <c r="I94" s="261"/>
    </row>
    <row r="95" spans="1:9">
      <c r="H95" s="126" t="s">
        <v>90</v>
      </c>
      <c r="I95" s="263"/>
    </row>
    <row r="96" spans="1:9">
      <c r="A96" s="126" t="s">
        <v>91</v>
      </c>
      <c r="B96" s="133">
        <v>609</v>
      </c>
      <c r="C96" s="133">
        <v>620</v>
      </c>
      <c r="D96" s="133">
        <v>722</v>
      </c>
      <c r="E96" s="133">
        <v>803</v>
      </c>
      <c r="F96" s="133">
        <v>856</v>
      </c>
      <c r="G96" s="133"/>
      <c r="H96" s="143" t="s">
        <v>75</v>
      </c>
      <c r="I96" s="263"/>
    </row>
    <row r="97" spans="1:9">
      <c r="A97" s="126" t="s">
        <v>92</v>
      </c>
      <c r="B97" s="135">
        <v>-18</v>
      </c>
      <c r="C97" s="135">
        <v>86</v>
      </c>
      <c r="D97" s="135">
        <v>-100</v>
      </c>
      <c r="E97" s="135">
        <v>-1</v>
      </c>
      <c r="F97" s="135">
        <v>9</v>
      </c>
      <c r="G97" s="136"/>
      <c r="H97" s="133"/>
      <c r="I97" s="133"/>
    </row>
    <row r="98" spans="1:9">
      <c r="A98" s="123" t="s">
        <v>93</v>
      </c>
      <c r="B98" s="137">
        <v>591</v>
      </c>
      <c r="C98" s="137">
        <f t="shared" ref="C98:E98" si="32">C96+C97</f>
        <v>706</v>
      </c>
      <c r="D98" s="137">
        <f t="shared" si="32"/>
        <v>622</v>
      </c>
      <c r="E98" s="137">
        <f t="shared" si="32"/>
        <v>802</v>
      </c>
      <c r="F98" s="137">
        <f>SUM(F96:F97)</f>
        <v>865</v>
      </c>
      <c r="G98" s="133"/>
      <c r="H98" s="133"/>
      <c r="I98" s="133"/>
    </row>
    <row r="99" spans="1:9">
      <c r="B99" s="133"/>
      <c r="C99" s="133"/>
      <c r="D99" s="133"/>
      <c r="E99" s="133"/>
      <c r="F99" s="133"/>
      <c r="G99" s="133"/>
    </row>
    <row r="100" spans="1:9">
      <c r="A100" s="123" t="s">
        <v>27</v>
      </c>
      <c r="E100" s="128"/>
      <c r="F100" s="128"/>
      <c r="G100" s="128"/>
      <c r="H100" s="128"/>
    </row>
    <row r="101" spans="1:9">
      <c r="A101" s="126" t="s">
        <v>85</v>
      </c>
      <c r="B101" s="129">
        <v>121745</v>
      </c>
      <c r="C101" s="129">
        <f t="shared" ref="C101:F101" si="33">B103</f>
        <v>122500</v>
      </c>
      <c r="D101" s="129">
        <f t="shared" si="33"/>
        <v>138200</v>
      </c>
      <c r="E101" s="129">
        <f t="shared" si="33"/>
        <v>129725</v>
      </c>
      <c r="F101" s="129">
        <f t="shared" si="33"/>
        <v>130466</v>
      </c>
      <c r="G101" s="133"/>
      <c r="H101" s="255"/>
      <c r="I101" s="256"/>
    </row>
    <row r="102" spans="1:9">
      <c r="A102" s="126" t="s">
        <v>86</v>
      </c>
      <c r="B102" s="130">
        <v>755</v>
      </c>
      <c r="C102" s="130">
        <f t="shared" ref="C102:F102" si="34">C103-B103</f>
        <v>15700</v>
      </c>
      <c r="D102" s="130">
        <f t="shared" si="34"/>
        <v>-8475</v>
      </c>
      <c r="E102" s="130">
        <f t="shared" si="34"/>
        <v>741</v>
      </c>
      <c r="F102" s="130">
        <f t="shared" si="34"/>
        <v>11934</v>
      </c>
      <c r="H102" s="257"/>
      <c r="I102" s="258"/>
    </row>
    <row r="103" spans="1:9">
      <c r="A103" s="126" t="s">
        <v>87</v>
      </c>
      <c r="B103" s="129">
        <v>122500</v>
      </c>
      <c r="C103" s="129">
        <v>138200</v>
      </c>
      <c r="D103" s="129">
        <v>129725</v>
      </c>
      <c r="E103" s="129">
        <f>'[2]2011-2012-2013'!F154</f>
        <v>130466</v>
      </c>
      <c r="F103" s="129">
        <f>'[2]2011-2012-2013'!H154</f>
        <v>142400</v>
      </c>
      <c r="G103" s="129"/>
      <c r="H103" s="256"/>
      <c r="I103" s="256"/>
    </row>
    <row r="104" spans="1:9">
      <c r="A104" s="126" t="s">
        <v>88</v>
      </c>
      <c r="B104" s="131">
        <v>1.2840000000000001E-2</v>
      </c>
      <c r="C104" s="131">
        <v>1.273E-2</v>
      </c>
      <c r="D104" s="144">
        <v>1.270905E-2</v>
      </c>
      <c r="E104" s="138">
        <f>'[2]2011-2012-2013'!F165</f>
        <v>1.2656240695666537E-2</v>
      </c>
      <c r="F104" s="138">
        <f>'[2]2011-2012-2013'!H165</f>
        <v>1.2577468258426967E-2</v>
      </c>
      <c r="G104" s="139"/>
      <c r="H104" s="259"/>
      <c r="I104" s="259"/>
    </row>
    <row r="105" spans="1:9">
      <c r="A105" s="126" t="s">
        <v>102</v>
      </c>
      <c r="B105" s="133">
        <v>1572.9</v>
      </c>
      <c r="C105" s="133">
        <f t="shared" ref="C105:I105" si="35">C103*C104</f>
        <v>1759.2860000000001</v>
      </c>
      <c r="D105" s="133">
        <f t="shared" si="35"/>
        <v>1648.6815112499999</v>
      </c>
      <c r="E105" s="133">
        <f t="shared" si="35"/>
        <v>1651.2090986008304</v>
      </c>
      <c r="F105" s="133">
        <f t="shared" si="35"/>
        <v>1791.0314800000001</v>
      </c>
      <c r="G105" s="133"/>
      <c r="H105" s="260"/>
      <c r="I105" s="261"/>
    </row>
    <row r="106" spans="1:9">
      <c r="H106" s="126" t="s">
        <v>90</v>
      </c>
      <c r="I106" s="263"/>
    </row>
    <row r="107" spans="1:9">
      <c r="A107" s="123"/>
      <c r="H107" s="143" t="s">
        <v>75</v>
      </c>
      <c r="I107" s="263"/>
    </row>
    <row r="108" spans="1:9">
      <c r="A108" s="126" t="s">
        <v>91</v>
      </c>
      <c r="B108" s="133">
        <v>1573</v>
      </c>
      <c r="C108" s="133">
        <v>1759</v>
      </c>
      <c r="D108" s="133">
        <v>1750</v>
      </c>
      <c r="E108" s="133">
        <v>1649</v>
      </c>
      <c r="F108" s="133">
        <v>1726</v>
      </c>
      <c r="G108" s="133"/>
      <c r="H108" s="133"/>
      <c r="I108" s="133"/>
    </row>
    <row r="109" spans="1:9">
      <c r="A109" s="126" t="s">
        <v>92</v>
      </c>
      <c r="B109" s="135">
        <v>-74</v>
      </c>
      <c r="C109" s="135">
        <v>-95</v>
      </c>
      <c r="D109" s="135">
        <v>0</v>
      </c>
      <c r="E109" s="135">
        <v>0</v>
      </c>
      <c r="F109" s="135">
        <v>3</v>
      </c>
      <c r="G109" s="135"/>
      <c r="H109" s="133"/>
      <c r="I109" s="133"/>
    </row>
    <row r="110" spans="1:9">
      <c r="A110" s="123" t="s">
        <v>93</v>
      </c>
      <c r="B110" s="137">
        <v>1499</v>
      </c>
      <c r="C110" s="137">
        <f t="shared" ref="C110:E110" si="36">C108+C109</f>
        <v>1664</v>
      </c>
      <c r="D110" s="137">
        <f t="shared" si="36"/>
        <v>1750</v>
      </c>
      <c r="E110" s="137">
        <f t="shared" si="36"/>
        <v>1649</v>
      </c>
      <c r="F110" s="137">
        <f>SUM(F108:F109)</f>
        <v>1729</v>
      </c>
      <c r="G110" s="133"/>
      <c r="H110" s="133"/>
      <c r="I110" s="133"/>
    </row>
    <row r="111" spans="1:9">
      <c r="H111" s="133"/>
      <c r="I111" s="133"/>
    </row>
    <row r="113" spans="1:9">
      <c r="A113" s="123" t="s">
        <v>103</v>
      </c>
      <c r="B113" s="133"/>
      <c r="C113" s="133"/>
      <c r="D113" s="133"/>
      <c r="E113" s="133"/>
      <c r="F113" s="133"/>
      <c r="G113" s="133"/>
    </row>
    <row r="114" spans="1:9">
      <c r="A114" s="126" t="s">
        <v>91</v>
      </c>
      <c r="B114" s="136">
        <v>4490</v>
      </c>
      <c r="C114" s="136">
        <f t="shared" ref="C114:F114" si="37">C85+C96+C108</f>
        <v>3856</v>
      </c>
      <c r="D114" s="136">
        <f>D85+D96+D108</f>
        <v>4117</v>
      </c>
      <c r="E114" s="136">
        <f t="shared" si="37"/>
        <v>4295</v>
      </c>
      <c r="F114" s="136">
        <f t="shared" si="37"/>
        <v>4516</v>
      </c>
      <c r="G114" s="136"/>
    </row>
    <row r="115" spans="1:9">
      <c r="A115" s="126" t="s">
        <v>92</v>
      </c>
      <c r="B115" s="135">
        <v>-530</v>
      </c>
      <c r="C115" s="135">
        <f t="shared" ref="C115:F115" si="38">C97+C109+C86</f>
        <v>-787</v>
      </c>
      <c r="D115" s="135">
        <f t="shared" si="38"/>
        <v>-362</v>
      </c>
      <c r="E115" s="135">
        <f t="shared" si="38"/>
        <v>-212</v>
      </c>
      <c r="F115" s="135">
        <f t="shared" si="38"/>
        <v>-2</v>
      </c>
      <c r="G115" s="135"/>
    </row>
    <row r="116" spans="1:9">
      <c r="A116" s="123" t="s">
        <v>93</v>
      </c>
      <c r="B116" s="137">
        <v>3960</v>
      </c>
      <c r="C116" s="137">
        <f t="shared" ref="C116:F116" si="39">C114+C115</f>
        <v>3069</v>
      </c>
      <c r="D116" s="137">
        <f t="shared" si="39"/>
        <v>3755</v>
      </c>
      <c r="E116" s="137">
        <f t="shared" si="39"/>
        <v>4083</v>
      </c>
      <c r="F116" s="137">
        <f t="shared" si="39"/>
        <v>4514</v>
      </c>
      <c r="G116" s="133"/>
    </row>
    <row r="118" spans="1:9">
      <c r="A118" s="126" t="s">
        <v>100</v>
      </c>
      <c r="B118" s="134">
        <v>4490</v>
      </c>
      <c r="C118" s="134">
        <f t="shared" ref="C118:E118" si="40">C85+C96+C108</f>
        <v>3856</v>
      </c>
      <c r="D118" s="134">
        <f t="shared" si="40"/>
        <v>4117</v>
      </c>
      <c r="E118" s="134">
        <f t="shared" si="40"/>
        <v>4295</v>
      </c>
      <c r="F118" s="134">
        <f>F85+F96+F108</f>
        <v>4516</v>
      </c>
      <c r="H118" s="126" t="s">
        <v>100</v>
      </c>
      <c r="I118" s="267"/>
    </row>
    <row r="119" spans="1:9">
      <c r="A119" s="126" t="s">
        <v>93</v>
      </c>
      <c r="B119" s="134">
        <v>3960</v>
      </c>
      <c r="C119" s="134">
        <f t="shared" ref="C119:F119" si="41">C110+C98+C87</f>
        <v>3069</v>
      </c>
      <c r="D119" s="134">
        <f t="shared" si="41"/>
        <v>3755</v>
      </c>
      <c r="E119" s="134">
        <f t="shared" si="41"/>
        <v>4083</v>
      </c>
      <c r="F119" s="134">
        <f t="shared" si="41"/>
        <v>4514</v>
      </c>
      <c r="H119" s="126" t="s">
        <v>101</v>
      </c>
      <c r="I119" s="267"/>
    </row>
    <row r="120" spans="1:9">
      <c r="B120" s="134">
        <v>-530</v>
      </c>
      <c r="C120" s="134">
        <f t="shared" ref="C120:E120" si="42">C119-C118</f>
        <v>-787</v>
      </c>
      <c r="D120" s="134">
        <f t="shared" si="42"/>
        <v>-362</v>
      </c>
      <c r="E120" s="134">
        <f t="shared" si="42"/>
        <v>-212</v>
      </c>
      <c r="F120" s="134">
        <f>F119-F118</f>
        <v>-2</v>
      </c>
      <c r="I120" s="267"/>
    </row>
    <row r="121" spans="1:9">
      <c r="B121" s="134"/>
      <c r="C121" s="134"/>
      <c r="D121" s="134"/>
      <c r="E121" s="134"/>
      <c r="F121" s="134"/>
      <c r="G121" s="134"/>
    </row>
    <row r="129" spans="1:4">
      <c r="A129" s="132"/>
      <c r="B129" s="132"/>
      <c r="C129" s="132"/>
      <c r="D129" s="132"/>
    </row>
    <row r="130" spans="1:4">
      <c r="A130" s="132"/>
      <c r="B130" s="132"/>
      <c r="C130" s="132"/>
      <c r="D130" s="132"/>
    </row>
    <row r="131" spans="1:4">
      <c r="A131" s="132"/>
      <c r="B131" s="132"/>
      <c r="C131" s="132"/>
      <c r="D131" s="132"/>
    </row>
    <row r="132" spans="1:4">
      <c r="A132" s="132"/>
      <c r="B132" s="132"/>
      <c r="C132" s="132"/>
      <c r="D132" s="132"/>
    </row>
    <row r="133" spans="1:4">
      <c r="A133" s="132"/>
      <c r="B133" s="132"/>
      <c r="C133" s="132"/>
      <c r="D133" s="132"/>
    </row>
    <row r="134" spans="1:4">
      <c r="A134" s="132"/>
      <c r="B134" s="132"/>
      <c r="C134" s="132"/>
      <c r="D134" s="132"/>
    </row>
    <row r="135" spans="1:4">
      <c r="A135" s="132"/>
      <c r="B135" s="132"/>
      <c r="C135" s="132"/>
      <c r="D135" s="132"/>
    </row>
    <row r="136" spans="1:4">
      <c r="A136" s="132"/>
      <c r="B136" s="132"/>
      <c r="C136" s="132"/>
      <c r="D136" s="132"/>
    </row>
    <row r="137" spans="1:4">
      <c r="A137" s="132"/>
      <c r="B137" s="132"/>
      <c r="C137" s="132"/>
      <c r="D137" s="132"/>
    </row>
    <row r="138" spans="1:4">
      <c r="A138" s="132"/>
      <c r="B138" s="132"/>
      <c r="C138" s="132"/>
      <c r="D138" s="132"/>
    </row>
    <row r="139" spans="1:4">
      <c r="A139" s="132"/>
      <c r="B139" s="132"/>
      <c r="C139" s="132"/>
      <c r="D139" s="132"/>
    </row>
  </sheetData>
  <mergeCells count="3">
    <mergeCell ref="H5:I5"/>
    <mergeCell ref="H61:I61"/>
    <mergeCell ref="H77:I77"/>
  </mergeCells>
  <pageMargins left="0.7" right="0.7" top="0.75" bottom="0.75" header="0.3" footer="0.3"/>
  <pageSetup fitToHeight="0" orientation="portrait" r:id="rId1"/>
  <headerFooter>
    <oddHeader xml:space="preserve">&amp;CConfidential per Protective Order in UTC Dockets UE-120436 and UG-120437
REDACTED VERSION&amp;R
Exhibit No. ___ (MDF-3C)
Page &amp;P
</oddHeader>
  </headerFooter>
  <rowBreaks count="1" manualBreakCount="1">
    <brk id="68" max="9" man="1"/>
  </rowBreaks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6"/>
  <sheetViews>
    <sheetView topLeftCell="A166" zoomScaleNormal="100" workbookViewId="0">
      <selection activeCell="D202" sqref="D202"/>
    </sheetView>
  </sheetViews>
  <sheetFormatPr defaultRowHeight="12"/>
  <cols>
    <col min="1" max="1" width="45.140625" style="145" customWidth="1"/>
    <col min="2" max="2" width="3.85546875" style="145" customWidth="1"/>
    <col min="3" max="3" width="22.5703125" style="145" bestFit="1" customWidth="1"/>
    <col min="4" max="4" width="42.85546875" style="145" customWidth="1"/>
    <col min="5" max="16384" width="9.140625" style="145"/>
  </cols>
  <sheetData>
    <row r="1" spans="1:4">
      <c r="B1" s="146"/>
      <c r="C1" s="147" t="s">
        <v>104</v>
      </c>
      <c r="D1" s="146"/>
    </row>
    <row r="2" spans="1:4">
      <c r="C2" s="127" t="s">
        <v>105</v>
      </c>
    </row>
    <row r="3" spans="1:4">
      <c r="A3" s="127" t="s">
        <v>106</v>
      </c>
      <c r="C3" s="148">
        <v>2010</v>
      </c>
    </row>
    <row r="4" spans="1:4">
      <c r="A4" s="127" t="s">
        <v>107</v>
      </c>
      <c r="C4" s="149">
        <v>2011</v>
      </c>
    </row>
    <row r="5" spans="1:4">
      <c r="A5" s="150" t="s">
        <v>108</v>
      </c>
      <c r="C5" s="151">
        <v>2011</v>
      </c>
    </row>
    <row r="6" spans="1:4">
      <c r="A6" s="152" t="s">
        <v>109</v>
      </c>
      <c r="C6" s="148" t="s">
        <v>110</v>
      </c>
    </row>
    <row r="7" spans="1:4">
      <c r="A7" s="153"/>
      <c r="C7" s="154"/>
    </row>
    <row r="8" spans="1:4">
      <c r="A8" s="155"/>
      <c r="C8" s="156" t="s">
        <v>111</v>
      </c>
    </row>
    <row r="9" spans="1:4">
      <c r="A9" s="157" t="s">
        <v>112</v>
      </c>
      <c r="C9" s="158"/>
    </row>
    <row r="10" spans="1:4">
      <c r="A10" s="155"/>
      <c r="C10" s="149"/>
    </row>
    <row r="11" spans="1:4">
      <c r="A11" s="155" t="s">
        <v>113</v>
      </c>
      <c r="C11" s="159">
        <v>1689492</v>
      </c>
    </row>
    <row r="12" spans="1:4">
      <c r="A12" s="155" t="s">
        <v>114</v>
      </c>
      <c r="C12" s="160"/>
    </row>
    <row r="13" spans="1:4">
      <c r="A13" s="155" t="s">
        <v>115</v>
      </c>
      <c r="C13" s="160">
        <v>214313</v>
      </c>
    </row>
    <row r="14" spans="1:4">
      <c r="A14" s="155" t="s">
        <v>116</v>
      </c>
      <c r="C14" s="160">
        <v>-17878</v>
      </c>
    </row>
    <row r="15" spans="1:4">
      <c r="A15" s="155" t="s">
        <v>117</v>
      </c>
      <c r="C15" s="160">
        <v>6512</v>
      </c>
    </row>
    <row r="16" spans="1:4">
      <c r="A16" s="155" t="s">
        <v>118</v>
      </c>
      <c r="C16" s="160">
        <v>-7674</v>
      </c>
    </row>
    <row r="17" spans="1:3">
      <c r="A17" s="155" t="s">
        <v>119</v>
      </c>
      <c r="C17" s="161">
        <v>-72500</v>
      </c>
    </row>
    <row r="18" spans="1:3">
      <c r="A18" s="155" t="s">
        <v>120</v>
      </c>
      <c r="C18" s="162">
        <v>0.97</v>
      </c>
    </row>
    <row r="19" spans="1:3">
      <c r="A19" s="155" t="s">
        <v>121</v>
      </c>
      <c r="C19" s="163">
        <v>0.46500000000000002</v>
      </c>
    </row>
    <row r="20" spans="1:3">
      <c r="A20" s="155" t="s">
        <v>122</v>
      </c>
      <c r="C20" s="159">
        <f>SUM(C11:C17)*C18*C19</f>
        <v>817422.12825000007</v>
      </c>
    </row>
    <row r="21" spans="1:3">
      <c r="A21" s="155" t="s">
        <v>123</v>
      </c>
      <c r="C21" s="164">
        <v>0</v>
      </c>
    </row>
    <row r="22" spans="1:3" ht="12.75" thickBot="1">
      <c r="A22" s="155" t="s">
        <v>124</v>
      </c>
      <c r="C22" s="159">
        <f>SUM(C20:C21)</f>
        <v>817422.12825000007</v>
      </c>
    </row>
    <row r="23" spans="1:3" ht="13.5" thickTop="1" thickBot="1">
      <c r="A23" s="155" t="s">
        <v>125</v>
      </c>
      <c r="C23" s="165">
        <v>0.9</v>
      </c>
    </row>
    <row r="24" spans="1:3" ht="12.75" thickTop="1">
      <c r="A24" s="155" t="s">
        <v>126</v>
      </c>
      <c r="C24" s="159">
        <v>735680</v>
      </c>
    </row>
    <row r="25" spans="1:3">
      <c r="A25" s="155" t="s">
        <v>127</v>
      </c>
      <c r="C25" s="159">
        <v>0</v>
      </c>
    </row>
    <row r="26" spans="1:3" ht="12.75" thickBot="1">
      <c r="A26" s="155"/>
      <c r="C26" s="166">
        <f>SUM(C24:C25)</f>
        <v>735680</v>
      </c>
    </row>
    <row r="27" spans="1:3" ht="13.5" thickTop="1" thickBot="1">
      <c r="A27" s="155" t="s">
        <v>128</v>
      </c>
      <c r="C27" s="167">
        <v>1.2009000000000001E-2</v>
      </c>
    </row>
    <row r="28" spans="1:3" ht="12.75" thickTop="1">
      <c r="A28" s="155"/>
      <c r="C28" s="168"/>
    </row>
    <row r="29" spans="1:3" ht="12.75" thickBot="1">
      <c r="A29" s="155" t="s">
        <v>129</v>
      </c>
      <c r="C29" s="169">
        <f>SUM(C26*C27)</f>
        <v>8834.7811199999996</v>
      </c>
    </row>
    <row r="30" spans="1:3" ht="12.75" thickTop="1">
      <c r="A30" s="155"/>
      <c r="C30" s="170"/>
    </row>
    <row r="31" spans="1:3">
      <c r="A31" s="171"/>
      <c r="C31" s="172"/>
    </row>
    <row r="32" spans="1:3">
      <c r="A32" s="173"/>
      <c r="C32" s="156" t="s">
        <v>111</v>
      </c>
    </row>
    <row r="33" spans="1:3">
      <c r="A33" s="174" t="s">
        <v>130</v>
      </c>
      <c r="C33" s="158"/>
    </row>
    <row r="34" spans="1:3">
      <c r="A34" s="173"/>
      <c r="C34" s="158"/>
    </row>
    <row r="35" spans="1:3">
      <c r="A35" s="173" t="s">
        <v>113</v>
      </c>
      <c r="C35" s="159">
        <v>1699083.2690000001</v>
      </c>
    </row>
    <row r="36" spans="1:3">
      <c r="A36" s="173" t="s">
        <v>114</v>
      </c>
      <c r="C36" s="159"/>
    </row>
    <row r="37" spans="1:3">
      <c r="A37" s="173" t="s">
        <v>115</v>
      </c>
      <c r="C37" s="160"/>
    </row>
    <row r="38" spans="1:3">
      <c r="A38" s="173" t="s">
        <v>116</v>
      </c>
      <c r="C38" s="160"/>
    </row>
    <row r="39" spans="1:3">
      <c r="A39" s="173" t="s">
        <v>117</v>
      </c>
      <c r="C39" s="160"/>
    </row>
    <row r="40" spans="1:3">
      <c r="A40" s="173" t="s">
        <v>118</v>
      </c>
      <c r="C40" s="160"/>
    </row>
    <row r="41" spans="1:3">
      <c r="A41" s="173" t="s">
        <v>119</v>
      </c>
      <c r="C41" s="160"/>
    </row>
    <row r="42" spans="1:3">
      <c r="A42" s="173" t="s">
        <v>131</v>
      </c>
      <c r="C42" s="161"/>
    </row>
    <row r="43" spans="1:3">
      <c r="A43" s="173" t="s">
        <v>120</v>
      </c>
      <c r="C43" s="162">
        <v>1</v>
      </c>
    </row>
    <row r="44" spans="1:3">
      <c r="A44" s="173" t="s">
        <v>121</v>
      </c>
      <c r="C44" s="175">
        <v>0.24714743</v>
      </c>
    </row>
    <row r="45" spans="1:3">
      <c r="A45" s="173" t="s">
        <v>122</v>
      </c>
      <c r="C45" s="159">
        <f>SUM(C35:C42)*C43*C44</f>
        <v>419924.06328934868</v>
      </c>
    </row>
    <row r="46" spans="1:3">
      <c r="A46" s="173" t="s">
        <v>123</v>
      </c>
      <c r="C46" s="164">
        <f>-3975.631-8936.384-222.924-283</f>
        <v>-13417.939</v>
      </c>
    </row>
    <row r="47" spans="1:3">
      <c r="A47" s="173" t="s">
        <v>124</v>
      </c>
      <c r="C47" s="159">
        <f>SUM(C45:C46)</f>
        <v>406506.12428934866</v>
      </c>
    </row>
    <row r="48" spans="1:3">
      <c r="A48" s="173" t="s">
        <v>132</v>
      </c>
      <c r="C48" s="176">
        <v>1</v>
      </c>
    </row>
    <row r="49" spans="1:3">
      <c r="A49" s="173" t="s">
        <v>126</v>
      </c>
      <c r="C49" s="159">
        <f>SUM(C47*C48)</f>
        <v>406506.12428934866</v>
      </c>
    </row>
    <row r="50" spans="1:3">
      <c r="A50" s="173" t="s">
        <v>128</v>
      </c>
      <c r="C50" s="177">
        <f>4334861/406506236</f>
        <v>1.06637011098644E-2</v>
      </c>
    </row>
    <row r="51" spans="1:3">
      <c r="A51" s="173"/>
      <c r="C51" s="168"/>
    </row>
    <row r="52" spans="1:3" ht="12.75" thickBot="1">
      <c r="A52" s="154" t="s">
        <v>129</v>
      </c>
      <c r="C52" s="169">
        <f>SUM(C49*C50)</f>
        <v>4334.8598087510027</v>
      </c>
    </row>
    <row r="53" spans="1:3" ht="12.75" thickTop="1">
      <c r="A53" s="178"/>
      <c r="C53" s="146"/>
    </row>
    <row r="54" spans="1:3">
      <c r="A54" s="171"/>
      <c r="C54" s="172"/>
    </row>
    <row r="55" spans="1:3">
      <c r="A55" s="173"/>
      <c r="C55" s="156" t="s">
        <v>111</v>
      </c>
    </row>
    <row r="56" spans="1:3">
      <c r="A56" s="174" t="s">
        <v>133</v>
      </c>
      <c r="C56" s="151" t="s">
        <v>134</v>
      </c>
    </row>
    <row r="57" spans="1:3">
      <c r="A57" s="179"/>
      <c r="C57" s="180">
        <v>2320000</v>
      </c>
    </row>
    <row r="58" spans="1:3">
      <c r="A58" s="173" t="s">
        <v>296</v>
      </c>
      <c r="C58" s="159">
        <v>2088000</v>
      </c>
    </row>
    <row r="59" spans="1:3">
      <c r="A59" s="173" t="s">
        <v>135</v>
      </c>
      <c r="C59" s="159"/>
    </row>
    <row r="60" spans="1:3">
      <c r="A60" s="173" t="s">
        <v>117</v>
      </c>
      <c r="C60" s="159"/>
    </row>
    <row r="61" spans="1:3">
      <c r="A61" s="173" t="s">
        <v>119</v>
      </c>
      <c r="C61" s="160"/>
    </row>
    <row r="62" spans="1:3">
      <c r="A62" s="173" t="s">
        <v>136</v>
      </c>
      <c r="C62" s="161"/>
    </row>
    <row r="63" spans="1:3">
      <c r="A63" s="173"/>
      <c r="C63" s="159">
        <f>SUM(C58)</f>
        <v>2088000</v>
      </c>
    </row>
    <row r="64" spans="1:3">
      <c r="A64" s="173" t="s">
        <v>120</v>
      </c>
      <c r="C64" s="162">
        <v>1</v>
      </c>
    </row>
    <row r="65" spans="1:3">
      <c r="A65" s="173" t="s">
        <v>121</v>
      </c>
      <c r="C65" s="163">
        <v>0.1574547</v>
      </c>
    </row>
    <row r="66" spans="1:3">
      <c r="A66" s="173" t="s">
        <v>122</v>
      </c>
      <c r="C66" s="159">
        <f>SUM(C63*C65)</f>
        <v>328765.41360000003</v>
      </c>
    </row>
    <row r="67" spans="1:3">
      <c r="A67" s="173" t="s">
        <v>137</v>
      </c>
      <c r="C67" s="159">
        <f>-198.728-15-50.618056</f>
        <v>-264.34605600000003</v>
      </c>
    </row>
    <row r="68" spans="1:3">
      <c r="A68" s="173" t="s">
        <v>138</v>
      </c>
      <c r="C68" s="181">
        <v>1</v>
      </c>
    </row>
    <row r="69" spans="1:3">
      <c r="A69" s="182" t="s">
        <v>139</v>
      </c>
      <c r="C69" s="159">
        <f>SUM(C66:C67)*C68</f>
        <v>328501.06754400005</v>
      </c>
    </row>
    <row r="70" spans="1:3">
      <c r="A70" s="173" t="s">
        <v>132</v>
      </c>
      <c r="C70" s="183">
        <v>6.5777000000000002E-2</v>
      </c>
    </row>
    <row r="71" spans="1:3">
      <c r="A71" s="173" t="s">
        <v>140</v>
      </c>
      <c r="C71" s="159">
        <f>SUM(C69*C70)</f>
        <v>21607.814719841692</v>
      </c>
    </row>
    <row r="72" spans="1:3">
      <c r="A72" s="173" t="s">
        <v>141</v>
      </c>
      <c r="C72" s="159">
        <v>0</v>
      </c>
    </row>
    <row r="73" spans="1:3">
      <c r="A73" s="173" t="s">
        <v>142</v>
      </c>
      <c r="C73" s="166">
        <f>SUM(C71:C72)</f>
        <v>21607.814719841692</v>
      </c>
    </row>
    <row r="74" spans="1:3">
      <c r="A74" s="173" t="s">
        <v>128</v>
      </c>
      <c r="C74" s="177">
        <v>0.32067010000000001</v>
      </c>
    </row>
    <row r="75" spans="1:3">
      <c r="A75" s="173"/>
      <c r="C75" s="168"/>
    </row>
    <row r="76" spans="1:3" ht="12.75" thickBot="1">
      <c r="A76" s="154" t="s">
        <v>129</v>
      </c>
      <c r="C76" s="169">
        <f>SUM(C73*C74)</f>
        <v>6928.9801069931073</v>
      </c>
    </row>
    <row r="77" spans="1:3" ht="12.75" thickTop="1">
      <c r="A77" s="184"/>
      <c r="C77" s="185"/>
    </row>
    <row r="78" spans="1:3">
      <c r="A78" s="186"/>
      <c r="C78" s="171"/>
    </row>
    <row r="79" spans="1:3">
      <c r="A79" s="157" t="s">
        <v>143</v>
      </c>
      <c r="C79" s="156" t="s">
        <v>144</v>
      </c>
    </row>
    <row r="80" spans="1:3">
      <c r="A80" s="179"/>
      <c r="C80" s="173"/>
    </row>
    <row r="81" spans="1:3">
      <c r="A81" s="173" t="s">
        <v>113</v>
      </c>
      <c r="C81" s="151" t="s">
        <v>145</v>
      </c>
    </row>
    <row r="82" spans="1:3">
      <c r="A82" s="173" t="s">
        <v>114</v>
      </c>
      <c r="C82" s="159">
        <v>925</v>
      </c>
    </row>
    <row r="83" spans="1:3" ht="24">
      <c r="A83" s="173" t="s">
        <v>146</v>
      </c>
      <c r="C83" s="159">
        <f>SUM(C74)</f>
        <v>0.32067010000000001</v>
      </c>
    </row>
    <row r="84" spans="1:3">
      <c r="A84" s="173" t="s">
        <v>119</v>
      </c>
      <c r="C84" s="159">
        <f>SUM(C75)</f>
        <v>0</v>
      </c>
    </row>
    <row r="85" spans="1:3">
      <c r="A85" s="173" t="s">
        <v>120</v>
      </c>
      <c r="C85" s="162">
        <v>1</v>
      </c>
    </row>
    <row r="86" spans="1:3">
      <c r="A86" s="173" t="s">
        <v>121</v>
      </c>
      <c r="C86" s="163">
        <v>1</v>
      </c>
    </row>
    <row r="87" spans="1:3">
      <c r="A87" s="173" t="s">
        <v>122</v>
      </c>
      <c r="C87" s="159">
        <f>SUM((C82+C83+C84)*C85*C86)</f>
        <v>925.32067010000003</v>
      </c>
    </row>
    <row r="88" spans="1:3">
      <c r="A88" s="173" t="s">
        <v>137</v>
      </c>
      <c r="C88" s="159"/>
    </row>
    <row r="89" spans="1:3">
      <c r="A89" s="173" t="s">
        <v>138</v>
      </c>
      <c r="C89" s="181">
        <v>1</v>
      </c>
    </row>
    <row r="90" spans="1:3">
      <c r="A90" s="182" t="s">
        <v>139</v>
      </c>
      <c r="C90" s="159">
        <f>SUM(C87:C88)*C89</f>
        <v>925.32067010000003</v>
      </c>
    </row>
    <row r="91" spans="1:3">
      <c r="A91" s="173" t="s">
        <v>132</v>
      </c>
      <c r="C91" s="187">
        <v>1</v>
      </c>
    </row>
    <row r="92" spans="1:3">
      <c r="A92" s="173" t="s">
        <v>140</v>
      </c>
      <c r="C92" s="159">
        <f>SUM(C90*C91)</f>
        <v>925.32067010000003</v>
      </c>
    </row>
    <row r="93" spans="1:3">
      <c r="A93" s="173" t="s">
        <v>147</v>
      </c>
      <c r="C93" s="159">
        <v>0</v>
      </c>
    </row>
    <row r="94" spans="1:3">
      <c r="A94" s="173" t="s">
        <v>142</v>
      </c>
      <c r="C94" s="166">
        <f>SUM(C92:C93)</f>
        <v>925.32067010000003</v>
      </c>
    </row>
    <row r="95" spans="1:3">
      <c r="A95" s="173" t="s">
        <v>128</v>
      </c>
      <c r="C95" s="177">
        <v>9.3329999999999993E-3</v>
      </c>
    </row>
    <row r="96" spans="1:3">
      <c r="A96" s="173"/>
      <c r="C96" s="168"/>
    </row>
    <row r="97" spans="1:3">
      <c r="A97" s="154" t="s">
        <v>129</v>
      </c>
      <c r="C97" s="188">
        <f>SUM(C94*C95)</f>
        <v>8.6360178140432993</v>
      </c>
    </row>
    <row r="98" spans="1:3">
      <c r="A98" s="184"/>
      <c r="C98" s="185"/>
    </row>
    <row r="99" spans="1:3">
      <c r="A99" s="189" t="s">
        <v>143</v>
      </c>
      <c r="C99" s="147" t="s">
        <v>144</v>
      </c>
    </row>
    <row r="100" spans="1:3">
      <c r="A100" s="179"/>
      <c r="C100" s="151" t="s">
        <v>148</v>
      </c>
    </row>
    <row r="101" spans="1:3">
      <c r="A101" s="179"/>
      <c r="C101" s="151"/>
    </row>
    <row r="102" spans="1:3">
      <c r="A102" s="179"/>
      <c r="C102" s="151"/>
    </row>
    <row r="103" spans="1:3">
      <c r="A103" s="173" t="s">
        <v>113</v>
      </c>
      <c r="C103" s="190">
        <v>115700</v>
      </c>
    </row>
    <row r="104" spans="1:3">
      <c r="A104" s="173" t="s">
        <v>115</v>
      </c>
      <c r="C104" s="159"/>
    </row>
    <row r="105" spans="1:3">
      <c r="A105" s="173" t="s">
        <v>149</v>
      </c>
      <c r="C105" s="159"/>
    </row>
    <row r="106" spans="1:3">
      <c r="A106" s="173" t="s">
        <v>121</v>
      </c>
      <c r="C106" s="191" t="s">
        <v>150</v>
      </c>
    </row>
    <row r="107" spans="1:3">
      <c r="A107" s="173" t="s">
        <v>151</v>
      </c>
      <c r="C107" s="192">
        <v>0</v>
      </c>
    </row>
    <row r="108" spans="1:3">
      <c r="A108" s="154"/>
      <c r="C108" s="193"/>
    </row>
    <row r="109" spans="1:3">
      <c r="A109" s="173" t="s">
        <v>152</v>
      </c>
      <c r="C109" s="177">
        <f>+(2013367.9)/(114775000)</f>
        <v>1.7541868002613807E-2</v>
      </c>
    </row>
    <row r="110" spans="1:3">
      <c r="A110" s="173" t="s">
        <v>153</v>
      </c>
      <c r="C110" s="194">
        <v>1</v>
      </c>
    </row>
    <row r="111" spans="1:3">
      <c r="A111" s="173" t="s">
        <v>154</v>
      </c>
      <c r="C111" s="195"/>
    </row>
    <row r="112" spans="1:3">
      <c r="A112" s="154"/>
      <c r="C112" s="188">
        <f>SUM(C103:C106)*C109*C110</f>
        <v>2029.5941279024175</v>
      </c>
    </row>
    <row r="113" spans="1:3">
      <c r="A113" s="178"/>
      <c r="C113" s="185"/>
    </row>
    <row r="114" spans="1:3">
      <c r="A114" s="184"/>
      <c r="C114" s="146"/>
    </row>
    <row r="115" spans="1:3">
      <c r="A115" s="171"/>
      <c r="C115" s="172"/>
    </row>
    <row r="116" spans="1:3">
      <c r="A116" s="174" t="s">
        <v>155</v>
      </c>
      <c r="C116" s="156" t="s">
        <v>111</v>
      </c>
    </row>
    <row r="117" spans="1:3">
      <c r="A117" s="173"/>
      <c r="C117" s="158"/>
    </row>
    <row r="118" spans="1:3">
      <c r="A118" s="173" t="s">
        <v>113</v>
      </c>
      <c r="C118" s="158"/>
    </row>
    <row r="119" spans="1:3">
      <c r="A119" s="173" t="s">
        <v>114</v>
      </c>
      <c r="C119" s="159">
        <v>370000</v>
      </c>
    </row>
    <row r="120" spans="1:3">
      <c r="A120" s="173" t="s">
        <v>115</v>
      </c>
      <c r="C120" s="160"/>
    </row>
    <row r="121" spans="1:3">
      <c r="A121" s="173" t="s">
        <v>119</v>
      </c>
      <c r="C121" s="160"/>
    </row>
    <row r="122" spans="1:3">
      <c r="A122" s="173" t="s">
        <v>120</v>
      </c>
      <c r="C122" s="162">
        <v>0.96772369999999996</v>
      </c>
    </row>
    <row r="123" spans="1:3">
      <c r="A123" s="173" t="s">
        <v>121</v>
      </c>
      <c r="C123" s="163">
        <v>0.47163899999999997</v>
      </c>
    </row>
    <row r="124" spans="1:3">
      <c r="A124" s="173" t="s">
        <v>122</v>
      </c>
      <c r="C124" s="159">
        <f>SUM(C119+C120+C121)*C122*C123</f>
        <v>168874.00811339097</v>
      </c>
    </row>
    <row r="125" spans="1:3">
      <c r="A125" s="173" t="s">
        <v>137</v>
      </c>
      <c r="C125" s="196"/>
    </row>
    <row r="126" spans="1:3">
      <c r="A126" s="173" t="s">
        <v>124</v>
      </c>
      <c r="C126" s="159">
        <f>SUM(C124)</f>
        <v>168874.00811339097</v>
      </c>
    </row>
    <row r="127" spans="1:3">
      <c r="A127" s="173" t="s">
        <v>132</v>
      </c>
      <c r="C127" s="197">
        <f>SUM(C128/C126)</f>
        <v>0.90322653973832534</v>
      </c>
    </row>
    <row r="128" spans="1:3">
      <c r="A128" s="173" t="s">
        <v>126</v>
      </c>
      <c r="C128" s="159">
        <v>152531.486</v>
      </c>
    </row>
    <row r="129" spans="1:3">
      <c r="A129" s="173" t="s">
        <v>128</v>
      </c>
      <c r="C129" s="177">
        <v>1.2716999999999999E-2</v>
      </c>
    </row>
    <row r="130" spans="1:3">
      <c r="A130" s="173"/>
      <c r="C130" s="168"/>
    </row>
    <row r="131" spans="1:3" ht="12.75" thickBot="1">
      <c r="A131" s="154" t="s">
        <v>129</v>
      </c>
      <c r="C131" s="169">
        <f>SUM(C128*C129)</f>
        <v>1939.7429074619999</v>
      </c>
    </row>
    <row r="132" spans="1:3" ht="12.75" thickTop="1">
      <c r="A132" s="184"/>
      <c r="C132" s="184"/>
    </row>
    <row r="133" spans="1:3">
      <c r="A133" s="189" t="s">
        <v>156</v>
      </c>
      <c r="C133" s="147" t="s">
        <v>111</v>
      </c>
    </row>
    <row r="134" spans="1:3">
      <c r="A134" s="198"/>
      <c r="C134" s="158"/>
    </row>
    <row r="135" spans="1:3">
      <c r="A135" s="173" t="s">
        <v>113</v>
      </c>
      <c r="C135" s="158"/>
    </row>
    <row r="136" spans="1:3">
      <c r="A136" s="173" t="s">
        <v>114</v>
      </c>
      <c r="C136" s="159">
        <v>369405.65100000001</v>
      </c>
    </row>
    <row r="137" spans="1:3">
      <c r="A137" s="173" t="s">
        <v>115</v>
      </c>
      <c r="C137" s="160"/>
    </row>
    <row r="138" spans="1:3">
      <c r="A138" s="173" t="s">
        <v>119</v>
      </c>
      <c r="C138" s="160"/>
    </row>
    <row r="139" spans="1:3">
      <c r="A139" s="173" t="s">
        <v>120</v>
      </c>
      <c r="C139" s="162">
        <v>1</v>
      </c>
    </row>
    <row r="140" spans="1:3">
      <c r="A140" s="173" t="s">
        <v>121</v>
      </c>
      <c r="C140" s="163">
        <v>0.18853565999999999</v>
      </c>
    </row>
    <row r="141" spans="1:3">
      <c r="A141" s="173" t="s">
        <v>122</v>
      </c>
      <c r="C141" s="166">
        <f>SUM((C136+C137+C138)*C139*C140)</f>
        <v>69646.138219014654</v>
      </c>
    </row>
    <row r="142" spans="1:3">
      <c r="A142" s="173" t="s">
        <v>137</v>
      </c>
      <c r="C142" s="164">
        <v>-925.8</v>
      </c>
    </row>
    <row r="143" spans="1:3">
      <c r="A143" s="173" t="s">
        <v>124</v>
      </c>
      <c r="C143" s="159">
        <f>SUM(C141:C142)</f>
        <v>68720.338219014651</v>
      </c>
    </row>
    <row r="144" spans="1:3">
      <c r="A144" s="173" t="s">
        <v>132</v>
      </c>
      <c r="C144" s="176">
        <v>1</v>
      </c>
    </row>
    <row r="145" spans="1:3">
      <c r="A145" s="173" t="s">
        <v>126</v>
      </c>
      <c r="C145" s="159">
        <f>SUM(C143*C144)</f>
        <v>68720.338219014651</v>
      </c>
    </row>
    <row r="146" spans="1:3">
      <c r="A146" s="173" t="s">
        <v>128</v>
      </c>
      <c r="C146" s="177">
        <f>856090.19/68720290</f>
        <v>1.2457604442588935E-2</v>
      </c>
    </row>
    <row r="147" spans="1:3">
      <c r="A147" s="173"/>
      <c r="C147" s="166"/>
    </row>
    <row r="148" spans="1:3">
      <c r="A148" s="154" t="s">
        <v>129</v>
      </c>
      <c r="C148" s="188">
        <f>SUM(C145*C146)</f>
        <v>856.09079069341112</v>
      </c>
    </row>
    <row r="149" spans="1:3">
      <c r="A149" s="184"/>
      <c r="C149" s="184"/>
    </row>
    <row r="150" spans="1:3">
      <c r="A150" s="189" t="s">
        <v>157</v>
      </c>
      <c r="C150" s="147" t="s">
        <v>144</v>
      </c>
    </row>
    <row r="151" spans="1:3">
      <c r="A151" s="173"/>
      <c r="C151" s="173"/>
    </row>
    <row r="152" spans="1:3">
      <c r="A152" s="173" t="s">
        <v>158</v>
      </c>
      <c r="C152" s="173"/>
    </row>
    <row r="153" spans="1:3">
      <c r="A153" s="173" t="s">
        <v>159</v>
      </c>
      <c r="C153" s="159">
        <v>142400</v>
      </c>
    </row>
    <row r="154" spans="1:3">
      <c r="A154" s="173" t="s">
        <v>115</v>
      </c>
      <c r="C154" s="159"/>
    </row>
    <row r="155" spans="1:3">
      <c r="A155" s="173" t="s">
        <v>119</v>
      </c>
      <c r="C155" s="159"/>
    </row>
    <row r="156" spans="1:3">
      <c r="A156" s="173" t="s">
        <v>120</v>
      </c>
      <c r="C156" s="162">
        <v>1</v>
      </c>
    </row>
    <row r="157" spans="1:3">
      <c r="A157" s="173" t="s">
        <v>121</v>
      </c>
      <c r="C157" s="163">
        <v>1</v>
      </c>
    </row>
    <row r="158" spans="1:3">
      <c r="A158" s="173" t="s">
        <v>160</v>
      </c>
      <c r="C158" s="166">
        <f>SUM((C153+C154+C155)*C156*C157)</f>
        <v>142400</v>
      </c>
    </row>
    <row r="159" spans="1:3">
      <c r="A159" s="173" t="s">
        <v>161</v>
      </c>
      <c r="C159" s="159"/>
    </row>
    <row r="160" spans="1:3">
      <c r="A160" s="173"/>
      <c r="C160" s="199">
        <v>1</v>
      </c>
    </row>
    <row r="161" spans="1:3">
      <c r="A161" s="173" t="s">
        <v>124</v>
      </c>
      <c r="C161" s="159">
        <f>SUM(C158*C160)</f>
        <v>142400</v>
      </c>
    </row>
    <row r="162" spans="1:3">
      <c r="A162" s="173" t="s">
        <v>132</v>
      </c>
      <c r="C162" s="200">
        <v>1</v>
      </c>
    </row>
    <row r="163" spans="1:3">
      <c r="A163" s="173" t="s">
        <v>126</v>
      </c>
      <c r="C163" s="159">
        <f>SUM(C161*C162)</f>
        <v>142400</v>
      </c>
    </row>
    <row r="164" spans="1:3">
      <c r="A164" s="173" t="s">
        <v>128</v>
      </c>
      <c r="C164" s="183">
        <f>1791.03148/142400</f>
        <v>1.2577468258426967E-2</v>
      </c>
    </row>
    <row r="165" spans="1:3">
      <c r="A165" s="173"/>
      <c r="C165" s="168"/>
    </row>
    <row r="166" spans="1:3" ht="12.75" thickBot="1">
      <c r="A166" s="154" t="s">
        <v>129</v>
      </c>
      <c r="C166" s="169">
        <f>SUM(C163*C164)</f>
        <v>1791.0314800000001</v>
      </c>
    </row>
    <row r="167" spans="1:3" ht="12.75" thickTop="1">
      <c r="A167" s="178"/>
      <c r="C167" s="146"/>
    </row>
    <row r="168" spans="1:3">
      <c r="A168" s="178"/>
      <c r="C168" s="170"/>
    </row>
    <row r="169" spans="1:3">
      <c r="A169" s="201"/>
      <c r="B169" s="202"/>
      <c r="C169" s="146"/>
    </row>
    <row r="170" spans="1:3">
      <c r="A170" s="155" t="s">
        <v>162</v>
      </c>
      <c r="B170" s="146"/>
      <c r="C170" s="203" t="s">
        <v>163</v>
      </c>
    </row>
    <row r="171" spans="1:3">
      <c r="A171" s="155"/>
      <c r="B171" s="146"/>
      <c r="C171" s="156">
        <v>2011</v>
      </c>
    </row>
    <row r="172" spans="1:3">
      <c r="A172" s="155" t="s">
        <v>164</v>
      </c>
      <c r="B172" s="146"/>
      <c r="C172" s="173"/>
    </row>
    <row r="173" spans="1:3">
      <c r="A173" s="155"/>
      <c r="B173" s="146"/>
      <c r="C173" s="173"/>
    </row>
    <row r="174" spans="1:3">
      <c r="A174" s="204" t="s">
        <v>165</v>
      </c>
      <c r="B174" s="146"/>
      <c r="C174" s="205">
        <f>SUM(C29)</f>
        <v>8834.7811199999996</v>
      </c>
    </row>
    <row r="175" spans="1:3">
      <c r="A175" s="204" t="s">
        <v>166</v>
      </c>
      <c r="B175" s="146"/>
      <c r="C175" s="205"/>
    </row>
    <row r="176" spans="1:3">
      <c r="A176" s="204" t="s">
        <v>167</v>
      </c>
      <c r="B176" s="146"/>
      <c r="C176" s="205">
        <f>SUM(C52)</f>
        <v>4334.8598087510027</v>
      </c>
    </row>
    <row r="177" spans="1:3">
      <c r="A177" s="204" t="s">
        <v>168</v>
      </c>
      <c r="B177" s="146"/>
      <c r="C177" s="205">
        <f>SUM(C76)</f>
        <v>6928.9801069931073</v>
      </c>
    </row>
    <row r="178" spans="1:3">
      <c r="A178" s="206" t="s">
        <v>169</v>
      </c>
      <c r="B178" s="146"/>
      <c r="C178" s="205">
        <f>SUM(C97)</f>
        <v>8.6360178140432993</v>
      </c>
    </row>
    <row r="179" spans="1:3">
      <c r="A179" s="206" t="s">
        <v>170</v>
      </c>
      <c r="B179" s="146"/>
      <c r="C179" s="188">
        <f>SUM(C112)</f>
        <v>2029.5941279024175</v>
      </c>
    </row>
    <row r="180" spans="1:3">
      <c r="A180" s="155"/>
      <c r="B180" s="146"/>
      <c r="C180" s="205"/>
    </row>
    <row r="181" spans="1:3">
      <c r="A181" s="204" t="s">
        <v>171</v>
      </c>
      <c r="B181" s="146"/>
      <c r="C181" s="188">
        <f>SUM(C174:C179)</f>
        <v>22136.85118146057</v>
      </c>
    </row>
    <row r="182" spans="1:3">
      <c r="A182" s="155"/>
      <c r="B182" s="146"/>
      <c r="C182" s="205"/>
    </row>
    <row r="183" spans="1:3">
      <c r="A183" s="155" t="s">
        <v>172</v>
      </c>
      <c r="B183" s="146"/>
      <c r="C183" s="205"/>
    </row>
    <row r="184" spans="1:3">
      <c r="A184" s="155"/>
      <c r="B184" s="146"/>
      <c r="C184" s="205"/>
    </row>
    <row r="185" spans="1:3">
      <c r="A185" s="204" t="s">
        <v>173</v>
      </c>
      <c r="B185" s="146"/>
      <c r="C185" s="205">
        <f>SUM(C131)</f>
        <v>1939.7429074619999</v>
      </c>
    </row>
    <row r="186" spans="1:3">
      <c r="A186" s="204" t="s">
        <v>167</v>
      </c>
      <c r="B186" s="146"/>
      <c r="C186" s="205">
        <f>SUM(C148)</f>
        <v>856.09079069341112</v>
      </c>
    </row>
    <row r="187" spans="1:3">
      <c r="A187" s="204" t="s">
        <v>174</v>
      </c>
      <c r="B187" s="146"/>
      <c r="C187" s="205">
        <f>SUM(C166)</f>
        <v>1791.0314800000001</v>
      </c>
    </row>
    <row r="188" spans="1:3">
      <c r="A188" s="155" t="s">
        <v>127</v>
      </c>
      <c r="B188" s="146"/>
      <c r="C188" s="188">
        <v>0</v>
      </c>
    </row>
    <row r="189" spans="1:3">
      <c r="A189" s="204" t="s">
        <v>171</v>
      </c>
      <c r="B189" s="146"/>
      <c r="C189" s="205"/>
    </row>
    <row r="190" spans="1:3">
      <c r="A190" s="155"/>
      <c r="B190" s="146"/>
      <c r="C190" s="188">
        <f>SUM(C185:C187)</f>
        <v>4586.8651781554108</v>
      </c>
    </row>
    <row r="191" spans="1:3">
      <c r="A191" s="155" t="s">
        <v>175</v>
      </c>
      <c r="B191" s="146"/>
      <c r="C191" s="205"/>
    </row>
    <row r="192" spans="1:3" ht="12.75" thickBot="1">
      <c r="A192" s="155"/>
      <c r="B192" s="146"/>
      <c r="C192" s="169">
        <f>SUM(C181+C190)</f>
        <v>26723.716359615981</v>
      </c>
    </row>
    <row r="193" spans="1:3" ht="12.75" thickTop="1">
      <c r="A193" s="153"/>
      <c r="B193" s="170"/>
      <c r="C193" s="207"/>
    </row>
    <row r="194" spans="1:3">
      <c r="A194" s="184"/>
      <c r="B194" s="146"/>
      <c r="C194" s="243"/>
    </row>
    <row r="195" spans="1:3">
      <c r="A195" s="184"/>
      <c r="B195" s="146"/>
      <c r="C195" s="244"/>
    </row>
    <row r="196" spans="1:3">
      <c r="A196" s="146"/>
      <c r="B196" s="146"/>
      <c r="C196" s="245"/>
    </row>
  </sheetData>
  <pageMargins left="0.7" right="0.7" top="0.75" bottom="0.75" header="0.3" footer="0.3"/>
  <pageSetup fitToHeight="0" orientation="portrait" r:id="rId1"/>
  <headerFooter>
    <oddHeader xml:space="preserve">&amp;CConfidential per Protective Order in UTC Dockets UE-120436 and UG-120437&amp;R
Exhibit No. ___ (MDF-3C)
Page &amp;P
</oddHeader>
  </headerFooter>
  <rowBreaks count="4" manualBreakCount="4">
    <brk id="52" max="16383" man="1"/>
    <brk id="98" max="16383" man="1"/>
    <brk id="132" max="16383" man="1"/>
    <brk id="168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DEEBBBECEF4A9741925D1E0FF525C9BE" ma:contentTypeVersion="139" ma:contentTypeDescription="" ma:contentTypeScope="" ma:versionID="e1c2431b48247bef897b70fc6688e99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2012-04-02T07:00:00+00:00</OpenedDate>
    <Date1 xmlns="dc463f71-b30c-4ab2-9473-d307f9d35888">2012-09-19T07:00:00+00:00</Date1>
    <IsDocumentOrder xmlns="dc463f71-b30c-4ab2-9473-d307f9d35888" xsi:nil="true"/>
    <IsHighlyConfidential xmlns="dc463f71-b30c-4ab2-9473-d307f9d35888">false</IsHighlyConfidential>
    <CaseCompanyNames xmlns="dc463f71-b30c-4ab2-9473-d307f9d35888">Avista Corporation</CaseCompanyNames>
    <DocketNumber xmlns="dc463f71-b30c-4ab2-9473-d307f9d35888">120436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316D901E-EAE4-422F-A5B8-79D92E30CC5E}"/>
</file>

<file path=customXml/itemProps2.xml><?xml version="1.0" encoding="utf-8"?>
<ds:datastoreItem xmlns:ds="http://schemas.openxmlformats.org/officeDocument/2006/customXml" ds:itemID="{4C4328BB-4FFB-4F31-965F-EC4164B5F231}"/>
</file>

<file path=customXml/itemProps3.xml><?xml version="1.0" encoding="utf-8"?>
<ds:datastoreItem xmlns:ds="http://schemas.openxmlformats.org/officeDocument/2006/customXml" ds:itemID="{EA85A969-2FDC-439F-AC71-6541302C45A8}"/>
</file>

<file path=customXml/itemProps4.xml><?xml version="1.0" encoding="utf-8"?>
<ds:datastoreItem xmlns:ds="http://schemas.openxmlformats.org/officeDocument/2006/customXml" ds:itemID="{C06046C9-B626-4F9A-A55D-9812ACCB0A8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10</vt:i4>
      </vt:variant>
    </vt:vector>
  </HeadingPairs>
  <TitlesOfParts>
    <vt:vector size="18" baseType="lpstr">
      <vt:lpstr>Staff DR 333</vt:lpstr>
      <vt:lpstr>Summary</vt:lpstr>
      <vt:lpstr>Electric</vt:lpstr>
      <vt:lpstr>Gas</vt:lpstr>
      <vt:lpstr>C-PT</vt:lpstr>
      <vt:lpstr>C-PT-1</vt:lpstr>
      <vt:lpstr>HPA-1</vt:lpstr>
      <vt:lpstr>2012_REVISED_PROP_TAX</vt:lpstr>
      <vt:lpstr>'2012_REVISED_PROP_TAX'!Print_Area</vt:lpstr>
      <vt:lpstr>'C-PT'!Print_Area</vt:lpstr>
      <vt:lpstr>'C-PT-1'!Print_Area</vt:lpstr>
      <vt:lpstr>Electric!Print_Area</vt:lpstr>
      <vt:lpstr>Gas!Print_Area</vt:lpstr>
      <vt:lpstr>'HPA-1'!Print_Area</vt:lpstr>
      <vt:lpstr>'Staff DR 333'!Print_Area</vt:lpstr>
      <vt:lpstr>Summary!Print_Area</vt:lpstr>
      <vt:lpstr>'2012_REVISED_PROP_TAX'!Print_Titles</vt:lpstr>
      <vt:lpstr>'HPA-1'!Print_Titles</vt:lpstr>
    </vt:vector>
  </TitlesOfParts>
  <Company>Corp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annette brandon</dc:creator>
  <cp:lastModifiedBy>DeMarco, Betsy (UTC)</cp:lastModifiedBy>
  <cp:lastPrinted>2012-09-18T20:28:40Z</cp:lastPrinted>
  <dcterms:created xsi:type="dcterms:W3CDTF">2012-02-29T18:43:49Z</dcterms:created>
  <dcterms:modified xsi:type="dcterms:W3CDTF">2012-09-18T20:29:06Z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0x0101006E56B4D1795A2E4DB2F0B01679ED314A00DEEBBBECEF4A9741925D1E0FF525C9BE</vt:lpwstr>
  </property>
  <property fmtid="{D5CDD505-2E9C-101B-9397-08002B2CF9AE}" pid="3" name="_docset_NoMedatataSyncRequired">
    <vt:lpwstr>False</vt:lpwstr>
  </property>
</Properties>
</file>