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25" windowWidth="18780" windowHeight="10935"/>
  </bookViews>
  <sheets>
    <sheet name="Summary" sheetId="1" r:id="rId1"/>
    <sheet name="Variables" sheetId="2" r:id="rId2"/>
  </sheets>
  <externalReferences>
    <externalReference r:id="rId3"/>
  </externalReferences>
  <definedNames>
    <definedName name="Cost_Debt">Variables!$D$8</definedName>
    <definedName name="Cost_equity">Variables!$D$10</definedName>
    <definedName name="Cost_pref">Variables!$D$9</definedName>
    <definedName name="FranchiseTax">[1]Variables!$B$33</definedName>
    <definedName name="gross_up_factor">Variables!$D$34</definedName>
    <definedName name="net_to_gross_bump_up_factor">Variables!#REF!</definedName>
    <definedName name="NetToGross">[1]Variables!$B$30</definedName>
    <definedName name="Overall_ROR">Variables!$E$11</definedName>
    <definedName name="Percent_common">Variables!$C$10</definedName>
    <definedName name="Percent_debt">Variables!$C$8</definedName>
    <definedName name="Percent_pref">Variables!$C$9</definedName>
    <definedName name="ResourceSupplier">[1]Variables!$B$35</definedName>
    <definedName name="Restated_Op_revenue">Summary!$I$38</definedName>
    <definedName name="Restated_rate_base">Summary!$I$65</definedName>
    <definedName name="Restated_ROE">Summary!$I$68</definedName>
    <definedName name="Unadj_Op_revenue">Summary!$B$38</definedName>
    <definedName name="Unadj_rate_base">Summary!$B$65</definedName>
    <definedName name="Unadj_ROE">Summary!$B$68</definedName>
    <definedName name="uncollectible_perc">Variables!$D$20</definedName>
    <definedName name="UncollectibleAccounts">[1]Variables!$B$32</definedName>
    <definedName name="WA_rev_tax_perc">Variables!$D$22</definedName>
    <definedName name="WaRevenueTax">[1]Variables!$B$34</definedName>
    <definedName name="Weighted_cost_debt">Variables!$E$8</definedName>
    <definedName name="Weighted_cost_equity">Variables!$E$10</definedName>
    <definedName name="Weighted_cost_pref">Variables!$E$9</definedName>
    <definedName name="WUTC_reg_fee_perc">Variables!$D$21</definedName>
  </definedNames>
  <calcPr calcId="125725" calcMode="manual" iterate="1"/>
</workbook>
</file>

<file path=xl/calcChain.xml><?xml version="1.0" encoding="utf-8"?>
<calcChain xmlns="http://schemas.openxmlformats.org/spreadsheetml/2006/main">
  <c r="I84" i="1"/>
  <c r="P84" s="1"/>
  <c r="T84" s="1"/>
  <c r="I77"/>
  <c r="P77" s="1"/>
  <c r="I76"/>
  <c r="P76" s="1"/>
  <c r="T76" s="1"/>
  <c r="I74"/>
  <c r="P74" s="1"/>
  <c r="T74" s="1"/>
  <c r="I73"/>
  <c r="P73" s="1"/>
  <c r="I62"/>
  <c r="P62" s="1"/>
  <c r="T62" s="1"/>
  <c r="I61"/>
  <c r="P61" s="1"/>
  <c r="I60"/>
  <c r="P60" s="1"/>
  <c r="T60" s="1"/>
  <c r="I59"/>
  <c r="P59" s="1"/>
  <c r="I58"/>
  <c r="P58" s="1"/>
  <c r="T58" s="1"/>
  <c r="I57"/>
  <c r="P57" s="1"/>
  <c r="I56"/>
  <c r="P56" s="1"/>
  <c r="T56" s="1"/>
  <c r="I55"/>
  <c r="P55" s="1"/>
  <c r="I51"/>
  <c r="P51" s="1"/>
  <c r="T51" s="1"/>
  <c r="I50"/>
  <c r="P50" s="1"/>
  <c r="I46"/>
  <c r="P46" s="1"/>
  <c r="I45"/>
  <c r="P45" s="1"/>
  <c r="T45" s="1"/>
  <c r="I44"/>
  <c r="P44" s="1"/>
  <c r="I43"/>
  <c r="P43" s="1"/>
  <c r="T43" s="1"/>
  <c r="I42"/>
  <c r="P42" s="1"/>
  <c r="I41"/>
  <c r="P41" s="1"/>
  <c r="I35"/>
  <c r="P35" s="1"/>
  <c r="I34"/>
  <c r="P34" s="1"/>
  <c r="T34" s="1"/>
  <c r="I33"/>
  <c r="I30"/>
  <c r="P30" s="1"/>
  <c r="I29"/>
  <c r="I28"/>
  <c r="P28" s="1"/>
  <c r="T28" s="1"/>
  <c r="I26"/>
  <c r="I25"/>
  <c r="P25" s="1"/>
  <c r="T25" s="1"/>
  <c r="I24"/>
  <c r="I23"/>
  <c r="P23" s="1"/>
  <c r="I22"/>
  <c r="I21"/>
  <c r="P21" s="1"/>
  <c r="T21" s="1"/>
  <c r="I20"/>
  <c r="I19"/>
  <c r="P19" s="1"/>
  <c r="T19" s="1"/>
  <c r="I18"/>
  <c r="I17"/>
  <c r="P17" s="1"/>
  <c r="I13"/>
  <c r="P13" s="1"/>
  <c r="T13" s="1"/>
  <c r="I12"/>
  <c r="P12" s="1"/>
  <c r="T12" s="1"/>
  <c r="I11"/>
  <c r="P11" s="1"/>
  <c r="T11" s="1"/>
  <c r="I10"/>
  <c r="P10" s="1"/>
  <c r="M63"/>
  <c r="M49"/>
  <c r="M48"/>
  <c r="M47"/>
  <c r="M32"/>
  <c r="M27"/>
  <c r="M14"/>
  <c r="F63"/>
  <c r="F49"/>
  <c r="I49" s="1"/>
  <c r="P49" s="1"/>
  <c r="T49" s="1"/>
  <c r="F48"/>
  <c r="I48" s="1"/>
  <c r="F47"/>
  <c r="F32"/>
  <c r="F27"/>
  <c r="F14"/>
  <c r="D26" i="2"/>
  <c r="D30" s="1"/>
  <c r="E10"/>
  <c r="E9"/>
  <c r="E8"/>
  <c r="E11" s="1"/>
  <c r="R63" i="1"/>
  <c r="K63"/>
  <c r="D63"/>
  <c r="R52"/>
  <c r="R65" s="1"/>
  <c r="K52"/>
  <c r="K65" s="1"/>
  <c r="D52"/>
  <c r="D65" s="1"/>
  <c r="B52"/>
  <c r="T32"/>
  <c r="R32"/>
  <c r="K32"/>
  <c r="D32"/>
  <c r="B32"/>
  <c r="K27"/>
  <c r="D27"/>
  <c r="K14"/>
  <c r="D14"/>
  <c r="M72" l="1"/>
  <c r="M52"/>
  <c r="M65" s="1"/>
  <c r="M75" s="1"/>
  <c r="P48"/>
  <c r="T48" s="1"/>
  <c r="F52"/>
  <c r="F65" s="1"/>
  <c r="I32"/>
  <c r="P32" s="1"/>
  <c r="F72"/>
  <c r="I47"/>
  <c r="P47" s="1"/>
  <c r="T47" s="1"/>
  <c r="T77"/>
  <c r="T35"/>
  <c r="T42"/>
  <c r="T44"/>
  <c r="T46"/>
  <c r="T50"/>
  <c r="T57"/>
  <c r="T59"/>
  <c r="T61"/>
  <c r="P18"/>
  <c r="T18" s="1"/>
  <c r="P20"/>
  <c r="T20" s="1"/>
  <c r="P22"/>
  <c r="T22" s="1"/>
  <c r="P24"/>
  <c r="T24" s="1"/>
  <c r="P26"/>
  <c r="T26" s="1"/>
  <c r="P29"/>
  <c r="T29" s="1"/>
  <c r="P33"/>
  <c r="T33" s="1"/>
  <c r="D72"/>
  <c r="D78" s="1"/>
  <c r="D81" s="1"/>
  <c r="D83" s="1"/>
  <c r="D85" s="1"/>
  <c r="D31" s="1"/>
  <c r="D36" s="1"/>
  <c r="D38" s="1"/>
  <c r="I63"/>
  <c r="D32" i="2"/>
  <c r="D34"/>
  <c r="I14" i="1"/>
  <c r="K72"/>
  <c r="K78" s="1"/>
  <c r="K81" s="1"/>
  <c r="K83" s="1"/>
  <c r="K85" s="1"/>
  <c r="K31" s="1"/>
  <c r="K36" s="1"/>
  <c r="K38" s="1"/>
  <c r="K69" s="1"/>
  <c r="I27"/>
  <c r="B14"/>
  <c r="B27"/>
  <c r="B63"/>
  <c r="B65" s="1"/>
  <c r="M78" l="1"/>
  <c r="M81" s="1"/>
  <c r="M83" s="1"/>
  <c r="M85" s="1"/>
  <c r="M31" s="1"/>
  <c r="M36" s="1"/>
  <c r="M38" s="1"/>
  <c r="M69" s="1"/>
  <c r="F75"/>
  <c r="F78" s="1"/>
  <c r="F81" s="1"/>
  <c r="F83" s="1"/>
  <c r="F85" s="1"/>
  <c r="F31" s="1"/>
  <c r="F36" s="1"/>
  <c r="F38" s="1"/>
  <c r="F69" s="1"/>
  <c r="B72"/>
  <c r="B78" s="1"/>
  <c r="B81" s="1"/>
  <c r="B83" s="1"/>
  <c r="B85" s="1"/>
  <c r="B31" s="1"/>
  <c r="B38"/>
  <c r="P27"/>
  <c r="T17"/>
  <c r="P14"/>
  <c r="P63"/>
  <c r="T55"/>
  <c r="T63" s="1"/>
  <c r="D69"/>
  <c r="B36"/>
  <c r="I52"/>
  <c r="I65" s="1"/>
  <c r="I72"/>
  <c r="I31" l="1"/>
  <c r="P31" s="1"/>
  <c r="I78"/>
  <c r="I81" s="1"/>
  <c r="I83" s="1"/>
  <c r="I85" s="1"/>
  <c r="I75"/>
  <c r="P75" s="1"/>
  <c r="T75" s="1"/>
  <c r="I36"/>
  <c r="I38" s="1"/>
  <c r="I69" s="1"/>
  <c r="P72"/>
  <c r="P78" s="1"/>
  <c r="P81" s="1"/>
  <c r="P83" s="1"/>
  <c r="P85" s="1"/>
  <c r="B69"/>
  <c r="B67"/>
  <c r="B68" s="1"/>
  <c r="T41"/>
  <c r="T52" s="1"/>
  <c r="T65" s="1"/>
  <c r="P52"/>
  <c r="P65" s="1"/>
  <c r="P36"/>
  <c r="P38" s="1"/>
  <c r="I67" l="1"/>
  <c r="P69"/>
  <c r="P67"/>
  <c r="R10"/>
  <c r="I68"/>
  <c r="D68" s="1"/>
  <c r="D67"/>
  <c r="R14" l="1"/>
  <c r="R30"/>
  <c r="T30" s="1"/>
  <c r="R23"/>
  <c r="T10"/>
  <c r="T14" s="1"/>
  <c r="P68"/>
  <c r="K68" s="1"/>
  <c r="K67"/>
  <c r="R27" l="1"/>
  <c r="T23"/>
  <c r="T27" s="1"/>
  <c r="T72" s="1"/>
  <c r="T78" s="1"/>
  <c r="T81" s="1"/>
  <c r="T83" s="1"/>
  <c r="T85" s="1"/>
  <c r="T31" s="1"/>
  <c r="R72"/>
  <c r="R78" s="1"/>
  <c r="R81" s="1"/>
  <c r="R83" s="1"/>
  <c r="R85" s="1"/>
  <c r="R31" s="1"/>
  <c r="R36" l="1"/>
  <c r="R38" s="1"/>
  <c r="T36"/>
  <c r="T38" s="1"/>
  <c r="T67" s="1"/>
  <c r="T68" l="1"/>
  <c r="R68" s="1"/>
  <c r="R67"/>
</calcChain>
</file>

<file path=xl/sharedStrings.xml><?xml version="1.0" encoding="utf-8"?>
<sst xmlns="http://schemas.openxmlformats.org/spreadsheetml/2006/main" count="117" uniqueCount="112">
  <si>
    <t>PacifiCorp</t>
  </si>
  <si>
    <t>Washington General Rate Case - December 2009</t>
  </si>
  <si>
    <t>Unadjusted
Results</t>
  </si>
  <si>
    <t>Restating Adjustments</t>
  </si>
  <si>
    <t>Total Restated Actual Results</t>
  </si>
  <si>
    <t>Proforma Adjustments</t>
  </si>
  <si>
    <t>Total Normalized Results</t>
  </si>
  <si>
    <t>Price Change</t>
  </si>
  <si>
    <t>Results with Price Change</t>
  </si>
  <si>
    <t xml:space="preserve">   Operating Revenues:</t>
  </si>
  <si>
    <t>General Business Revenues</t>
  </si>
  <si>
    <t>Interdepartmental</t>
  </si>
  <si>
    <t>Special Sales</t>
  </si>
  <si>
    <t>Other Operating Revenues</t>
  </si>
  <si>
    <t xml:space="preserve">   Total Operating Revenues</t>
  </si>
  <si>
    <t xml:space="preserve">   Operating Expenses:</t>
  </si>
  <si>
    <t>Steam Production</t>
  </si>
  <si>
    <t>Nuclear Production</t>
  </si>
  <si>
    <t>Hydro Production</t>
  </si>
  <si>
    <t>Other Power Supply</t>
  </si>
  <si>
    <t>Transmission</t>
  </si>
  <si>
    <t>Distribution</t>
  </si>
  <si>
    <t>Customer Accounting</t>
  </si>
  <si>
    <t>Customer Service &amp; Info</t>
  </si>
  <si>
    <t>Sales</t>
  </si>
  <si>
    <t>Administrative &amp; General</t>
  </si>
  <si>
    <t xml:space="preserve">   Total O&amp;M Expenses</t>
  </si>
  <si>
    <t>Depreciation</t>
  </si>
  <si>
    <t xml:space="preserve">Amortization </t>
  </si>
  <si>
    <t>Taxes Other Than Income</t>
  </si>
  <si>
    <t>Income Taxes - Federal</t>
  </si>
  <si>
    <t>Income Taxes - State</t>
  </si>
  <si>
    <t>Income Taxes - Def Net</t>
  </si>
  <si>
    <t>Investment Tax Credit Adj.</t>
  </si>
  <si>
    <t>Misc Revenue &amp; Expense</t>
  </si>
  <si>
    <t xml:space="preserve">   Total Operating Expenses:</t>
  </si>
  <si>
    <t xml:space="preserve">   Operating Rev For Return:</t>
  </si>
  <si>
    <t xml:space="preserve">   Rate Base:</t>
  </si>
  <si>
    <t>Electric Plant In Service</t>
  </si>
  <si>
    <t>Plant Held for Future Use</t>
  </si>
  <si>
    <t>Misc Deferred Debits</t>
  </si>
  <si>
    <t>Elec Plant Acq Adj</t>
  </si>
  <si>
    <t>Nuclear Fuel</t>
  </si>
  <si>
    <t>Prepayments</t>
  </si>
  <si>
    <t>Fuel Stock</t>
  </si>
  <si>
    <t>Material &amp; Supplies</t>
  </si>
  <si>
    <t>Working Capital</t>
  </si>
  <si>
    <t>Weatherization</t>
  </si>
  <si>
    <t xml:space="preserve">Misc Rate Base </t>
  </si>
  <si>
    <t xml:space="preserve">   Total Electric Plant:</t>
  </si>
  <si>
    <t>Rate Base Deductions:</t>
  </si>
  <si>
    <t>Accum Prov For Deprec</t>
  </si>
  <si>
    <t>Accum Prov For Amort</t>
  </si>
  <si>
    <t>Accum Def Income Tax</t>
  </si>
  <si>
    <t>Unamortized ITC</t>
  </si>
  <si>
    <t>Customer Adv For Const</t>
  </si>
  <si>
    <t>Customer Service Deposits</t>
  </si>
  <si>
    <t>Misc Rate Base Deductions</t>
  </si>
  <si>
    <t xml:space="preserve">     Total Rate Base Deductions</t>
  </si>
  <si>
    <t xml:space="preserve">   Total Rate Base:</t>
  </si>
  <si>
    <t>Return on Rate Base</t>
  </si>
  <si>
    <t>Return on Equity</t>
  </si>
  <si>
    <t>Estimated Price Change</t>
  </si>
  <si>
    <t>TAX CALCULATION:</t>
  </si>
  <si>
    <t>Operating Revenue</t>
  </si>
  <si>
    <t>Other Deductions</t>
  </si>
  <si>
    <t>Interest (AFUDC)</t>
  </si>
  <si>
    <t>Interest</t>
  </si>
  <si>
    <t>Schedule "M" Additions</t>
  </si>
  <si>
    <t>Schedule "M" Deductions</t>
  </si>
  <si>
    <t>Income Before Tax</t>
  </si>
  <si>
    <t>State Income Taxes</t>
  </si>
  <si>
    <t>Taxable Income</t>
  </si>
  <si>
    <t>Federal Income Taxes Before Credits</t>
  </si>
  <si>
    <t>Energy Tax Credits</t>
  </si>
  <si>
    <t>Federal Income Taxes</t>
  </si>
  <si>
    <t>Variables</t>
  </si>
  <si>
    <t>Capital Structure and Cost</t>
  </si>
  <si>
    <t xml:space="preserve">Capital Structure </t>
  </si>
  <si>
    <t>Embedded Cost</t>
  </si>
  <si>
    <t>Weighted Cost</t>
  </si>
  <si>
    <t>DEBT%</t>
  </si>
  <si>
    <t>PREFERRED %</t>
  </si>
  <si>
    <t>COMMON %</t>
  </si>
  <si>
    <t>Net to Gross Bump-up Factor</t>
  </si>
  <si>
    <t>Operating Deductions</t>
  </si>
  <si>
    <t>Uncollectable Accounts</t>
  </si>
  <si>
    <t>WUTC Regulatory Fee</t>
  </si>
  <si>
    <t>Taxes Other - Revenue Tax</t>
  </si>
  <si>
    <t>Taxes Other - Resource Supplier</t>
  </si>
  <si>
    <t>Taxes Other - Gross Receipts</t>
  </si>
  <si>
    <t>Sub-Total</t>
  </si>
  <si>
    <t>State Taxes</t>
  </si>
  <si>
    <t>Federal Income Tax @ 35.00%</t>
  </si>
  <si>
    <t>Net Operating Income</t>
  </si>
  <si>
    <t>Additional CWC Restating Adjustment</t>
  </si>
  <si>
    <t>Note 1</t>
  </si>
  <si>
    <t>Note 2</t>
  </si>
  <si>
    <t>Note 3</t>
  </si>
  <si>
    <t>Additional CWC Proforma Adjustment</t>
  </si>
  <si>
    <t>Note 4</t>
  </si>
  <si>
    <t>Note 5</t>
  </si>
  <si>
    <t>Note 6</t>
  </si>
  <si>
    <t>Note 1 - This amount reflects the removal of the per books fuel stock balances and the restating adjustment for fuel stock (PIT inventory) included in the Jim Bridger Mine Adjustment (8.2 - Revised 11/23/10) of Exhibit No.___(RBD-3).</t>
  </si>
  <si>
    <t>Note 2 - This amount reflects the removal of the per books materials and supplies and the restating adjustment for materials and supplies included in the Jim Bridger Mine Adjustment (8.2 - Revised 11/23/10) of Exhibit No.___(RBD-3).</t>
  </si>
  <si>
    <t>Note 3 - This amount reflects the removal of the restating cash working capital adjustment as calculated on page 8.1 - Revised 11/23/10 of Exhibit No.___(RBD-3).</t>
  </si>
  <si>
    <t>Note 5 - This amount reflects the removal of the production factor adjustment to the Jim Bridger Mine Fuel Stock (PIT Inventory) as reflected on page 9.1.1 - Revised 11/23/10 of Exhibit No.___(RBD-3).</t>
  </si>
  <si>
    <t>Note 5 - This amount reflects the removal of the production factor adjustment to the Jim Bridger Mine Materials and Supplies as reflected on page 9.1.1 - Revised 11/23/10 of Exhibit No.___(RBD-3).</t>
  </si>
  <si>
    <t>Note 6 - This amount reflects the removal of the proforma cash working capital adjustment as calculated on page 8.1 - Revised 11/23/10 of Exhibit No.___(RBD-3).</t>
  </si>
  <si>
    <t>Exhibit No.___(RBD-3), Page 1.0 - Revised 11/23/10</t>
  </si>
  <si>
    <t>Exhibit No.___(RBD-3), Page 1.1 - Revised 11/23/10</t>
  </si>
  <si>
    <t>Supplemental Workpaper - Cash Working Capital</t>
  </si>
</sst>
</file>

<file path=xl/styles.xml><?xml version="1.0" encoding="utf-8"?>
<styleSheet xmlns="http://schemas.openxmlformats.org/spreadsheetml/2006/main">
  <numFmts count="3">
    <numFmt numFmtId="43" formatCode="_(* #,##0.00_);_(* \(#,##0.00\);_(* &quot;-&quot;??_);_(@_)"/>
    <numFmt numFmtId="164" formatCode="_(* #,##0_);_(* \(#,##0\);_(* &quot;-&quot;??_);_(@_)"/>
    <numFmt numFmtId="165" formatCode="0.000%"/>
  </numFmts>
  <fonts count="3">
    <font>
      <sz val="10"/>
      <name val="Arial"/>
      <family val="2"/>
    </font>
    <font>
      <sz val="10"/>
      <name val="Arial"/>
      <family val="2"/>
    </font>
    <font>
      <b/>
      <sz val="10"/>
      <name val="Arial"/>
      <family val="2"/>
    </font>
  </fonts>
  <fills count="3">
    <fill>
      <patternFill patternType="none"/>
    </fill>
    <fill>
      <patternFill patternType="gray125"/>
    </fill>
    <fill>
      <patternFill patternType="solid">
        <fgColor rgb="FFFFFF00"/>
        <bgColor indexed="64"/>
      </patternFill>
    </fill>
  </fills>
  <borders count="9">
    <border>
      <left/>
      <right/>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5">
    <xf numFmtId="0" fontId="0" fillId="0" borderId="0" xfId="0"/>
    <xf numFmtId="164" fontId="2" fillId="0" borderId="0" xfId="1" applyNumberFormat="1" applyFont="1"/>
    <xf numFmtId="0" fontId="1" fillId="0" borderId="0" xfId="0" applyFont="1"/>
    <xf numFmtId="164" fontId="2" fillId="0" borderId="0" xfId="1" applyNumberFormat="1" applyFont="1" applyAlignment="1">
      <alignment horizontal="left"/>
    </xf>
    <xf numFmtId="0" fontId="1" fillId="0" borderId="0" xfId="0" applyFont="1" applyBorder="1" applyAlignment="1">
      <alignment horizontal="centerContinuous"/>
    </xf>
    <xf numFmtId="0" fontId="1" fillId="0" borderId="0" xfId="0" applyFont="1" applyBorder="1"/>
    <xf numFmtId="0" fontId="2" fillId="0" borderId="0" xfId="0" applyFont="1" applyBorder="1" applyAlignment="1">
      <alignment horizontal="center" vertical="center" wrapText="1"/>
    </xf>
    <xf numFmtId="164" fontId="2" fillId="0" borderId="0" xfId="1" applyNumberFormat="1" applyFont="1" applyBorder="1" applyAlignment="1">
      <alignment vertical="center"/>
    </xf>
    <xf numFmtId="164" fontId="1" fillId="0" borderId="0" xfId="1" applyNumberFormat="1" applyFont="1" applyBorder="1" applyAlignment="1">
      <alignment vertical="center"/>
    </xf>
    <xf numFmtId="164" fontId="1" fillId="0" borderId="1" xfId="1" applyNumberFormat="1" applyFont="1" applyBorder="1" applyAlignment="1">
      <alignment vertical="center"/>
    </xf>
    <xf numFmtId="164" fontId="1" fillId="0" borderId="2" xfId="1" applyNumberFormat="1" applyFont="1" applyBorder="1" applyAlignment="1">
      <alignment vertical="center"/>
    </xf>
    <xf numFmtId="10" fontId="1" fillId="0" borderId="0" xfId="2" applyNumberFormat="1" applyFont="1" applyBorder="1" applyAlignment="1">
      <alignment vertical="center"/>
    </xf>
    <xf numFmtId="165" fontId="1" fillId="0" borderId="0" xfId="2" applyNumberFormat="1" applyFont="1" applyBorder="1" applyAlignment="1">
      <alignment vertical="center"/>
    </xf>
    <xf numFmtId="164" fontId="1" fillId="0" borderId="3" xfId="1" applyNumberFormat="1" applyFont="1" applyBorder="1" applyAlignment="1">
      <alignment vertical="center"/>
    </xf>
    <xf numFmtId="164" fontId="2" fillId="0" borderId="0" xfId="1" applyNumberFormat="1" applyFont="1" applyAlignment="1">
      <alignment vertical="center"/>
    </xf>
    <xf numFmtId="0" fontId="2" fillId="0" borderId="0" xfId="0" applyFont="1"/>
    <xf numFmtId="0" fontId="2" fillId="0" borderId="0" xfId="0" applyFont="1" applyBorder="1"/>
    <xf numFmtId="0" fontId="1" fillId="0" borderId="4" xfId="0" applyFont="1" applyBorder="1" applyAlignment="1">
      <alignment horizontal="center"/>
    </xf>
    <xf numFmtId="0" fontId="1" fillId="0" borderId="5" xfId="0" applyFont="1" applyBorder="1" applyAlignment="1">
      <alignment horizontal="center"/>
    </xf>
    <xf numFmtId="0" fontId="1" fillId="0" borderId="0" xfId="0" applyFont="1" applyAlignment="1">
      <alignment horizontal="center"/>
    </xf>
    <xf numFmtId="0" fontId="1" fillId="0" borderId="6" xfId="0" applyFont="1" applyBorder="1"/>
    <xf numFmtId="165" fontId="1" fillId="0" borderId="6" xfId="2" applyNumberFormat="1" applyFont="1" applyBorder="1"/>
    <xf numFmtId="165" fontId="1" fillId="0" borderId="0" xfId="2" applyNumberFormat="1" applyFont="1" applyBorder="1"/>
    <xf numFmtId="0" fontId="1" fillId="0" borderId="7" xfId="0" applyFont="1" applyBorder="1"/>
    <xf numFmtId="165" fontId="1" fillId="0" borderId="7" xfId="2" applyNumberFormat="1" applyFont="1" applyBorder="1"/>
    <xf numFmtId="165" fontId="1" fillId="0" borderId="3" xfId="2" applyNumberFormat="1" applyFont="1" applyBorder="1"/>
    <xf numFmtId="165" fontId="1" fillId="0" borderId="4" xfId="0" applyNumberFormat="1" applyFont="1" applyBorder="1"/>
    <xf numFmtId="0" fontId="2" fillId="0" borderId="3" xfId="0" applyFont="1" applyBorder="1"/>
    <xf numFmtId="0" fontId="1" fillId="0" borderId="3" xfId="0" applyFont="1" applyBorder="1"/>
    <xf numFmtId="165" fontId="1" fillId="0" borderId="0" xfId="2" applyNumberFormat="1" applyFont="1"/>
    <xf numFmtId="0" fontId="1" fillId="0" borderId="0" xfId="0" quotePrefix="1" applyFont="1" applyAlignment="1">
      <alignment horizontal="left"/>
    </xf>
    <xf numFmtId="165" fontId="1" fillId="0" borderId="0" xfId="2" quotePrefix="1" applyNumberFormat="1" applyFont="1"/>
    <xf numFmtId="10" fontId="1" fillId="0" borderId="0" xfId="2" applyNumberFormat="1" applyFont="1"/>
    <xf numFmtId="165" fontId="1" fillId="0" borderId="8" xfId="2" quotePrefix="1" applyNumberFormat="1" applyFont="1" applyBorder="1"/>
    <xf numFmtId="165" fontId="1" fillId="0" borderId="0" xfId="2" quotePrefix="1" applyNumberFormat="1" applyFont="1" applyBorder="1"/>
    <xf numFmtId="0" fontId="1" fillId="0" borderId="0" xfId="0" applyFont="1" applyFill="1"/>
    <xf numFmtId="0" fontId="2" fillId="2" borderId="0" xfId="0" applyFont="1" applyFill="1" applyBorder="1" applyAlignment="1">
      <alignment horizontal="center" vertical="center" wrapText="1"/>
    </xf>
    <xf numFmtId="164" fontId="1" fillId="0" borderId="0" xfId="1" applyNumberFormat="1" applyFont="1" applyFill="1" applyBorder="1" applyAlignment="1">
      <alignment vertical="center"/>
    </xf>
    <xf numFmtId="164" fontId="1" fillId="0" borderId="1" xfId="1" applyNumberFormat="1" applyFont="1" applyFill="1" applyBorder="1" applyAlignment="1">
      <alignment vertical="center"/>
    </xf>
    <xf numFmtId="164" fontId="1" fillId="0" borderId="2" xfId="1" applyNumberFormat="1" applyFont="1" applyFill="1" applyBorder="1" applyAlignment="1">
      <alignment vertical="center"/>
    </xf>
    <xf numFmtId="164" fontId="1" fillId="2" borderId="0" xfId="1" applyNumberFormat="1" applyFont="1" applyFill="1" applyBorder="1" applyAlignment="1">
      <alignment vertical="center"/>
    </xf>
    <xf numFmtId="164" fontId="1" fillId="2" borderId="2" xfId="1" applyNumberFormat="1" applyFont="1" applyFill="1" applyBorder="1" applyAlignment="1">
      <alignment vertical="center"/>
    </xf>
    <xf numFmtId="164" fontId="1" fillId="2" borderId="1" xfId="1" applyNumberFormat="1" applyFont="1" applyFill="1" applyBorder="1" applyAlignment="1">
      <alignment vertical="center"/>
    </xf>
    <xf numFmtId="10" fontId="1" fillId="0" borderId="0" xfId="2" applyNumberFormat="1" applyFont="1" applyFill="1" applyBorder="1" applyAlignment="1">
      <alignment vertical="center"/>
    </xf>
    <xf numFmtId="165" fontId="1" fillId="0" borderId="0" xfId="2" applyNumberFormat="1" applyFont="1" applyFill="1" applyBorder="1" applyAlignment="1">
      <alignment vertical="center"/>
    </xf>
    <xf numFmtId="164" fontId="1" fillId="0" borderId="3" xfId="1" applyNumberFormat="1" applyFont="1" applyFill="1" applyBorder="1" applyAlignment="1">
      <alignment vertical="center"/>
    </xf>
    <xf numFmtId="164" fontId="2" fillId="0" borderId="0" xfId="1" applyNumberFormat="1" applyFont="1" applyFill="1" applyAlignment="1">
      <alignment vertical="center"/>
    </xf>
    <xf numFmtId="164" fontId="2" fillId="0" borderId="0" xfId="1" applyNumberFormat="1" applyFont="1" applyAlignment="1">
      <alignment horizontal="left" vertical="top" wrapText="1"/>
    </xf>
    <xf numFmtId="0" fontId="0" fillId="0" borderId="0" xfId="0" applyAlignment="1">
      <alignment vertical="top" wrapText="1"/>
    </xf>
    <xf numFmtId="164" fontId="2" fillId="0" borderId="0" xfId="1" applyNumberFormat="1" applyFont="1" applyAlignment="1">
      <alignment horizontal="left" vertical="top" wrapText="1"/>
    </xf>
    <xf numFmtId="0" fontId="0" fillId="0" borderId="0" xfId="0" applyAlignment="1">
      <alignment vertical="top" wrapText="1"/>
    </xf>
    <xf numFmtId="164" fontId="0" fillId="0" borderId="0" xfId="1" applyNumberFormat="1" applyFont="1" applyBorder="1" applyAlignment="1">
      <alignment vertical="center"/>
    </xf>
    <xf numFmtId="164" fontId="0" fillId="0" borderId="0" xfId="1" applyNumberFormat="1" applyFont="1" applyBorder="1" applyAlignment="1">
      <alignment horizontal="left" vertical="center"/>
    </xf>
    <xf numFmtId="0" fontId="0" fillId="0" borderId="0" xfId="0" applyAlignment="1">
      <alignment horizontal="center" wrapText="1"/>
    </xf>
    <xf numFmtId="0" fontId="1" fillId="0" borderId="0" xfId="0" applyFont="1" applyAlignment="1"/>
  </cellXfs>
  <cellStyles count="3">
    <cellStyle name="Comma" xfId="1" builtinId="3"/>
    <cellStyle name="Normal" xfId="0" builtinId="0"/>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44824</xdr:colOff>
      <xdr:row>4</xdr:row>
      <xdr:rowOff>22412</xdr:rowOff>
    </xdr:from>
    <xdr:to>
      <xdr:col>19</xdr:col>
      <xdr:colOff>974911</xdr:colOff>
      <xdr:row>4</xdr:row>
      <xdr:rowOff>649942</xdr:rowOff>
    </xdr:to>
    <xdr:sp macro="" textlink="">
      <xdr:nvSpPr>
        <xdr:cNvPr id="2" name="TextBox 1"/>
        <xdr:cNvSpPr txBox="1"/>
      </xdr:nvSpPr>
      <xdr:spPr>
        <a:xfrm>
          <a:off x="44824" y="649941"/>
          <a:ext cx="13054852" cy="6275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a:latin typeface="Arial" pitchFamily="34" charset="0"/>
              <a:cs typeface="Arial" pitchFamily="34" charset="0"/>
            </a:rPr>
            <a:t>This workpaper presents the adjustments necessary to reflect cash working capital, fuel stock, and materials and supplies consistent with the Commission's order in Docket UE-061546.  In that proceeding, the Commission disallowed all cash working capital, materials and supplies, fuel stock, and the materials and supplies and fuel stock reflected in the Jim Bridger Mine  rate base adjustment.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odels/WA%20JAM%20Dec%202009%20GRC%20-%20Supplement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hibit"/>
      <sheetName val="Function"/>
      <sheetName val="Function1149"/>
      <sheetName val="NPC"/>
      <sheetName val="Report"/>
      <sheetName val="Results"/>
      <sheetName val="UTCR"/>
      <sheetName val="NRO"/>
      <sheetName val="ADJ"/>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row r="377">
          <cell r="K377">
            <v>331425.601479618</v>
          </cell>
        </row>
      </sheetData>
      <sheetData sheetId="5"/>
      <sheetData sheetId="6"/>
      <sheetData sheetId="7"/>
      <sheetData sheetId="8"/>
      <sheetData sheetId="9"/>
      <sheetData sheetId="10"/>
      <sheetData sheetId="11"/>
      <sheetData sheetId="12">
        <row r="30">
          <cell r="B30">
            <v>0.61987999999999999</v>
          </cell>
        </row>
        <row r="32">
          <cell r="B32">
            <v>5.6100000000000004E-3</v>
          </cell>
        </row>
        <row r="33">
          <cell r="B33">
            <v>2E-3</v>
          </cell>
        </row>
        <row r="34">
          <cell r="B34">
            <v>3.8730000000000001E-2</v>
          </cell>
        </row>
        <row r="35">
          <cell r="B35">
            <v>0</v>
          </cell>
        </row>
      </sheetData>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X148"/>
  <sheetViews>
    <sheetView tabSelected="1" zoomScale="85" zoomScaleNormal="85" workbookViewId="0">
      <selection activeCell="B10" sqref="B10"/>
    </sheetView>
  </sheetViews>
  <sheetFormatPr defaultRowHeight="12.75"/>
  <cols>
    <col min="1" max="1" width="35.28515625" style="2" customWidth="1"/>
    <col min="2" max="2" width="15.7109375" style="2" customWidth="1"/>
    <col min="3" max="3" width="0.7109375" style="2" customWidth="1"/>
    <col min="4" max="4" width="15.7109375" style="2" customWidth="1"/>
    <col min="5" max="5" width="0.7109375" style="2" customWidth="1"/>
    <col min="6" max="6" width="15.7109375" style="35" customWidth="1"/>
    <col min="7" max="7" width="7.42578125" style="2" customWidth="1"/>
    <col min="8" max="8" width="0.7109375" style="2" customWidth="1"/>
    <col min="9" max="9" width="15.7109375" style="2" customWidth="1"/>
    <col min="10" max="10" width="0.7109375" style="2" customWidth="1"/>
    <col min="11" max="11" width="15.7109375" style="2" customWidth="1"/>
    <col min="12" max="12" width="0.7109375" style="2" customWidth="1"/>
    <col min="13" max="13" width="15.7109375" style="35" customWidth="1"/>
    <col min="14" max="14" width="7.42578125" style="2" customWidth="1"/>
    <col min="15" max="15" width="0.7109375" style="2" customWidth="1"/>
    <col min="16" max="16" width="15.7109375" style="2" customWidth="1"/>
    <col min="17" max="17" width="0.7109375" style="2" customWidth="1"/>
    <col min="18" max="18" width="15.7109375" style="2" customWidth="1"/>
    <col min="19" max="19" width="0.7109375" style="2" customWidth="1"/>
    <col min="20" max="20" width="15.85546875" style="2" customWidth="1"/>
    <col min="21" max="16384" width="9.140625" style="2"/>
  </cols>
  <sheetData>
    <row r="1" spans="1:24">
      <c r="A1" s="1" t="s">
        <v>0</v>
      </c>
    </row>
    <row r="2" spans="1:24">
      <c r="A2" s="3" t="s">
        <v>1</v>
      </c>
    </row>
    <row r="3" spans="1:24">
      <c r="A3" s="3" t="s">
        <v>111</v>
      </c>
    </row>
    <row r="4" spans="1:24">
      <c r="A4" s="3"/>
    </row>
    <row r="5" spans="1:24" s="54" customFormat="1" ht="54" customHeight="1">
      <c r="A5" s="49"/>
      <c r="B5" s="50"/>
      <c r="C5" s="50"/>
      <c r="D5" s="50"/>
      <c r="E5" s="50"/>
      <c r="F5" s="50"/>
      <c r="G5" s="50"/>
      <c r="H5" s="50"/>
      <c r="I5" s="50"/>
      <c r="J5" s="50"/>
      <c r="K5" s="50"/>
      <c r="L5" s="50"/>
      <c r="M5" s="50"/>
      <c r="N5" s="50"/>
      <c r="O5" s="50"/>
      <c r="P5" s="50"/>
      <c r="Q5" s="50"/>
      <c r="R5" s="50"/>
      <c r="S5" s="50"/>
      <c r="T5" s="50"/>
      <c r="U5" s="50"/>
      <c r="V5" s="50"/>
      <c r="W5" s="50"/>
      <c r="X5" s="50"/>
    </row>
    <row r="6" spans="1:24" ht="12" customHeight="1">
      <c r="A6" s="47"/>
      <c r="B6" s="48"/>
      <c r="C6" s="48"/>
      <c r="D6" s="48"/>
      <c r="H6" s="48"/>
      <c r="I6" s="48"/>
      <c r="J6" s="48"/>
      <c r="K6" s="48"/>
      <c r="O6" s="48"/>
      <c r="P6" s="48"/>
      <c r="Q6" s="48"/>
      <c r="R6" s="48"/>
      <c r="S6" s="48"/>
      <c r="T6" s="48"/>
      <c r="U6" s="48"/>
      <c r="V6" s="48"/>
      <c r="W6" s="48"/>
      <c r="X6" s="48"/>
    </row>
    <row r="7" spans="1:24" ht="51">
      <c r="A7" s="3"/>
      <c r="B7" s="53" t="s">
        <v>109</v>
      </c>
      <c r="D7" s="53" t="s">
        <v>110</v>
      </c>
      <c r="K7" s="53" t="s">
        <v>110</v>
      </c>
    </row>
    <row r="8" spans="1:24" ht="43.5" customHeight="1">
      <c r="A8" s="5"/>
      <c r="B8" s="6" t="s">
        <v>2</v>
      </c>
      <c r="C8" s="6"/>
      <c r="D8" s="6" t="s">
        <v>3</v>
      </c>
      <c r="E8" s="6"/>
      <c r="F8" s="36" t="s">
        <v>95</v>
      </c>
      <c r="G8" s="6"/>
      <c r="H8" s="6"/>
      <c r="I8" s="6" t="s">
        <v>4</v>
      </c>
      <c r="J8" s="6"/>
      <c r="K8" s="6" t="s">
        <v>5</v>
      </c>
      <c r="L8" s="6"/>
      <c r="M8" s="36" t="s">
        <v>99</v>
      </c>
      <c r="N8" s="6"/>
      <c r="O8" s="6"/>
      <c r="P8" s="6" t="s">
        <v>6</v>
      </c>
      <c r="Q8" s="6"/>
      <c r="R8" s="6" t="s">
        <v>7</v>
      </c>
      <c r="S8" s="6"/>
      <c r="T8" s="6" t="s">
        <v>8</v>
      </c>
    </row>
    <row r="9" spans="1:24">
      <c r="A9" s="7" t="s">
        <v>9</v>
      </c>
      <c r="B9" s="8"/>
      <c r="C9" s="8"/>
      <c r="D9" s="8"/>
      <c r="E9" s="8"/>
      <c r="F9" s="37"/>
      <c r="I9" s="8"/>
      <c r="K9" s="8"/>
      <c r="L9" s="8"/>
      <c r="M9" s="37"/>
      <c r="P9" s="8"/>
      <c r="R9" s="8"/>
      <c r="T9" s="8"/>
    </row>
    <row r="10" spans="1:24">
      <c r="A10" s="7" t="s">
        <v>10</v>
      </c>
      <c r="B10" s="8">
        <v>266100834.98999998</v>
      </c>
      <c r="C10" s="8"/>
      <c r="D10" s="8">
        <v>-6737565.5899999887</v>
      </c>
      <c r="E10" s="8"/>
      <c r="F10" s="37"/>
      <c r="I10" s="8">
        <f>B10+D10+F10</f>
        <v>259363269.39999998</v>
      </c>
      <c r="K10" s="8">
        <v>12402155.109999999</v>
      </c>
      <c r="L10" s="8"/>
      <c r="M10" s="37"/>
      <c r="P10" s="8">
        <f>I10+K10+M10</f>
        <v>271765424.50999999</v>
      </c>
      <c r="R10" s="40">
        <f>-(P38-(P65*Overall_ROR))/gross_up_factor</f>
        <v>53608565.977988377</v>
      </c>
      <c r="T10" s="40">
        <f>P10+R10</f>
        <v>325373990.48798835</v>
      </c>
    </row>
    <row r="11" spans="1:24">
      <c r="A11" s="7" t="s">
        <v>11</v>
      </c>
      <c r="B11" s="8">
        <v>0</v>
      </c>
      <c r="C11" s="8"/>
      <c r="D11" s="8">
        <v>0</v>
      </c>
      <c r="E11" s="8"/>
      <c r="F11" s="37"/>
      <c r="I11" s="8">
        <f t="shared" ref="I11:I13" si="0">B11+D11+F11</f>
        <v>0</v>
      </c>
      <c r="K11" s="8">
        <v>0</v>
      </c>
      <c r="L11" s="8"/>
      <c r="M11" s="37"/>
      <c r="P11" s="8">
        <f t="shared" ref="P11:P13" si="1">I11+K11+M11</f>
        <v>0</v>
      </c>
      <c r="R11" s="8"/>
      <c r="T11" s="8">
        <f t="shared" ref="T11:T13" si="2">P11+R11</f>
        <v>0</v>
      </c>
    </row>
    <row r="12" spans="1:24">
      <c r="A12" s="7" t="s">
        <v>12</v>
      </c>
      <c r="B12" s="8">
        <v>78723890.002297029</v>
      </c>
      <c r="C12" s="8"/>
      <c r="D12" s="8">
        <v>3803644.2032988709</v>
      </c>
      <c r="E12" s="8"/>
      <c r="F12" s="37"/>
      <c r="I12" s="8">
        <f t="shared" si="0"/>
        <v>82527534.205595896</v>
      </c>
      <c r="K12" s="8">
        <v>-43556536.002498887</v>
      </c>
      <c r="L12" s="8"/>
      <c r="M12" s="37"/>
      <c r="P12" s="8">
        <f t="shared" si="1"/>
        <v>38970998.203097008</v>
      </c>
      <c r="R12" s="8"/>
      <c r="T12" s="8">
        <f t="shared" si="2"/>
        <v>38970998.203097008</v>
      </c>
    </row>
    <row r="13" spans="1:24">
      <c r="A13" s="7" t="s">
        <v>13</v>
      </c>
      <c r="B13" s="8">
        <v>12554856.948306177</v>
      </c>
      <c r="C13" s="8"/>
      <c r="D13" s="8">
        <v>-4108989.02950744</v>
      </c>
      <c r="E13" s="8"/>
      <c r="F13" s="37"/>
      <c r="I13" s="8">
        <f t="shared" si="0"/>
        <v>8445867.9187987372</v>
      </c>
      <c r="K13" s="8">
        <v>-1833131.8684714881</v>
      </c>
      <c r="L13" s="8"/>
      <c r="M13" s="37"/>
      <c r="P13" s="8">
        <f t="shared" si="1"/>
        <v>6612736.0503272489</v>
      </c>
      <c r="R13" s="8"/>
      <c r="T13" s="8">
        <f t="shared" si="2"/>
        <v>6612736.0503272489</v>
      </c>
    </row>
    <row r="14" spans="1:24" ht="13.5" thickBot="1">
      <c r="A14" s="7" t="s">
        <v>14</v>
      </c>
      <c r="B14" s="9">
        <f>SUM(B10:B13)</f>
        <v>357379581.9406032</v>
      </c>
      <c r="C14" s="8"/>
      <c r="D14" s="9">
        <f>SUM(D10:D13)</f>
        <v>-7042910.4162085578</v>
      </c>
      <c r="E14" s="8"/>
      <c r="F14" s="38">
        <f>SUM(F10:F13)</f>
        <v>0</v>
      </c>
      <c r="I14" s="9">
        <f>SUM(I10:I13)</f>
        <v>350336671.52439463</v>
      </c>
      <c r="K14" s="9">
        <f>SUM(K10:K13)</f>
        <v>-32987512.760970376</v>
      </c>
      <c r="L14" s="8"/>
      <c r="M14" s="38">
        <f>SUM(M10:M13)</f>
        <v>0</v>
      </c>
      <c r="P14" s="9">
        <f>SUM(P10:P13)</f>
        <v>317349158.76342422</v>
      </c>
      <c r="R14" s="42">
        <f>SUM(R10:R13)</f>
        <v>53608565.977988377</v>
      </c>
      <c r="T14" s="42">
        <f>SUM(T10:T13)</f>
        <v>370957724.74141258</v>
      </c>
    </row>
    <row r="15" spans="1:24" ht="13.5" thickTop="1">
      <c r="A15" s="7"/>
      <c r="B15" s="8"/>
      <c r="C15" s="8"/>
      <c r="D15" s="8"/>
      <c r="E15" s="8"/>
      <c r="F15" s="37"/>
      <c r="I15" s="8"/>
      <c r="K15" s="8"/>
      <c r="L15" s="8"/>
      <c r="M15" s="37"/>
      <c r="P15" s="8"/>
      <c r="R15" s="8"/>
      <c r="T15" s="8"/>
    </row>
    <row r="16" spans="1:24">
      <c r="A16" s="7" t="s">
        <v>15</v>
      </c>
      <c r="B16" s="8"/>
      <c r="C16" s="8"/>
      <c r="D16" s="8"/>
      <c r="E16" s="8"/>
      <c r="F16" s="37"/>
      <c r="I16" s="8"/>
      <c r="K16" s="8"/>
      <c r="L16" s="8"/>
      <c r="M16" s="37"/>
      <c r="P16" s="8"/>
      <c r="R16" s="8"/>
      <c r="T16" s="8"/>
    </row>
    <row r="17" spans="1:20">
      <c r="A17" s="7" t="s">
        <v>16</v>
      </c>
      <c r="B17" s="8">
        <v>48371132.770529747</v>
      </c>
      <c r="C17" s="8"/>
      <c r="D17" s="8">
        <v>-1302039.490000973</v>
      </c>
      <c r="E17" s="8"/>
      <c r="F17" s="37"/>
      <c r="I17" s="8">
        <f t="shared" ref="I17:I26" si="3">B17+D17+F17</f>
        <v>47069093.280528776</v>
      </c>
      <c r="K17" s="8">
        <v>4164858.837095404</v>
      </c>
      <c r="L17" s="8"/>
      <c r="M17" s="37"/>
      <c r="P17" s="8">
        <f t="shared" ref="P17:P26" si="4">I17+K17+M17</f>
        <v>51233952.117624179</v>
      </c>
      <c r="R17" s="8"/>
      <c r="T17" s="8">
        <f t="shared" ref="T17:T26" si="5">P17+R17</f>
        <v>51233952.117624179</v>
      </c>
    </row>
    <row r="18" spans="1:20">
      <c r="A18" s="7" t="s">
        <v>17</v>
      </c>
      <c r="B18" s="8">
        <v>0</v>
      </c>
      <c r="C18" s="8"/>
      <c r="D18" s="8">
        <v>0</v>
      </c>
      <c r="E18" s="8"/>
      <c r="F18" s="37"/>
      <c r="I18" s="8">
        <f t="shared" si="3"/>
        <v>0</v>
      </c>
      <c r="K18" s="8">
        <v>0</v>
      </c>
      <c r="L18" s="8"/>
      <c r="M18" s="37"/>
      <c r="P18" s="8">
        <f t="shared" si="4"/>
        <v>0</v>
      </c>
      <c r="R18" s="8"/>
      <c r="T18" s="8">
        <f t="shared" si="5"/>
        <v>0</v>
      </c>
    </row>
    <row r="19" spans="1:20">
      <c r="A19" s="7" t="s">
        <v>18</v>
      </c>
      <c r="B19" s="8">
        <v>6349037.5511267083</v>
      </c>
      <c r="C19" s="8"/>
      <c r="D19" s="8">
        <v>1964.8349516471831</v>
      </c>
      <c r="E19" s="8"/>
      <c r="F19" s="37"/>
      <c r="I19" s="8">
        <f t="shared" si="3"/>
        <v>6351002.3860783558</v>
      </c>
      <c r="K19" s="8">
        <v>14128.087987025239</v>
      </c>
      <c r="L19" s="8"/>
      <c r="M19" s="37"/>
      <c r="P19" s="8">
        <f t="shared" si="4"/>
        <v>6365130.4740653811</v>
      </c>
      <c r="R19" s="8"/>
      <c r="T19" s="8">
        <f t="shared" si="5"/>
        <v>6365130.4740653811</v>
      </c>
    </row>
    <row r="20" spans="1:20">
      <c r="A20" s="7" t="s">
        <v>19</v>
      </c>
      <c r="B20" s="8">
        <v>125305885.00091264</v>
      </c>
      <c r="C20" s="8"/>
      <c r="D20" s="8">
        <v>2206561.8332285574</v>
      </c>
      <c r="E20" s="8"/>
      <c r="F20" s="37"/>
      <c r="I20" s="8">
        <f t="shared" si="3"/>
        <v>127512446.83414119</v>
      </c>
      <c r="K20" s="8">
        <v>-13760382.152451843</v>
      </c>
      <c r="L20" s="8"/>
      <c r="M20" s="37"/>
      <c r="P20" s="8">
        <f t="shared" si="4"/>
        <v>113752064.68168935</v>
      </c>
      <c r="R20" s="8"/>
      <c r="T20" s="8">
        <f t="shared" si="5"/>
        <v>113752064.68168935</v>
      </c>
    </row>
    <row r="21" spans="1:20">
      <c r="A21" s="7" t="s">
        <v>20</v>
      </c>
      <c r="B21" s="8">
        <v>25362553.335236829</v>
      </c>
      <c r="C21" s="8"/>
      <c r="D21" s="8">
        <v>-119205.98724489645</v>
      </c>
      <c r="E21" s="8"/>
      <c r="F21" s="37"/>
      <c r="I21" s="8">
        <f t="shared" si="3"/>
        <v>25243347.347991932</v>
      </c>
      <c r="K21" s="8">
        <v>3316493.9365832619</v>
      </c>
      <c r="L21" s="8"/>
      <c r="M21" s="37"/>
      <c r="P21" s="8">
        <f t="shared" si="4"/>
        <v>28559841.284575194</v>
      </c>
      <c r="R21" s="8"/>
      <c r="T21" s="8">
        <f t="shared" si="5"/>
        <v>28559841.284575194</v>
      </c>
    </row>
    <row r="22" spans="1:20">
      <c r="A22" s="7" t="s">
        <v>21</v>
      </c>
      <c r="B22" s="8">
        <v>13621606.721800074</v>
      </c>
      <c r="C22" s="8"/>
      <c r="D22" s="8">
        <v>6969.4824389372116</v>
      </c>
      <c r="E22" s="8"/>
      <c r="F22" s="37"/>
      <c r="I22" s="8">
        <f t="shared" si="3"/>
        <v>13628576.204239011</v>
      </c>
      <c r="K22" s="8">
        <v>91505.452370337007</v>
      </c>
      <c r="L22" s="8"/>
      <c r="M22" s="37"/>
      <c r="P22" s="8">
        <f t="shared" si="4"/>
        <v>13720081.656609347</v>
      </c>
      <c r="R22" s="8"/>
      <c r="T22" s="8">
        <f t="shared" si="5"/>
        <v>13720081.656609347</v>
      </c>
    </row>
    <row r="23" spans="1:20">
      <c r="A23" s="7" t="s">
        <v>22</v>
      </c>
      <c r="B23" s="8">
        <v>8025975.3729733964</v>
      </c>
      <c r="C23" s="8"/>
      <c r="D23" s="8">
        <v>4466.1128616715359</v>
      </c>
      <c r="E23" s="8"/>
      <c r="F23" s="37"/>
      <c r="I23" s="8">
        <f t="shared" si="3"/>
        <v>8030441.4858350679</v>
      </c>
      <c r="K23" s="8">
        <v>57733.388162278228</v>
      </c>
      <c r="L23" s="8"/>
      <c r="M23" s="37"/>
      <c r="P23" s="8">
        <f t="shared" si="4"/>
        <v>8088174.8739973465</v>
      </c>
      <c r="R23" s="40">
        <f>R10*uncollectible_perc</f>
        <v>300744.05513651483</v>
      </c>
      <c r="T23" s="40">
        <f t="shared" si="5"/>
        <v>8388918.9291338623</v>
      </c>
    </row>
    <row r="24" spans="1:20">
      <c r="A24" s="7" t="s">
        <v>23</v>
      </c>
      <c r="B24" s="8">
        <v>5423426.4819710292</v>
      </c>
      <c r="C24" s="8"/>
      <c r="D24" s="8">
        <v>-4858857.1696259631</v>
      </c>
      <c r="E24" s="8"/>
      <c r="F24" s="37"/>
      <c r="I24" s="8">
        <f t="shared" si="3"/>
        <v>564569.31234506611</v>
      </c>
      <c r="K24" s="8">
        <v>2679.2924333421715</v>
      </c>
      <c r="L24" s="8"/>
      <c r="M24" s="37"/>
      <c r="P24" s="8">
        <f t="shared" si="4"/>
        <v>567248.60477840831</v>
      </c>
      <c r="R24" s="8"/>
      <c r="T24" s="8">
        <f t="shared" si="5"/>
        <v>567248.60477840831</v>
      </c>
    </row>
    <row r="25" spans="1:20">
      <c r="A25" s="7" t="s">
        <v>24</v>
      </c>
      <c r="B25" s="8">
        <v>0</v>
      </c>
      <c r="C25" s="8"/>
      <c r="D25" s="8">
        <v>0</v>
      </c>
      <c r="E25" s="8"/>
      <c r="F25" s="37"/>
      <c r="I25" s="8">
        <f t="shared" si="3"/>
        <v>0</v>
      </c>
      <c r="K25" s="8">
        <v>0</v>
      </c>
      <c r="L25" s="8"/>
      <c r="M25" s="37"/>
      <c r="P25" s="8">
        <f t="shared" si="4"/>
        <v>0</v>
      </c>
      <c r="R25" s="8"/>
      <c r="T25" s="8">
        <f t="shared" si="5"/>
        <v>0</v>
      </c>
    </row>
    <row r="26" spans="1:20">
      <c r="A26" s="7" t="s">
        <v>25</v>
      </c>
      <c r="B26" s="8">
        <v>12167262.867714064</v>
      </c>
      <c r="C26" s="8"/>
      <c r="D26" s="8">
        <v>-60435.408628654244</v>
      </c>
      <c r="E26" s="8"/>
      <c r="F26" s="37"/>
      <c r="I26" s="8">
        <f t="shared" si="3"/>
        <v>12106827.45908541</v>
      </c>
      <c r="K26" s="8">
        <v>-1329008.6223783894</v>
      </c>
      <c r="L26" s="8"/>
      <c r="M26" s="37"/>
      <c r="P26" s="8">
        <f t="shared" si="4"/>
        <v>10777818.836707022</v>
      </c>
      <c r="R26" s="8"/>
      <c r="T26" s="8">
        <f t="shared" si="5"/>
        <v>10777818.836707022</v>
      </c>
    </row>
    <row r="27" spans="1:20">
      <c r="A27" s="7" t="s">
        <v>26</v>
      </c>
      <c r="B27" s="10">
        <f>SUM(B17:B26)</f>
        <v>244626880.10226449</v>
      </c>
      <c r="C27" s="8"/>
      <c r="D27" s="10">
        <f>SUM(D17:D26)</f>
        <v>-4120575.7920196736</v>
      </c>
      <c r="E27" s="8"/>
      <c r="F27" s="39">
        <f>SUM(F17:F26)</f>
        <v>0</v>
      </c>
      <c r="I27" s="10">
        <f>SUM(I17:I26)</f>
        <v>240506304.31024483</v>
      </c>
      <c r="K27" s="10">
        <f>SUM(K17:K26)</f>
        <v>-7441991.7801985824</v>
      </c>
      <c r="L27" s="8"/>
      <c r="M27" s="39">
        <f>SUM(M17:M26)</f>
        <v>0</v>
      </c>
      <c r="P27" s="10">
        <f>SUM(P17:P26)</f>
        <v>233064312.53004625</v>
      </c>
      <c r="R27" s="10">
        <f>SUM(R17:R26)</f>
        <v>300744.05513651483</v>
      </c>
      <c r="T27" s="41">
        <f>SUM(T17:T26)</f>
        <v>233365056.58518276</v>
      </c>
    </row>
    <row r="28" spans="1:20">
      <c r="A28" s="7" t="s">
        <v>27</v>
      </c>
      <c r="B28" s="8">
        <v>36705844.209221087</v>
      </c>
      <c r="C28" s="8"/>
      <c r="D28" s="8">
        <v>-415222.55433080252</v>
      </c>
      <c r="E28" s="8"/>
      <c r="F28" s="37"/>
      <c r="I28" s="8">
        <f t="shared" ref="I28:I35" si="6">B28+D28+F28</f>
        <v>36290621.654890284</v>
      </c>
      <c r="K28" s="8">
        <v>-29238.355724457651</v>
      </c>
      <c r="L28" s="8"/>
      <c r="M28" s="37"/>
      <c r="P28" s="8">
        <f t="shared" ref="P28:P35" si="7">I28+K28+M28</f>
        <v>36261383.29916583</v>
      </c>
      <c r="R28" s="8"/>
      <c r="T28" s="8">
        <f t="shared" ref="T28:T35" si="8">P28+R28</f>
        <v>36261383.29916583</v>
      </c>
    </row>
    <row r="29" spans="1:20">
      <c r="A29" s="7" t="s">
        <v>28</v>
      </c>
      <c r="B29" s="8">
        <v>4017010.1383138788</v>
      </c>
      <c r="C29" s="8"/>
      <c r="D29" s="8">
        <v>-169568.97296169098</v>
      </c>
      <c r="E29" s="8"/>
      <c r="F29" s="37"/>
      <c r="I29" s="8">
        <f t="shared" si="6"/>
        <v>3847441.1653521881</v>
      </c>
      <c r="K29" s="8">
        <v>-182288.98018681514</v>
      </c>
      <c r="L29" s="8"/>
      <c r="M29" s="37"/>
      <c r="P29" s="8">
        <f t="shared" si="7"/>
        <v>3665152.1851653727</v>
      </c>
      <c r="R29" s="8"/>
      <c r="T29" s="8">
        <f t="shared" si="8"/>
        <v>3665152.1851653727</v>
      </c>
    </row>
    <row r="30" spans="1:20">
      <c r="A30" s="7" t="s">
        <v>29</v>
      </c>
      <c r="B30" s="8">
        <v>17744812.254208628</v>
      </c>
      <c r="C30" s="8"/>
      <c r="D30" s="8">
        <v>-42124.459304340671</v>
      </c>
      <c r="E30" s="8"/>
      <c r="F30" s="37"/>
      <c r="I30" s="8">
        <f t="shared" si="6"/>
        <v>17702687.794904288</v>
      </c>
      <c r="K30" s="8">
        <v>-428616.54000000004</v>
      </c>
      <c r="L30" s="8"/>
      <c r="M30" s="37"/>
      <c r="P30" s="8">
        <f t="shared" si="7"/>
        <v>17274071.254904289</v>
      </c>
      <c r="R30" s="40">
        <f>R10*(WUTC_reg_fee_perc+WA_rev_tax_perc)</f>
        <v>2183476.8922834666</v>
      </c>
      <c r="T30" s="40">
        <f t="shared" si="8"/>
        <v>19457548.147187755</v>
      </c>
    </row>
    <row r="31" spans="1:20">
      <c r="A31" s="7" t="s">
        <v>30</v>
      </c>
      <c r="B31" s="8">
        <f>B85</f>
        <v>-13966180.340332307</v>
      </c>
      <c r="C31" s="8"/>
      <c r="D31" s="8">
        <f>D85</f>
        <v>131482.4065884024</v>
      </c>
      <c r="E31" s="8"/>
      <c r="F31" s="40">
        <f>F85</f>
        <v>256785.94676063742</v>
      </c>
      <c r="I31" s="40">
        <f t="shared" si="6"/>
        <v>-13577911.986983268</v>
      </c>
      <c r="K31" s="8">
        <f>K85</f>
        <v>-14058518.321996704</v>
      </c>
      <c r="L31" s="8"/>
      <c r="M31" s="40">
        <f>M85</f>
        <v>2641.1815173268669</v>
      </c>
      <c r="P31" s="40">
        <f t="shared" si="7"/>
        <v>-27633789.127462648</v>
      </c>
      <c r="R31" s="40">
        <f>R85</f>
        <v>17893520.760698937</v>
      </c>
      <c r="T31" s="40">
        <f>T85</f>
        <v>-9740268.3667637222</v>
      </c>
    </row>
    <row r="32" spans="1:20">
      <c r="A32" s="7" t="s">
        <v>31</v>
      </c>
      <c r="B32" s="8">
        <f>B80</f>
        <v>0</v>
      </c>
      <c r="C32" s="8"/>
      <c r="D32" s="8">
        <f>D80</f>
        <v>0</v>
      </c>
      <c r="E32" s="8"/>
      <c r="F32" s="37">
        <f>F80</f>
        <v>0</v>
      </c>
      <c r="I32" s="8">
        <f t="shared" si="6"/>
        <v>0</v>
      </c>
      <c r="K32" s="8">
        <f>K80</f>
        <v>0</v>
      </c>
      <c r="L32" s="8"/>
      <c r="M32" s="37">
        <f>M80</f>
        <v>0</v>
      </c>
      <c r="P32" s="8">
        <f t="shared" si="7"/>
        <v>0</v>
      </c>
      <c r="R32" s="8">
        <f>R80</f>
        <v>0</v>
      </c>
      <c r="T32" s="8">
        <f>T80</f>
        <v>0</v>
      </c>
    </row>
    <row r="33" spans="1:20">
      <c r="A33" s="7" t="s">
        <v>32</v>
      </c>
      <c r="B33" s="8">
        <v>22359798.153024439</v>
      </c>
      <c r="C33" s="8"/>
      <c r="D33" s="8">
        <v>4140911.3285285961</v>
      </c>
      <c r="E33" s="8"/>
      <c r="F33" s="37"/>
      <c r="I33" s="37">
        <f t="shared" si="6"/>
        <v>26500709.481553033</v>
      </c>
      <c r="K33" s="8">
        <v>-417013.79217773164</v>
      </c>
      <c r="L33" s="8"/>
      <c r="M33" s="37">
        <v>0</v>
      </c>
      <c r="P33" s="37">
        <f t="shared" si="7"/>
        <v>26083695.6893753</v>
      </c>
      <c r="R33" s="8"/>
      <c r="T33" s="37">
        <f t="shared" si="8"/>
        <v>26083695.6893753</v>
      </c>
    </row>
    <row r="34" spans="1:20">
      <c r="A34" s="7" t="s">
        <v>33</v>
      </c>
      <c r="B34" s="8">
        <v>0</v>
      </c>
      <c r="C34" s="8"/>
      <c r="D34" s="8">
        <v>0</v>
      </c>
      <c r="E34" s="8"/>
      <c r="F34" s="37"/>
      <c r="I34" s="8">
        <f t="shared" si="6"/>
        <v>0</v>
      </c>
      <c r="K34" s="8">
        <v>0</v>
      </c>
      <c r="L34" s="8"/>
      <c r="M34" s="37"/>
      <c r="P34" s="8">
        <f t="shared" si="7"/>
        <v>0</v>
      </c>
      <c r="R34" s="8"/>
      <c r="T34" s="8">
        <f t="shared" si="8"/>
        <v>0</v>
      </c>
    </row>
    <row r="35" spans="1:20">
      <c r="A35" s="7" t="s">
        <v>34</v>
      </c>
      <c r="B35" s="8">
        <v>-341244.31117613171</v>
      </c>
      <c r="C35" s="8"/>
      <c r="D35" s="8">
        <v>-203945.96607426828</v>
      </c>
      <c r="E35" s="8"/>
      <c r="F35" s="37"/>
      <c r="I35" s="8">
        <f t="shared" si="6"/>
        <v>-545190.27725040005</v>
      </c>
      <c r="K35" s="8">
        <v>949.34683399333153</v>
      </c>
      <c r="L35" s="8"/>
      <c r="M35" s="37"/>
      <c r="P35" s="8">
        <f t="shared" si="7"/>
        <v>-544240.93041640671</v>
      </c>
      <c r="R35" s="8"/>
      <c r="T35" s="8">
        <f t="shared" si="8"/>
        <v>-544240.93041640671</v>
      </c>
    </row>
    <row r="36" spans="1:20">
      <c r="A36" s="7" t="s">
        <v>35</v>
      </c>
      <c r="B36" s="10">
        <f>SUM(B27:B35)</f>
        <v>311146920.20552409</v>
      </c>
      <c r="C36" s="8"/>
      <c r="D36" s="10">
        <f>SUM(D27:D35)</f>
        <v>-679044.00957377814</v>
      </c>
      <c r="E36" s="8"/>
      <c r="F36" s="41">
        <f>SUM(F27:F35)</f>
        <v>256785.94676063742</v>
      </c>
      <c r="I36" s="41">
        <f>SUM(I27:I35)</f>
        <v>310724662.14271092</v>
      </c>
      <c r="K36" s="10">
        <f>SUM(K27:K35)</f>
        <v>-22556718.423450299</v>
      </c>
      <c r="L36" s="8"/>
      <c r="M36" s="41">
        <f>SUM(M27:M35)</f>
        <v>2641.1815173268669</v>
      </c>
      <c r="P36" s="41">
        <f>SUM(P27:P35)</f>
        <v>288170584.90077794</v>
      </c>
      <c r="R36" s="41">
        <f>SUM(R27:R35)</f>
        <v>20377741.708118919</v>
      </c>
      <c r="T36" s="41">
        <f>SUM(T27:T35)</f>
        <v>308548326.60889685</v>
      </c>
    </row>
    <row r="37" spans="1:20">
      <c r="A37" s="7"/>
      <c r="B37" s="8"/>
      <c r="C37" s="8"/>
      <c r="D37" s="8"/>
      <c r="E37" s="8"/>
      <c r="F37" s="37"/>
      <c r="I37" s="8"/>
      <c r="K37" s="8"/>
      <c r="L37" s="8"/>
      <c r="M37" s="37"/>
      <c r="P37" s="8"/>
      <c r="R37" s="8"/>
      <c r="T37" s="8"/>
    </row>
    <row r="38" spans="1:20" ht="13.5" thickBot="1">
      <c r="A38" s="7" t="s">
        <v>36</v>
      </c>
      <c r="B38" s="9">
        <f>B14-B36</f>
        <v>46232661.73507911</v>
      </c>
      <c r="C38" s="8"/>
      <c r="D38" s="9">
        <f>D14-D36</f>
        <v>-6363866.4066347796</v>
      </c>
      <c r="E38" s="8"/>
      <c r="F38" s="42">
        <f>F14-F36</f>
        <v>-256785.94676063742</v>
      </c>
      <c r="I38" s="42">
        <f>I14-I36</f>
        <v>39612009.381683707</v>
      </c>
      <c r="K38" s="9">
        <f>K14-K36</f>
        <v>-10430794.337520078</v>
      </c>
      <c r="L38" s="8"/>
      <c r="M38" s="42">
        <f>M14-M36</f>
        <v>-2641.1815173268669</v>
      </c>
      <c r="P38" s="42">
        <f>P14-P36</f>
        <v>29178573.862646282</v>
      </c>
      <c r="R38" s="42">
        <f>R14-R36</f>
        <v>33230824.269869458</v>
      </c>
      <c r="T38" s="42">
        <f>T14-T36</f>
        <v>62409398.132515728</v>
      </c>
    </row>
    <row r="39" spans="1:20" ht="13.5" thickTop="1">
      <c r="A39" s="7"/>
      <c r="B39" s="8"/>
      <c r="C39" s="8"/>
      <c r="D39" s="8"/>
      <c r="E39" s="8"/>
      <c r="F39" s="37"/>
      <c r="I39" s="8"/>
      <c r="K39" s="8"/>
      <c r="L39" s="8"/>
      <c r="M39" s="37"/>
      <c r="P39" s="8"/>
      <c r="R39" s="8"/>
      <c r="T39" s="8"/>
    </row>
    <row r="40" spans="1:20">
      <c r="A40" s="7" t="s">
        <v>37</v>
      </c>
      <c r="B40" s="8"/>
      <c r="C40" s="8"/>
      <c r="D40" s="8"/>
      <c r="E40" s="8"/>
      <c r="F40" s="37"/>
      <c r="I40" s="8"/>
      <c r="K40" s="8"/>
      <c r="L40" s="8"/>
      <c r="M40" s="37"/>
      <c r="P40" s="8"/>
      <c r="R40" s="8"/>
      <c r="T40" s="8"/>
    </row>
    <row r="41" spans="1:20">
      <c r="A41" s="7" t="s">
        <v>38</v>
      </c>
      <c r="B41" s="8">
        <v>1398743840.7185168</v>
      </c>
      <c r="C41" s="8"/>
      <c r="D41" s="8">
        <v>27046917.071776655</v>
      </c>
      <c r="E41" s="8"/>
      <c r="F41" s="37"/>
      <c r="I41" s="8">
        <f t="shared" ref="I41:I51" si="9">B41+D41+F41</f>
        <v>1425790757.7902935</v>
      </c>
      <c r="K41" s="8">
        <v>-1161847.3348459222</v>
      </c>
      <c r="L41" s="8"/>
      <c r="M41" s="37"/>
      <c r="P41" s="8">
        <f t="shared" ref="P41:P51" si="10">I41+K41+M41</f>
        <v>1424628910.4554474</v>
      </c>
      <c r="R41" s="8"/>
      <c r="T41" s="8">
        <f t="shared" ref="T41:T51" si="11">P41+R41</f>
        <v>1424628910.4554474</v>
      </c>
    </row>
    <row r="42" spans="1:20">
      <c r="A42" s="7" t="s">
        <v>39</v>
      </c>
      <c r="B42" s="8">
        <v>37310.24459140328</v>
      </c>
      <c r="C42" s="8"/>
      <c r="D42" s="8">
        <v>0</v>
      </c>
      <c r="E42" s="8"/>
      <c r="F42" s="37"/>
      <c r="I42" s="8">
        <f t="shared" si="9"/>
        <v>37310.24459140328</v>
      </c>
      <c r="K42" s="8">
        <v>0</v>
      </c>
      <c r="L42" s="8"/>
      <c r="M42" s="37"/>
      <c r="P42" s="8">
        <f t="shared" si="10"/>
        <v>37310.24459140328</v>
      </c>
      <c r="R42" s="8"/>
      <c r="T42" s="8">
        <f t="shared" si="11"/>
        <v>37310.24459140328</v>
      </c>
    </row>
    <row r="43" spans="1:20">
      <c r="A43" s="7" t="s">
        <v>40</v>
      </c>
      <c r="B43" s="8">
        <v>6671729.2360731997</v>
      </c>
      <c r="C43" s="8"/>
      <c r="D43" s="8">
        <v>-2197306.0259155687</v>
      </c>
      <c r="E43" s="8"/>
      <c r="F43" s="37"/>
      <c r="I43" s="8">
        <f t="shared" si="9"/>
        <v>4474423.210157631</v>
      </c>
      <c r="K43" s="8">
        <v>15188002.091061195</v>
      </c>
      <c r="L43" s="8"/>
      <c r="M43" s="37"/>
      <c r="P43" s="8">
        <f t="shared" si="10"/>
        <v>19662425.301218826</v>
      </c>
      <c r="R43" s="8"/>
      <c r="T43" s="8">
        <f t="shared" si="11"/>
        <v>19662425.301218826</v>
      </c>
    </row>
    <row r="44" spans="1:20">
      <c r="A44" s="7" t="s">
        <v>41</v>
      </c>
      <c r="B44" s="8">
        <v>0</v>
      </c>
      <c r="C44" s="8"/>
      <c r="D44" s="8">
        <v>0</v>
      </c>
      <c r="E44" s="8"/>
      <c r="F44" s="37"/>
      <c r="I44" s="8">
        <f t="shared" si="9"/>
        <v>0</v>
      </c>
      <c r="K44" s="8">
        <v>0</v>
      </c>
      <c r="L44" s="8"/>
      <c r="M44" s="37"/>
      <c r="P44" s="8">
        <f t="shared" si="10"/>
        <v>0</v>
      </c>
      <c r="R44" s="8"/>
      <c r="T44" s="8">
        <f t="shared" si="11"/>
        <v>0</v>
      </c>
    </row>
    <row r="45" spans="1:20">
      <c r="A45" s="7" t="s">
        <v>42</v>
      </c>
      <c r="B45" s="8">
        <v>0</v>
      </c>
      <c r="C45" s="8"/>
      <c r="D45" s="8">
        <v>0</v>
      </c>
      <c r="E45" s="8"/>
      <c r="F45" s="37"/>
      <c r="I45" s="8">
        <f t="shared" si="9"/>
        <v>0</v>
      </c>
      <c r="K45" s="8">
        <v>0</v>
      </c>
      <c r="L45" s="8"/>
      <c r="M45" s="37"/>
      <c r="P45" s="8">
        <f t="shared" si="10"/>
        <v>0</v>
      </c>
      <c r="R45" s="8"/>
      <c r="T45" s="8">
        <f t="shared" si="11"/>
        <v>0</v>
      </c>
    </row>
    <row r="46" spans="1:20">
      <c r="A46" s="7" t="s">
        <v>43</v>
      </c>
      <c r="B46" s="8">
        <v>2850427.943054324</v>
      </c>
      <c r="C46" s="8"/>
      <c r="D46" s="8">
        <v>-2850427.9619466118</v>
      </c>
      <c r="E46" s="8"/>
      <c r="F46" s="37"/>
      <c r="I46" s="8">
        <f t="shared" si="9"/>
        <v>-1.8892287742346525E-2</v>
      </c>
      <c r="K46" s="8">
        <v>0</v>
      </c>
      <c r="L46" s="8"/>
      <c r="M46" s="37"/>
      <c r="P46" s="8">
        <f t="shared" si="10"/>
        <v>-1.8892287742346525E-2</v>
      </c>
      <c r="R46" s="8"/>
      <c r="T46" s="8">
        <f t="shared" si="11"/>
        <v>-1.8892287742346525E-2</v>
      </c>
    </row>
    <row r="47" spans="1:20">
      <c r="A47" s="7" t="s">
        <v>44</v>
      </c>
      <c r="B47" s="8">
        <v>3524551.0469494397</v>
      </c>
      <c r="C47" s="8"/>
      <c r="D47" s="8">
        <v>2033952.2560125524</v>
      </c>
      <c r="E47" s="8"/>
      <c r="F47" s="40">
        <f>-SUM(D47,B47)</f>
        <v>-5558503.3029619921</v>
      </c>
      <c r="G47" s="15" t="s">
        <v>96</v>
      </c>
      <c r="I47" s="40">
        <f t="shared" si="9"/>
        <v>0</v>
      </c>
      <c r="K47" s="8">
        <v>-3595.335989266634</v>
      </c>
      <c r="L47" s="8"/>
      <c r="M47" s="40">
        <f>-K47</f>
        <v>3595.335989266634</v>
      </c>
      <c r="N47" s="15" t="s">
        <v>100</v>
      </c>
      <c r="P47" s="40">
        <f t="shared" si="10"/>
        <v>0</v>
      </c>
      <c r="R47" s="8"/>
      <c r="T47" s="40">
        <f t="shared" si="11"/>
        <v>0</v>
      </c>
    </row>
    <row r="48" spans="1:20">
      <c r="A48" s="7" t="s">
        <v>45</v>
      </c>
      <c r="B48" s="8">
        <v>7763142.7157643503</v>
      </c>
      <c r="C48" s="8"/>
      <c r="D48" s="8">
        <v>2018177.8990736436</v>
      </c>
      <c r="E48" s="8"/>
      <c r="F48" s="40">
        <f>-SUM(D48,B48)</f>
        <v>-9781320.6148379929</v>
      </c>
      <c r="G48" s="15" t="s">
        <v>97</v>
      </c>
      <c r="I48" s="40">
        <f t="shared" si="9"/>
        <v>0</v>
      </c>
      <c r="K48" s="8">
        <v>-3545.2505568028428</v>
      </c>
      <c r="L48" s="8"/>
      <c r="M48" s="40">
        <f>-K48</f>
        <v>3545.2505568028428</v>
      </c>
      <c r="N48" s="15" t="s">
        <v>101</v>
      </c>
      <c r="P48" s="40">
        <f t="shared" si="10"/>
        <v>0</v>
      </c>
      <c r="R48" s="8"/>
      <c r="T48" s="40">
        <f t="shared" si="11"/>
        <v>0</v>
      </c>
    </row>
    <row r="49" spans="1:20">
      <c r="A49" s="7" t="s">
        <v>46</v>
      </c>
      <c r="B49" s="8">
        <v>2159291.1506739343</v>
      </c>
      <c r="C49" s="8"/>
      <c r="D49" s="8">
        <v>8669513.3432273418</v>
      </c>
      <c r="E49" s="8"/>
      <c r="F49" s="40">
        <f>-SUM(D49,B49)</f>
        <v>-10828804.493901275</v>
      </c>
      <c r="G49" s="15" t="s">
        <v>98</v>
      </c>
      <c r="I49" s="40">
        <f t="shared" si="9"/>
        <v>0</v>
      </c>
      <c r="K49" s="8">
        <v>276298.99870484136</v>
      </c>
      <c r="L49" s="8"/>
      <c r="M49" s="40">
        <f>-K49</f>
        <v>-276298.99870484136</v>
      </c>
      <c r="N49" s="15" t="s">
        <v>102</v>
      </c>
      <c r="P49" s="40">
        <f t="shared" si="10"/>
        <v>0</v>
      </c>
      <c r="R49" s="8"/>
      <c r="T49" s="40">
        <f t="shared" si="11"/>
        <v>0</v>
      </c>
    </row>
    <row r="50" spans="1:20">
      <c r="A50" s="7" t="s">
        <v>47</v>
      </c>
      <c r="B50" s="8">
        <v>2046740.5986772478</v>
      </c>
      <c r="C50" s="8"/>
      <c r="D50" s="8">
        <v>0</v>
      </c>
      <c r="E50" s="8"/>
      <c r="F50" s="37"/>
      <c r="I50" s="8">
        <f t="shared" si="9"/>
        <v>2046740.5986772478</v>
      </c>
      <c r="K50" s="8">
        <v>0</v>
      </c>
      <c r="L50" s="8"/>
      <c r="M50" s="37"/>
      <c r="P50" s="8">
        <f t="shared" si="10"/>
        <v>2046740.5986772478</v>
      </c>
      <c r="R50" s="8"/>
      <c r="T50" s="8">
        <f t="shared" si="11"/>
        <v>2046740.5986772478</v>
      </c>
    </row>
    <row r="51" spans="1:20">
      <c r="A51" s="7" t="s">
        <v>48</v>
      </c>
      <c r="B51" s="8">
        <v>268576.60807565699</v>
      </c>
      <c r="C51" s="8"/>
      <c r="D51" s="8">
        <v>-268576.60836182453</v>
      </c>
      <c r="E51" s="8"/>
      <c r="F51" s="37"/>
      <c r="I51" s="8">
        <f t="shared" si="9"/>
        <v>-2.86167545709759E-4</v>
      </c>
      <c r="K51" s="8">
        <v>0</v>
      </c>
      <c r="L51" s="8"/>
      <c r="M51" s="37"/>
      <c r="P51" s="8">
        <f t="shared" si="10"/>
        <v>-2.86167545709759E-4</v>
      </c>
      <c r="R51" s="8"/>
      <c r="T51" s="8">
        <f t="shared" si="11"/>
        <v>-2.86167545709759E-4</v>
      </c>
    </row>
    <row r="52" spans="1:20" ht="13.5" thickBot="1">
      <c r="A52" s="7" t="s">
        <v>49</v>
      </c>
      <c r="B52" s="9">
        <f>SUM(B41:B51)</f>
        <v>1424065610.2623763</v>
      </c>
      <c r="C52" s="8"/>
      <c r="D52" s="9">
        <f>SUM(D41:D51)</f>
        <v>34452249.973866187</v>
      </c>
      <c r="E52" s="8"/>
      <c r="F52" s="42">
        <f>SUM(F41:F51)</f>
        <v>-26168628.411701262</v>
      </c>
      <c r="I52" s="42">
        <f>SUM(I41:I51)</f>
        <v>1432349231.8245413</v>
      </c>
      <c r="K52" s="9">
        <f>SUM(K41:K51)</f>
        <v>14295313.168374045</v>
      </c>
      <c r="L52" s="8"/>
      <c r="M52" s="42">
        <f>SUM(M41:M51)</f>
        <v>-269158.41215877188</v>
      </c>
      <c r="P52" s="42">
        <f>SUM(P41:P51)</f>
        <v>1446375386.5807564</v>
      </c>
      <c r="R52" s="9">
        <f>SUM(R41:R51)</f>
        <v>0</v>
      </c>
      <c r="T52" s="42">
        <f>SUM(T41:T51)</f>
        <v>1446375386.5807564</v>
      </c>
    </row>
    <row r="53" spans="1:20" ht="13.5" thickTop="1">
      <c r="A53" s="7"/>
      <c r="B53" s="8"/>
      <c r="C53" s="8"/>
      <c r="D53" s="8"/>
      <c r="E53" s="8"/>
      <c r="F53" s="37"/>
      <c r="I53" s="8"/>
      <c r="K53" s="8"/>
      <c r="L53" s="8"/>
      <c r="M53" s="37"/>
      <c r="P53" s="8"/>
      <c r="R53" s="8"/>
      <c r="T53" s="8"/>
    </row>
    <row r="54" spans="1:20">
      <c r="A54" s="7" t="s">
        <v>50</v>
      </c>
      <c r="B54" s="8"/>
      <c r="C54" s="8"/>
      <c r="D54" s="8"/>
      <c r="E54" s="8"/>
      <c r="F54" s="37"/>
      <c r="I54" s="8"/>
      <c r="K54" s="8"/>
      <c r="L54" s="8"/>
      <c r="M54" s="37"/>
      <c r="P54" s="8"/>
      <c r="R54" s="8"/>
      <c r="T54" s="8"/>
    </row>
    <row r="55" spans="1:20">
      <c r="A55" s="7" t="s">
        <v>51</v>
      </c>
      <c r="B55" s="8">
        <v>-503192583.84775847</v>
      </c>
      <c r="C55" s="8"/>
      <c r="D55" s="8">
        <v>-7446965.4092337936</v>
      </c>
      <c r="E55" s="8"/>
      <c r="F55" s="37"/>
      <c r="I55" s="8">
        <f t="shared" ref="I55:I62" si="12">B55+D55+F55</f>
        <v>-510639549.25699228</v>
      </c>
      <c r="K55" s="8">
        <v>123289.41095568537</v>
      </c>
      <c r="L55" s="8"/>
      <c r="M55" s="37"/>
      <c r="P55" s="8">
        <f t="shared" ref="P55:P62" si="13">I55+K55+M55</f>
        <v>-510516259.84603661</v>
      </c>
      <c r="R55" s="8"/>
      <c r="T55" s="8">
        <f t="shared" ref="T55:T62" si="14">P55+R55</f>
        <v>-510516259.84603661</v>
      </c>
    </row>
    <row r="56" spans="1:20">
      <c r="A56" s="7" t="s">
        <v>52</v>
      </c>
      <c r="B56" s="8">
        <v>-34606345.321051545</v>
      </c>
      <c r="C56" s="8"/>
      <c r="D56" s="8">
        <v>0</v>
      </c>
      <c r="E56" s="8"/>
      <c r="F56" s="37"/>
      <c r="I56" s="8">
        <f t="shared" si="12"/>
        <v>-34606345.321051545</v>
      </c>
      <c r="K56" s="8">
        <v>0</v>
      </c>
      <c r="L56" s="8"/>
      <c r="M56" s="37"/>
      <c r="P56" s="8">
        <f t="shared" si="13"/>
        <v>-34606345.321051545</v>
      </c>
      <c r="R56" s="8"/>
      <c r="T56" s="8">
        <f t="shared" si="14"/>
        <v>-34606345.321051545</v>
      </c>
    </row>
    <row r="57" spans="1:20">
      <c r="A57" s="7" t="s">
        <v>53</v>
      </c>
      <c r="B57" s="8">
        <v>-128569574.10448816</v>
      </c>
      <c r="C57" s="8"/>
      <c r="D57" s="8">
        <v>-6475410.4180893609</v>
      </c>
      <c r="E57" s="8"/>
      <c r="F57" s="37"/>
      <c r="I57" s="8">
        <f t="shared" si="12"/>
        <v>-135044984.52257752</v>
      </c>
      <c r="K57" s="8">
        <v>-5544377.6454294352</v>
      </c>
      <c r="L57" s="8"/>
      <c r="M57" s="37"/>
      <c r="P57" s="8">
        <f t="shared" si="13"/>
        <v>-140589362.16800696</v>
      </c>
      <c r="R57" s="8"/>
      <c r="T57" s="8">
        <f t="shared" si="14"/>
        <v>-140589362.16800696</v>
      </c>
    </row>
    <row r="58" spans="1:20">
      <c r="A58" s="7" t="s">
        <v>54</v>
      </c>
      <c r="B58" s="8">
        <v>-1096753.183804</v>
      </c>
      <c r="C58" s="8"/>
      <c r="D58" s="8">
        <v>144385.82344165733</v>
      </c>
      <c r="E58" s="8"/>
      <c r="F58" s="37"/>
      <c r="I58" s="8">
        <f t="shared" si="12"/>
        <v>-952367.36036234268</v>
      </c>
      <c r="K58" s="8">
        <v>0</v>
      </c>
      <c r="L58" s="8"/>
      <c r="M58" s="37"/>
      <c r="P58" s="8">
        <f t="shared" si="13"/>
        <v>-952367.36036234268</v>
      </c>
      <c r="R58" s="8"/>
      <c r="T58" s="8">
        <f t="shared" si="14"/>
        <v>-952367.36036234268</v>
      </c>
    </row>
    <row r="59" spans="1:20">
      <c r="A59" s="7" t="s">
        <v>55</v>
      </c>
      <c r="B59" s="8">
        <v>-334499.98611589998</v>
      </c>
      <c r="C59" s="8"/>
      <c r="D59" s="8">
        <v>23142.536575635779</v>
      </c>
      <c r="E59" s="8"/>
      <c r="F59" s="37"/>
      <c r="I59" s="8">
        <f t="shared" si="12"/>
        <v>-311357.44954026421</v>
      </c>
      <c r="K59" s="8">
        <v>0</v>
      </c>
      <c r="L59" s="8"/>
      <c r="M59" s="37"/>
      <c r="P59" s="8">
        <f t="shared" si="13"/>
        <v>-311357.44954026421</v>
      </c>
      <c r="R59" s="8"/>
      <c r="T59" s="8">
        <f t="shared" si="14"/>
        <v>-311357.44954026421</v>
      </c>
    </row>
    <row r="60" spans="1:20">
      <c r="A60" s="7" t="s">
        <v>56</v>
      </c>
      <c r="B60" s="8">
        <v>0</v>
      </c>
      <c r="C60" s="8"/>
      <c r="D60" s="8">
        <v>-2980495.6783333328</v>
      </c>
      <c r="E60" s="8"/>
      <c r="F60" s="37"/>
      <c r="I60" s="8">
        <f t="shared" si="12"/>
        <v>-2980495.6783333328</v>
      </c>
      <c r="K60" s="8">
        <v>0</v>
      </c>
      <c r="L60" s="8"/>
      <c r="M60" s="37"/>
      <c r="P60" s="8">
        <f t="shared" si="13"/>
        <v>-2980495.6783333328</v>
      </c>
      <c r="R60" s="8"/>
      <c r="T60" s="8">
        <f t="shared" si="14"/>
        <v>-2980495.6783333328</v>
      </c>
    </row>
    <row r="61" spans="1:20">
      <c r="A61" s="7" t="s">
        <v>57</v>
      </c>
      <c r="B61" s="8">
        <v>-4865967.0740704359</v>
      </c>
      <c r="C61" s="8"/>
      <c r="D61" s="8">
        <v>-3245919.382546897</v>
      </c>
      <c r="E61" s="8"/>
      <c r="F61" s="37"/>
      <c r="I61" s="8">
        <f t="shared" si="12"/>
        <v>-8111886.456617333</v>
      </c>
      <c r="K61" s="8">
        <v>7456.7769102435559</v>
      </c>
      <c r="L61" s="8"/>
      <c r="M61" s="37"/>
      <c r="P61" s="8">
        <f t="shared" si="13"/>
        <v>-8104429.6797070894</v>
      </c>
      <c r="R61" s="8"/>
      <c r="T61" s="8">
        <f t="shared" si="14"/>
        <v>-8104429.6797070894</v>
      </c>
    </row>
    <row r="62" spans="1:20">
      <c r="A62" s="7"/>
      <c r="B62" s="8"/>
      <c r="C62" s="8"/>
      <c r="D62" s="8"/>
      <c r="E62" s="8"/>
      <c r="F62" s="37"/>
      <c r="I62" s="8">
        <f t="shared" si="12"/>
        <v>0</v>
      </c>
      <c r="K62" s="8"/>
      <c r="L62" s="8"/>
      <c r="M62" s="37"/>
      <c r="P62" s="8">
        <f t="shared" si="13"/>
        <v>0</v>
      </c>
      <c r="R62" s="8"/>
      <c r="T62" s="8">
        <f t="shared" si="14"/>
        <v>0</v>
      </c>
    </row>
    <row r="63" spans="1:20" ht="13.5" thickBot="1">
      <c r="A63" s="7" t="s">
        <v>58</v>
      </c>
      <c r="B63" s="9">
        <f>SUM(B55:B61)</f>
        <v>-672665723.51728857</v>
      </c>
      <c r="C63" s="8"/>
      <c r="D63" s="9">
        <f>SUM(D55:D61)</f>
        <v>-19981262.52818609</v>
      </c>
      <c r="E63" s="8"/>
      <c r="F63" s="38">
        <f>SUM(F55:F61)</f>
        <v>0</v>
      </c>
      <c r="I63" s="38">
        <f>SUM(I55:I61)</f>
        <v>-692646986.04547453</v>
      </c>
      <c r="K63" s="9">
        <f>SUM(K55:K61)</f>
        <v>-5413631.4575635064</v>
      </c>
      <c r="L63" s="8"/>
      <c r="M63" s="38">
        <f>SUM(M55:M61)</f>
        <v>0</v>
      </c>
      <c r="P63" s="9">
        <f>SUM(P55:P61)</f>
        <v>-698060617.50303805</v>
      </c>
      <c r="R63" s="9">
        <f>SUM(R55:R61)</f>
        <v>0</v>
      </c>
      <c r="T63" s="9">
        <f>SUM(T55:T61)</f>
        <v>-698060617.50303805</v>
      </c>
    </row>
    <row r="64" spans="1:20" ht="13.5" thickTop="1">
      <c r="A64" s="7"/>
      <c r="B64" s="8"/>
      <c r="C64" s="8"/>
      <c r="D64" s="8"/>
      <c r="E64" s="8"/>
      <c r="F64" s="37"/>
      <c r="I64" s="8"/>
      <c r="K64" s="8"/>
      <c r="L64" s="8"/>
      <c r="M64" s="37"/>
      <c r="P64" s="8"/>
      <c r="R64" s="8"/>
      <c r="T64" s="8"/>
    </row>
    <row r="65" spans="1:20" ht="13.5" thickBot="1">
      <c r="A65" s="7" t="s">
        <v>59</v>
      </c>
      <c r="B65" s="9">
        <f>B52+B63</f>
        <v>751399886.74508774</v>
      </c>
      <c r="C65" s="8"/>
      <c r="D65" s="9">
        <f>D52+D63</f>
        <v>14470987.445680097</v>
      </c>
      <c r="E65" s="8"/>
      <c r="F65" s="42">
        <f>F52+F63</f>
        <v>-26168628.411701262</v>
      </c>
      <c r="I65" s="42">
        <f>I52+I63</f>
        <v>739702245.7790668</v>
      </c>
      <c r="K65" s="9">
        <f>K52+K63</f>
        <v>8881681.7108105384</v>
      </c>
      <c r="L65" s="8"/>
      <c r="M65" s="42">
        <f>M52+M63</f>
        <v>-269158.41215877188</v>
      </c>
      <c r="P65" s="42">
        <f>P52+P63</f>
        <v>748314769.07771838</v>
      </c>
      <c r="R65" s="9">
        <f>R52+R63</f>
        <v>0</v>
      </c>
      <c r="T65" s="42">
        <f>T52+T63</f>
        <v>748314769.07771838</v>
      </c>
    </row>
    <row r="66" spans="1:20" ht="13.5" thickTop="1">
      <c r="A66" s="7"/>
      <c r="B66" s="8"/>
      <c r="C66" s="8"/>
      <c r="D66" s="8"/>
      <c r="E66" s="8"/>
      <c r="F66" s="37"/>
      <c r="I66" s="8"/>
      <c r="K66" s="8"/>
      <c r="L66" s="8"/>
      <c r="M66" s="37"/>
      <c r="P66" s="8"/>
      <c r="R66" s="8"/>
      <c r="T66" s="8"/>
    </row>
    <row r="67" spans="1:20">
      <c r="A67" s="7" t="s">
        <v>60</v>
      </c>
      <c r="B67" s="11">
        <f>B38/B65</f>
        <v>6.1528704689256267E-2</v>
      </c>
      <c r="C67" s="11"/>
      <c r="D67" s="11">
        <f>I67-B67</f>
        <v>-7.9774148186088217E-3</v>
      </c>
      <c r="E67" s="11"/>
      <c r="F67" s="43"/>
      <c r="I67" s="11">
        <f>I38/I65</f>
        <v>5.3551289870647445E-2</v>
      </c>
      <c r="K67" s="11">
        <f>P67-I67</f>
        <v>-1.455890983435839E-2</v>
      </c>
      <c r="L67" s="11"/>
      <c r="M67" s="43"/>
      <c r="P67" s="11">
        <f>P38/P65</f>
        <v>3.8992380036289055E-2</v>
      </c>
      <c r="R67" s="11">
        <f>T67-P67</f>
        <v>4.4407548324651817E-2</v>
      </c>
      <c r="T67" s="11">
        <f>T38/T65</f>
        <v>8.3399928360940873E-2</v>
      </c>
    </row>
    <row r="68" spans="1:20">
      <c r="A68" s="7" t="s">
        <v>61</v>
      </c>
      <c r="B68" s="11">
        <f>(B67-Weighted_cost_debt-Weighted_cost_pref)/Percent_common</f>
        <v>6.3973137599340243E-2</v>
      </c>
      <c r="C68" s="11"/>
      <c r="D68" s="11">
        <f>I68-B68</f>
        <v>-1.5311736695986226E-2</v>
      </c>
      <c r="E68" s="11"/>
      <c r="F68" s="43"/>
      <c r="I68" s="11">
        <f>(I67-Weighted_cost_debt-Weighted_cost_pref)/Percent_common</f>
        <v>4.8661400903354017E-2</v>
      </c>
      <c r="K68" s="11">
        <f>P68-I68</f>
        <v>-2.7944164749248344E-2</v>
      </c>
      <c r="L68" s="11"/>
      <c r="M68" s="43"/>
      <c r="P68" s="11">
        <f>(P67-Weighted_cost_debt-Weighted_cost_pref)/Percent_common</f>
        <v>2.0717236154105673E-2</v>
      </c>
      <c r="R68" s="11">
        <f>T68-P68</f>
        <v>8.5235217513727091E-2</v>
      </c>
      <c r="T68" s="11">
        <f>(T67-Weighted_cost_debt-Weighted_cost_pref)/Percent_common</f>
        <v>0.10595245366783276</v>
      </c>
    </row>
    <row r="69" spans="1:20">
      <c r="A69" s="7" t="s">
        <v>62</v>
      </c>
      <c r="B69" s="8">
        <f>-(B38-(B65*Overall_ROR))/gross_up_factor</f>
        <v>26511726.17193846</v>
      </c>
      <c r="C69" s="8"/>
      <c r="D69" s="8">
        <f>-(D38-(D65*Overall_ROR))/gross_up_factor</f>
        <v>12213245.724341001</v>
      </c>
      <c r="E69" s="8"/>
      <c r="F69" s="40">
        <f>-(F38-(F65*Overall_ROR))/gross_up_factor</f>
        <v>-3106532.9786010971</v>
      </c>
      <c r="I69" s="40">
        <f>-(I38-(I65*Overall_ROR))/gross_up_factor</f>
        <v>35618438.917678364</v>
      </c>
      <c r="K69" s="8">
        <f>-(K38-(K65*Overall_ROR))/gross_up_factor</f>
        <v>18022079.422148928</v>
      </c>
      <c r="L69" s="8"/>
      <c r="M69" s="40">
        <f>-(M38-(M65*Overall_ROR))/gross_up_factor</f>
        <v>-31952.361838928031</v>
      </c>
      <c r="P69" s="40">
        <f>-(P38-(P65*Overall_ROR))/gross_up_factor</f>
        <v>53608565.977988377</v>
      </c>
      <c r="R69" s="8"/>
      <c r="T69" s="8"/>
    </row>
    <row r="70" spans="1:20">
      <c r="A70" s="7"/>
      <c r="B70" s="12"/>
      <c r="C70" s="12"/>
      <c r="D70" s="12"/>
      <c r="E70" s="12"/>
      <c r="F70" s="44"/>
      <c r="I70" s="12"/>
      <c r="K70" s="12"/>
      <c r="L70" s="12"/>
      <c r="M70" s="44"/>
      <c r="P70" s="12"/>
      <c r="R70" s="12"/>
      <c r="T70" s="12"/>
    </row>
    <row r="71" spans="1:20">
      <c r="A71" s="7" t="s">
        <v>63</v>
      </c>
      <c r="B71" s="8"/>
      <c r="C71" s="8"/>
      <c r="D71" s="8"/>
      <c r="E71" s="8"/>
      <c r="F71" s="37"/>
      <c r="I71" s="8"/>
      <c r="K71" s="8"/>
      <c r="L71" s="8"/>
      <c r="M71" s="37"/>
      <c r="P71" s="8"/>
      <c r="R71" s="8"/>
      <c r="T71" s="8"/>
    </row>
    <row r="72" spans="1:20">
      <c r="A72" s="7" t="s">
        <v>64</v>
      </c>
      <c r="B72" s="8">
        <f t="shared" ref="B72:T72" si="15">B14-B27-B28-B29-B30-B35</f>
        <v>54626279.547771238</v>
      </c>
      <c r="C72" s="8"/>
      <c r="D72" s="8">
        <f t="shared" si="15"/>
        <v>-2091472.6715177814</v>
      </c>
      <c r="E72" s="8"/>
      <c r="F72" s="37">
        <f t="shared" ref="F72" si="16">F14-F27-F28-F29-F30-F35</f>
        <v>0</v>
      </c>
      <c r="I72" s="8">
        <f t="shared" si="15"/>
        <v>52534806.876253448</v>
      </c>
      <c r="K72" s="8">
        <f t="shared" si="15"/>
        <v>-24906326.451694515</v>
      </c>
      <c r="L72" s="8"/>
      <c r="M72" s="37">
        <f t="shared" ref="M72" si="17">M14-M27-M28-M29-M30-M35</f>
        <v>0</v>
      </c>
      <c r="P72" s="8">
        <f t="shared" si="15"/>
        <v>27628480.424558874</v>
      </c>
      <c r="R72" s="40">
        <f t="shared" si="15"/>
        <v>51124345.030568391</v>
      </c>
      <c r="T72" s="40">
        <f t="shared" si="15"/>
        <v>78752825.455127269</v>
      </c>
    </row>
    <row r="73" spans="1:20">
      <c r="A73" s="7" t="s">
        <v>65</v>
      </c>
      <c r="B73" s="8">
        <v>0</v>
      </c>
      <c r="C73" s="8"/>
      <c r="D73" s="8"/>
      <c r="E73" s="8"/>
      <c r="F73" s="37"/>
      <c r="I73" s="8">
        <f t="shared" ref="I73:I77" si="18">B73+D73+F73</f>
        <v>0</v>
      </c>
      <c r="K73" s="8"/>
      <c r="L73" s="8"/>
      <c r="M73" s="37"/>
      <c r="P73" s="8">
        <f t="shared" ref="P73:P77" si="19">I73+K73+M73</f>
        <v>0</v>
      </c>
      <c r="R73" s="8"/>
      <c r="T73" s="8"/>
    </row>
    <row r="74" spans="1:20">
      <c r="A74" s="7" t="s">
        <v>66</v>
      </c>
      <c r="B74" s="8">
        <v>-4599793.2770370385</v>
      </c>
      <c r="C74" s="8"/>
      <c r="D74" s="8">
        <v>217013.20626896209</v>
      </c>
      <c r="E74" s="8"/>
      <c r="F74" s="37">
        <v>0</v>
      </c>
      <c r="I74" s="8">
        <f t="shared" si="18"/>
        <v>-4382780.070768076</v>
      </c>
      <c r="K74" s="8">
        <v>0</v>
      </c>
      <c r="L74" s="8"/>
      <c r="M74" s="37">
        <v>0</v>
      </c>
      <c r="P74" s="8">
        <f t="shared" si="19"/>
        <v>-4382780.070768076</v>
      </c>
      <c r="R74" s="8"/>
      <c r="T74" s="8">
        <f t="shared" ref="T74:T77" si="20">P74+R74</f>
        <v>-4382780.070768076</v>
      </c>
    </row>
    <row r="75" spans="1:20">
      <c r="A75" s="7" t="s">
        <v>67</v>
      </c>
      <c r="B75" s="8">
        <v>25236151.190422058</v>
      </c>
      <c r="C75" s="8"/>
      <c r="D75" s="8">
        <v>-3763889.0132600106</v>
      </c>
      <c r="E75" s="8"/>
      <c r="F75" s="40">
        <f>F65*0.0280364</f>
        <v>-733674.13360182126</v>
      </c>
      <c r="I75" s="40">
        <f t="shared" si="18"/>
        <v>20738588.043560226</v>
      </c>
      <c r="K75" s="8">
        <v>249010.38111696765</v>
      </c>
      <c r="L75" s="8"/>
      <c r="M75" s="40">
        <f>M65*0.0280364</f>
        <v>-7546.2329066481916</v>
      </c>
      <c r="P75" s="40">
        <f t="shared" si="19"/>
        <v>20980052.191770546</v>
      </c>
      <c r="R75" s="8"/>
      <c r="T75" s="40">
        <f t="shared" si="20"/>
        <v>20980052.191770546</v>
      </c>
    </row>
    <row r="76" spans="1:20">
      <c r="A76" s="7" t="s">
        <v>68</v>
      </c>
      <c r="B76" s="8">
        <v>64493174.138834439</v>
      </c>
      <c r="C76" s="8"/>
      <c r="D76" s="8">
        <v>-2567816.9315885995</v>
      </c>
      <c r="E76" s="8"/>
      <c r="F76" s="37">
        <v>0</v>
      </c>
      <c r="G76" s="5"/>
      <c r="H76" s="5"/>
      <c r="I76" s="8">
        <f t="shared" si="18"/>
        <v>61925357.207245842</v>
      </c>
      <c r="J76" s="5"/>
      <c r="K76" s="8">
        <v>2050306.5331223093</v>
      </c>
      <c r="L76" s="8"/>
      <c r="M76" s="37">
        <v>0</v>
      </c>
      <c r="N76" s="5"/>
      <c r="P76" s="8">
        <f t="shared" si="19"/>
        <v>63975663.74036815</v>
      </c>
      <c r="R76" s="8"/>
      <c r="T76" s="8">
        <f t="shared" si="20"/>
        <v>63975663.74036815</v>
      </c>
    </row>
    <row r="77" spans="1:20">
      <c r="A77" s="7" t="s">
        <v>69</v>
      </c>
      <c r="B77" s="13">
        <v>138386468.17417011</v>
      </c>
      <c r="C77" s="8"/>
      <c r="D77" s="13">
        <v>-1488077.8149393392</v>
      </c>
      <c r="E77" s="8"/>
      <c r="F77" s="45">
        <v>0</v>
      </c>
      <c r="G77" s="5"/>
      <c r="H77" s="5"/>
      <c r="I77" s="13">
        <f t="shared" si="18"/>
        <v>136898390.35923076</v>
      </c>
      <c r="J77" s="5"/>
      <c r="K77" s="13">
        <v>951489.85858771845</v>
      </c>
      <c r="L77" s="8"/>
      <c r="M77" s="45">
        <v>0</v>
      </c>
      <c r="N77" s="5"/>
      <c r="P77" s="13">
        <f t="shared" si="19"/>
        <v>137849880.21781847</v>
      </c>
      <c r="R77" s="13"/>
      <c r="T77" s="13">
        <f t="shared" si="20"/>
        <v>137849880.21781847</v>
      </c>
    </row>
    <row r="78" spans="1:20">
      <c r="A78" s="7" t="s">
        <v>70</v>
      </c>
      <c r="B78" s="8">
        <f t="shared" ref="B78:T78" si="21">B72-B74-B75+B76-B77</f>
        <v>-39903372.400949448</v>
      </c>
      <c r="C78" s="8"/>
      <c r="D78" s="8">
        <f t="shared" si="21"/>
        <v>375664.0188240069</v>
      </c>
      <c r="E78" s="8"/>
      <c r="F78" s="40">
        <f t="shared" ref="F78" si="22">F72-F74-F75+F76-F77</f>
        <v>733674.13360182126</v>
      </c>
      <c r="G78" s="5"/>
      <c r="H78" s="5"/>
      <c r="I78" s="40">
        <f t="shared" si="21"/>
        <v>-38794034.248523623</v>
      </c>
      <c r="J78" s="5"/>
      <c r="K78" s="8">
        <f t="shared" si="21"/>
        <v>-24056520.158276893</v>
      </c>
      <c r="L78" s="8"/>
      <c r="M78" s="40">
        <f t="shared" ref="M78" si="23">M72-M74-M75+M76-M77</f>
        <v>7546.2329066481916</v>
      </c>
      <c r="N78" s="5"/>
      <c r="P78" s="40">
        <f t="shared" si="21"/>
        <v>-62843008.173893914</v>
      </c>
      <c r="R78" s="40">
        <f t="shared" si="21"/>
        <v>51124345.030568391</v>
      </c>
      <c r="T78" s="40">
        <f t="shared" si="21"/>
        <v>-11718663.143325523</v>
      </c>
    </row>
    <row r="79" spans="1:20">
      <c r="A79" s="7"/>
      <c r="B79" s="8"/>
      <c r="C79" s="8"/>
      <c r="D79" s="8"/>
      <c r="E79" s="8"/>
      <c r="F79" s="37"/>
      <c r="G79" s="5"/>
      <c r="H79" s="5"/>
      <c r="I79" s="8"/>
      <c r="J79" s="5"/>
      <c r="K79" s="8"/>
      <c r="L79" s="8"/>
      <c r="M79" s="37"/>
      <c r="N79" s="5"/>
      <c r="P79" s="8"/>
      <c r="R79" s="8"/>
      <c r="T79" s="8"/>
    </row>
    <row r="80" spans="1:20">
      <c r="A80" s="7" t="s">
        <v>71</v>
      </c>
      <c r="B80" s="8">
        <v>0</v>
      </c>
      <c r="C80" s="8"/>
      <c r="D80" s="8">
        <v>0</v>
      </c>
      <c r="E80" s="8"/>
      <c r="F80" s="37">
        <v>0</v>
      </c>
      <c r="G80" s="5"/>
      <c r="H80" s="5"/>
      <c r="I80" s="8">
        <v>0</v>
      </c>
      <c r="J80" s="5"/>
      <c r="K80" s="8">
        <v>0</v>
      </c>
      <c r="L80" s="8"/>
      <c r="M80" s="37">
        <v>0</v>
      </c>
      <c r="N80" s="5"/>
      <c r="P80" s="8">
        <v>0</v>
      </c>
      <c r="R80" s="8">
        <v>0</v>
      </c>
      <c r="T80" s="8">
        <v>0</v>
      </c>
    </row>
    <row r="81" spans="1:20">
      <c r="A81" s="7" t="s">
        <v>72</v>
      </c>
      <c r="B81" s="8">
        <f>B78-B80</f>
        <v>-39903372.400949448</v>
      </c>
      <c r="C81" s="8"/>
      <c r="D81" s="8">
        <f>D78-D80</f>
        <v>375664.0188240069</v>
      </c>
      <c r="E81" s="8"/>
      <c r="F81" s="40">
        <f>F78-F80</f>
        <v>733674.13360182126</v>
      </c>
      <c r="G81" s="5"/>
      <c r="H81" s="5"/>
      <c r="I81" s="40">
        <f>I78-I80</f>
        <v>-38794034.248523623</v>
      </c>
      <c r="J81" s="5"/>
      <c r="K81" s="8">
        <f>K78-K80</f>
        <v>-24056520.158276893</v>
      </c>
      <c r="L81" s="8"/>
      <c r="M81" s="40">
        <f>M78-M80</f>
        <v>7546.2329066481916</v>
      </c>
      <c r="N81" s="5"/>
      <c r="P81" s="40">
        <f>P78-P80</f>
        <v>-62843008.173893914</v>
      </c>
      <c r="R81" s="40">
        <f>R78-R80</f>
        <v>51124345.030568391</v>
      </c>
      <c r="T81" s="40">
        <f>T78-T80</f>
        <v>-11718663.143325523</v>
      </c>
    </row>
    <row r="82" spans="1:20">
      <c r="A82" s="7"/>
      <c r="B82" s="8"/>
      <c r="C82" s="8"/>
      <c r="D82" s="8"/>
      <c r="E82" s="8"/>
      <c r="F82" s="37"/>
      <c r="G82" s="5"/>
      <c r="H82" s="5"/>
      <c r="I82" s="8"/>
      <c r="J82" s="5"/>
      <c r="K82" s="8"/>
      <c r="L82" s="8"/>
      <c r="M82" s="37"/>
      <c r="N82" s="5"/>
      <c r="P82" s="8"/>
      <c r="R82" s="8"/>
      <c r="T82" s="8"/>
    </row>
    <row r="83" spans="1:20">
      <c r="A83" s="7" t="s">
        <v>73</v>
      </c>
      <c r="B83" s="8">
        <f>B81*0.35</f>
        <v>-13966180.340332307</v>
      </c>
      <c r="C83" s="8"/>
      <c r="D83" s="8">
        <f>D81*0.35</f>
        <v>131482.4065884024</v>
      </c>
      <c r="E83" s="8"/>
      <c r="F83" s="40">
        <f>F81*0.35</f>
        <v>256785.94676063742</v>
      </c>
      <c r="G83" s="5"/>
      <c r="H83" s="5"/>
      <c r="I83" s="40">
        <f>I81*0.35</f>
        <v>-13577911.986983268</v>
      </c>
      <c r="J83" s="5"/>
      <c r="K83" s="8">
        <f>K81*0.35</f>
        <v>-8419782.0553969126</v>
      </c>
      <c r="L83" s="8"/>
      <c r="M83" s="40">
        <f>M81*0.35</f>
        <v>2641.1815173268669</v>
      </c>
      <c r="N83" s="5"/>
      <c r="P83" s="40">
        <f>P81*0.35</f>
        <v>-21995052.86086287</v>
      </c>
      <c r="R83" s="40">
        <f>R81*0.35</f>
        <v>17893520.760698937</v>
      </c>
      <c r="T83" s="40">
        <f>T81*0.35</f>
        <v>-4101532.1001639324</v>
      </c>
    </row>
    <row r="84" spans="1:20">
      <c r="A84" s="7" t="s">
        <v>74</v>
      </c>
      <c r="B84" s="8">
        <v>0</v>
      </c>
      <c r="C84" s="8"/>
      <c r="D84" s="8">
        <v>0</v>
      </c>
      <c r="E84" s="8"/>
      <c r="F84" s="37">
        <v>0</v>
      </c>
      <c r="G84" s="5"/>
      <c r="H84" s="5"/>
      <c r="I84" s="8">
        <f>B84+D84+F84</f>
        <v>0</v>
      </c>
      <c r="J84" s="5"/>
      <c r="K84" s="8">
        <v>-5638736.2665997902</v>
      </c>
      <c r="L84" s="8"/>
      <c r="M84" s="37">
        <v>0</v>
      </c>
      <c r="N84" s="5"/>
      <c r="P84" s="8">
        <f>I84+K84+M84</f>
        <v>-5638736.2665997902</v>
      </c>
      <c r="R84" s="8"/>
      <c r="T84" s="8">
        <f t="shared" ref="T84" si="24">P84+R84</f>
        <v>-5638736.2665997902</v>
      </c>
    </row>
    <row r="85" spans="1:20">
      <c r="A85" s="7" t="s">
        <v>75</v>
      </c>
      <c r="B85" s="8">
        <f>B83+B84</f>
        <v>-13966180.340332307</v>
      </c>
      <c r="C85" s="8"/>
      <c r="D85" s="8">
        <f>D83+D84</f>
        <v>131482.4065884024</v>
      </c>
      <c r="E85" s="8"/>
      <c r="F85" s="40">
        <f>F83+F84</f>
        <v>256785.94676063742</v>
      </c>
      <c r="G85" s="5"/>
      <c r="H85" s="5"/>
      <c r="I85" s="40">
        <f>I83+I84</f>
        <v>-13577911.986983268</v>
      </c>
      <c r="J85" s="5"/>
      <c r="K85" s="8">
        <f>K83+K84</f>
        <v>-14058518.321996704</v>
      </c>
      <c r="L85" s="8"/>
      <c r="M85" s="40">
        <f>M83+M84</f>
        <v>2641.1815173268669</v>
      </c>
      <c r="N85" s="5"/>
      <c r="P85" s="40">
        <f>P83+P84</f>
        <v>-27633789.127462659</v>
      </c>
      <c r="R85" s="40">
        <f>R83+R84</f>
        <v>17893520.760698937</v>
      </c>
      <c r="T85" s="40">
        <f>T83+T84</f>
        <v>-9740268.3667637222</v>
      </c>
    </row>
    <row r="86" spans="1:20">
      <c r="A86" s="7"/>
      <c r="B86" s="8"/>
      <c r="C86" s="8"/>
      <c r="D86" s="8"/>
      <c r="E86" s="8"/>
      <c r="F86" s="37"/>
      <c r="I86" s="8"/>
      <c r="K86" s="8"/>
      <c r="L86" s="8"/>
      <c r="M86" s="37"/>
      <c r="P86" s="8"/>
      <c r="R86" s="8"/>
      <c r="T86" s="8"/>
    </row>
    <row r="87" spans="1:20">
      <c r="A87" s="7"/>
      <c r="B87" s="8"/>
      <c r="C87" s="8"/>
      <c r="D87" s="8"/>
      <c r="E87" s="8"/>
      <c r="F87" s="37"/>
      <c r="G87" s="5"/>
      <c r="H87" s="5"/>
      <c r="I87" s="8"/>
      <c r="J87" s="5"/>
      <c r="K87" s="8"/>
      <c r="L87" s="8"/>
      <c r="M87" s="37"/>
      <c r="N87" s="5"/>
      <c r="P87" s="8"/>
      <c r="R87" s="8"/>
      <c r="T87" s="8"/>
    </row>
    <row r="88" spans="1:20">
      <c r="A88" s="51" t="s">
        <v>103</v>
      </c>
      <c r="B88" s="8"/>
      <c r="C88" s="8"/>
      <c r="D88" s="8"/>
      <c r="E88" s="8"/>
      <c r="F88" s="37"/>
      <c r="G88" s="5"/>
      <c r="H88" s="8"/>
      <c r="I88" s="5"/>
      <c r="J88" s="8"/>
      <c r="K88" s="8"/>
      <c r="L88" s="37"/>
      <c r="M88" s="5"/>
      <c r="O88" s="8"/>
      <c r="Q88" s="8"/>
      <c r="S88" s="8"/>
    </row>
    <row r="89" spans="1:20">
      <c r="A89" s="51" t="s">
        <v>104</v>
      </c>
      <c r="B89" s="8"/>
      <c r="C89" s="8"/>
      <c r="D89" s="8"/>
      <c r="E89" s="8"/>
      <c r="F89" s="37"/>
      <c r="G89" s="5"/>
      <c r="H89" s="8"/>
      <c r="I89" s="5"/>
      <c r="J89" s="8"/>
      <c r="K89" s="8"/>
      <c r="L89" s="37"/>
      <c r="M89" s="5"/>
      <c r="O89" s="8"/>
      <c r="Q89" s="8"/>
      <c r="S89" s="8"/>
    </row>
    <row r="90" spans="1:20">
      <c r="A90" s="51" t="s">
        <v>105</v>
      </c>
      <c r="B90" s="8"/>
      <c r="C90" s="8"/>
      <c r="D90" s="8"/>
      <c r="E90" s="8"/>
      <c r="F90" s="37"/>
      <c r="G90" s="5"/>
      <c r="H90" s="8"/>
      <c r="I90" s="5"/>
      <c r="J90" s="8"/>
      <c r="K90" s="8"/>
      <c r="L90" s="37"/>
      <c r="M90" s="5"/>
      <c r="O90" s="8"/>
      <c r="Q90" s="8"/>
      <c r="S90" s="8"/>
    </row>
    <row r="91" spans="1:20">
      <c r="A91" s="52" t="s">
        <v>106</v>
      </c>
      <c r="B91" s="8"/>
      <c r="C91" s="8"/>
      <c r="D91" s="8"/>
      <c r="E91" s="8"/>
      <c r="F91" s="37"/>
      <c r="G91" s="5"/>
      <c r="H91" s="8"/>
      <c r="I91" s="5"/>
      <c r="J91" s="8"/>
      <c r="K91" s="8"/>
      <c r="L91" s="37"/>
      <c r="M91" s="5"/>
      <c r="O91" s="8"/>
      <c r="Q91" s="8"/>
      <c r="S91" s="8"/>
    </row>
    <row r="92" spans="1:20">
      <c r="A92" s="52" t="s">
        <v>107</v>
      </c>
      <c r="B92" s="14"/>
      <c r="C92" s="14"/>
      <c r="D92" s="14"/>
      <c r="E92" s="14"/>
      <c r="F92" s="46"/>
      <c r="H92" s="14"/>
      <c r="J92" s="14"/>
      <c r="K92" s="14"/>
      <c r="L92" s="46"/>
      <c r="M92" s="2"/>
      <c r="O92" s="14"/>
      <c r="Q92" s="14"/>
      <c r="S92" s="14"/>
    </row>
    <row r="93" spans="1:20">
      <c r="A93" s="51" t="s">
        <v>108</v>
      </c>
      <c r="L93" s="35"/>
      <c r="M93" s="2"/>
    </row>
    <row r="94" spans="1:20">
      <c r="A94" s="5"/>
    </row>
    <row r="95" spans="1:20">
      <c r="A95" s="5"/>
    </row>
    <row r="96" spans="1:20">
      <c r="A96" s="5"/>
    </row>
    <row r="97" spans="1:1">
      <c r="A97" s="5"/>
    </row>
    <row r="98" spans="1:1">
      <c r="A98" s="5"/>
    </row>
    <row r="99" spans="1:1">
      <c r="A99" s="5"/>
    </row>
    <row r="100" spans="1:1">
      <c r="A100" s="5"/>
    </row>
    <row r="101" spans="1:1">
      <c r="A101" s="5"/>
    </row>
    <row r="102" spans="1:1">
      <c r="A102" s="5"/>
    </row>
    <row r="103" spans="1:1">
      <c r="A103" s="5"/>
    </row>
    <row r="104" spans="1:1">
      <c r="A104" s="5"/>
    </row>
    <row r="105" spans="1:1">
      <c r="A105" s="5"/>
    </row>
    <row r="106" spans="1:1">
      <c r="A106" s="5"/>
    </row>
    <row r="107" spans="1:1">
      <c r="A107" s="5"/>
    </row>
    <row r="108" spans="1:1">
      <c r="A108" s="5"/>
    </row>
    <row r="109" spans="1:1">
      <c r="A109" s="5"/>
    </row>
    <row r="110" spans="1:1">
      <c r="A110" s="5"/>
    </row>
    <row r="111" spans="1:1">
      <c r="A111" s="5"/>
    </row>
    <row r="112" spans="1:1">
      <c r="A112" s="5"/>
    </row>
    <row r="113" spans="1:1">
      <c r="A113" s="5"/>
    </row>
    <row r="114" spans="1:1">
      <c r="A114" s="5"/>
    </row>
    <row r="115" spans="1:1">
      <c r="A115" s="5"/>
    </row>
    <row r="116" spans="1:1">
      <c r="A116" s="5"/>
    </row>
    <row r="117" spans="1:1">
      <c r="A117" s="5"/>
    </row>
    <row r="118" spans="1:1">
      <c r="A118" s="5"/>
    </row>
    <row r="119" spans="1:1">
      <c r="A119" s="5"/>
    </row>
    <row r="120" spans="1:1">
      <c r="A120" s="5"/>
    </row>
    <row r="121" spans="1:1">
      <c r="A121" s="5"/>
    </row>
    <row r="122" spans="1:1">
      <c r="A122" s="5"/>
    </row>
    <row r="123" spans="1:1">
      <c r="A123" s="5"/>
    </row>
    <row r="124" spans="1:1">
      <c r="A124" s="5"/>
    </row>
    <row r="125" spans="1:1">
      <c r="A125" s="5"/>
    </row>
    <row r="126" spans="1:1">
      <c r="A126" s="5"/>
    </row>
    <row r="127" spans="1:1">
      <c r="A127" s="5"/>
    </row>
    <row r="128" spans="1:1">
      <c r="A128" s="5"/>
    </row>
    <row r="129" spans="1:1">
      <c r="A129" s="5"/>
    </row>
    <row r="130" spans="1:1">
      <c r="A130" s="5"/>
    </row>
    <row r="131" spans="1:1">
      <c r="A131" s="5"/>
    </row>
    <row r="132" spans="1:1">
      <c r="A132" s="5"/>
    </row>
    <row r="133" spans="1:1">
      <c r="A133" s="5"/>
    </row>
    <row r="134" spans="1:1">
      <c r="A134" s="5"/>
    </row>
    <row r="135" spans="1:1">
      <c r="A135" s="5"/>
    </row>
    <row r="136" spans="1:1">
      <c r="A136" s="5"/>
    </row>
    <row r="137" spans="1:1">
      <c r="A137" s="5"/>
    </row>
    <row r="138" spans="1:1">
      <c r="A138" s="5"/>
    </row>
    <row r="139" spans="1:1">
      <c r="A139" s="5"/>
    </row>
    <row r="140" spans="1:1">
      <c r="A140" s="5"/>
    </row>
    <row r="141" spans="1:1">
      <c r="A141" s="5"/>
    </row>
    <row r="142" spans="1:1">
      <c r="A142" s="5"/>
    </row>
    <row r="143" spans="1:1">
      <c r="A143" s="5"/>
    </row>
    <row r="144" spans="1:1">
      <c r="A144" s="5"/>
    </row>
    <row r="145" spans="1:1">
      <c r="A145" s="5"/>
    </row>
    <row r="146" spans="1:1">
      <c r="A146" s="5"/>
    </row>
    <row r="147" spans="1:1">
      <c r="A147" s="5"/>
    </row>
    <row r="148" spans="1:1">
      <c r="A148" s="5"/>
    </row>
  </sheetData>
  <pageMargins left="0.25" right="0.25" top="0.5" bottom="0.5" header="0.5" footer="0.5"/>
  <pageSetup scale="5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pageSetUpPr fitToPage="1"/>
  </sheetPr>
  <dimension ref="B1:F35"/>
  <sheetViews>
    <sheetView showGridLines="0" zoomScale="85" zoomScaleNormal="85" workbookViewId="0">
      <selection activeCell="B16" sqref="B16"/>
    </sheetView>
  </sheetViews>
  <sheetFormatPr defaultRowHeight="12.75"/>
  <cols>
    <col min="1" max="1" width="3.85546875" style="2" customWidth="1"/>
    <col min="2" max="5" width="15.7109375" style="2" customWidth="1"/>
    <col min="6" max="16384" width="9.140625" style="2"/>
  </cols>
  <sheetData>
    <row r="1" spans="2:5">
      <c r="B1" s="15" t="s">
        <v>0</v>
      </c>
    </row>
    <row r="2" spans="2:5">
      <c r="B2" s="15" t="s">
        <v>1</v>
      </c>
    </row>
    <row r="3" spans="2:5">
      <c r="B3" s="15" t="s">
        <v>76</v>
      </c>
    </row>
    <row r="6" spans="2:5">
      <c r="B6" s="16" t="s">
        <v>77</v>
      </c>
      <c r="C6" s="4"/>
      <c r="D6" s="4"/>
      <c r="E6" s="4"/>
    </row>
    <row r="7" spans="2:5" s="19" customFormat="1">
      <c r="B7" s="17"/>
      <c r="C7" s="17" t="s">
        <v>78</v>
      </c>
      <c r="D7" s="18" t="s">
        <v>79</v>
      </c>
      <c r="E7" s="17" t="s">
        <v>80</v>
      </c>
    </row>
    <row r="8" spans="2:5">
      <c r="B8" s="20" t="s">
        <v>81</v>
      </c>
      <c r="C8" s="21">
        <v>0.47599999999999998</v>
      </c>
      <c r="D8" s="22">
        <v>5.8900000000000001E-2</v>
      </c>
      <c r="E8" s="21">
        <f>C8*D8</f>
        <v>2.80364E-2</v>
      </c>
    </row>
    <row r="9" spans="2:5">
      <c r="B9" s="20" t="s">
        <v>82</v>
      </c>
      <c r="C9" s="21">
        <v>3.0000000000000001E-3</v>
      </c>
      <c r="D9" s="22">
        <v>5.4100000000000002E-2</v>
      </c>
      <c r="E9" s="21">
        <f>C9*D9</f>
        <v>1.6230000000000001E-4</v>
      </c>
    </row>
    <row r="10" spans="2:5">
      <c r="B10" s="23" t="s">
        <v>83</v>
      </c>
      <c r="C10" s="24">
        <v>0.52100000000000002</v>
      </c>
      <c r="D10" s="25">
        <v>0.106</v>
      </c>
      <c r="E10" s="24">
        <f>C10*D10</f>
        <v>5.5225999999999997E-2</v>
      </c>
    </row>
    <row r="11" spans="2:5">
      <c r="E11" s="26">
        <f>ROUND(SUM(E8:E10),4)</f>
        <v>8.3400000000000002E-2</v>
      </c>
    </row>
    <row r="16" spans="2:5">
      <c r="B16" s="27" t="s">
        <v>84</v>
      </c>
      <c r="C16" s="28"/>
    </row>
    <row r="17" spans="2:6">
      <c r="B17" s="2" t="s">
        <v>64</v>
      </c>
      <c r="D17" s="29">
        <v>1</v>
      </c>
    </row>
    <row r="18" spans="2:6">
      <c r="D18" s="29"/>
    </row>
    <row r="19" spans="2:6">
      <c r="B19" s="2" t="s">
        <v>85</v>
      </c>
      <c r="D19" s="29"/>
    </row>
    <row r="20" spans="2:6">
      <c r="B20" s="2" t="s">
        <v>86</v>
      </c>
      <c r="D20" s="29">
        <v>5.6100000000000004E-3</v>
      </c>
      <c r="F20" s="30"/>
    </row>
    <row r="21" spans="2:6">
      <c r="B21" s="2" t="s">
        <v>87</v>
      </c>
      <c r="D21" s="29">
        <v>2E-3</v>
      </c>
    </row>
    <row r="22" spans="2:6">
      <c r="B22" s="2" t="s">
        <v>88</v>
      </c>
      <c r="D22" s="29">
        <v>3.8730000000000001E-2</v>
      </c>
    </row>
    <row r="23" spans="2:6">
      <c r="B23" s="2" t="s">
        <v>89</v>
      </c>
      <c r="D23" s="22">
        <v>0</v>
      </c>
    </row>
    <row r="24" spans="2:6">
      <c r="B24" s="2" t="s">
        <v>90</v>
      </c>
      <c r="D24" s="25">
        <v>0</v>
      </c>
    </row>
    <row r="25" spans="2:6">
      <c r="D25" s="29"/>
    </row>
    <row r="26" spans="2:6">
      <c r="B26" s="2" t="s">
        <v>91</v>
      </c>
      <c r="D26" s="31">
        <f>D17-SUM(D19:D24)</f>
        <v>0.95365999999999995</v>
      </c>
    </row>
    <row r="27" spans="2:6">
      <c r="D27" s="29"/>
    </row>
    <row r="28" spans="2:6">
      <c r="B28" s="2" t="s">
        <v>92</v>
      </c>
      <c r="D28" s="25">
        <v>0</v>
      </c>
    </row>
    <row r="29" spans="2:6">
      <c r="D29" s="29"/>
    </row>
    <row r="30" spans="2:6">
      <c r="B30" s="2" t="s">
        <v>91</v>
      </c>
      <c r="D30" s="31">
        <f>D26-D28</f>
        <v>0.95365999999999995</v>
      </c>
    </row>
    <row r="31" spans="2:6">
      <c r="D31" s="29"/>
    </row>
    <row r="32" spans="2:6">
      <c r="B32" s="2" t="s">
        <v>93</v>
      </c>
      <c r="D32" s="25">
        <f>D30*0.35</f>
        <v>0.33378099999999994</v>
      </c>
    </row>
    <row r="33" spans="2:4">
      <c r="D33" s="32"/>
    </row>
    <row r="34" spans="2:4" ht="13.5" thickBot="1">
      <c r="B34" s="2" t="s">
        <v>94</v>
      </c>
      <c r="D34" s="33">
        <f>ROUND(D30-D32,5)</f>
        <v>0.61987999999999999</v>
      </c>
    </row>
    <row r="35" spans="2:4" ht="13.5" thickTop="1">
      <c r="D35" s="34"/>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2010-05-04T07:00:00+00:00</OpenedDate>
    <Date1 xmlns="dc463f71-b30c-4ab2-9473-d307f9d35888">2010-11-30T08:00:00+00:00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100749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6E45178E737B2439E5D7C497507581C" ma:contentTypeVersion="123" ma:contentTypeDescription="" ma:contentTypeScope="" ma:versionID="fc777a076299a0f57a95f7f2212a883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2F638C-DB3B-43A1-8474-482440454795}"/>
</file>

<file path=customXml/itemProps2.xml><?xml version="1.0" encoding="utf-8"?>
<ds:datastoreItem xmlns:ds="http://schemas.openxmlformats.org/officeDocument/2006/customXml" ds:itemID="{E7CE8B98-D295-426A-84C9-AD9D81BE9D15}"/>
</file>

<file path=customXml/itemProps3.xml><?xml version="1.0" encoding="utf-8"?>
<ds:datastoreItem xmlns:ds="http://schemas.openxmlformats.org/officeDocument/2006/customXml" ds:itemID="{7B105C99-11FA-44AF-A7E8-8B62A1792211}"/>
</file>

<file path=customXml/itemProps4.xml><?xml version="1.0" encoding="utf-8"?>
<ds:datastoreItem xmlns:ds="http://schemas.openxmlformats.org/officeDocument/2006/customXml" ds:itemID="{7978E6BA-2E93-4940-A355-49CD08BB8A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20</vt:i4>
      </vt:variant>
    </vt:vector>
  </HeadingPairs>
  <TitlesOfParts>
    <vt:vector size="22" baseType="lpstr">
      <vt:lpstr>Summary</vt:lpstr>
      <vt:lpstr>Variables</vt:lpstr>
      <vt:lpstr>Cost_Debt</vt:lpstr>
      <vt:lpstr>Cost_equity</vt:lpstr>
      <vt:lpstr>Cost_pref</vt:lpstr>
      <vt:lpstr>gross_up_factor</vt:lpstr>
      <vt:lpstr>Overall_ROR</vt:lpstr>
      <vt:lpstr>Percent_common</vt:lpstr>
      <vt:lpstr>Percent_debt</vt:lpstr>
      <vt:lpstr>Percent_pref</vt:lpstr>
      <vt:lpstr>Restated_Op_revenue</vt:lpstr>
      <vt:lpstr>Restated_rate_base</vt:lpstr>
      <vt:lpstr>Restated_ROE</vt:lpstr>
      <vt:lpstr>Unadj_Op_revenue</vt:lpstr>
      <vt:lpstr>Unadj_rate_base</vt:lpstr>
      <vt:lpstr>Unadj_ROE</vt:lpstr>
      <vt:lpstr>uncollectible_perc</vt:lpstr>
      <vt:lpstr>WA_rev_tax_perc</vt:lpstr>
      <vt:lpstr>Weighted_cost_debt</vt:lpstr>
      <vt:lpstr>Weighted_cost_equity</vt:lpstr>
      <vt:lpstr>Weighted_cost_pref</vt:lpstr>
      <vt:lpstr>WUTC_reg_fee_perc</vt:lpstr>
    </vt:vector>
  </TitlesOfParts>
  <Company>PacifiCorp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 Bryce Dalley</dc:creator>
  <cp:lastModifiedBy>R. Bryce Dalley</cp:lastModifiedBy>
  <cp:lastPrinted>2010-11-23T17:58:06Z</cp:lastPrinted>
  <dcterms:created xsi:type="dcterms:W3CDTF">2010-11-21T17:29:23Z</dcterms:created>
  <dcterms:modified xsi:type="dcterms:W3CDTF">2010-11-23T18:55:42Z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0x0101006E56B4D1795A2E4DB2F0B01679ED314A0096E45178E737B2439E5D7C497507581C</vt:lpwstr>
  </property>
  <property fmtid="{D5CDD505-2E9C-101B-9397-08002B2CF9AE}" pid="3" name="_docset_NoMedatataSyncRequired">
    <vt:lpwstr>False</vt:lpwstr>
  </property>
</Properties>
</file>