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10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4845" windowHeight="11640"/>
  </bookViews>
  <sheets>
    <sheet name="Summary" sheetId="4" r:id="rId1"/>
    <sheet name="Restating Adj" sheetId="1" r:id="rId2"/>
    <sheet name="Pro Forma Adj" sheetId="2" r:id="rId3"/>
    <sheet name="CWC Calc" sheetId="6" r:id="rId4"/>
    <sheet name="Interest Calc" sheetId="7" r:id="rId5"/>
    <sheet name="Variables" sheetId="3" r:id="rId6"/>
    <sheet name="Check Sheet" sheetId="5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Cost_Debt">Variables!$D$8</definedName>
    <definedName name="Cost_equity">Variables!$D$10</definedName>
    <definedName name="Cost_pref">Variables!$D$9</definedName>
    <definedName name="FranchiseTax">[1]Variables!$B$33</definedName>
    <definedName name="gross_up_factor">Variables!$D$34</definedName>
    <definedName name="net_to_gross_bump_up_factor">Variables!#REF!</definedName>
    <definedName name="NetToGross">[1]Variables!$B$30</definedName>
    <definedName name="Overall_ROR">Variables!$E$11</definedName>
    <definedName name="Percent_common">Variables!$C$10</definedName>
    <definedName name="Percent_debt">Variables!$C$8</definedName>
    <definedName name="Percent_pref">Variables!$C$9</definedName>
    <definedName name="_xlnm.Print_Area" localSheetId="1">'Restating Adj'!$A$1:$AI$85</definedName>
    <definedName name="_xlnm.Print_Titles" localSheetId="2">'Pro Forma Adj'!$A:$A</definedName>
    <definedName name="_xlnm.Print_Titles" localSheetId="1">'Restating Adj'!$A:$A</definedName>
    <definedName name="ResourceSupplier">[1]Variables!$B$35</definedName>
    <definedName name="Restated_Op_revenue">Summary!$F$37</definedName>
    <definedName name="Restated_rate_base">Summary!$F$64</definedName>
    <definedName name="Restated_ROE">Summary!$F$67</definedName>
    <definedName name="Unadj_Op_revenue">Summary!$B$37</definedName>
    <definedName name="Unadj_rate_base">Summary!$B$64</definedName>
    <definedName name="Unadj_ROE">Summary!$B$67</definedName>
    <definedName name="uncollectible_perc">Variables!$D$20</definedName>
    <definedName name="UncollectibleAccounts">[1]Variables!$B$32</definedName>
    <definedName name="WA_rev_tax_perc">Variables!$D$22</definedName>
    <definedName name="WaRevenueTax">[1]Variables!$B$34</definedName>
    <definedName name="Weighted_cost_debt">Variables!$E$8</definedName>
    <definedName name="Weighted_cost_equity">Variables!$E$10</definedName>
    <definedName name="Weighted_cost_pref">Variables!$E$9</definedName>
    <definedName name="WUTC_reg_fee_perc">Variables!$D$21</definedName>
  </definedNames>
  <calcPr calcId="125725"/>
</workbook>
</file>

<file path=xl/calcChain.xml><?xml version="1.0" encoding="utf-8"?>
<calcChain xmlns="http://schemas.openxmlformats.org/spreadsheetml/2006/main">
  <c r="W83" i="5"/>
  <c r="S83"/>
  <c r="O83"/>
  <c r="K83"/>
  <c r="G83"/>
  <c r="C83"/>
  <c r="W79"/>
  <c r="W70"/>
  <c r="W30"/>
  <c r="W29"/>
  <c r="W22"/>
  <c r="W9"/>
  <c r="S79"/>
  <c r="S78"/>
  <c r="S76"/>
  <c r="S75"/>
  <c r="S74"/>
  <c r="S73"/>
  <c r="S72"/>
  <c r="S71"/>
  <c r="S70"/>
  <c r="S67"/>
  <c r="S64"/>
  <c r="S62"/>
  <c r="S61"/>
  <c r="S60"/>
  <c r="S59"/>
  <c r="S58"/>
  <c r="S57"/>
  <c r="S56"/>
  <c r="S55"/>
  <c r="S54"/>
  <c r="S51"/>
  <c r="S50"/>
  <c r="S49"/>
  <c r="S48"/>
  <c r="S47"/>
  <c r="S46"/>
  <c r="S45"/>
  <c r="S44"/>
  <c r="S43"/>
  <c r="S42"/>
  <c r="S41"/>
  <c r="S40"/>
  <c r="S37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3"/>
  <c r="S12"/>
  <c r="S11"/>
  <c r="S10"/>
  <c r="S9"/>
  <c r="O79"/>
  <c r="O78"/>
  <c r="O76"/>
  <c r="O75"/>
  <c r="O74"/>
  <c r="O73"/>
  <c r="O72"/>
  <c r="O71"/>
  <c r="O70"/>
  <c r="O67"/>
  <c r="O64"/>
  <c r="O62"/>
  <c r="O61"/>
  <c r="O60"/>
  <c r="O59"/>
  <c r="O58"/>
  <c r="O57"/>
  <c r="O56"/>
  <c r="O55"/>
  <c r="O54"/>
  <c r="O51"/>
  <c r="O50"/>
  <c r="O49"/>
  <c r="O48"/>
  <c r="O47"/>
  <c r="O46"/>
  <c r="O45"/>
  <c r="O44"/>
  <c r="O43"/>
  <c r="O42"/>
  <c r="O41"/>
  <c r="O40"/>
  <c r="O37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3"/>
  <c r="O12"/>
  <c r="O11"/>
  <c r="O10"/>
  <c r="O9"/>
  <c r="K79"/>
  <c r="K78"/>
  <c r="K76"/>
  <c r="K75"/>
  <c r="K74"/>
  <c r="K73"/>
  <c r="K72"/>
  <c r="K71"/>
  <c r="K70"/>
  <c r="K67"/>
  <c r="K64"/>
  <c r="K62"/>
  <c r="K61"/>
  <c r="K60"/>
  <c r="K59"/>
  <c r="K58"/>
  <c r="K57"/>
  <c r="K56"/>
  <c r="K55"/>
  <c r="K54"/>
  <c r="K51"/>
  <c r="K50"/>
  <c r="K49"/>
  <c r="K48"/>
  <c r="K47"/>
  <c r="K46"/>
  <c r="K45"/>
  <c r="K44"/>
  <c r="K43"/>
  <c r="K42"/>
  <c r="K41"/>
  <c r="K40"/>
  <c r="K37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3"/>
  <c r="K12"/>
  <c r="K11"/>
  <c r="K10"/>
  <c r="K9"/>
  <c r="G79"/>
  <c r="G78"/>
  <c r="G76"/>
  <c r="G75"/>
  <c r="G74"/>
  <c r="G73"/>
  <c r="G72"/>
  <c r="G71"/>
  <c r="G70"/>
  <c r="G67"/>
  <c r="G64"/>
  <c r="G62"/>
  <c r="G61"/>
  <c r="G60"/>
  <c r="G59"/>
  <c r="G58"/>
  <c r="G57"/>
  <c r="G56"/>
  <c r="G55"/>
  <c r="G54"/>
  <c r="G51"/>
  <c r="G50"/>
  <c r="G49"/>
  <c r="G48"/>
  <c r="G47"/>
  <c r="G46"/>
  <c r="G45"/>
  <c r="G44"/>
  <c r="G43"/>
  <c r="G42"/>
  <c r="G41"/>
  <c r="G40"/>
  <c r="G37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3"/>
  <c r="G12"/>
  <c r="G11"/>
  <c r="G10"/>
  <c r="G9"/>
  <c r="C79"/>
  <c r="C78"/>
  <c r="C76"/>
  <c r="C75"/>
  <c r="C74"/>
  <c r="C73"/>
  <c r="C72"/>
  <c r="C71"/>
  <c r="C70"/>
  <c r="C67"/>
  <c r="C64"/>
  <c r="C62"/>
  <c r="C61"/>
  <c r="C60"/>
  <c r="C59"/>
  <c r="C58"/>
  <c r="C57"/>
  <c r="C56"/>
  <c r="C55"/>
  <c r="C54"/>
  <c r="C51"/>
  <c r="C50"/>
  <c r="C49"/>
  <c r="C48"/>
  <c r="C47"/>
  <c r="C46"/>
  <c r="C45"/>
  <c r="C44"/>
  <c r="C43"/>
  <c r="C42"/>
  <c r="C41"/>
  <c r="C40"/>
  <c r="C37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3"/>
  <c r="C12"/>
  <c r="C11"/>
  <c r="C10"/>
  <c r="C9"/>
  <c r="B76" i="4"/>
  <c r="B75"/>
  <c r="B74"/>
  <c r="B73"/>
  <c r="B72"/>
  <c r="B60"/>
  <c r="B59"/>
  <c r="B58"/>
  <c r="B57"/>
  <c r="B56"/>
  <c r="B55"/>
  <c r="B54"/>
  <c r="B50"/>
  <c r="B49"/>
  <c r="B48"/>
  <c r="B47"/>
  <c r="B46"/>
  <c r="B45"/>
  <c r="B44"/>
  <c r="B43"/>
  <c r="B42"/>
  <c r="B41"/>
  <c r="B40"/>
  <c r="B34"/>
  <c r="B33"/>
  <c r="B32"/>
  <c r="B29"/>
  <c r="B28"/>
  <c r="B27"/>
  <c r="B25"/>
  <c r="B24"/>
  <c r="B23"/>
  <c r="B22"/>
  <c r="B21"/>
  <c r="B20"/>
  <c r="B19"/>
  <c r="B18"/>
  <c r="B17"/>
  <c r="B16"/>
  <c r="B12"/>
  <c r="B11"/>
  <c r="B10"/>
  <c r="B9"/>
  <c r="C15" i="6"/>
  <c r="C14"/>
  <c r="C13"/>
  <c r="C12"/>
  <c r="C11"/>
  <c r="C41"/>
  <c r="C40"/>
  <c r="C39"/>
  <c r="S60" i="2"/>
  <c r="S54"/>
  <c r="R54"/>
  <c r="S47"/>
  <c r="S46"/>
  <c r="S42"/>
  <c r="S40"/>
  <c r="R40"/>
  <c r="S34"/>
  <c r="R27"/>
  <c r="S20"/>
  <c r="S19"/>
  <c r="R19"/>
  <c r="R18"/>
  <c r="S16"/>
  <c r="R16"/>
  <c r="S12"/>
  <c r="S11"/>
  <c r="AI59" i="1"/>
  <c r="AI34"/>
  <c r="AH75"/>
  <c r="AH60"/>
  <c r="AH56"/>
  <c r="AH50"/>
  <c r="AH32"/>
  <c r="AH28"/>
  <c r="P75" i="2"/>
  <c r="P56"/>
  <c r="P42"/>
  <c r="P32"/>
  <c r="P28"/>
  <c r="AG75" i="1"/>
  <c r="AG40"/>
  <c r="AG27"/>
  <c r="AF76"/>
  <c r="AF75"/>
  <c r="AF56"/>
  <c r="AE48"/>
  <c r="AE47"/>
  <c r="AE45"/>
  <c r="AE42"/>
  <c r="AF32"/>
  <c r="AD58"/>
  <c r="AC75"/>
  <c r="AC56"/>
  <c r="AC42"/>
  <c r="AC32"/>
  <c r="AC25"/>
  <c r="AB54"/>
  <c r="AB47"/>
  <c r="AB46"/>
  <c r="AB42"/>
  <c r="AB40"/>
  <c r="Q75" i="2"/>
  <c r="Q56"/>
  <c r="Q42"/>
  <c r="Q32"/>
  <c r="Q12"/>
  <c r="X56" i="1"/>
  <c r="X32"/>
  <c r="W56"/>
  <c r="W32"/>
  <c r="M29" i="2"/>
  <c r="V73" i="1"/>
  <c r="U32"/>
  <c r="T56"/>
  <c r="T32"/>
  <c r="L83" i="2"/>
  <c r="S56" i="1"/>
  <c r="N29" i="2"/>
  <c r="Z56" i="1"/>
  <c r="Y32"/>
  <c r="J54" i="2"/>
  <c r="Q54" i="1"/>
  <c r="P76"/>
  <c r="P75"/>
  <c r="P57"/>
  <c r="P56"/>
  <c r="P54"/>
  <c r="P40"/>
  <c r="P32"/>
  <c r="P29"/>
  <c r="P27"/>
  <c r="I12" i="2"/>
  <c r="C22" i="6"/>
  <c r="O19" i="1"/>
  <c r="N60"/>
  <c r="N19"/>
  <c r="C38" i="6"/>
  <c r="C37"/>
  <c r="C36"/>
  <c r="H20" i="2"/>
  <c r="H19"/>
  <c r="H16"/>
  <c r="H11"/>
  <c r="C21" i="6"/>
  <c r="C20"/>
  <c r="C19"/>
  <c r="M20" i="1"/>
  <c r="M19"/>
  <c r="M16"/>
  <c r="M11"/>
  <c r="G76" i="2"/>
  <c r="G75"/>
  <c r="G56"/>
  <c r="G42"/>
  <c r="G32"/>
  <c r="G25"/>
  <c r="L21" i="1"/>
  <c r="L20"/>
  <c r="L19"/>
  <c r="L16"/>
  <c r="K76"/>
  <c r="K56"/>
  <c r="K32"/>
  <c r="K23"/>
  <c r="J25"/>
  <c r="F76" i="2"/>
  <c r="F32"/>
  <c r="F25"/>
  <c r="C42" i="6"/>
  <c r="E25" i="2"/>
  <c r="E23"/>
  <c r="E22"/>
  <c r="E21"/>
  <c r="E20"/>
  <c r="E19"/>
  <c r="E18"/>
  <c r="E16"/>
  <c r="C23" i="6"/>
  <c r="I25" i="1"/>
  <c r="I23"/>
  <c r="I22"/>
  <c r="I21"/>
  <c r="I20"/>
  <c r="I19"/>
  <c r="I18"/>
  <c r="I16"/>
  <c r="H25"/>
  <c r="H23"/>
  <c r="H19"/>
  <c r="D12" i="2"/>
  <c r="G20" i="1"/>
  <c r="G12"/>
  <c r="F12"/>
  <c r="E76"/>
  <c r="E75"/>
  <c r="E60"/>
  <c r="E56"/>
  <c r="E34"/>
  <c r="E32"/>
  <c r="C9" i="2"/>
  <c r="D76" i="1"/>
  <c r="D75"/>
  <c r="D56"/>
  <c r="D32"/>
  <c r="D9"/>
  <c r="C9"/>
  <c r="C24" i="6" l="1"/>
  <c r="C46"/>
  <c r="C43"/>
  <c r="C27"/>
  <c r="C16" l="1"/>
  <c r="C32" s="1"/>
  <c r="C33"/>
  <c r="W76" i="5" l="1"/>
  <c r="W26"/>
  <c r="W35" s="1"/>
  <c r="W13"/>
  <c r="V82"/>
  <c r="V78"/>
  <c r="V75"/>
  <c r="V74"/>
  <c r="V73"/>
  <c r="V72"/>
  <c r="V71"/>
  <c r="V61"/>
  <c r="V60"/>
  <c r="V59"/>
  <c r="V58"/>
  <c r="V57"/>
  <c r="V56"/>
  <c r="V55"/>
  <c r="V54"/>
  <c r="V50"/>
  <c r="V49"/>
  <c r="V48"/>
  <c r="V47"/>
  <c r="V46"/>
  <c r="V45"/>
  <c r="V44"/>
  <c r="V43"/>
  <c r="V42"/>
  <c r="V41"/>
  <c r="V40"/>
  <c r="V34"/>
  <c r="V33"/>
  <c r="V32"/>
  <c r="V28"/>
  <c r="V27"/>
  <c r="V25"/>
  <c r="V24"/>
  <c r="V23"/>
  <c r="V21"/>
  <c r="V20"/>
  <c r="V19"/>
  <c r="V18"/>
  <c r="V17"/>
  <c r="V16"/>
  <c r="V12"/>
  <c r="V11"/>
  <c r="V10"/>
  <c r="X78"/>
  <c r="X75"/>
  <c r="X74"/>
  <c r="X73"/>
  <c r="X72"/>
  <c r="X71"/>
  <c r="X61"/>
  <c r="X60"/>
  <c r="X59"/>
  <c r="X58"/>
  <c r="X57"/>
  <c r="X56"/>
  <c r="X55"/>
  <c r="X54"/>
  <c r="X50"/>
  <c r="X49"/>
  <c r="X48"/>
  <c r="X47"/>
  <c r="X46"/>
  <c r="X45"/>
  <c r="X44"/>
  <c r="X43"/>
  <c r="X42"/>
  <c r="X41"/>
  <c r="X40"/>
  <c r="X34"/>
  <c r="X33"/>
  <c r="X32"/>
  <c r="X28"/>
  <c r="X27"/>
  <c r="X25"/>
  <c r="X24"/>
  <c r="X23"/>
  <c r="X21"/>
  <c r="X20"/>
  <c r="X19"/>
  <c r="X18"/>
  <c r="X17"/>
  <c r="X16"/>
  <c r="X12"/>
  <c r="X11"/>
  <c r="X10"/>
  <c r="R78"/>
  <c r="R71"/>
  <c r="R61"/>
  <c r="T78"/>
  <c r="T71"/>
  <c r="T61"/>
  <c r="N78"/>
  <c r="N71"/>
  <c r="N61"/>
  <c r="P78"/>
  <c r="P71"/>
  <c r="P61"/>
  <c r="J78"/>
  <c r="J61"/>
  <c r="L61" s="1"/>
  <c r="L78"/>
  <c r="F78"/>
  <c r="H78" s="1"/>
  <c r="F71"/>
  <c r="F61"/>
  <c r="H61" s="1"/>
  <c r="H71"/>
  <c r="B82"/>
  <c r="B78"/>
  <c r="B61"/>
  <c r="W37" l="1"/>
  <c r="D78"/>
  <c r="D61"/>
  <c r="N31" i="4"/>
  <c r="L62"/>
  <c r="V62" i="5" s="1"/>
  <c r="X62" s="1"/>
  <c r="L51" i="4"/>
  <c r="N61"/>
  <c r="L31"/>
  <c r="V31" i="5" s="1"/>
  <c r="X31" s="1"/>
  <c r="D26" i="3"/>
  <c r="D30" s="1"/>
  <c r="B83" i="2"/>
  <c r="H83" i="4" s="1"/>
  <c r="N82" i="5" s="1"/>
  <c r="B83" i="1"/>
  <c r="D83" i="4" s="1"/>
  <c r="L64" l="1"/>
  <c r="V64" i="5" s="1"/>
  <c r="X64" s="1"/>
  <c r="V51"/>
  <c r="X51" s="1"/>
  <c r="F83" i="4"/>
  <c r="J82" i="5" s="1"/>
  <c r="F82"/>
  <c r="J83" i="4"/>
  <c r="D32" i="3"/>
  <c r="D34" s="1"/>
  <c r="N83" i="4" l="1"/>
  <c r="R82" i="5"/>
  <c r="J31" i="4" l="1"/>
  <c r="R31" i="5" s="1"/>
  <c r="T31" s="1"/>
  <c r="H31" i="4"/>
  <c r="N31" i="5" s="1"/>
  <c r="P31" s="1"/>
  <c r="F31" i="4"/>
  <c r="J31" i="5" s="1"/>
  <c r="L31" s="1"/>
  <c r="D31" i="4"/>
  <c r="F31" i="5" s="1"/>
  <c r="H31" s="1"/>
  <c r="B31" i="4"/>
  <c r="B71" i="5"/>
  <c r="B31" l="1"/>
  <c r="D31" s="1"/>
  <c r="B9"/>
  <c r="D9" s="1"/>
  <c r="B16"/>
  <c r="D16" s="1"/>
  <c r="B20"/>
  <c r="D20" s="1"/>
  <c r="B24"/>
  <c r="D24" s="1"/>
  <c r="B29"/>
  <c r="D29" s="1"/>
  <c r="B40"/>
  <c r="D40" s="1"/>
  <c r="B44"/>
  <c r="D44" s="1"/>
  <c r="B46"/>
  <c r="D46" s="1"/>
  <c r="B50"/>
  <c r="D50" s="1"/>
  <c r="B57"/>
  <c r="D57" s="1"/>
  <c r="B10"/>
  <c r="D10" s="1"/>
  <c r="B12"/>
  <c r="D12" s="1"/>
  <c r="B17"/>
  <c r="D17" s="1"/>
  <c r="B19"/>
  <c r="D19" s="1"/>
  <c r="B21"/>
  <c r="D21" s="1"/>
  <c r="B23"/>
  <c r="D23" s="1"/>
  <c r="B25"/>
  <c r="D25" s="1"/>
  <c r="B28"/>
  <c r="D28" s="1"/>
  <c r="B32"/>
  <c r="D32" s="1"/>
  <c r="B34"/>
  <c r="D34" s="1"/>
  <c r="B41"/>
  <c r="D41" s="1"/>
  <c r="B43"/>
  <c r="D43" s="1"/>
  <c r="B45"/>
  <c r="D45" s="1"/>
  <c r="B47"/>
  <c r="D47" s="1"/>
  <c r="B49"/>
  <c r="D49" s="1"/>
  <c r="B54"/>
  <c r="D54" s="1"/>
  <c r="B56"/>
  <c r="D56" s="1"/>
  <c r="B58"/>
  <c r="D58" s="1"/>
  <c r="B60"/>
  <c r="D60" s="1"/>
  <c r="B72"/>
  <c r="D72" s="1"/>
  <c r="B74"/>
  <c r="D74" s="1"/>
  <c r="B11"/>
  <c r="D11" s="1"/>
  <c r="B18"/>
  <c r="D18" s="1"/>
  <c r="B22"/>
  <c r="D22" s="1"/>
  <c r="B27"/>
  <c r="D27" s="1"/>
  <c r="B33"/>
  <c r="D33" s="1"/>
  <c r="B42"/>
  <c r="D42" s="1"/>
  <c r="B48"/>
  <c r="D48" s="1"/>
  <c r="B55"/>
  <c r="D55" s="1"/>
  <c r="B59"/>
  <c r="D59" s="1"/>
  <c r="B73"/>
  <c r="D73" s="1"/>
  <c r="B75"/>
  <c r="D75" s="1"/>
  <c r="F72" i="4"/>
  <c r="J71" i="5" s="1"/>
  <c r="L71" s="1"/>
  <c r="D71"/>
  <c r="C14" i="7"/>
  <c r="C6"/>
  <c r="B32" i="1" l="1"/>
  <c r="D32" i="4" s="1"/>
  <c r="F32" l="1"/>
  <c r="J32" i="5" s="1"/>
  <c r="L32" s="1"/>
  <c r="F32"/>
  <c r="H32" s="1"/>
  <c r="B62" i="4"/>
  <c r="B51"/>
  <c r="B26"/>
  <c r="B26" i="5" s="1"/>
  <c r="B13" i="4"/>
  <c r="L80" i="2"/>
  <c r="L82" s="1"/>
  <c r="L84" s="1"/>
  <c r="B62" i="5" l="1"/>
  <c r="D62" s="1"/>
  <c r="B13"/>
  <c r="D13" s="1"/>
  <c r="B51"/>
  <c r="D51" s="1"/>
  <c r="D26"/>
  <c r="B71" i="4"/>
  <c r="B70" i="5" s="1"/>
  <c r="B64" i="4"/>
  <c r="B64" i="5" l="1"/>
  <c r="D64" s="1"/>
  <c r="B77" i="4"/>
  <c r="B76" i="5" s="1"/>
  <c r="D70"/>
  <c r="B73" i="2"/>
  <c r="H73" i="4" s="1"/>
  <c r="N72" i="5" s="1"/>
  <c r="P72" s="1"/>
  <c r="B72" i="2"/>
  <c r="B72" i="1"/>
  <c r="B80" i="4" l="1"/>
  <c r="B79" i="5" s="1"/>
  <c r="D76"/>
  <c r="B61" i="2"/>
  <c r="B59"/>
  <c r="H59" i="4" s="1"/>
  <c r="N59" i="5" s="1"/>
  <c r="P59" s="1"/>
  <c r="B58" i="2"/>
  <c r="H58" i="4" s="1"/>
  <c r="N58" i="5" s="1"/>
  <c r="P58" s="1"/>
  <c r="B57" i="2"/>
  <c r="H57" i="4" s="1"/>
  <c r="N57" i="5" s="1"/>
  <c r="P57" s="1"/>
  <c r="B55" i="2"/>
  <c r="H55" i="4" s="1"/>
  <c r="N55" i="5" s="1"/>
  <c r="P55" s="1"/>
  <c r="B50" i="2"/>
  <c r="H50" i="4" s="1"/>
  <c r="N50" i="5" s="1"/>
  <c r="P50" s="1"/>
  <c r="B49" i="2"/>
  <c r="H49" i="4" s="1"/>
  <c r="N49" i="5" s="1"/>
  <c r="P49" s="1"/>
  <c r="B47" i="2"/>
  <c r="H47" i="4" s="1"/>
  <c r="N47" i="5" s="1"/>
  <c r="P47" s="1"/>
  <c r="B46" i="2"/>
  <c r="H46" i="4" s="1"/>
  <c r="N46" i="5" s="1"/>
  <c r="P46" s="1"/>
  <c r="B45" i="2"/>
  <c r="H45" i="4" s="1"/>
  <c r="N45" i="5" s="1"/>
  <c r="P45" s="1"/>
  <c r="B44" i="2"/>
  <c r="H44" i="4" s="1"/>
  <c r="N44" i="5" s="1"/>
  <c r="P44" s="1"/>
  <c r="B43" i="2"/>
  <c r="H43" i="4" s="1"/>
  <c r="N43" i="5" s="1"/>
  <c r="P43" s="1"/>
  <c r="B41" i="2"/>
  <c r="H41" i="4" s="1"/>
  <c r="N41" i="5" s="1"/>
  <c r="P41" s="1"/>
  <c r="B33" i="2"/>
  <c r="H33" i="4" s="1"/>
  <c r="N33" i="5" s="1"/>
  <c r="P33" s="1"/>
  <c r="B31" i="2"/>
  <c r="B24"/>
  <c r="H24" i="4" s="1"/>
  <c r="N24" i="5" s="1"/>
  <c r="P24" s="1"/>
  <c r="B17" i="2"/>
  <c r="H17" i="4" s="1"/>
  <c r="N17" i="5" s="1"/>
  <c r="P17" s="1"/>
  <c r="B10" i="2"/>
  <c r="H10" i="4" s="1"/>
  <c r="N10" i="5" s="1"/>
  <c r="P10" s="1"/>
  <c r="B75" i="2"/>
  <c r="H75" i="4" s="1"/>
  <c r="N74" i="5" s="1"/>
  <c r="P74" s="1"/>
  <c r="S51" i="2"/>
  <c r="B32"/>
  <c r="H32" i="4" s="1"/>
  <c r="S13" i="2"/>
  <c r="B27"/>
  <c r="H27" i="4" s="1"/>
  <c r="N27" i="5" s="1"/>
  <c r="P27" s="1"/>
  <c r="S62" i="2"/>
  <c r="J32" i="4" l="1"/>
  <c r="N32" i="5"/>
  <c r="P32" s="1"/>
  <c r="B82" i="4"/>
  <c r="B81" i="5" s="1"/>
  <c r="D79"/>
  <c r="B76" i="1"/>
  <c r="D76" i="4" s="1"/>
  <c r="B75" i="1"/>
  <c r="D75" i="4" s="1"/>
  <c r="B73" i="1"/>
  <c r="D73" i="4" s="1"/>
  <c r="B16" i="2"/>
  <c r="H16" i="4" s="1"/>
  <c r="N16" i="5" s="1"/>
  <c r="P16" s="1"/>
  <c r="B21" i="2"/>
  <c r="H21" i="4" s="1"/>
  <c r="N21" i="5" s="1"/>
  <c r="P21" s="1"/>
  <c r="B25" i="2"/>
  <c r="H25" i="4" s="1"/>
  <c r="N25" i="5" s="1"/>
  <c r="P25" s="1"/>
  <c r="B42" i="2"/>
  <c r="H42" i="4" s="1"/>
  <c r="N42" i="5" s="1"/>
  <c r="P42" s="1"/>
  <c r="B76" i="2"/>
  <c r="H76" i="4" s="1"/>
  <c r="N75" i="5" s="1"/>
  <c r="P75" s="1"/>
  <c r="B29" i="2"/>
  <c r="H29" i="4" s="1"/>
  <c r="N29" i="5" s="1"/>
  <c r="P29" s="1"/>
  <c r="B40" i="2"/>
  <c r="H40" i="4" s="1"/>
  <c r="N40" i="5" s="1"/>
  <c r="P40" s="1"/>
  <c r="B56" i="2"/>
  <c r="H56" i="4" s="1"/>
  <c r="N56" i="5" s="1"/>
  <c r="P56" s="1"/>
  <c r="B34" i="2"/>
  <c r="H34" i="4" s="1"/>
  <c r="N34" i="5" s="1"/>
  <c r="P34" s="1"/>
  <c r="B54" i="2"/>
  <c r="H54" i="4" s="1"/>
  <c r="N54" i="5" s="1"/>
  <c r="P54" s="1"/>
  <c r="B9" i="2"/>
  <c r="H9" i="4" s="1"/>
  <c r="N9" i="5" s="1"/>
  <c r="P9" s="1"/>
  <c r="B18" i="2"/>
  <c r="H18" i="4" s="1"/>
  <c r="N18" i="5" s="1"/>
  <c r="P18" s="1"/>
  <c r="B20" i="2"/>
  <c r="H20" i="4" s="1"/>
  <c r="N20" i="5" s="1"/>
  <c r="P20" s="1"/>
  <c r="B23" i="2"/>
  <c r="H23" i="4" s="1"/>
  <c r="N23" i="5" s="1"/>
  <c r="P23" s="1"/>
  <c r="B22" i="2"/>
  <c r="H22" i="4" s="1"/>
  <c r="N22" i="5" s="1"/>
  <c r="P22" s="1"/>
  <c r="B11" i="2"/>
  <c r="H11" i="4" s="1"/>
  <c r="N11" i="5" s="1"/>
  <c r="P11" s="1"/>
  <c r="B28" i="2"/>
  <c r="H28" i="4" s="1"/>
  <c r="N28" i="5" s="1"/>
  <c r="P28" s="1"/>
  <c r="B60" i="2"/>
  <c r="H60" i="4" s="1"/>
  <c r="N60" i="5" s="1"/>
  <c r="P60" s="1"/>
  <c r="S26" i="2"/>
  <c r="S71" s="1"/>
  <c r="S77" s="1"/>
  <c r="B12"/>
  <c r="H12" i="4" s="1"/>
  <c r="N12" i="5" s="1"/>
  <c r="P12" s="1"/>
  <c r="S64" i="2"/>
  <c r="F73" i="4" l="1"/>
  <c r="F72" i="5"/>
  <c r="H72" s="1"/>
  <c r="F76" i="4"/>
  <c r="J75" i="5" s="1"/>
  <c r="L75" s="1"/>
  <c r="F75"/>
  <c r="H75" s="1"/>
  <c r="F75" i="4"/>
  <c r="F74" i="5"/>
  <c r="H74" s="1"/>
  <c r="N32" i="4"/>
  <c r="R32" i="5"/>
  <c r="T32" s="1"/>
  <c r="B84" i="4"/>
  <c r="B83" i="5" s="1"/>
  <c r="D83" s="1"/>
  <c r="H62" i="4"/>
  <c r="N62" i="5" s="1"/>
  <c r="P62" s="1"/>
  <c r="H13" i="4"/>
  <c r="N13" i="5" s="1"/>
  <c r="P13" s="1"/>
  <c r="B19" i="2"/>
  <c r="H19" i="4" s="1"/>
  <c r="S80" i="2"/>
  <c r="S82" s="1"/>
  <c r="S84" s="1"/>
  <c r="S30" s="1"/>
  <c r="AE51" i="1"/>
  <c r="AE26"/>
  <c r="AE13"/>
  <c r="Y62"/>
  <c r="Y51"/>
  <c r="Y26"/>
  <c r="Y13"/>
  <c r="X51"/>
  <c r="X26"/>
  <c r="X13"/>
  <c r="S51"/>
  <c r="S26"/>
  <c r="S13"/>
  <c r="J76" i="4" l="1"/>
  <c r="N76"/>
  <c r="R75" i="5"/>
  <c r="T75" s="1"/>
  <c r="H26" i="4"/>
  <c r="N26" i="5" s="1"/>
  <c r="P26" s="1"/>
  <c r="N19"/>
  <c r="P19" s="1"/>
  <c r="J75" i="4"/>
  <c r="J74" i="5"/>
  <c r="L74" s="1"/>
  <c r="J73" i="4"/>
  <c r="J72" i="5"/>
  <c r="L72" s="1"/>
  <c r="B30" i="4"/>
  <c r="B30" i="5" s="1"/>
  <c r="AE71" i="1"/>
  <c r="S71"/>
  <c r="S77" s="1"/>
  <c r="Y64"/>
  <c r="X71"/>
  <c r="X77" s="1"/>
  <c r="Y71"/>
  <c r="Y77" s="1"/>
  <c r="X62"/>
  <c r="X64" s="1"/>
  <c r="N62"/>
  <c r="N51"/>
  <c r="N26"/>
  <c r="N13"/>
  <c r="M13"/>
  <c r="M71" s="1"/>
  <c r="M77" s="1"/>
  <c r="M62"/>
  <c r="M51"/>
  <c r="O62"/>
  <c r="O51"/>
  <c r="O26"/>
  <c r="O13"/>
  <c r="H71" i="4" l="1"/>
  <c r="N70" i="5" s="1"/>
  <c r="P70" s="1"/>
  <c r="N73" i="4"/>
  <c r="R72" i="5"/>
  <c r="T72" s="1"/>
  <c r="R74"/>
  <c r="T74" s="1"/>
  <c r="N75" i="4"/>
  <c r="B35"/>
  <c r="B35" i="5" s="1"/>
  <c r="D30"/>
  <c r="M80" i="1"/>
  <c r="M82" s="1"/>
  <c r="M84" s="1"/>
  <c r="M30" s="1"/>
  <c r="Y80"/>
  <c r="Y82" s="1"/>
  <c r="Y84" s="1"/>
  <c r="Y30"/>
  <c r="Y35" s="1"/>
  <c r="Y37" s="1"/>
  <c r="X80"/>
  <c r="X82" s="1"/>
  <c r="X84" s="1"/>
  <c r="X30"/>
  <c r="X35" s="1"/>
  <c r="X37" s="1"/>
  <c r="S80"/>
  <c r="S82" s="1"/>
  <c r="S84" s="1"/>
  <c r="S30"/>
  <c r="S35" s="1"/>
  <c r="S37" s="1"/>
  <c r="S62"/>
  <c r="S64" s="1"/>
  <c r="AE62"/>
  <c r="AE64" s="1"/>
  <c r="AE77"/>
  <c r="N71"/>
  <c r="N77" s="1"/>
  <c r="N64"/>
  <c r="O71"/>
  <c r="O77" s="1"/>
  <c r="M64"/>
  <c r="O64"/>
  <c r="L62"/>
  <c r="L51"/>
  <c r="L13"/>
  <c r="B37" i="4" l="1"/>
  <c r="B37" i="5" s="1"/>
  <c r="D35"/>
  <c r="O80" i="1"/>
  <c r="O82" s="1"/>
  <c r="O84" s="1"/>
  <c r="O30" s="1"/>
  <c r="O35" s="1"/>
  <c r="O37" s="1"/>
  <c r="N80"/>
  <c r="N82" s="1"/>
  <c r="N84" s="1"/>
  <c r="N30" s="1"/>
  <c r="N35" s="1"/>
  <c r="N37" s="1"/>
  <c r="AE80"/>
  <c r="AE82" s="1"/>
  <c r="AE84" s="1"/>
  <c r="AE35"/>
  <c r="AE37" s="1"/>
  <c r="S35" i="2"/>
  <c r="L64" i="1"/>
  <c r="L26"/>
  <c r="L71" s="1"/>
  <c r="L77" s="1"/>
  <c r="M35"/>
  <c r="M37" s="1"/>
  <c r="D13"/>
  <c r="Q51" i="2"/>
  <c r="AI62" i="1"/>
  <c r="AI51"/>
  <c r="AB51"/>
  <c r="AG26"/>
  <c r="Q62"/>
  <c r="H13" i="2"/>
  <c r="B34" i="1"/>
  <c r="D34" i="4" s="1"/>
  <c r="I26" i="1"/>
  <c r="D13" i="2"/>
  <c r="G13" i="1"/>
  <c r="V62"/>
  <c r="Q13" i="2"/>
  <c r="Q26"/>
  <c r="Q62"/>
  <c r="P13"/>
  <c r="P26"/>
  <c r="P71" s="1"/>
  <c r="P77" s="1"/>
  <c r="O62"/>
  <c r="O13"/>
  <c r="O26"/>
  <c r="N51"/>
  <c r="N13"/>
  <c r="N26"/>
  <c r="M13"/>
  <c r="M26"/>
  <c r="M51"/>
  <c r="M62"/>
  <c r="L26"/>
  <c r="L13"/>
  <c r="L51"/>
  <c r="L62"/>
  <c r="K13"/>
  <c r="K26"/>
  <c r="K51"/>
  <c r="K62"/>
  <c r="J13"/>
  <c r="J26"/>
  <c r="J62"/>
  <c r="J51"/>
  <c r="I13"/>
  <c r="I26"/>
  <c r="I51"/>
  <c r="I62"/>
  <c r="H51"/>
  <c r="H62"/>
  <c r="G26"/>
  <c r="G13"/>
  <c r="G51"/>
  <c r="G62"/>
  <c r="F13"/>
  <c r="F26"/>
  <c r="F51"/>
  <c r="F62"/>
  <c r="E13"/>
  <c r="E51"/>
  <c r="E62"/>
  <c r="D26"/>
  <c r="D51"/>
  <c r="D62"/>
  <c r="C26"/>
  <c r="C51"/>
  <c r="C62"/>
  <c r="AI13" i="1"/>
  <c r="AI26"/>
  <c r="AH13"/>
  <c r="AH26"/>
  <c r="AH51"/>
  <c r="AH62"/>
  <c r="AG13"/>
  <c r="AG71" s="1"/>
  <c r="AG77" s="1"/>
  <c r="AG51"/>
  <c r="AG62"/>
  <c r="AF62"/>
  <c r="AF13"/>
  <c r="AF26"/>
  <c r="AD51"/>
  <c r="AD13"/>
  <c r="AD26"/>
  <c r="AC26"/>
  <c r="AC13"/>
  <c r="AC51"/>
  <c r="AC62"/>
  <c r="AB62"/>
  <c r="AB13"/>
  <c r="AB26"/>
  <c r="AA62"/>
  <c r="AA13"/>
  <c r="AA26"/>
  <c r="Z13"/>
  <c r="Z26"/>
  <c r="Z51"/>
  <c r="Z62"/>
  <c r="W13"/>
  <c r="W26"/>
  <c r="W51"/>
  <c r="W62"/>
  <c r="V13"/>
  <c r="V26"/>
  <c r="V51"/>
  <c r="U26"/>
  <c r="U13"/>
  <c r="U51"/>
  <c r="T26"/>
  <c r="T13"/>
  <c r="T62"/>
  <c r="T51"/>
  <c r="R13"/>
  <c r="R26"/>
  <c r="R51"/>
  <c r="R62"/>
  <c r="Q13"/>
  <c r="Q26"/>
  <c r="Q51"/>
  <c r="P13"/>
  <c r="P26"/>
  <c r="P51"/>
  <c r="K13"/>
  <c r="K51"/>
  <c r="K62"/>
  <c r="J13"/>
  <c r="J51"/>
  <c r="J62"/>
  <c r="I13"/>
  <c r="I51"/>
  <c r="I62"/>
  <c r="H26"/>
  <c r="H71" s="1"/>
  <c r="H13"/>
  <c r="H51"/>
  <c r="H62"/>
  <c r="G26"/>
  <c r="G51"/>
  <c r="G62"/>
  <c r="F13"/>
  <c r="F26"/>
  <c r="F51"/>
  <c r="F62"/>
  <c r="E13"/>
  <c r="E26"/>
  <c r="E51"/>
  <c r="E62"/>
  <c r="D26"/>
  <c r="D51"/>
  <c r="D62"/>
  <c r="C13"/>
  <c r="C26"/>
  <c r="C51"/>
  <c r="C62"/>
  <c r="B16"/>
  <c r="D16" i="4" s="1"/>
  <c r="F16" i="5" s="1"/>
  <c r="H16" s="1"/>
  <c r="B31" i="1"/>
  <c r="B11"/>
  <c r="D11" i="4" s="1"/>
  <c r="F11" i="5" s="1"/>
  <c r="H11" s="1"/>
  <c r="B61" i="1"/>
  <c r="B59"/>
  <c r="D59" i="4" s="1"/>
  <c r="B55" i="1"/>
  <c r="D55" i="4" s="1"/>
  <c r="B50" i="1"/>
  <c r="D50" i="4" s="1"/>
  <c r="B49" i="1"/>
  <c r="D49" i="4" s="1"/>
  <c r="B47" i="1"/>
  <c r="D47" i="4" s="1"/>
  <c r="B46" i="1"/>
  <c r="D46" i="4" s="1"/>
  <c r="B44" i="1"/>
  <c r="D44" i="4" s="1"/>
  <c r="B43" i="1"/>
  <c r="D43" i="4" s="1"/>
  <c r="B41" i="1"/>
  <c r="D41" i="4" s="1"/>
  <c r="B36" i="1"/>
  <c r="B33"/>
  <c r="D33" i="4" s="1"/>
  <c r="B24" i="1"/>
  <c r="D24" i="4" s="1"/>
  <c r="B20" i="1"/>
  <c r="D20" i="4" s="1"/>
  <c r="B18" i="1"/>
  <c r="D18" i="4" s="1"/>
  <c r="B17" i="1"/>
  <c r="D17" i="4" s="1"/>
  <c r="B12" i="1"/>
  <c r="D12" i="4" s="1"/>
  <c r="B10" i="1"/>
  <c r="D10" i="4" s="1"/>
  <c r="F10" l="1"/>
  <c r="F10" i="5"/>
  <c r="H10" s="1"/>
  <c r="F33" i="4"/>
  <c r="F33" i="5"/>
  <c r="H33" s="1"/>
  <c r="F44" i="4"/>
  <c r="F44" i="5"/>
  <c r="H44" s="1"/>
  <c r="F24" i="4"/>
  <c r="F24" i="5"/>
  <c r="H24" s="1"/>
  <c r="F43" i="4"/>
  <c r="F43" i="5"/>
  <c r="H43" s="1"/>
  <c r="F46" i="4"/>
  <c r="F46" i="5"/>
  <c r="H46" s="1"/>
  <c r="F49" i="4"/>
  <c r="F49" i="5"/>
  <c r="H49" s="1"/>
  <c r="F55" i="4"/>
  <c r="F55" i="5"/>
  <c r="H55" s="1"/>
  <c r="F17" i="4"/>
  <c r="F17" i="5"/>
  <c r="H17" s="1"/>
  <c r="F41" i="4"/>
  <c r="F41" i="5"/>
  <c r="H41" s="1"/>
  <c r="J10" i="4"/>
  <c r="J10" i="5"/>
  <c r="L10" s="1"/>
  <c r="F20" i="4"/>
  <c r="F20" i="5"/>
  <c r="H20" s="1"/>
  <c r="J41" i="4"/>
  <c r="J41" i="5"/>
  <c r="L41" s="1"/>
  <c r="F47" i="4"/>
  <c r="F47" i="5"/>
  <c r="H47" s="1"/>
  <c r="F59" i="4"/>
  <c r="F59" i="5"/>
  <c r="H59" s="1"/>
  <c r="F12" i="4"/>
  <c r="F12" i="5"/>
  <c r="H12" s="1"/>
  <c r="F18" i="4"/>
  <c r="F18" i="5"/>
  <c r="H18" s="1"/>
  <c r="J24" i="4"/>
  <c r="J24" i="5"/>
  <c r="L24" s="1"/>
  <c r="J43" i="4"/>
  <c r="J43" i="5"/>
  <c r="L43" s="1"/>
  <c r="J46" i="4"/>
  <c r="J46" i="5"/>
  <c r="L46" s="1"/>
  <c r="J49" i="4"/>
  <c r="J49" i="5"/>
  <c r="L49" s="1"/>
  <c r="J55" i="4"/>
  <c r="J55" i="5"/>
  <c r="L55" s="1"/>
  <c r="F34" i="4"/>
  <c r="F34" i="5"/>
  <c r="H34" s="1"/>
  <c r="J17" i="4"/>
  <c r="J17" i="5"/>
  <c r="L17" s="1"/>
  <c r="J33" i="4"/>
  <c r="J33" i="5"/>
  <c r="L33" s="1"/>
  <c r="J44" i="4"/>
  <c r="J44" i="5"/>
  <c r="L44" s="1"/>
  <c r="F50" i="4"/>
  <c r="F50" i="5"/>
  <c r="H50" s="1"/>
  <c r="D37"/>
  <c r="B66" i="4"/>
  <c r="F11"/>
  <c r="J11" i="5" s="1"/>
  <c r="L11" s="1"/>
  <c r="F16" i="4"/>
  <c r="J71" i="2"/>
  <c r="AA71" i="1"/>
  <c r="AA77" s="1"/>
  <c r="AA80" s="1"/>
  <c r="AA82" s="1"/>
  <c r="AA84" s="1"/>
  <c r="P80" i="2"/>
  <c r="P82" s="1"/>
  <c r="P84" s="1"/>
  <c r="P30" s="1"/>
  <c r="AG80" i="1"/>
  <c r="AG82" s="1"/>
  <c r="AG84" s="1"/>
  <c r="L80"/>
  <c r="L82" s="1"/>
  <c r="L84" s="1"/>
  <c r="L30" s="1"/>
  <c r="L35" s="1"/>
  <c r="L37" s="1"/>
  <c r="S37" i="2"/>
  <c r="F64"/>
  <c r="I64"/>
  <c r="L64"/>
  <c r="E10" i="3"/>
  <c r="B13" i="1"/>
  <c r="B9"/>
  <c r="D9" i="4" s="1"/>
  <c r="B22" i="1"/>
  <c r="D22" i="4" s="1"/>
  <c r="H77" i="1"/>
  <c r="H64"/>
  <c r="J64"/>
  <c r="Z64"/>
  <c r="AF71"/>
  <c r="AF77" s="1"/>
  <c r="R64"/>
  <c r="T64"/>
  <c r="AC64"/>
  <c r="K64" i="2"/>
  <c r="N71"/>
  <c r="N77" s="1"/>
  <c r="Q64"/>
  <c r="B54" i="1"/>
  <c r="D54" i="4" s="1"/>
  <c r="B57" i="1"/>
  <c r="D57" i="4" s="1"/>
  <c r="B60" i="1"/>
  <c r="D60" i="4" s="1"/>
  <c r="V64" i="1"/>
  <c r="AH64"/>
  <c r="G71" i="2"/>
  <c r="G77" s="1"/>
  <c r="J77"/>
  <c r="M64"/>
  <c r="M71"/>
  <c r="M77" s="1"/>
  <c r="O71"/>
  <c r="O77" s="1"/>
  <c r="Q71"/>
  <c r="Q77" s="1"/>
  <c r="E9" i="3"/>
  <c r="B40" i="1"/>
  <c r="D40" i="4" s="1"/>
  <c r="R51" i="2"/>
  <c r="P62"/>
  <c r="E26"/>
  <c r="E71" s="1"/>
  <c r="E77" s="1"/>
  <c r="D71" i="1"/>
  <c r="D77" s="1"/>
  <c r="E64"/>
  <c r="E71"/>
  <c r="E77" s="1"/>
  <c r="F64"/>
  <c r="K64"/>
  <c r="Q64"/>
  <c r="U71"/>
  <c r="U77" s="1"/>
  <c r="D71" i="2"/>
  <c r="D77" s="1"/>
  <c r="R13"/>
  <c r="P62" i="1"/>
  <c r="P64" s="1"/>
  <c r="F71"/>
  <c r="F77" s="1"/>
  <c r="AI64"/>
  <c r="C64"/>
  <c r="D64"/>
  <c r="G64"/>
  <c r="I64"/>
  <c r="P71"/>
  <c r="P77" s="1"/>
  <c r="W71"/>
  <c r="AI71"/>
  <c r="AI77" s="1"/>
  <c r="E8" i="3"/>
  <c r="J26" i="1"/>
  <c r="J71" s="1"/>
  <c r="J77" s="1"/>
  <c r="R26" i="2"/>
  <c r="K26" i="1"/>
  <c r="C71"/>
  <c r="C77" s="1"/>
  <c r="AB64"/>
  <c r="G71"/>
  <c r="G77" s="1"/>
  <c r="B19"/>
  <c r="D19" i="4" s="1"/>
  <c r="B21" i="1"/>
  <c r="D21" i="4" s="1"/>
  <c r="B23" i="1"/>
  <c r="D23" i="4" s="1"/>
  <c r="B25" i="1"/>
  <c r="D25" i="4" s="1"/>
  <c r="L71" i="2"/>
  <c r="R71" i="1"/>
  <c r="T71"/>
  <c r="T77" s="1"/>
  <c r="V71"/>
  <c r="W64"/>
  <c r="Z71"/>
  <c r="Z77" s="1"/>
  <c r="AB71"/>
  <c r="AB77" s="1"/>
  <c r="AC71"/>
  <c r="AC77" s="1"/>
  <c r="AD71"/>
  <c r="AD77" s="1"/>
  <c r="AG64"/>
  <c r="AH71"/>
  <c r="AH77" s="1"/>
  <c r="C64" i="2"/>
  <c r="D64"/>
  <c r="E64"/>
  <c r="F71"/>
  <c r="F77" s="1"/>
  <c r="G64"/>
  <c r="H64"/>
  <c r="I71"/>
  <c r="I77" s="1"/>
  <c r="J64"/>
  <c r="K71"/>
  <c r="AG35" i="1"/>
  <c r="AG37" s="1"/>
  <c r="I71"/>
  <c r="I77" s="1"/>
  <c r="F40" i="4" l="1"/>
  <c r="F40" i="5"/>
  <c r="H40" s="1"/>
  <c r="F60" i="4"/>
  <c r="F60" i="5"/>
  <c r="H60" s="1"/>
  <c r="F54" i="4"/>
  <c r="F54" i="5"/>
  <c r="H54" s="1"/>
  <c r="F22" i="4"/>
  <c r="F22" i="5"/>
  <c r="H22" s="1"/>
  <c r="J50" i="4"/>
  <c r="J50" i="5"/>
  <c r="L50" s="1"/>
  <c r="N44" i="4"/>
  <c r="R44" i="5"/>
  <c r="T44" s="1"/>
  <c r="N33" i="4"/>
  <c r="R33" i="5"/>
  <c r="T33" s="1"/>
  <c r="N17" i="4"/>
  <c r="R17" i="5"/>
  <c r="T17" s="1"/>
  <c r="J34" i="4"/>
  <c r="J34" i="5"/>
  <c r="L34" s="1"/>
  <c r="N55" i="4"/>
  <c r="R55" i="5"/>
  <c r="T55" s="1"/>
  <c r="N49" i="4"/>
  <c r="R49" i="5"/>
  <c r="T49" s="1"/>
  <c r="N46" i="4"/>
  <c r="R46" i="5"/>
  <c r="T46" s="1"/>
  <c r="N43" i="4"/>
  <c r="R43" i="5"/>
  <c r="T43" s="1"/>
  <c r="N24" i="4"/>
  <c r="R24" i="5"/>
  <c r="T24" s="1"/>
  <c r="J18" i="4"/>
  <c r="J18" i="5"/>
  <c r="L18" s="1"/>
  <c r="J12" i="4"/>
  <c r="J12" i="5"/>
  <c r="L12" s="1"/>
  <c r="J59" i="4"/>
  <c r="J59" i="5"/>
  <c r="L59" s="1"/>
  <c r="J47" i="4"/>
  <c r="J47" i="5"/>
  <c r="L47" s="1"/>
  <c r="N41" i="4"/>
  <c r="R41" i="5"/>
  <c r="T41" s="1"/>
  <c r="J20" i="4"/>
  <c r="J20" i="5"/>
  <c r="L20" s="1"/>
  <c r="N10" i="4"/>
  <c r="R10" i="5"/>
  <c r="T10" s="1"/>
  <c r="F21" i="4"/>
  <c r="F21" i="5"/>
  <c r="H21" s="1"/>
  <c r="F57" i="4"/>
  <c r="F57" i="5"/>
  <c r="H57" s="1"/>
  <c r="F9" i="4"/>
  <c r="F13" s="1"/>
  <c r="J13" i="5" s="1"/>
  <c r="L13" s="1"/>
  <c r="F9"/>
  <c r="H9" s="1"/>
  <c r="J16" i="4"/>
  <c r="J16" i="5"/>
  <c r="L16" s="1"/>
  <c r="F23" i="4"/>
  <c r="F23" i="5"/>
  <c r="H23" s="1"/>
  <c r="F19" i="4"/>
  <c r="F19" i="5"/>
  <c r="H19" s="1"/>
  <c r="F25" i="4"/>
  <c r="F25" i="5"/>
  <c r="H25" s="1"/>
  <c r="E11" i="3"/>
  <c r="B67" i="4"/>
  <c r="C21" i="7"/>
  <c r="C11"/>
  <c r="D13" i="4"/>
  <c r="F13" i="5" s="1"/>
  <c r="H13" s="1"/>
  <c r="J11" i="4"/>
  <c r="R11" i="5" s="1"/>
  <c r="T11" s="1"/>
  <c r="D26" i="4"/>
  <c r="F26" i="5" s="1"/>
  <c r="H26" s="1"/>
  <c r="F26" i="4"/>
  <c r="AA30" i="1"/>
  <c r="AA35" s="1"/>
  <c r="AA37" s="1"/>
  <c r="F80" i="2"/>
  <c r="F82" s="1"/>
  <c r="F84" s="1"/>
  <c r="F30" s="1"/>
  <c r="F35" s="1"/>
  <c r="F37" s="1"/>
  <c r="D80"/>
  <c r="D82" s="1"/>
  <c r="D84" s="1"/>
  <c r="D30" s="1"/>
  <c r="D35" s="1"/>
  <c r="D37" s="1"/>
  <c r="E80"/>
  <c r="E82" s="1"/>
  <c r="E84" s="1"/>
  <c r="E30" s="1"/>
  <c r="E35" s="1"/>
  <c r="E37" s="1"/>
  <c r="Q35"/>
  <c r="Q37" s="1"/>
  <c r="Q80"/>
  <c r="Q82" s="1"/>
  <c r="Q84" s="1"/>
  <c r="M80"/>
  <c r="M82" s="1"/>
  <c r="M84" s="1"/>
  <c r="M30" s="1"/>
  <c r="M35" s="1"/>
  <c r="M37" s="1"/>
  <c r="J80"/>
  <c r="J82" s="1"/>
  <c r="J84" s="1"/>
  <c r="J30" s="1"/>
  <c r="J35" s="1"/>
  <c r="J37" s="1"/>
  <c r="I80"/>
  <c r="I82" s="1"/>
  <c r="I84" s="1"/>
  <c r="I30" s="1"/>
  <c r="I35" s="1"/>
  <c r="I37" s="1"/>
  <c r="O35"/>
  <c r="O37" s="1"/>
  <c r="O80"/>
  <c r="O82" s="1"/>
  <c r="O84" s="1"/>
  <c r="G80"/>
  <c r="G82" s="1"/>
  <c r="G84" s="1"/>
  <c r="G30" s="1"/>
  <c r="G35" s="1"/>
  <c r="G37" s="1"/>
  <c r="N80"/>
  <c r="N82" s="1"/>
  <c r="N84" s="1"/>
  <c r="N30" s="1"/>
  <c r="N35" s="1"/>
  <c r="N37" s="1"/>
  <c r="AC80" i="1"/>
  <c r="AC82" s="1"/>
  <c r="AC84" s="1"/>
  <c r="AC30" s="1"/>
  <c r="AC35" s="1"/>
  <c r="AC37" s="1"/>
  <c r="G80"/>
  <c r="G82" s="1"/>
  <c r="G84" s="1"/>
  <c r="G30" s="1"/>
  <c r="G35" s="1"/>
  <c r="G37" s="1"/>
  <c r="I80"/>
  <c r="I82" s="1"/>
  <c r="I84" s="1"/>
  <c r="I30" s="1"/>
  <c r="I35" s="1"/>
  <c r="I37" s="1"/>
  <c r="Z80"/>
  <c r="Z82" s="1"/>
  <c r="Z84" s="1"/>
  <c r="Z30"/>
  <c r="Z35" s="1"/>
  <c r="Z37" s="1"/>
  <c r="C80"/>
  <c r="C82" s="1"/>
  <c r="C84" s="1"/>
  <c r="AH80"/>
  <c r="AH82" s="1"/>
  <c r="AH84" s="1"/>
  <c r="AH30" s="1"/>
  <c r="AH35" s="1"/>
  <c r="AH37" s="1"/>
  <c r="AD80"/>
  <c r="AD82" s="1"/>
  <c r="AD84" s="1"/>
  <c r="AD30" s="1"/>
  <c r="AD35" s="1"/>
  <c r="AD37" s="1"/>
  <c r="AB80"/>
  <c r="AB82" s="1"/>
  <c r="AB84" s="1"/>
  <c r="AB30" s="1"/>
  <c r="AB35" s="1"/>
  <c r="AB37" s="1"/>
  <c r="T80"/>
  <c r="T82" s="1"/>
  <c r="T84" s="1"/>
  <c r="T30" s="1"/>
  <c r="T35" s="1"/>
  <c r="T37" s="1"/>
  <c r="J80"/>
  <c r="J82" s="1"/>
  <c r="J84" s="1"/>
  <c r="J30" s="1"/>
  <c r="J35" s="1"/>
  <c r="J37" s="1"/>
  <c r="AI80"/>
  <c r="AI82" s="1"/>
  <c r="AI84" s="1"/>
  <c r="AI30" s="1"/>
  <c r="AI35" s="1"/>
  <c r="AI37" s="1"/>
  <c r="P80"/>
  <c r="P82" s="1"/>
  <c r="P84" s="1"/>
  <c r="P30" s="1"/>
  <c r="P35" s="1"/>
  <c r="P37" s="1"/>
  <c r="F80"/>
  <c r="F82" s="1"/>
  <c r="F84" s="1"/>
  <c r="F30" s="1"/>
  <c r="F35" s="1"/>
  <c r="F37" s="1"/>
  <c r="U80"/>
  <c r="U82" s="1"/>
  <c r="U84" s="1"/>
  <c r="U30" s="1"/>
  <c r="U35" s="1"/>
  <c r="U37" s="1"/>
  <c r="E80"/>
  <c r="E82" s="1"/>
  <c r="E84" s="1"/>
  <c r="E30" s="1"/>
  <c r="E35" s="1"/>
  <c r="E37" s="1"/>
  <c r="D80"/>
  <c r="D82" s="1"/>
  <c r="D84" s="1"/>
  <c r="D30" s="1"/>
  <c r="D35" s="1"/>
  <c r="D37" s="1"/>
  <c r="AF80"/>
  <c r="AF82" s="1"/>
  <c r="AF84" s="1"/>
  <c r="AF30" s="1"/>
  <c r="AF35" s="1"/>
  <c r="AF37" s="1"/>
  <c r="H80"/>
  <c r="H82" s="1"/>
  <c r="H84" s="1"/>
  <c r="H30" s="1"/>
  <c r="H35" s="1"/>
  <c r="H37" s="1"/>
  <c r="B27"/>
  <c r="D27" i="4" s="1"/>
  <c r="V77" i="1"/>
  <c r="B26" i="2"/>
  <c r="B28" i="1"/>
  <c r="D28" i="4" s="1"/>
  <c r="Q71" i="1"/>
  <c r="Q77" s="1"/>
  <c r="B26"/>
  <c r="B29"/>
  <c r="D29" i="4" s="1"/>
  <c r="K71" i="1"/>
  <c r="K77" s="1"/>
  <c r="R71" i="2"/>
  <c r="R77" s="1"/>
  <c r="N62"/>
  <c r="B45" i="1"/>
  <c r="D45" i="4" s="1"/>
  <c r="H71" i="2"/>
  <c r="H77" s="1"/>
  <c r="W77" i="1"/>
  <c r="P51" i="2"/>
  <c r="P64" s="1"/>
  <c r="AD62" i="1"/>
  <c r="AD64" s="1"/>
  <c r="B58"/>
  <c r="D58" i="4" s="1"/>
  <c r="C13" i="2"/>
  <c r="R62"/>
  <c r="R64" s="1"/>
  <c r="P35"/>
  <c r="P37" s="1"/>
  <c r="J26" i="5" l="1"/>
  <c r="L26" s="1"/>
  <c r="C9" i="6"/>
  <c r="C26" s="1"/>
  <c r="C28" s="1"/>
  <c r="E28" s="1"/>
  <c r="F45" i="4"/>
  <c r="F45" i="5"/>
  <c r="H45" s="1"/>
  <c r="F29" i="4"/>
  <c r="F29" i="5"/>
  <c r="H29" s="1"/>
  <c r="F27" i="4"/>
  <c r="F27" i="5"/>
  <c r="H27" s="1"/>
  <c r="J25" i="4"/>
  <c r="J25" i="5"/>
  <c r="L25" s="1"/>
  <c r="J19" i="4"/>
  <c r="J19" i="5"/>
  <c r="L19" s="1"/>
  <c r="J23" i="4"/>
  <c r="J23" i="5"/>
  <c r="L23" s="1"/>
  <c r="N16" i="4"/>
  <c r="R16" i="5"/>
  <c r="T16" s="1"/>
  <c r="J9" i="4"/>
  <c r="R9" i="5" s="1"/>
  <c r="T9" s="1"/>
  <c r="J9"/>
  <c r="L9" s="1"/>
  <c r="J57" i="4"/>
  <c r="J57" i="5"/>
  <c r="L57" s="1"/>
  <c r="J21" i="4"/>
  <c r="J21" i="5"/>
  <c r="L21" s="1"/>
  <c r="N20" i="4"/>
  <c r="R20" i="5"/>
  <c r="T20" s="1"/>
  <c r="N47" i="4"/>
  <c r="R47" i="5"/>
  <c r="T47" s="1"/>
  <c r="N59" i="4"/>
  <c r="R59" i="5"/>
  <c r="T59" s="1"/>
  <c r="N12" i="4"/>
  <c r="R12" i="5"/>
  <c r="T12" s="1"/>
  <c r="N18" i="4"/>
  <c r="R18" i="5"/>
  <c r="T18" s="1"/>
  <c r="N34" i="4"/>
  <c r="R34" i="5"/>
  <c r="T34" s="1"/>
  <c r="N50" i="4"/>
  <c r="R50" i="5"/>
  <c r="T50" s="1"/>
  <c r="J22" i="4"/>
  <c r="R22" i="5" s="1"/>
  <c r="T22" s="1"/>
  <c r="J22"/>
  <c r="L22" s="1"/>
  <c r="J54" i="4"/>
  <c r="J54" i="5"/>
  <c r="L54" s="1"/>
  <c r="J60" i="4"/>
  <c r="J60" i="5"/>
  <c r="L60" s="1"/>
  <c r="J40" i="4"/>
  <c r="J40" i="5"/>
  <c r="L40" s="1"/>
  <c r="F58" i="4"/>
  <c r="F58" i="5"/>
  <c r="H58" s="1"/>
  <c r="F28" i="4"/>
  <c r="F28" i="5"/>
  <c r="H28" s="1"/>
  <c r="B67"/>
  <c r="D67" s="1"/>
  <c r="AH67" i="1"/>
  <c r="AD67"/>
  <c r="AB67"/>
  <c r="Z67"/>
  <c r="X67"/>
  <c r="T67"/>
  <c r="P67"/>
  <c r="N67"/>
  <c r="L67"/>
  <c r="J67"/>
  <c r="H67"/>
  <c r="F67"/>
  <c r="D67"/>
  <c r="AI67"/>
  <c r="AG67"/>
  <c r="AE67"/>
  <c r="AC67"/>
  <c r="Y67"/>
  <c r="S67"/>
  <c r="O67"/>
  <c r="M67"/>
  <c r="I67"/>
  <c r="G67"/>
  <c r="E67"/>
  <c r="S68" i="2"/>
  <c r="Q68"/>
  <c r="M68"/>
  <c r="I68"/>
  <c r="G68"/>
  <c r="E68"/>
  <c r="AH68" i="1"/>
  <c r="AD68"/>
  <c r="AB68"/>
  <c r="Z68"/>
  <c r="X68"/>
  <c r="T68"/>
  <c r="P68"/>
  <c r="N68"/>
  <c r="L68"/>
  <c r="J68"/>
  <c r="H68"/>
  <c r="F68"/>
  <c r="D68"/>
  <c r="P68" i="2"/>
  <c r="J68"/>
  <c r="F68"/>
  <c r="D68"/>
  <c r="AI68" i="1"/>
  <c r="AG68"/>
  <c r="AE68"/>
  <c r="AC68"/>
  <c r="Y68"/>
  <c r="S68"/>
  <c r="O68"/>
  <c r="M68"/>
  <c r="I68"/>
  <c r="G68"/>
  <c r="E68"/>
  <c r="B68" i="4"/>
  <c r="J13"/>
  <c r="N11"/>
  <c r="D71"/>
  <c r="F70" i="5" s="1"/>
  <c r="H70" s="1"/>
  <c r="F71" i="4"/>
  <c r="J70" i="5" s="1"/>
  <c r="L70" s="1"/>
  <c r="L30" i="2"/>
  <c r="C30" i="1"/>
  <c r="H80" i="2"/>
  <c r="H82" s="1"/>
  <c r="H84" s="1"/>
  <c r="H30" s="1"/>
  <c r="H35" s="1"/>
  <c r="H37" s="1"/>
  <c r="H68" s="1"/>
  <c r="R80"/>
  <c r="R82" s="1"/>
  <c r="R84" s="1"/>
  <c r="R30" s="1"/>
  <c r="R35" s="1"/>
  <c r="R37" s="1"/>
  <c r="R68" s="1"/>
  <c r="V80" i="1"/>
  <c r="V82" s="1"/>
  <c r="V84" s="1"/>
  <c r="V30" s="1"/>
  <c r="V35" s="1"/>
  <c r="V37" s="1"/>
  <c r="W80"/>
  <c r="W82" s="1"/>
  <c r="W84" s="1"/>
  <c r="W30" s="1"/>
  <c r="W35" s="1"/>
  <c r="W37" s="1"/>
  <c r="K80"/>
  <c r="K82" s="1"/>
  <c r="K84" s="1"/>
  <c r="K30" s="1"/>
  <c r="K35" s="1"/>
  <c r="K37" s="1"/>
  <c r="Q80"/>
  <c r="Q82" s="1"/>
  <c r="Q84" s="1"/>
  <c r="Q30" s="1"/>
  <c r="Q35" s="1"/>
  <c r="Q37" s="1"/>
  <c r="B71"/>
  <c r="B13" i="2"/>
  <c r="B62"/>
  <c r="C71"/>
  <c r="N64"/>
  <c r="N68" s="1"/>
  <c r="B42" i="1"/>
  <c r="D42" i="4" s="1"/>
  <c r="U62" i="1"/>
  <c r="B56"/>
  <c r="D56" i="4" s="1"/>
  <c r="F56" i="5" s="1"/>
  <c r="H56" s="1"/>
  <c r="AF51" i="1"/>
  <c r="AF64" s="1"/>
  <c r="AF68" s="1"/>
  <c r="F42" i="4" l="1"/>
  <c r="F42" i="5"/>
  <c r="H42" s="1"/>
  <c r="J28" i="4"/>
  <c r="J28" i="5"/>
  <c r="L28" s="1"/>
  <c r="J58" i="4"/>
  <c r="J58" i="5"/>
  <c r="L58" s="1"/>
  <c r="N40" i="4"/>
  <c r="R40" i="5"/>
  <c r="T40" s="1"/>
  <c r="N60" i="4"/>
  <c r="R60" i="5"/>
  <c r="T60" s="1"/>
  <c r="N54" i="4"/>
  <c r="R54" i="5"/>
  <c r="T54" s="1"/>
  <c r="N21" i="4"/>
  <c r="R21" i="5"/>
  <c r="T21" s="1"/>
  <c r="N57" i="4"/>
  <c r="R57" i="5"/>
  <c r="T57" s="1"/>
  <c r="N23" i="4"/>
  <c r="R23" i="5"/>
  <c r="T23" s="1"/>
  <c r="N19" i="4"/>
  <c r="R19" i="5"/>
  <c r="T19" s="1"/>
  <c r="J26" i="4"/>
  <c r="C31" i="6" s="1"/>
  <c r="C45" s="1"/>
  <c r="C47" s="1"/>
  <c r="E47" s="1"/>
  <c r="O48" i="2" s="1"/>
  <c r="N25" i="4"/>
  <c r="R25" i="5"/>
  <c r="T25" s="1"/>
  <c r="J27" i="4"/>
  <c r="J27" i="5"/>
  <c r="L27" s="1"/>
  <c r="J29" i="4"/>
  <c r="R29" i="5" s="1"/>
  <c r="T29" s="1"/>
  <c r="J29"/>
  <c r="L29" s="1"/>
  <c r="J45" i="4"/>
  <c r="J45" i="5"/>
  <c r="L45" s="1"/>
  <c r="R13"/>
  <c r="T13" s="1"/>
  <c r="K68" i="1"/>
  <c r="K67"/>
  <c r="V68"/>
  <c r="V67"/>
  <c r="Q68"/>
  <c r="Q67"/>
  <c r="W68"/>
  <c r="W67"/>
  <c r="AF67"/>
  <c r="F56" i="4"/>
  <c r="J56" i="5" s="1"/>
  <c r="L56" s="1"/>
  <c r="D62" i="4"/>
  <c r="F62" i="5" s="1"/>
  <c r="H62" s="1"/>
  <c r="L35" i="2"/>
  <c r="B71"/>
  <c r="U64" i="1"/>
  <c r="B62"/>
  <c r="C77" i="2"/>
  <c r="J71" i="4" l="1"/>
  <c r="R70" i="5" s="1"/>
  <c r="T70" s="1"/>
  <c r="B48" i="2"/>
  <c r="H48" i="4" s="1"/>
  <c r="R26" i="5"/>
  <c r="T26" s="1"/>
  <c r="N58" i="4"/>
  <c r="R58" i="5"/>
  <c r="T58" s="1"/>
  <c r="R28"/>
  <c r="T28" s="1"/>
  <c r="N28" i="4"/>
  <c r="J42"/>
  <c r="J42" i="5"/>
  <c r="L42" s="1"/>
  <c r="N45" i="4"/>
  <c r="R45" i="5"/>
  <c r="T45" s="1"/>
  <c r="N27" i="4"/>
  <c r="R27" i="5"/>
  <c r="T27" s="1"/>
  <c r="U68" i="1"/>
  <c r="U67"/>
  <c r="F62" i="4"/>
  <c r="J62" i="5" s="1"/>
  <c r="L62" s="1"/>
  <c r="J56" i="4"/>
  <c r="R56" i="5" s="1"/>
  <c r="T56" s="1"/>
  <c r="L37" i="2"/>
  <c r="C80"/>
  <c r="C82" s="1"/>
  <c r="C84" s="1"/>
  <c r="B79"/>
  <c r="C35" i="1"/>
  <c r="O51" i="2" l="1"/>
  <c r="B51" s="1"/>
  <c r="N42" i="4"/>
  <c r="R42" i="5"/>
  <c r="T42" s="1"/>
  <c r="H51" i="4"/>
  <c r="N48" i="5"/>
  <c r="P48" s="1"/>
  <c r="L68" i="2"/>
  <c r="J62" i="4"/>
  <c r="R62" i="5" s="1"/>
  <c r="T62" s="1"/>
  <c r="N56" i="4"/>
  <c r="N62" s="1"/>
  <c r="C30" i="2"/>
  <c r="O64"/>
  <c r="O68" s="1"/>
  <c r="C37" i="1"/>
  <c r="H64" i="4" l="1"/>
  <c r="N64" i="5" s="1"/>
  <c r="P64" s="1"/>
  <c r="N51"/>
  <c r="P51" s="1"/>
  <c r="C68" i="1"/>
  <c r="C67"/>
  <c r="B64" i="2"/>
  <c r="C35" l="1"/>
  <c r="C37" l="1"/>
  <c r="C68" s="1"/>
  <c r="AA48" i="1"/>
  <c r="B48" l="1"/>
  <c r="D48" i="4" s="1"/>
  <c r="AA51" i="1"/>
  <c r="B51" l="1"/>
  <c r="AA64"/>
  <c r="F48" i="5"/>
  <c r="H48" s="1"/>
  <c r="D51" i="4"/>
  <c r="F48"/>
  <c r="F51" i="5" l="1"/>
  <c r="H51" s="1"/>
  <c r="D64" i="4"/>
  <c r="F64" i="5" s="1"/>
  <c r="H64" s="1"/>
  <c r="B64" i="1"/>
  <c r="AA67"/>
  <c r="AA68"/>
  <c r="J48" i="5"/>
  <c r="L48" s="1"/>
  <c r="F51" i="4"/>
  <c r="J48"/>
  <c r="R48" i="5" l="1"/>
  <c r="T48" s="1"/>
  <c r="N48" i="4"/>
  <c r="N51" s="1"/>
  <c r="N64" s="1"/>
  <c r="J51"/>
  <c r="J51" i="5"/>
  <c r="L51" s="1"/>
  <c r="F64" i="4"/>
  <c r="J64" i="5" l="1"/>
  <c r="L64" s="1"/>
  <c r="C10" i="7"/>
  <c r="C12" s="1"/>
  <c r="J64" i="4"/>
  <c r="R51" i="5"/>
  <c r="T51" s="1"/>
  <c r="C24" i="7" l="1"/>
  <c r="C16"/>
  <c r="R74" i="1" s="1"/>
  <c r="C20" i="7"/>
  <c r="C22" s="1"/>
  <c r="C26" s="1"/>
  <c r="K74" i="2" s="1"/>
  <c r="R64" i="5"/>
  <c r="T64" s="1"/>
  <c r="R77" i="1" l="1"/>
  <c r="B74"/>
  <c r="D74" i="4" s="1"/>
  <c r="K77" i="2"/>
  <c r="B74"/>
  <c r="H74" i="4" s="1"/>
  <c r="H77" l="1"/>
  <c r="N73" i="5"/>
  <c r="P73" s="1"/>
  <c r="D77" i="4"/>
  <c r="F73" i="5"/>
  <c r="H73" s="1"/>
  <c r="F74" i="4"/>
  <c r="B77" i="2"/>
  <c r="K80"/>
  <c r="B77" i="1"/>
  <c r="R80"/>
  <c r="R82" l="1"/>
  <c r="B80"/>
  <c r="B80" i="2"/>
  <c r="K82"/>
  <c r="J73" i="5"/>
  <c r="L73" s="1"/>
  <c r="J74" i="4"/>
  <c r="F77"/>
  <c r="F76" i="5"/>
  <c r="H76" s="1"/>
  <c r="D80" i="4"/>
  <c r="H80"/>
  <c r="N76" i="5"/>
  <c r="P76" s="1"/>
  <c r="N79" l="1"/>
  <c r="P79" s="1"/>
  <c r="H82" i="4"/>
  <c r="R73" i="5"/>
  <c r="T73" s="1"/>
  <c r="J77" i="4"/>
  <c r="N74"/>
  <c r="B82" i="2"/>
  <c r="K84"/>
  <c r="F79" i="5"/>
  <c r="H79" s="1"/>
  <c r="D82" i="4"/>
  <c r="J76" i="5"/>
  <c r="L76" s="1"/>
  <c r="F80" i="4"/>
  <c r="B82" i="1"/>
  <c r="R84"/>
  <c r="R76" i="5" l="1"/>
  <c r="T76" s="1"/>
  <c r="J80" i="4"/>
  <c r="H84"/>
  <c r="N81" i="5"/>
  <c r="R30" i="1"/>
  <c r="B84"/>
  <c r="F82" i="4"/>
  <c r="J79" i="5"/>
  <c r="L79" s="1"/>
  <c r="F81"/>
  <c r="D84" i="4"/>
  <c r="K30" i="2"/>
  <c r="B84"/>
  <c r="F83" i="5" l="1"/>
  <c r="H83" s="1"/>
  <c r="D30" i="4"/>
  <c r="J82"/>
  <c r="R79" i="5"/>
  <c r="T79" s="1"/>
  <c r="B30" i="2"/>
  <c r="K35"/>
  <c r="J81" i="5"/>
  <c r="F84" i="4"/>
  <c r="R35" i="1"/>
  <c r="B30"/>
  <c r="H30" i="4"/>
  <c r="N83" i="5"/>
  <c r="P83" s="1"/>
  <c r="J83" l="1"/>
  <c r="L83" s="1"/>
  <c r="F30" i="4"/>
  <c r="B35" i="2"/>
  <c r="K37"/>
  <c r="F30" i="5"/>
  <c r="H30" s="1"/>
  <c r="D35" i="4"/>
  <c r="H35"/>
  <c r="N30" i="5"/>
  <c r="P30" s="1"/>
  <c r="B35" i="1"/>
  <c r="R37"/>
  <c r="J84" i="4"/>
  <c r="R81" i="5"/>
  <c r="R67" i="1" l="1"/>
  <c r="R68"/>
  <c r="B68" s="1"/>
  <c r="B37"/>
  <c r="B67" s="1"/>
  <c r="D37" i="4"/>
  <c r="F35" i="5"/>
  <c r="H35" s="1"/>
  <c r="K68" i="2"/>
  <c r="B68" s="1"/>
  <c r="B37"/>
  <c r="J30" i="5"/>
  <c r="L30" s="1"/>
  <c r="F35" i="4"/>
  <c r="R83" i="5"/>
  <c r="T83" s="1"/>
  <c r="J30" i="4"/>
  <c r="N35" i="5"/>
  <c r="P35" s="1"/>
  <c r="H37" i="4"/>
  <c r="N37" i="5" l="1"/>
  <c r="P37" s="1"/>
  <c r="H68" i="4"/>
  <c r="R30" i="5"/>
  <c r="T30" s="1"/>
  <c r="J35" i="4"/>
  <c r="D68"/>
  <c r="F37" i="5"/>
  <c r="H37" s="1"/>
  <c r="J35"/>
  <c r="L35" s="1"/>
  <c r="F37" i="4"/>
  <c r="J37" l="1"/>
  <c r="R35" i="5"/>
  <c r="T35" s="1"/>
  <c r="F68" i="4"/>
  <c r="J37" i="5"/>
  <c r="L37" s="1"/>
  <c r="F66" i="4"/>
  <c r="D66" l="1"/>
  <c r="F67"/>
  <c r="J66"/>
  <c r="J68"/>
  <c r="R37" i="5"/>
  <c r="T37" s="1"/>
  <c r="L9" i="4"/>
  <c r="L29" l="1"/>
  <c r="V9" i="5"/>
  <c r="X9" s="1"/>
  <c r="L13" i="4"/>
  <c r="L22"/>
  <c r="N9"/>
  <c r="N13" s="1"/>
  <c r="D67"/>
  <c r="F67" i="5" s="1"/>
  <c r="H67" s="1"/>
  <c r="J67"/>
  <c r="L67" s="1"/>
  <c r="I67" i="2"/>
  <c r="F67"/>
  <c r="D67"/>
  <c r="G67"/>
  <c r="C67"/>
  <c r="M67"/>
  <c r="K67"/>
  <c r="E67"/>
  <c r="S67"/>
  <c r="L67"/>
  <c r="O67"/>
  <c r="P67"/>
  <c r="Q67"/>
  <c r="J67"/>
  <c r="R67"/>
  <c r="N67"/>
  <c r="B67"/>
  <c r="H67"/>
  <c r="H66" i="4"/>
  <c r="J67"/>
  <c r="R67" i="5" l="1"/>
  <c r="T67" s="1"/>
  <c r="H67" i="4"/>
  <c r="N67" i="5" s="1"/>
  <c r="P67" s="1"/>
  <c r="V13"/>
  <c r="X13" s="1"/>
  <c r="N29" i="4"/>
  <c r="V29" i="5"/>
  <c r="X29" s="1"/>
  <c r="V22"/>
  <c r="X22" s="1"/>
  <c r="L26" i="4"/>
  <c r="N22"/>
  <c r="N26" s="1"/>
  <c r="V26" i="5" l="1"/>
  <c r="X26" s="1"/>
  <c r="N71" i="4"/>
  <c r="N77" s="1"/>
  <c r="N80" s="1"/>
  <c r="N82" s="1"/>
  <c r="N84" s="1"/>
  <c r="N30" s="1"/>
  <c r="N35" s="1"/>
  <c r="N37" s="1"/>
  <c r="N66" s="1"/>
  <c r="L71"/>
  <c r="N67" l="1"/>
  <c r="L67" s="1"/>
  <c r="L66"/>
  <c r="L77"/>
  <c r="V70" i="5"/>
  <c r="X70" s="1"/>
  <c r="V76" l="1"/>
  <c r="X76" s="1"/>
  <c r="L80" i="4"/>
  <c r="V79" i="5" l="1"/>
  <c r="X79" s="1"/>
  <c r="L82" i="4"/>
  <c r="V81" i="5" l="1"/>
  <c r="L84" i="4"/>
  <c r="V83" i="5" l="1"/>
  <c r="X83" s="1"/>
  <c r="L30" i="4"/>
  <c r="V30" i="5" l="1"/>
  <c r="X30" s="1"/>
  <c r="L35" i="4"/>
  <c r="V35" i="5" l="1"/>
  <c r="X35" s="1"/>
  <c r="L37" i="4"/>
  <c r="V37" i="5" s="1"/>
  <c r="X37" s="1"/>
</calcChain>
</file>

<file path=xl/sharedStrings.xml><?xml version="1.0" encoding="utf-8"?>
<sst xmlns="http://schemas.openxmlformats.org/spreadsheetml/2006/main" count="550" uniqueCount="289">
  <si>
    <t>3.1</t>
  </si>
  <si>
    <t>4.1</t>
  </si>
  <si>
    <t>3.2</t>
  </si>
  <si>
    <t>3.3</t>
  </si>
  <si>
    <t>3.4</t>
  </si>
  <si>
    <t>3.5</t>
  </si>
  <si>
    <t>3.6</t>
  </si>
  <si>
    <t>4.2</t>
  </si>
  <si>
    <t>4.3</t>
  </si>
  <si>
    <t>4.4</t>
  </si>
  <si>
    <t>4.5</t>
  </si>
  <si>
    <t>4.6</t>
  </si>
  <si>
    <t>4.7</t>
  </si>
  <si>
    <t>5.1</t>
  </si>
  <si>
    <t>6.1</t>
  </si>
  <si>
    <t>7.1</t>
  </si>
  <si>
    <t>7.2</t>
  </si>
  <si>
    <t>7.3</t>
  </si>
  <si>
    <t>7.4</t>
  </si>
  <si>
    <t>7.7</t>
  </si>
  <si>
    <t>7.8</t>
  </si>
  <si>
    <t>7.9</t>
  </si>
  <si>
    <t>7.10</t>
  </si>
  <si>
    <t>7.11</t>
  </si>
  <si>
    <t>7.12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</si>
  <si>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</si>
  <si>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</si>
  <si>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</si>
  <si>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</si>
  <si>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</si>
  <si>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</si>
  <si>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</si>
  <si>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</si>
  <si>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</si>
  <si>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</si>
  <si>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9.1</t>
  </si>
  <si>
    <t xml:space="preserve">Capital Structure </t>
  </si>
  <si>
    <t>Embedded Cost</t>
  </si>
  <si>
    <t>Weighted Cost</t>
  </si>
  <si>
    <t>DEBT%</t>
  </si>
  <si>
    <t>PREFERRED %</t>
  </si>
  <si>
    <t>COMMON %</t>
  </si>
  <si>
    <t>Tab 6</t>
  </si>
  <si>
    <t>Total Restating Adjustments</t>
  </si>
  <si>
    <t>Tab 3 - Revenue</t>
  </si>
  <si>
    <t>Tab 4 - Operations and Maintenance</t>
  </si>
  <si>
    <t>Tab 5 - Net Power Costs</t>
  </si>
  <si>
    <t>Tab 7 - Taxes</t>
  </si>
  <si>
    <t>Tab 8 - Rate Base</t>
  </si>
  <si>
    <t>Total Pro Forma Adjustments</t>
  </si>
  <si>
    <t>5.4</t>
  </si>
  <si>
    <t>5.5</t>
  </si>
  <si>
    <t>4.8</t>
  </si>
  <si>
    <t>5.6</t>
  </si>
  <si>
    <t>5.3</t>
  </si>
  <si>
    <t>7.5</t>
  </si>
  <si>
    <t>7.6</t>
  </si>
  <si>
    <t>8.5.1</t>
  </si>
  <si>
    <t xml:space="preserve">Tab 6 </t>
  </si>
  <si>
    <t>5.2</t>
  </si>
  <si>
    <t>9.1.1</t>
  </si>
  <si>
    <t>PacifiCorp</t>
  </si>
  <si>
    <t>WA General Rate Case - December 2009</t>
  </si>
  <si>
    <t>Estimated Price Change</t>
  </si>
  <si>
    <t>Tab 9 - Prod. Factor</t>
  </si>
  <si>
    <t>Summary of Restating Adjustments</t>
  </si>
  <si>
    <t>Summary of Proforma Adjustments</t>
  </si>
  <si>
    <t>Return on Rate Base</t>
  </si>
  <si>
    <t xml:space="preserve">   Operating Revenues:</t>
  </si>
  <si>
    <t>General Business Revenues</t>
  </si>
  <si>
    <t>Interdepartmental</t>
  </si>
  <si>
    <t>Special Sales</t>
  </si>
  <si>
    <t>Other Operating Revenues</t>
  </si>
  <si>
    <t xml:space="preserve">   Total Operating Revenues</t>
  </si>
  <si>
    <t xml:space="preserve">   Operating Expenses:</t>
  </si>
  <si>
    <t>Steam Production</t>
  </si>
  <si>
    <t>Nuclear Production</t>
  </si>
  <si>
    <t>Hydro Production</t>
  </si>
  <si>
    <t>Other Power Supply</t>
  </si>
  <si>
    <t>Transmission</t>
  </si>
  <si>
    <t>Distribution</t>
  </si>
  <si>
    <t>Customer Accounting</t>
  </si>
  <si>
    <t>Customer Service &amp; Info</t>
  </si>
  <si>
    <t>Sales</t>
  </si>
  <si>
    <t>Administrative &amp; General</t>
  </si>
  <si>
    <t xml:space="preserve">   Total O&amp;M Expenses</t>
  </si>
  <si>
    <t>Depreciation</t>
  </si>
  <si>
    <t xml:space="preserve">Amortization </t>
  </si>
  <si>
    <t>Taxes Other Than Income</t>
  </si>
  <si>
    <t>Income Taxes - Federal</t>
  </si>
  <si>
    <t>Income Taxes - State</t>
  </si>
  <si>
    <t>Income Taxes - Def Net</t>
  </si>
  <si>
    <t>Investment Tax Credit Adj.</t>
  </si>
  <si>
    <t>Misc Revenue &amp; Expense</t>
  </si>
  <si>
    <t xml:space="preserve">   Total Operating Expenses:</t>
  </si>
  <si>
    <t xml:space="preserve">   Operating Rev For Return:</t>
  </si>
  <si>
    <t xml:space="preserve">   Rate Base:</t>
  </si>
  <si>
    <t>Electric Plant In Service</t>
  </si>
  <si>
    <t>Plant Held for Future Use</t>
  </si>
  <si>
    <t>Misc Deferred Debits</t>
  </si>
  <si>
    <t>Elec Plant Acq Adj</t>
  </si>
  <si>
    <t>Nuclear Fuel</t>
  </si>
  <si>
    <t>Prepayments</t>
  </si>
  <si>
    <t>Fuel Stock</t>
  </si>
  <si>
    <t>Material &amp; Supplies</t>
  </si>
  <si>
    <t>Working Capital</t>
  </si>
  <si>
    <t>Weatherization</t>
  </si>
  <si>
    <t xml:space="preserve">Misc Rate Base </t>
  </si>
  <si>
    <t xml:space="preserve">   Total Electric Plant:</t>
  </si>
  <si>
    <t>Rate Base Deductions:</t>
  </si>
  <si>
    <t>Accum Prov For Deprec</t>
  </si>
  <si>
    <t>Accum Prov For Amort</t>
  </si>
  <si>
    <t>Accum Def Income Tax</t>
  </si>
  <si>
    <t>Unamortized ITC</t>
  </si>
  <si>
    <t>Customer Adv For Const</t>
  </si>
  <si>
    <t>Customer Service Deposits</t>
  </si>
  <si>
    <t>Misc Rate Base Deductions</t>
  </si>
  <si>
    <t xml:space="preserve">     Total Rate Base Deductions</t>
  </si>
  <si>
    <t xml:space="preserve">   Total Rate Base:</t>
  </si>
  <si>
    <t>Return on Equity</t>
  </si>
  <si>
    <t>TAX CALCULATION:</t>
  </si>
  <si>
    <t>Operating Revenue</t>
  </si>
  <si>
    <t>Other Deductions</t>
  </si>
  <si>
    <t>Interest (AFUDC)</t>
  </si>
  <si>
    <t>Interest</t>
  </si>
  <si>
    <t>Schedule "M" Additions</t>
  </si>
  <si>
    <t>Schedule "M" Deductions</t>
  </si>
  <si>
    <t>Income Before Tax</t>
  </si>
  <si>
    <t>State Income Taxes</t>
  </si>
  <si>
    <t>Taxable Income</t>
  </si>
  <si>
    <t>Temperature Normalization</t>
  </si>
  <si>
    <t>Revenue Normalization</t>
  </si>
  <si>
    <t>SO2 Emission Allowances</t>
  </si>
  <si>
    <t>Green Tag Revenues</t>
  </si>
  <si>
    <t>Wheeling Revenue Adjustment</t>
  </si>
  <si>
    <t>Miscellaneous General Expense Adjustment</t>
  </si>
  <si>
    <t>General Wage Increase  - Annualization</t>
  </si>
  <si>
    <t>Affiliate Management Fee</t>
  </si>
  <si>
    <t>DSM Removal Adjustment</t>
  </si>
  <si>
    <t>Remove Non-Recurring Entries</t>
  </si>
  <si>
    <t>Net Power Costs - Restating</t>
  </si>
  <si>
    <t>Electric Lake Settlement</t>
  </si>
  <si>
    <t>BPA Residential Exchange</t>
  </si>
  <si>
    <t>Removal of Colstrip #3</t>
  </si>
  <si>
    <t>Hydro Decommissioning</t>
  </si>
  <si>
    <t>Interest True Up</t>
  </si>
  <si>
    <t>Accumulated Deferred Income Tax Factor Correction</t>
  </si>
  <si>
    <t>Malin Midpoint Adjustment</t>
  </si>
  <si>
    <t>WA - FAS 109 Flow-Through</t>
  </si>
  <si>
    <t>AFUDC - Equity</t>
  </si>
  <si>
    <t>Remove Deferred State Tax Expense</t>
  </si>
  <si>
    <t>Current Year Def Inc Tax Normalization</t>
  </si>
  <si>
    <t>Medicare Deferred Tax Expense</t>
  </si>
  <si>
    <t>Avg Balance for Accum Def Inc Tax - Property</t>
  </si>
  <si>
    <t>Cash Working Capital</t>
  </si>
  <si>
    <t>Jim Bridger Mine Rate Base Adjustment</t>
  </si>
  <si>
    <t xml:space="preserve">Environmental Remediation </t>
  </si>
  <si>
    <t>Customer Advances for Construction</t>
  </si>
  <si>
    <t>Miscellaneous Rate Base</t>
  </si>
  <si>
    <t xml:space="preserve">(Cont) Miscellaneous Rate Base </t>
  </si>
  <si>
    <t>Removal of Colstrip #4 AFUDC</t>
  </si>
  <si>
    <t>Trojan Unrecovered Plant Adjustment</t>
  </si>
  <si>
    <t>Effective Price Change</t>
  </si>
  <si>
    <t>Net Power Costs - Proforma</t>
  </si>
  <si>
    <t>James River Royalty Offset</t>
  </si>
  <si>
    <t xml:space="preserve">Proforma General Wage Increase </t>
  </si>
  <si>
    <t>Pension Curtailment</t>
  </si>
  <si>
    <t>Remove MEHC Severance</t>
  </si>
  <si>
    <t>Powerdale Hydro Removal</t>
  </si>
  <si>
    <t>Chehalis Reg Asset - WA</t>
  </si>
  <si>
    <t>Renewable Energy Tax Credit</t>
  </si>
  <si>
    <t>Public Utility Tax Adjustment</t>
  </si>
  <si>
    <t>WA Low Income Tax Credit</t>
  </si>
  <si>
    <t>Production Factor Adjustment</t>
  </si>
  <si>
    <t>(Cont) Production Factor Adjustment</t>
  </si>
  <si>
    <t>Cash Working Capital for Unadjusted Results</t>
  </si>
  <si>
    <t>Restating Adjustments</t>
  </si>
  <si>
    <t>Total Restated Actual Results</t>
  </si>
  <si>
    <t>Proforma Adjustments</t>
  </si>
  <si>
    <t>Total Normalized Results</t>
  </si>
  <si>
    <t>(1)</t>
  </si>
  <si>
    <t>(2)</t>
  </si>
  <si>
    <t>(3)</t>
  </si>
  <si>
    <t>(4)</t>
  </si>
  <si>
    <t>(5)</t>
  </si>
  <si>
    <t>(6)</t>
  </si>
  <si>
    <t>Unadjusted
Results</t>
  </si>
  <si>
    <t>Summary of Washington-Allocated Results</t>
  </si>
  <si>
    <t>(1) + (2)</t>
  </si>
  <si>
    <t>(3) + (4)</t>
  </si>
  <si>
    <t>(From RAM - Results Tab)</t>
  </si>
  <si>
    <t>Interest True-up Calculation</t>
  </si>
  <si>
    <t>Unadjusted Interest Expense</t>
  </si>
  <si>
    <t>Restated Washington Allocated Rate Base</t>
  </si>
  <si>
    <t>Weighted Cost of Debt</t>
  </si>
  <si>
    <t>Restated Interest Expense</t>
  </si>
  <si>
    <t>Restating Adjustment</t>
  </si>
  <si>
    <t>Restated Results</t>
  </si>
  <si>
    <t>Proforma Results</t>
  </si>
  <si>
    <t>Proforma Washington Allocated Rate Base</t>
  </si>
  <si>
    <t>Proforma Interest Expense</t>
  </si>
  <si>
    <t>Proforma Adjustment</t>
  </si>
  <si>
    <t>Federal Income Taxes Before Credits</t>
  </si>
  <si>
    <t>Energy Tax Credits</t>
  </si>
  <si>
    <t>Federal Income Taxes</t>
  </si>
  <si>
    <t>Price Change</t>
  </si>
  <si>
    <t>Results with Price Change</t>
  </si>
  <si>
    <t>(7)</t>
  </si>
  <si>
    <t>WUTC Regulatory Fee</t>
  </si>
  <si>
    <t>Operating Deductions</t>
  </si>
  <si>
    <t>Uncollectable Accounts</t>
  </si>
  <si>
    <t>Taxes Other - Revenue Tax</t>
  </si>
  <si>
    <t>Taxes Other - Resource Supplier</t>
  </si>
  <si>
    <t>Taxes Other - Gross Receipts</t>
  </si>
  <si>
    <t>Sub-Total</t>
  </si>
  <si>
    <t>Federal Income Tax @ 35.00%</t>
  </si>
  <si>
    <t>Net Operating Income</t>
  </si>
  <si>
    <t>Net to Gross Bump-up Factor</t>
  </si>
  <si>
    <t>State Taxes</t>
  </si>
  <si>
    <t>(5) + (6)</t>
  </si>
  <si>
    <t>Washington General Rate Case - December 2009</t>
  </si>
  <si>
    <t>Unadjusted Results</t>
  </si>
  <si>
    <t>Capital Structure and Cost</t>
  </si>
  <si>
    <t>Estimated Return on Equity Impact</t>
  </si>
  <si>
    <t>Variables</t>
  </si>
  <si>
    <t>Cash Working Capital (CWC) Calculation</t>
  </si>
  <si>
    <t>Variance</t>
  </si>
  <si>
    <t>Summary
Sheet</t>
  </si>
  <si>
    <t>Regulatory Adjustment Model (RAM)</t>
  </si>
  <si>
    <t>Check Totals (RAM to Summary Tab)</t>
  </si>
  <si>
    <t>Restating Adj.</t>
  </si>
  <si>
    <t>Proforma Adj.</t>
  </si>
  <si>
    <t>Less Unadjusted Fuel and Purchased Power</t>
  </si>
  <si>
    <t>Less Unadjusted Fuel and Purchased Power:</t>
  </si>
  <si>
    <t>Less Unadjusted Fuel 501 - Non NPC</t>
  </si>
  <si>
    <t>Restated CWC:</t>
  </si>
  <si>
    <t>Total Restated O&amp;M Expenses</t>
  </si>
  <si>
    <t>Less Unadjusted Fuel 501 NPC</t>
  </si>
  <si>
    <t>Less Unadjusted Fuel 547 NPC</t>
  </si>
  <si>
    <t>Less Unadjusted Purchased Power 555 - Non NPC</t>
  </si>
  <si>
    <t>Less Unadjusted Purchased Power 555 - NPC</t>
  </si>
  <si>
    <t>Subtotal Unadjusted Fuel and Purchased Power</t>
  </si>
  <si>
    <t>Less Restating Adjustments to Fuel and Purchased Power:</t>
  </si>
  <si>
    <t>Less Fuel 501 NPC Adjustment 5.1</t>
  </si>
  <si>
    <t>Less Fuel 547 NPC Adjustment 5.1</t>
  </si>
  <si>
    <t>Less Purchased Power 555 Adjustment 5.1</t>
  </si>
  <si>
    <t>Less Purchased Power 555 Adjustment 5.4</t>
  </si>
  <si>
    <t>Less Fuel 501 Adjustment 4.2</t>
  </si>
  <si>
    <t>Subtotal Restating Adjustments to Fuel and Purchased Power</t>
  </si>
  <si>
    <t>Subtotal Restated O&amp;M Expense Less Fuel and Purchased Power</t>
  </si>
  <si>
    <t>Restated CWC</t>
  </si>
  <si>
    <t>Proforma CWC:</t>
  </si>
  <si>
    <t>Total Proforma O&amp;M Expenses</t>
  </si>
  <si>
    <t>Less Restating Adjustments to Fuel and Purchased Power</t>
  </si>
  <si>
    <t>Less Proforma Adjustments to Fuel and Purchased Power:</t>
  </si>
  <si>
    <t>Less Fuel 501 NPC Adjustment 5.2</t>
  </si>
  <si>
    <t>Less Fuel 547 NPC Adjustment 5.2</t>
  </si>
  <si>
    <t>Less Purchased Power 555 NPC Adjustment 5.2</t>
  </si>
  <si>
    <t>Less Fuel 501 Adjustment 9.1.1</t>
  </si>
  <si>
    <t>Less Fuel 547 NPC Adjustment 9.1.1</t>
  </si>
  <si>
    <t>Less Purchased Power 555 NPC Adjustment 9.1.1</t>
  </si>
  <si>
    <t>Less Fuel 501 Adjustment 4.3</t>
  </si>
  <si>
    <t>Subtotal Proforma Adjustments to Fuel and Purchased Power</t>
  </si>
  <si>
    <t>Subtotal Proforma O&amp;M Expense Less Fuel and Purchased Power</t>
  </si>
  <si>
    <t>Proforma CWC</t>
  </si>
  <si>
    <t>Above</t>
  </si>
  <si>
    <t>Reference</t>
  </si>
  <si>
    <t>Page 1.1, Line 19, Column (3)</t>
  </si>
  <si>
    <t>Page 2.5, Line 257</t>
  </si>
  <si>
    <t>Page 2.5, Line 270</t>
  </si>
  <si>
    <t>Page 2.9, Line 524</t>
  </si>
  <si>
    <t>Page 2.35, Line 2467</t>
  </si>
  <si>
    <t>Page 2.10, Line 584</t>
  </si>
  <si>
    <t>Page 2.10, Line 595</t>
  </si>
  <si>
    <t>Page 5.1</t>
  </si>
  <si>
    <t>Page 5.4</t>
  </si>
  <si>
    <t>Page 4.2</t>
  </si>
  <si>
    <t>Page 1.1, Line 19, Column (5)</t>
  </si>
  <si>
    <t>Page 5.2</t>
  </si>
  <si>
    <t>Pages 9.1 &amp; 9.1.1</t>
  </si>
  <si>
    <t>Page 9.1.1</t>
  </si>
  <si>
    <t>Page 4.3</t>
  </si>
  <si>
    <t>Page 1.1, Line 66, Column (1)</t>
  </si>
  <si>
    <t>Page 1.1, Line 66, Column (3)</t>
  </si>
  <si>
    <t>Page 7.1</t>
  </si>
  <si>
    <t>Page 1.1, Line 57, Column (3)</t>
  </si>
  <si>
    <t>Page 1.1, Line 66, Column (5)</t>
  </si>
  <si>
    <t>Page 1.1, Line 57, Column (5)</t>
  </si>
  <si>
    <t>Page 2.1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</si>
</sst>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"/>
  </numFmts>
  <fonts count="7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3">
    <xf numFmtId="0" fontId="0" fillId="0" borderId="0" xfId="0"/>
    <xf numFmtId="164" fontId="3" fillId="0" borderId="0" xfId="1" applyNumberFormat="1" applyFont="1" applyAlignment="1">
      <alignment horizontal="left"/>
    </xf>
    <xf numFmtId="164" fontId="1" fillId="0" borderId="0" xfId="1" applyNumberFormat="1" applyFont="1" applyFill="1" applyBorder="1"/>
    <xf numFmtId="164" fontId="1" fillId="0" borderId="0" xfId="1" applyNumberFormat="1" applyFont="1"/>
    <xf numFmtId="164" fontId="3" fillId="0" borderId="0" xfId="1" applyNumberFormat="1" applyFont="1" applyFill="1" applyBorder="1"/>
    <xf numFmtId="164" fontId="3" fillId="0" borderId="0" xfId="1" applyNumberFormat="1" applyFont="1"/>
    <xf numFmtId="164" fontId="3" fillId="0" borderId="21" xfId="1" applyNumberFormat="1" applyFont="1" applyFill="1" applyBorder="1" applyAlignment="1">
      <alignment horizontal="centerContinuous"/>
    </xf>
    <xf numFmtId="164" fontId="3" fillId="0" borderId="22" xfId="1" applyNumberFormat="1" applyFont="1" applyFill="1" applyBorder="1" applyAlignment="1">
      <alignment horizontal="centerContinuous"/>
    </xf>
    <xf numFmtId="164" fontId="3" fillId="0" borderId="32" xfId="1" applyNumberFormat="1" applyFont="1" applyFill="1" applyBorder="1" applyAlignment="1">
      <alignment horizontal="centerContinuous"/>
    </xf>
    <xf numFmtId="164" fontId="3" fillId="0" borderId="23" xfId="1" applyNumberFormat="1" applyFont="1" applyFill="1" applyBorder="1" applyAlignment="1">
      <alignment horizontal="centerContinuous"/>
    </xf>
    <xf numFmtId="164" fontId="1" fillId="0" borderId="0" xfId="1" quotePrefix="1" applyNumberFormat="1" applyFont="1" applyBorder="1" applyAlignment="1" applyProtection="1">
      <alignment horizontal="center"/>
      <protection locked="0"/>
    </xf>
    <xf numFmtId="164" fontId="1" fillId="0" borderId="10" xfId="1" quotePrefix="1" applyNumberFormat="1" applyFont="1" applyBorder="1" applyAlignment="1" applyProtection="1">
      <alignment horizontal="center"/>
      <protection locked="0"/>
    </xf>
    <xf numFmtId="164" fontId="1" fillId="0" borderId="11" xfId="1" quotePrefix="1" applyNumberFormat="1" applyFont="1" applyBorder="1" applyAlignment="1" applyProtection="1">
      <alignment horizontal="center"/>
      <protection locked="0"/>
    </xf>
    <xf numFmtId="164" fontId="3" fillId="0" borderId="0" xfId="1" applyNumberFormat="1" applyFont="1" applyBorder="1" applyAlignment="1" applyProtection="1">
      <alignment horizontal="center" vertical="center" wrapText="1"/>
      <protection locked="0"/>
    </xf>
    <xf numFmtId="164" fontId="3" fillId="0" borderId="10" xfId="1" applyNumberFormat="1" applyFont="1" applyBorder="1" applyAlignment="1" applyProtection="1">
      <alignment horizontal="center" vertical="center" wrapText="1"/>
      <protection locked="0"/>
    </xf>
    <xf numFmtId="164" fontId="3" fillId="0" borderId="11" xfId="1" applyNumberFormat="1" applyFont="1" applyBorder="1" applyAlignment="1" applyProtection="1">
      <alignment horizontal="center" vertical="center" wrapText="1"/>
      <protection locked="0"/>
    </xf>
    <xf numFmtId="164" fontId="3" fillId="0" borderId="0" xfId="1" quotePrefix="1" applyNumberFormat="1" applyFont="1" applyBorder="1" applyAlignment="1" applyProtection="1">
      <alignment horizontal="center" vertical="center" wrapText="1"/>
      <protection locked="0"/>
    </xf>
    <xf numFmtId="164" fontId="1" fillId="0" borderId="0" xfId="1" applyNumberFormat="1" applyFont="1" applyBorder="1" applyProtection="1">
      <protection locked="0"/>
    </xf>
    <xf numFmtId="164" fontId="1" fillId="0" borderId="10" xfId="1" applyNumberFormat="1" applyFont="1" applyBorder="1"/>
    <xf numFmtId="164" fontId="1" fillId="0" borderId="0" xfId="1" applyNumberFormat="1" applyFont="1" applyBorder="1" applyAlignment="1" applyProtection="1">
      <alignment horizontal="center"/>
      <protection locked="0"/>
    </xf>
    <xf numFmtId="164" fontId="1" fillId="0" borderId="10" xfId="1" applyNumberFormat="1" applyFont="1" applyBorder="1" applyProtection="1">
      <protection locked="0"/>
    </xf>
    <xf numFmtId="164" fontId="1" fillId="0" borderId="10" xfId="1" applyNumberFormat="1" applyFont="1" applyBorder="1" applyAlignment="1" applyProtection="1">
      <alignment horizontal="center"/>
      <protection locked="0"/>
    </xf>
    <xf numFmtId="164" fontId="1" fillId="0" borderId="11" xfId="1" applyNumberFormat="1" applyFont="1" applyBorder="1" applyProtection="1">
      <protection locked="0"/>
    </xf>
    <xf numFmtId="164" fontId="1" fillId="0" borderId="11" xfId="1" applyNumberFormat="1" applyFont="1" applyBorder="1" applyAlignment="1" applyProtection="1">
      <alignment horizontal="center"/>
      <protection locked="0"/>
    </xf>
    <xf numFmtId="164" fontId="3" fillId="0" borderId="0" xfId="1" applyNumberFormat="1" applyFont="1" applyAlignment="1">
      <alignment vertical="center"/>
    </xf>
    <xf numFmtId="164" fontId="1" fillId="0" borderId="0" xfId="1" quotePrefix="1" applyNumberFormat="1" applyFont="1" applyBorder="1" applyAlignment="1" applyProtection="1">
      <alignment horizontal="left"/>
      <protection locked="0"/>
    </xf>
    <xf numFmtId="164" fontId="1" fillId="0" borderId="10" xfId="1" applyNumberFormat="1" applyFont="1" applyBorder="1" applyAlignment="1" applyProtection="1">
      <alignment horizontal="left"/>
      <protection locked="0"/>
    </xf>
    <xf numFmtId="164" fontId="1" fillId="0" borderId="10" xfId="1" quotePrefix="1" applyNumberFormat="1" applyFont="1" applyBorder="1" applyAlignment="1" applyProtection="1">
      <alignment horizontal="left"/>
      <protection locked="0"/>
    </xf>
    <xf numFmtId="164" fontId="1" fillId="0" borderId="0" xfId="1" applyNumberFormat="1" applyFont="1" applyBorder="1" applyAlignment="1" applyProtection="1">
      <alignment horizontal="left"/>
      <protection locked="0"/>
    </xf>
    <xf numFmtId="164" fontId="1" fillId="0" borderId="11" xfId="1" applyNumberFormat="1" applyFont="1" applyBorder="1" applyAlignment="1" applyProtection="1">
      <alignment horizontal="left"/>
      <protection locked="0"/>
    </xf>
    <xf numFmtId="164" fontId="1" fillId="0" borderId="11" xfId="1" quotePrefix="1" applyNumberFormat="1" applyFont="1" applyBorder="1" applyAlignment="1" applyProtection="1">
      <alignment horizontal="left"/>
      <protection locked="0"/>
    </xf>
    <xf numFmtId="164" fontId="1" fillId="0" borderId="1" xfId="1" applyNumberFormat="1" applyFont="1" applyBorder="1" applyProtection="1">
      <protection locked="0"/>
    </xf>
    <xf numFmtId="164" fontId="1" fillId="0" borderId="1" xfId="1" applyNumberFormat="1" applyFont="1" applyBorder="1" applyAlignment="1">
      <alignment vertical="center"/>
    </xf>
    <xf numFmtId="164" fontId="1" fillId="0" borderId="12" xfId="1" applyNumberFormat="1" applyFont="1" applyBorder="1" applyProtection="1">
      <protection locked="0"/>
    </xf>
    <xf numFmtId="164" fontId="1" fillId="0" borderId="13" xfId="1" applyNumberFormat="1" applyFont="1" applyBorder="1" applyProtection="1">
      <protection locked="0"/>
    </xf>
    <xf numFmtId="164" fontId="1" fillId="0" borderId="2" xfId="1" applyNumberFormat="1" applyFont="1" applyBorder="1" applyAlignment="1" applyProtection="1">
      <alignment horizontal="left"/>
      <protection locked="0"/>
    </xf>
    <xf numFmtId="164" fontId="1" fillId="0" borderId="2" xfId="1" applyNumberFormat="1" applyFont="1" applyBorder="1" applyAlignment="1">
      <alignment vertical="center"/>
    </xf>
    <xf numFmtId="164" fontId="1" fillId="0" borderId="14" xfId="1" applyNumberFormat="1" applyFont="1" applyBorder="1" applyAlignment="1" applyProtection="1">
      <alignment horizontal="left"/>
      <protection locked="0"/>
    </xf>
    <xf numFmtId="164" fontId="1" fillId="0" borderId="2" xfId="1" quotePrefix="1" applyNumberFormat="1" applyFont="1" applyBorder="1" applyAlignment="1" applyProtection="1">
      <alignment horizontal="left"/>
      <protection locked="0"/>
    </xf>
    <xf numFmtId="164" fontId="1" fillId="0" borderId="15" xfId="1" applyNumberFormat="1" applyFont="1" applyBorder="1" applyAlignment="1" applyProtection="1">
      <alignment horizontal="left"/>
      <protection locked="0"/>
    </xf>
    <xf numFmtId="164" fontId="1" fillId="0" borderId="2" xfId="1" applyNumberFormat="1" applyFont="1" applyBorder="1" applyProtection="1">
      <protection locked="0"/>
    </xf>
    <xf numFmtId="164" fontId="1" fillId="0" borderId="0" xfId="1" applyNumberFormat="1" applyFont="1" applyBorder="1" applyAlignment="1">
      <alignment vertical="center"/>
    </xf>
    <xf numFmtId="164" fontId="1" fillId="0" borderId="3" xfId="1" applyNumberFormat="1" applyFont="1" applyBorder="1" applyAlignment="1"/>
    <xf numFmtId="164" fontId="1" fillId="0" borderId="16" xfId="1" applyNumberFormat="1" applyFont="1" applyBorder="1" applyAlignment="1"/>
    <xf numFmtId="164" fontId="1" fillId="0" borderId="17" xfId="1" applyNumberFormat="1" applyFont="1" applyBorder="1" applyAlignment="1"/>
    <xf numFmtId="164" fontId="1" fillId="0" borderId="1" xfId="1" quotePrefix="1" applyNumberFormat="1" applyFont="1" applyBorder="1" applyAlignment="1" applyProtection="1">
      <alignment horizontal="left"/>
      <protection locked="0"/>
    </xf>
    <xf numFmtId="164" fontId="1" fillId="0" borderId="12" xfId="1" quotePrefix="1" applyNumberFormat="1" applyFont="1" applyBorder="1" applyAlignment="1" applyProtection="1">
      <alignment horizontal="left"/>
      <protection locked="0"/>
    </xf>
    <xf numFmtId="164" fontId="1" fillId="0" borderId="13" xfId="1" quotePrefix="1" applyNumberFormat="1" applyFont="1" applyBorder="1" applyAlignment="1" applyProtection="1">
      <alignment horizontal="left"/>
      <protection locked="0"/>
    </xf>
    <xf numFmtId="164" fontId="1" fillId="0" borderId="3" xfId="1" applyNumberFormat="1" applyFont="1" applyBorder="1" applyAlignment="1">
      <alignment vertical="center"/>
    </xf>
    <xf numFmtId="164" fontId="1" fillId="0" borderId="16" xfId="1" applyNumberFormat="1" applyFont="1" applyBorder="1" applyAlignment="1">
      <alignment vertical="center"/>
    </xf>
    <xf numFmtId="164" fontId="1" fillId="0" borderId="17" xfId="1" applyNumberFormat="1" applyFont="1" applyBorder="1" applyAlignment="1">
      <alignment vertical="center"/>
    </xf>
    <xf numFmtId="164" fontId="1" fillId="0" borderId="10" xfId="1" applyNumberFormat="1" applyFont="1" applyBorder="1" applyAlignment="1">
      <alignment vertical="center"/>
    </xf>
    <xf numFmtId="164" fontId="1" fillId="0" borderId="11" xfId="1" applyNumberFormat="1" applyFont="1" applyBorder="1" applyAlignment="1">
      <alignment vertical="center"/>
    </xf>
    <xf numFmtId="164" fontId="1" fillId="0" borderId="0" xfId="0" applyNumberFormat="1" applyFont="1" applyBorder="1"/>
    <xf numFmtId="164" fontId="1" fillId="0" borderId="0" xfId="0" applyNumberFormat="1" applyFont="1"/>
    <xf numFmtId="164" fontId="1" fillId="0" borderId="10" xfId="0" applyNumberFormat="1" applyFont="1" applyBorder="1"/>
    <xf numFmtId="164" fontId="1" fillId="0" borderId="11" xfId="0" applyNumberFormat="1" applyFont="1" applyBorder="1"/>
    <xf numFmtId="164" fontId="1" fillId="0" borderId="0" xfId="1" applyNumberFormat="1" applyFont="1" applyBorder="1"/>
    <xf numFmtId="164" fontId="1" fillId="0" borderId="14" xfId="1" quotePrefix="1" applyNumberFormat="1" applyFont="1" applyBorder="1" applyAlignment="1" applyProtection="1">
      <alignment horizontal="left"/>
      <protection locked="0"/>
    </xf>
    <xf numFmtId="164" fontId="1" fillId="0" borderId="15" xfId="1" applyNumberFormat="1" applyFont="1" applyBorder="1" applyProtection="1">
      <protection locked="0"/>
    </xf>
    <xf numFmtId="164" fontId="1" fillId="0" borderId="5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1" fillId="0" borderId="19" xfId="1" applyNumberFormat="1" applyFont="1" applyBorder="1"/>
    <xf numFmtId="164" fontId="1" fillId="0" borderId="20" xfId="1" applyNumberFormat="1" applyFont="1" applyBorder="1"/>
    <xf numFmtId="164" fontId="1" fillId="0" borderId="0" xfId="1" quotePrefix="1" applyNumberFormat="1" applyFont="1" applyFill="1" applyBorder="1" applyAlignment="1" applyProtection="1">
      <alignment horizontal="center"/>
      <protection locked="0"/>
    </xf>
    <xf numFmtId="164" fontId="1" fillId="0" borderId="0" xfId="1" applyNumberFormat="1" applyFont="1" applyFill="1" applyBorder="1" applyProtection="1">
      <protection locked="0"/>
    </xf>
    <xf numFmtId="164" fontId="1" fillId="0" borderId="0" xfId="1" quotePrefix="1" applyNumberFormat="1" applyFont="1" applyFill="1" applyBorder="1" applyAlignment="1" applyProtection="1">
      <alignment horizontal="left"/>
      <protection locked="0"/>
    </xf>
    <xf numFmtId="164" fontId="1" fillId="0" borderId="0" xfId="1" applyNumberFormat="1" applyFont="1" applyFill="1" applyBorder="1" applyAlignment="1" applyProtection="1">
      <alignment horizontal="left"/>
      <protection locked="0"/>
    </xf>
    <xf numFmtId="164" fontId="1" fillId="0" borderId="1" xfId="1" applyNumberFormat="1" applyFont="1" applyFill="1" applyBorder="1" applyProtection="1">
      <protection locked="0"/>
    </xf>
    <xf numFmtId="164" fontId="1" fillId="0" borderId="2" xfId="1" applyNumberFormat="1" applyFont="1" applyFill="1" applyBorder="1" applyAlignment="1" applyProtection="1">
      <alignment horizontal="left"/>
      <protection locked="0"/>
    </xf>
    <xf numFmtId="164" fontId="1" fillId="0" borderId="3" xfId="1" applyNumberFormat="1" applyFont="1" applyFill="1" applyBorder="1" applyAlignment="1"/>
    <xf numFmtId="164" fontId="1" fillId="0" borderId="1" xfId="1" quotePrefix="1" applyNumberFormat="1" applyFont="1" applyFill="1" applyBorder="1" applyAlignment="1" applyProtection="1">
      <alignment horizontal="left"/>
      <protection locked="0"/>
    </xf>
    <xf numFmtId="164" fontId="1" fillId="0" borderId="3" xfId="1" applyNumberFormat="1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vertical="center"/>
    </xf>
    <xf numFmtId="164" fontId="1" fillId="0" borderId="0" xfId="0" applyNumberFormat="1" applyFont="1" applyFill="1" applyBorder="1"/>
    <xf numFmtId="164" fontId="1" fillId="0" borderId="2" xfId="1" applyNumberFormat="1" applyFont="1" applyFill="1" applyBorder="1" applyProtection="1">
      <protection locked="0"/>
    </xf>
    <xf numFmtId="164" fontId="3" fillId="0" borderId="0" xfId="1" applyNumberFormat="1" applyFont="1" applyFill="1" applyBorder="1" applyAlignment="1">
      <alignment vertical="center"/>
    </xf>
    <xf numFmtId="164" fontId="1" fillId="0" borderId="0" xfId="1" applyNumberFormat="1" applyFont="1" applyFill="1"/>
    <xf numFmtId="164" fontId="3" fillId="0" borderId="0" xfId="1" applyNumberFormat="1" applyFont="1" applyFill="1" applyBorder="1" applyAlignment="1" applyProtection="1">
      <alignment horizontal="center" vertical="center" wrapText="1"/>
      <protection locked="0"/>
    </xf>
    <xf numFmtId="165" fontId="1" fillId="0" borderId="0" xfId="2" applyNumberFormat="1" applyFont="1" applyFill="1" applyBorder="1" applyAlignment="1">
      <alignment vertical="center"/>
    </xf>
    <xf numFmtId="164" fontId="1" fillId="0" borderId="10" xfId="1" applyNumberFormat="1" applyFont="1" applyFill="1" applyBorder="1" applyAlignment="1">
      <alignment vertical="center"/>
    </xf>
    <xf numFmtId="165" fontId="1" fillId="0" borderId="10" xfId="2" applyNumberFormat="1" applyFont="1" applyFill="1" applyBorder="1" applyAlignment="1">
      <alignment vertical="center"/>
    </xf>
    <xf numFmtId="165" fontId="1" fillId="0" borderId="11" xfId="2" applyNumberFormat="1" applyFont="1" applyFill="1" applyBorder="1" applyAlignment="1">
      <alignment vertical="center"/>
    </xf>
    <xf numFmtId="164" fontId="1" fillId="0" borderId="15" xfId="1" quotePrefix="1" applyNumberFormat="1" applyFont="1" applyBorder="1" applyAlignment="1" applyProtection="1">
      <alignment horizontal="left"/>
      <protection locked="0"/>
    </xf>
    <xf numFmtId="164" fontId="1" fillId="0" borderId="24" xfId="1" quotePrefix="1" applyNumberFormat="1" applyFont="1" applyBorder="1" applyAlignment="1" applyProtection="1">
      <alignment horizontal="center"/>
      <protection locked="0"/>
    </xf>
    <xf numFmtId="164" fontId="3" fillId="0" borderId="24" xfId="1" applyNumberFormat="1" applyFont="1" applyBorder="1" applyAlignment="1" applyProtection="1">
      <alignment horizontal="center" vertical="center" wrapText="1"/>
      <protection locked="0"/>
    </xf>
    <xf numFmtId="164" fontId="1" fillId="0" borderId="24" xfId="1" applyNumberFormat="1" applyFont="1" applyBorder="1" applyProtection="1">
      <protection locked="0"/>
    </xf>
    <xf numFmtId="164" fontId="1" fillId="0" borderId="24" xfId="1" applyNumberFormat="1" applyFont="1" applyBorder="1" applyAlignment="1" applyProtection="1">
      <alignment horizontal="left"/>
      <protection locked="0"/>
    </xf>
    <xf numFmtId="164" fontId="1" fillId="0" borderId="25" xfId="1" applyNumberFormat="1" applyFont="1" applyBorder="1" applyProtection="1">
      <protection locked="0"/>
    </xf>
    <xf numFmtId="164" fontId="1" fillId="0" borderId="26" xfId="1" applyNumberFormat="1" applyFont="1" applyBorder="1" applyAlignment="1" applyProtection="1">
      <alignment horizontal="left"/>
      <protection locked="0"/>
    </xf>
    <xf numFmtId="164" fontId="1" fillId="0" borderId="24" xfId="1" quotePrefix="1" applyNumberFormat="1" applyFont="1" applyBorder="1" applyAlignment="1" applyProtection="1">
      <alignment horizontal="left"/>
      <protection locked="0"/>
    </xf>
    <xf numFmtId="164" fontId="1" fillId="0" borderId="27" xfId="1" applyNumberFormat="1" applyFont="1" applyBorder="1" applyAlignment="1"/>
    <xf numFmtId="164" fontId="1" fillId="0" borderId="25" xfId="1" quotePrefix="1" applyNumberFormat="1" applyFont="1" applyBorder="1" applyAlignment="1" applyProtection="1">
      <alignment horizontal="left"/>
      <protection locked="0"/>
    </xf>
    <xf numFmtId="164" fontId="1" fillId="0" borderId="27" xfId="1" applyNumberFormat="1" applyFont="1" applyBorder="1" applyAlignment="1">
      <alignment vertical="center"/>
    </xf>
    <xf numFmtId="165" fontId="1" fillId="0" borderId="24" xfId="2" applyNumberFormat="1" applyFont="1" applyFill="1" applyBorder="1" applyAlignment="1">
      <alignment vertical="center"/>
    </xf>
    <xf numFmtId="164" fontId="1" fillId="0" borderId="26" xfId="1" applyNumberFormat="1" applyFont="1" applyBorder="1" applyProtection="1">
      <protection locked="0"/>
    </xf>
    <xf numFmtId="164" fontId="1" fillId="0" borderId="24" xfId="1" applyNumberFormat="1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164" fontId="3" fillId="0" borderId="21" xfId="1" applyNumberFormat="1" applyFont="1" applyBorder="1" applyAlignment="1">
      <alignment horizontal="centerContinuous"/>
    </xf>
    <xf numFmtId="164" fontId="3" fillId="0" borderId="22" xfId="1" applyNumberFormat="1" applyFont="1" applyBorder="1" applyAlignment="1">
      <alignment horizontal="centerContinuous"/>
    </xf>
    <xf numFmtId="164" fontId="1" fillId="0" borderId="22" xfId="1" applyNumberFormat="1" applyFont="1" applyBorder="1" applyAlignment="1">
      <alignment horizontal="centerContinuous"/>
    </xf>
    <xf numFmtId="164" fontId="1" fillId="0" borderId="23" xfId="1" applyNumberFormat="1" applyFont="1" applyBorder="1" applyAlignment="1">
      <alignment horizontal="centerContinuous"/>
    </xf>
    <xf numFmtId="164" fontId="3" fillId="0" borderId="23" xfId="1" applyNumberFormat="1" applyFont="1" applyBorder="1" applyAlignment="1">
      <alignment horizontal="centerContinuous"/>
    </xf>
    <xf numFmtId="164" fontId="3" fillId="0" borderId="32" xfId="1" applyNumberFormat="1" applyFont="1" applyBorder="1" applyAlignment="1">
      <alignment horizontal="center"/>
    </xf>
    <xf numFmtId="164" fontId="3" fillId="0" borderId="0" xfId="1" applyNumberFormat="1" applyFont="1" applyBorder="1" applyAlignment="1" applyProtection="1">
      <alignment horizontal="center" wrapText="1"/>
      <protection locked="0"/>
    </xf>
    <xf numFmtId="164" fontId="3" fillId="0" borderId="10" xfId="1" applyNumberFormat="1" applyFont="1" applyBorder="1" applyAlignment="1" applyProtection="1">
      <alignment horizontal="center" wrapText="1"/>
      <protection locked="0"/>
    </xf>
    <xf numFmtId="164" fontId="3" fillId="0" borderId="11" xfId="1" applyNumberFormat="1" applyFont="1" applyBorder="1" applyAlignment="1" applyProtection="1">
      <alignment horizontal="center" wrapText="1"/>
      <protection locked="0"/>
    </xf>
    <xf numFmtId="164" fontId="3" fillId="0" borderId="24" xfId="1" applyNumberFormat="1" applyFont="1" applyBorder="1" applyAlignment="1" applyProtection="1">
      <alignment horizontal="center" wrapText="1"/>
      <protection locked="0"/>
    </xf>
    <xf numFmtId="164" fontId="3" fillId="0" borderId="0" xfId="1" quotePrefix="1" applyNumberFormat="1" applyFont="1" applyBorder="1" applyAlignment="1" applyProtection="1">
      <alignment horizontal="center" wrapText="1"/>
      <protection locked="0"/>
    </xf>
    <xf numFmtId="164" fontId="1" fillId="0" borderId="3" xfId="1" applyNumberFormat="1" applyFont="1" applyBorder="1" applyProtection="1">
      <protection locked="0"/>
    </xf>
    <xf numFmtId="164" fontId="1" fillId="0" borderId="16" xfId="1" applyNumberFormat="1" applyFont="1" applyBorder="1" applyProtection="1">
      <protection locked="0"/>
    </xf>
    <xf numFmtId="164" fontId="1" fillId="0" borderId="17" xfId="1" applyNumberFormat="1" applyFont="1" applyBorder="1" applyProtection="1">
      <protection locked="0"/>
    </xf>
    <xf numFmtId="164" fontId="1" fillId="0" borderId="27" xfId="1" applyNumberFormat="1" applyFont="1" applyBorder="1" applyProtection="1">
      <protection locked="0"/>
    </xf>
    <xf numFmtId="165" fontId="1" fillId="0" borderId="10" xfId="2" applyNumberFormat="1" applyFont="1" applyBorder="1" applyAlignment="1">
      <alignment vertical="center"/>
    </xf>
    <xf numFmtId="165" fontId="1" fillId="0" borderId="0" xfId="2" applyNumberFormat="1" applyFont="1" applyBorder="1" applyAlignment="1">
      <alignment vertical="center"/>
    </xf>
    <xf numFmtId="165" fontId="1" fillId="0" borderId="11" xfId="2" applyNumberFormat="1" applyFont="1" applyBorder="1" applyAlignment="1">
      <alignment vertical="center"/>
    </xf>
    <xf numFmtId="165" fontId="1" fillId="0" borderId="24" xfId="2" applyNumberFormat="1" applyFont="1" applyBorder="1" applyAlignment="1">
      <alignment vertical="center"/>
    </xf>
    <xf numFmtId="164" fontId="3" fillId="0" borderId="0" xfId="1" applyNumberFormat="1" applyFont="1" applyBorder="1"/>
    <xf numFmtId="164" fontId="1" fillId="0" borderId="4" xfId="1" applyNumberFormat="1" applyFont="1" applyBorder="1" applyProtection="1">
      <protection locked="0"/>
    </xf>
    <xf numFmtId="164" fontId="1" fillId="0" borderId="30" xfId="1" applyNumberFormat="1" applyFont="1" applyBorder="1" applyProtection="1">
      <protection locked="0"/>
    </xf>
    <xf numFmtId="164" fontId="1" fillId="0" borderId="31" xfId="1" applyNumberFormat="1" applyFont="1" applyBorder="1" applyProtection="1">
      <protection locked="0"/>
    </xf>
    <xf numFmtId="164" fontId="1" fillId="0" borderId="28" xfId="1" applyNumberFormat="1" applyFont="1" applyBorder="1" applyProtection="1">
      <protection locked="0"/>
    </xf>
    <xf numFmtId="164" fontId="3" fillId="0" borderId="0" xfId="1" quotePrefix="1" applyNumberFormat="1" applyFont="1" applyBorder="1" applyAlignment="1">
      <alignment horizontal="left" vertical="center"/>
    </xf>
    <xf numFmtId="164" fontId="1" fillId="0" borderId="11" xfId="1" applyNumberFormat="1" applyFont="1" applyBorder="1"/>
    <xf numFmtId="164" fontId="3" fillId="0" borderId="0" xfId="1" applyNumberFormat="1" applyFont="1" applyBorder="1" applyAlignment="1">
      <alignment horizontal="left"/>
    </xf>
    <xf numFmtId="164" fontId="1" fillId="0" borderId="18" xfId="1" applyNumberFormat="1" applyFont="1" applyBorder="1" applyProtection="1">
      <protection locked="0"/>
    </xf>
    <xf numFmtId="164" fontId="1" fillId="0" borderId="19" xfId="1" applyNumberFormat="1" applyFont="1" applyBorder="1" applyProtection="1">
      <protection locked="0"/>
    </xf>
    <xf numFmtId="164" fontId="1" fillId="0" borderId="19" xfId="1" applyNumberFormat="1" applyFont="1" applyFill="1" applyBorder="1" applyProtection="1">
      <protection locked="0"/>
    </xf>
    <xf numFmtId="164" fontId="1" fillId="0" borderId="20" xfId="1" applyNumberFormat="1" applyFont="1" applyBorder="1" applyProtection="1">
      <protection locked="0"/>
    </xf>
    <xf numFmtId="164" fontId="1" fillId="0" borderId="29" xfId="1" applyNumberFormat="1" applyFont="1" applyBorder="1" applyProtection="1">
      <protection locked="0"/>
    </xf>
    <xf numFmtId="10" fontId="1" fillId="0" borderId="0" xfId="2" applyNumberFormat="1" applyFont="1" applyBorder="1" applyAlignment="1">
      <alignment vertical="center"/>
    </xf>
    <xf numFmtId="10" fontId="1" fillId="0" borderId="0" xfId="2" applyNumberFormat="1" applyFont="1" applyFill="1" applyBorder="1" applyAlignment="1">
      <alignment vertical="center"/>
    </xf>
    <xf numFmtId="10" fontId="1" fillId="0" borderId="10" xfId="2" applyNumberFormat="1" applyFont="1" applyFill="1" applyBorder="1" applyAlignment="1">
      <alignment vertical="center"/>
    </xf>
    <xf numFmtId="10" fontId="1" fillId="0" borderId="11" xfId="2" applyNumberFormat="1" applyFont="1" applyFill="1" applyBorder="1" applyAlignment="1">
      <alignment vertical="center"/>
    </xf>
    <xf numFmtId="10" fontId="1" fillId="0" borderId="24" xfId="2" applyNumberFormat="1" applyFont="1" applyFill="1" applyBorder="1" applyAlignment="1">
      <alignment vertical="center"/>
    </xf>
    <xf numFmtId="10" fontId="1" fillId="0" borderId="10" xfId="2" applyNumberFormat="1" applyFont="1" applyBorder="1" applyAlignment="1">
      <alignment vertical="center"/>
    </xf>
    <xf numFmtId="10" fontId="1" fillId="0" borderId="11" xfId="2" applyNumberFormat="1" applyFont="1" applyBorder="1" applyAlignment="1">
      <alignment vertical="center"/>
    </xf>
    <xf numFmtId="10" fontId="1" fillId="0" borderId="24" xfId="2" applyNumberFormat="1" applyFont="1" applyBorder="1" applyAlignment="1">
      <alignment vertical="center"/>
    </xf>
    <xf numFmtId="164" fontId="1" fillId="0" borderId="33" xfId="1" quotePrefix="1" applyNumberFormat="1" applyFont="1" applyBorder="1" applyAlignment="1" applyProtection="1">
      <alignment horizontal="center"/>
      <protection locked="0"/>
    </xf>
    <xf numFmtId="164" fontId="1" fillId="0" borderId="34" xfId="1" quotePrefix="1" applyNumberFormat="1" applyFont="1" applyBorder="1" applyAlignment="1" applyProtection="1">
      <alignment horizontal="center"/>
      <protection locked="0"/>
    </xf>
    <xf numFmtId="164" fontId="1" fillId="0" borderId="35" xfId="1" quotePrefix="1" applyNumberFormat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Continuous"/>
    </xf>
    <xf numFmtId="164" fontId="1" fillId="0" borderId="24" xfId="0" applyNumberFormat="1" applyFont="1" applyBorder="1"/>
    <xf numFmtId="0" fontId="3" fillId="0" borderId="0" xfId="0" applyFont="1"/>
    <xf numFmtId="0" fontId="3" fillId="0" borderId="2" xfId="0" applyFont="1" applyBorder="1"/>
    <xf numFmtId="164" fontId="1" fillId="0" borderId="33" xfId="1" quotePrefix="1" applyNumberFormat="1" applyFont="1" applyFill="1" applyBorder="1" applyAlignment="1" applyProtection="1">
      <alignment horizontal="center"/>
      <protection locked="0"/>
    </xf>
    <xf numFmtId="164" fontId="3" fillId="0" borderId="10" xfId="1" applyNumberFormat="1" applyFont="1" applyFill="1" applyBorder="1" applyAlignment="1" applyProtection="1">
      <alignment horizontal="center" vertical="center" wrapText="1"/>
      <protection locked="0"/>
    </xf>
    <xf numFmtId="164" fontId="1" fillId="0" borderId="10" xfId="1" applyNumberFormat="1" applyFont="1" applyFill="1" applyBorder="1" applyProtection="1">
      <protection locked="0"/>
    </xf>
    <xf numFmtId="164" fontId="1" fillId="0" borderId="10" xfId="1" quotePrefix="1" applyNumberFormat="1" applyFont="1" applyFill="1" applyBorder="1" applyAlignment="1" applyProtection="1">
      <alignment horizontal="left"/>
      <protection locked="0"/>
    </xf>
    <xf numFmtId="164" fontId="1" fillId="0" borderId="10" xfId="1" applyNumberFormat="1" applyFont="1" applyFill="1" applyBorder="1" applyAlignment="1" applyProtection="1">
      <alignment horizontal="left"/>
      <protection locked="0"/>
    </xf>
    <xf numFmtId="164" fontId="1" fillId="0" borderId="12" xfId="1" applyNumberFormat="1" applyFont="1" applyFill="1" applyBorder="1" applyProtection="1">
      <protection locked="0"/>
    </xf>
    <xf numFmtId="164" fontId="1" fillId="0" borderId="14" xfId="1" applyNumberFormat="1" applyFont="1" applyFill="1" applyBorder="1" applyAlignment="1" applyProtection="1">
      <alignment horizontal="left"/>
      <protection locked="0"/>
    </xf>
    <xf numFmtId="164" fontId="1" fillId="0" borderId="16" xfId="1" applyNumberFormat="1" applyFont="1" applyFill="1" applyBorder="1" applyAlignment="1"/>
    <xf numFmtId="164" fontId="1" fillId="0" borderId="12" xfId="1" quotePrefix="1" applyNumberFormat="1" applyFont="1" applyFill="1" applyBorder="1" applyAlignment="1" applyProtection="1">
      <alignment horizontal="left"/>
      <protection locked="0"/>
    </xf>
    <xf numFmtId="164" fontId="1" fillId="0" borderId="16" xfId="1" applyNumberFormat="1" applyFont="1" applyFill="1" applyBorder="1" applyAlignment="1">
      <alignment vertical="center"/>
    </xf>
    <xf numFmtId="164" fontId="1" fillId="0" borderId="10" xfId="0" applyNumberFormat="1" applyFont="1" applyFill="1" applyBorder="1"/>
    <xf numFmtId="164" fontId="1" fillId="0" borderId="14" xfId="1" applyNumberFormat="1" applyFont="1" applyFill="1" applyBorder="1" applyProtection="1">
      <protection locked="0"/>
    </xf>
    <xf numFmtId="164" fontId="1" fillId="0" borderId="10" xfId="1" applyNumberFormat="1" applyFont="1" applyFill="1" applyBorder="1"/>
    <xf numFmtId="164" fontId="1" fillId="0" borderId="18" xfId="1" applyNumberFormat="1" applyFont="1" applyFill="1" applyBorder="1"/>
    <xf numFmtId="164" fontId="1" fillId="0" borderId="10" xfId="1" quotePrefix="1" applyNumberFormat="1" applyFont="1" applyFill="1" applyBorder="1" applyAlignment="1" applyProtection="1">
      <alignment horizontal="center"/>
      <protection locked="0"/>
    </xf>
    <xf numFmtId="164" fontId="3" fillId="0" borderId="10" xfId="1" quotePrefix="1" applyNumberFormat="1" applyFont="1" applyFill="1" applyBorder="1" applyAlignment="1" applyProtection="1">
      <alignment horizontal="center" vertical="center" wrapText="1"/>
      <protection locked="0"/>
    </xf>
    <xf numFmtId="164" fontId="1" fillId="0" borderId="10" xfId="1" applyNumberFormat="1" applyFont="1" applyFill="1" applyBorder="1" applyAlignment="1" applyProtection="1">
      <alignment horizontal="center"/>
      <protection locked="0"/>
    </xf>
    <xf numFmtId="164" fontId="3" fillId="0" borderId="36" xfId="1" applyNumberFormat="1" applyFont="1" applyFill="1" applyBorder="1" applyAlignment="1">
      <alignment horizontal="centerContinuous"/>
    </xf>
    <xf numFmtId="164" fontId="1" fillId="0" borderId="24" xfId="1" applyNumberFormat="1" applyFont="1" applyBorder="1" applyAlignment="1" applyProtection="1">
      <alignment horizontal="center"/>
      <protection locked="0"/>
    </xf>
    <xf numFmtId="164" fontId="1" fillId="0" borderId="26" xfId="1" quotePrefix="1" applyNumberFormat="1" applyFont="1" applyBorder="1" applyAlignment="1" applyProtection="1">
      <alignment horizontal="left"/>
      <protection locked="0"/>
    </xf>
    <xf numFmtId="164" fontId="1" fillId="0" borderId="24" xfId="1" applyNumberFormat="1" applyFont="1" applyBorder="1"/>
    <xf numFmtId="164" fontId="1" fillId="0" borderId="29" xfId="1" applyNumberFormat="1" applyFont="1" applyBorder="1"/>
    <xf numFmtId="164" fontId="1" fillId="0" borderId="36" xfId="1" applyNumberFormat="1" applyFont="1" applyBorder="1" applyAlignment="1">
      <alignment horizontal="centerContinuous"/>
    </xf>
    <xf numFmtId="164" fontId="3" fillId="0" borderId="10" xfId="1" applyNumberFormat="1" applyFont="1" applyFill="1" applyBorder="1" applyAlignment="1" applyProtection="1">
      <alignment horizontal="center" wrapText="1"/>
      <protection locked="0"/>
    </xf>
    <xf numFmtId="164" fontId="1" fillId="0" borderId="16" xfId="1" applyNumberFormat="1" applyFont="1" applyFill="1" applyBorder="1" applyProtection="1">
      <protection locked="0"/>
    </xf>
    <xf numFmtId="164" fontId="1" fillId="0" borderId="30" xfId="1" applyNumberFormat="1" applyFont="1" applyFill="1" applyBorder="1" applyProtection="1">
      <protection locked="0"/>
    </xf>
    <xf numFmtId="164" fontId="1" fillId="0" borderId="18" xfId="1" applyNumberFormat="1" applyFont="1" applyFill="1" applyBorder="1" applyProtection="1">
      <protection locked="0"/>
    </xf>
    <xf numFmtId="164" fontId="3" fillId="0" borderId="10" xfId="1" quotePrefix="1" applyNumberFormat="1" applyFont="1" applyFill="1" applyBorder="1" applyAlignment="1" applyProtection="1">
      <alignment horizontal="center" wrapText="1"/>
      <protection locked="0"/>
    </xf>
    <xf numFmtId="165" fontId="1" fillId="0" borderId="0" xfId="2" applyNumberFormat="1" applyFont="1"/>
    <xf numFmtId="165" fontId="1" fillId="0" borderId="0" xfId="2" applyNumberFormat="1" applyFont="1" applyBorder="1"/>
    <xf numFmtId="165" fontId="1" fillId="0" borderId="2" xfId="2" applyNumberFormat="1" applyFont="1" applyBorder="1"/>
    <xf numFmtId="0" fontId="3" fillId="0" borderId="0" xfId="0" applyFont="1" applyBorder="1" applyAlignment="1">
      <alignment horizontal="center" vertical="center" wrapText="1"/>
    </xf>
    <xf numFmtId="0" fontId="3" fillId="0" borderId="0" xfId="0" quotePrefix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/>
    <xf numFmtId="165" fontId="1" fillId="0" borderId="6" xfId="2" applyNumberFormat="1" applyFont="1" applyBorder="1"/>
    <xf numFmtId="0" fontId="1" fillId="0" borderId="7" xfId="0" applyFont="1" applyBorder="1"/>
    <xf numFmtId="165" fontId="1" fillId="0" borderId="7" xfId="2" applyNumberFormat="1" applyFont="1" applyBorder="1"/>
    <xf numFmtId="165" fontId="1" fillId="0" borderId="8" xfId="0" applyNumberFormat="1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Continuous"/>
    </xf>
    <xf numFmtId="0" fontId="1" fillId="0" borderId="0" xfId="0" quotePrefix="1" applyFont="1" applyBorder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2" xfId="0" applyFont="1" applyBorder="1"/>
    <xf numFmtId="165" fontId="1" fillId="0" borderId="0" xfId="2" quotePrefix="1" applyNumberFormat="1" applyFont="1"/>
    <xf numFmtId="10" fontId="1" fillId="0" borderId="0" xfId="2" applyNumberFormat="1" applyFont="1"/>
    <xf numFmtId="165" fontId="1" fillId="0" borderId="3" xfId="2" quotePrefix="1" applyNumberFormat="1" applyFont="1" applyBorder="1"/>
    <xf numFmtId="165" fontId="1" fillId="0" borderId="0" xfId="2" quotePrefix="1" applyNumberFormat="1" applyFont="1" applyBorder="1"/>
    <xf numFmtId="0" fontId="1" fillId="0" borderId="0" xfId="0" quotePrefix="1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164" fontId="3" fillId="0" borderId="0" xfId="1" applyNumberFormat="1" applyFont="1" applyAlignment="1"/>
    <xf numFmtId="0" fontId="5" fillId="0" borderId="0" xfId="0" applyFont="1" applyAlignment="1">
      <alignment horizontal="centerContinuous"/>
    </xf>
    <xf numFmtId="0" fontId="3" fillId="0" borderId="36" xfId="0" applyFont="1" applyBorder="1" applyAlignment="1">
      <alignment horizontal="center"/>
    </xf>
    <xf numFmtId="164" fontId="3" fillId="0" borderId="37" xfId="0" applyNumberFormat="1" applyFont="1" applyBorder="1"/>
    <xf numFmtId="0" fontId="3" fillId="0" borderId="0" xfId="0" applyFont="1" applyFill="1" applyBorder="1"/>
    <xf numFmtId="0" fontId="3" fillId="0" borderId="0" xfId="0" applyFont="1" applyFill="1" applyBorder="1" applyProtection="1">
      <protection locked="0"/>
    </xf>
    <xf numFmtId="0" fontId="1" fillId="0" borderId="0" xfId="0" applyFont="1" applyFill="1" applyBorder="1" applyAlignment="1">
      <alignment horizontal="left" indent="1"/>
    </xf>
    <xf numFmtId="0" fontId="1" fillId="0" borderId="0" xfId="0" applyFont="1" applyFill="1" applyBorder="1" applyAlignment="1" applyProtection="1">
      <alignment horizontal="left" indent="2"/>
      <protection locked="0"/>
    </xf>
    <xf numFmtId="0" fontId="1" fillId="0" borderId="0" xfId="0" applyFont="1" applyFill="1" applyBorder="1" applyAlignment="1">
      <alignment horizontal="left" indent="2"/>
    </xf>
    <xf numFmtId="0" fontId="3" fillId="0" borderId="0" xfId="0" applyFont="1" applyFill="1" applyBorder="1" applyAlignment="1">
      <alignment horizontal="left" indent="2"/>
    </xf>
    <xf numFmtId="0" fontId="1" fillId="0" borderId="0" xfId="0" applyFont="1" applyBorder="1" applyAlignment="1" applyProtection="1">
      <alignment horizontal="left" indent="2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6" fillId="0" borderId="0" xfId="0" applyFont="1" applyBorder="1" applyProtection="1">
      <protection locked="0"/>
    </xf>
    <xf numFmtId="0" fontId="1" fillId="0" borderId="0" xfId="0" applyFont="1" applyBorder="1" applyProtection="1">
      <protection locked="0"/>
    </xf>
    <xf numFmtId="164" fontId="3" fillId="0" borderId="0" xfId="1" applyNumberFormat="1" applyFont="1" applyFill="1" applyBorder="1" applyAlignment="1" applyProtection="1">
      <alignment horizontal="center"/>
      <protection locked="0"/>
    </xf>
    <xf numFmtId="164" fontId="1" fillId="0" borderId="0" xfId="1" applyNumberFormat="1" applyFont="1" applyFill="1" applyBorder="1" applyAlignment="1" applyProtection="1">
      <alignment horizontal="center"/>
      <protection locked="0"/>
    </xf>
    <xf numFmtId="164" fontId="1" fillId="0" borderId="2" xfId="1" applyNumberFormat="1" applyFont="1" applyBorder="1" applyAlignment="1" applyProtection="1">
      <alignment horizontal="center"/>
      <protection locked="0"/>
    </xf>
    <xf numFmtId="41" fontId="1" fillId="0" borderId="0" xfId="1" applyNumberFormat="1" applyFont="1" applyBorder="1" applyAlignment="1" applyProtection="1">
      <alignment horizontal="center"/>
      <protection locked="0"/>
    </xf>
    <xf numFmtId="164" fontId="3" fillId="0" borderId="1" xfId="1" applyNumberFormat="1" applyFont="1" applyBorder="1" applyAlignment="1" applyProtection="1">
      <alignment horizontal="center"/>
      <protection locked="0"/>
    </xf>
    <xf numFmtId="12" fontId="1" fillId="0" borderId="0" xfId="1" applyNumberFormat="1" applyFont="1" applyBorder="1" applyAlignment="1" applyProtection="1">
      <alignment horizontal="center"/>
      <protection locked="0"/>
    </xf>
    <xf numFmtId="164" fontId="3" fillId="0" borderId="0" xfId="1" applyNumberFormat="1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166" fontId="1" fillId="0" borderId="0" xfId="0" applyNumberFormat="1" applyFont="1" applyBorder="1" applyAlignment="1" applyProtection="1">
      <alignment horizontal="center"/>
      <protection locked="0"/>
    </xf>
    <xf numFmtId="0" fontId="6" fillId="0" borderId="0" xfId="0" applyNumberFormat="1" applyFont="1" applyBorder="1" applyAlignment="1" applyProtection="1">
      <alignment horizontal="center"/>
      <protection locked="0"/>
    </xf>
    <xf numFmtId="0" fontId="1" fillId="0" borderId="0" xfId="0" quotePrefix="1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/>
    </xf>
    <xf numFmtId="0" fontId="1" fillId="0" borderId="0" xfId="0" applyNumberFormat="1" applyFont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164" fontId="3" fillId="0" borderId="21" xfId="1" applyNumberFormat="1" applyFont="1" applyFill="1" applyBorder="1" applyAlignment="1">
      <alignment horizontal="center"/>
    </xf>
    <xf numFmtId="164" fontId="3" fillId="0" borderId="22" xfId="1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externalLink" Target="externalLinks/externalLink32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42" Type="http://schemas.openxmlformats.org/officeDocument/2006/relationships/externalLink" Target="externalLinks/externalLink35.xml"/><Relationship Id="rId47" Type="http://schemas.openxmlformats.org/officeDocument/2006/relationships/externalLink" Target="externalLinks/externalLink40.xml"/><Relationship Id="rId50" Type="http://schemas.openxmlformats.org/officeDocument/2006/relationships/sharedStrings" Target="sharedStrings.xml"/><Relationship Id="rId55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9" Type="http://schemas.openxmlformats.org/officeDocument/2006/relationships/externalLink" Target="externalLinks/externalLink22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40" Type="http://schemas.openxmlformats.org/officeDocument/2006/relationships/externalLink" Target="externalLinks/externalLink33.xml"/><Relationship Id="rId45" Type="http://schemas.openxmlformats.org/officeDocument/2006/relationships/externalLink" Target="externalLinks/externalLink38.xml"/><Relationship Id="rId53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4" Type="http://schemas.openxmlformats.org/officeDocument/2006/relationships/externalLink" Target="externalLinks/externalLink37.xml"/><Relationship Id="rId52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externalLink" Target="externalLinks/externalLink36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51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externalLink" Target="externalLinks/externalLink31.xml"/><Relationship Id="rId46" Type="http://schemas.openxmlformats.org/officeDocument/2006/relationships/externalLink" Target="externalLinks/externalLink39.xml"/><Relationship Id="rId20" Type="http://schemas.openxmlformats.org/officeDocument/2006/relationships/externalLink" Target="externalLinks/externalLink13.xml"/><Relationship Id="rId41" Type="http://schemas.openxmlformats.org/officeDocument/2006/relationships/externalLink" Target="externalLinks/externalLink34.xml"/><Relationship Id="rId54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4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v.%20Req.%20Models/WA%20JAM%20Dec%202009%20GRC%20-%20Supplement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5%20-%20NPC/5.3%20Electric%20Lake%20Settlemen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5%20-%20NPC/5.4%20BPA%20Residential%20Exchang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4%20-%20O&amp;M/4.6%20DSM%20Expense%20Removal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4%20-%20O&amp;M/4.5%20Affiliate%20Mgmt%20Fee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8%20-%20Rate%20Base/8.3%20Environmental%20Remediation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5%20-%20NPC/5.6%20Remove%20Colstrip%20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8%20-%20Rate%20Base/8.6%20Removal%20of%20Colstrip%20%234%20AFUDC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8%20-%20Rate%20Base/8.8%20Trojan%20Unrecovered%20Plant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3%20-%20Revenue/3.4%20SO2%20Sales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7%20-%20Tax/7.4%20Malin%20Midpoint%20Dec%2020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ev.%20Req.%20Models/WA%20RAM%20Dec%202009%20GRC%20-%20Supplementa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7%20-%20Tax/7.5%20WA%20FAS%20109%20Flow%20Through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7%20-%20Tax/7.8%20Remove%20Def%20State%20Tax%20Exp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7%20-%20Tax/7.9%20Current%20Year%20Def%20Income%20Tax%20Normalization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7%20-%20Tax/7.10%20Medicare%20Deferred%20Tax%20Expense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8%20-%20Rate%20Base/8.5%20Miscellaneous%20Rate%20Base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8%20-%20Rate%20Base/8.9%20Customer%20Service%20Deposit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8%20-%20Rate%20Base/8.2%20Jim%20Bridger%20Mine%20-%20Revised%2011-23-10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6%20-%20Depr/6.1%20Hydro%20Decommissioning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7%20-%20Tax/7.2%20ADIT%20Factor%20Correction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7%20-%20Tax/7.11%20Avg%20Balance%20for%20ADIT%20-%20Propert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3%20-%20Revenue/3.1,%203.2%20and%203.3%20Revenue%20Adjustments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8%20-%20Rate%20Base/8.4%20Customer%20Advances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7%20-%20Tax/7.6%20AFUDC%20Equity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9%20-%20Production%20Factor/9.1%20Production%20Factor%20-%20Revised%2011-23-10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5%20-%20NPC/5.5%20James%20River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8%20-%20Rate%20Base/8.10%20Chehalis%20Reg%20Asset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4%20-%20O&amp;M/4.4%20Pension%20Curtailment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4%20-%20O&amp;M/4.8%20MEHC%20Trans%20Savings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8%20-%20Rate%20Base/8.7%20Powerdale%20Removal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7%20-%20Tax/7.7%20WA%20Public%20Utility%20Tax%20Adjustmen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7%20-%20Tax/7.12%20WA%20Low%20Income%20Tax%20Credi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5%20-%20NPC/5.1-%205.2%20Net%20Power%20Costs%20-%20Revised%2011-23-10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7%20-%20Tax/7.3%20Renewable%20Energy%20Tax%20Credi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3%20-%20Revenue/3.5%20REC%20Revenue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3%20-%20Revenue/3.6%20Wheeling%20Revenu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4%20-%20O&amp;M/4.2-3%20General%20Wage%20Increas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4%20-%20O&amp;M/4.7%20Remove%20Non-Recurring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4%20-%20O&amp;M/4.1%20Misc%20General%20Expens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"/>
      <sheetName val="Function"/>
      <sheetName val="Function1149"/>
      <sheetName val="NPC"/>
      <sheetName val="Report"/>
      <sheetName val="Results"/>
      <sheetName val="UTCR"/>
      <sheetName val="NRO"/>
      <sheetName val="ADJ"/>
      <sheetName val="URO"/>
      <sheetName val="ECD"/>
      <sheetName val="Unadj Data for RAM"/>
      <sheetName val="Variables"/>
      <sheetName val="Inputs"/>
      <sheetName val="Factors"/>
      <sheetName val="Check"/>
      <sheetName val="CWC"/>
      <sheetName val="WelcomeDialog"/>
      <sheetName val="Macro"/>
    </sheetNames>
    <sheetDataSet>
      <sheetData sheetId="0"/>
      <sheetData sheetId="1"/>
      <sheetData sheetId="2"/>
      <sheetData sheetId="3"/>
      <sheetData sheetId="4">
        <row r="377">
          <cell r="K377">
            <v>331425.601479618</v>
          </cell>
        </row>
        <row r="390">
          <cell r="K390">
            <v>35851280.58592236</v>
          </cell>
        </row>
        <row r="644">
          <cell r="K644">
            <v>40562599.875692278</v>
          </cell>
        </row>
        <row r="704">
          <cell r="K704">
            <v>-8025121</v>
          </cell>
        </row>
        <row r="715">
          <cell r="K715">
            <v>84327279.147866249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30">
          <cell r="B30">
            <v>0.61987999999999999</v>
          </cell>
        </row>
        <row r="32">
          <cell r="B32">
            <v>5.6100000000000004E-3</v>
          </cell>
        </row>
        <row r="33">
          <cell r="B33">
            <v>2E-3</v>
          </cell>
        </row>
        <row r="34">
          <cell r="B34">
            <v>3.8730000000000001E-2</v>
          </cell>
        </row>
        <row r="35">
          <cell r="B35">
            <v>0</v>
          </cell>
        </row>
      </sheetData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 WCA"/>
      <sheetName val="BW Acct 557 Dec 2009 "/>
      <sheetName val="Dec 09 AMA 254"/>
    </sheetNames>
    <sheetDataSet>
      <sheetData sheetId="0">
        <row r="13">
          <cell r="I13">
            <v>152282.21898382137</v>
          </cell>
        </row>
        <row r="15">
          <cell r="I15">
            <v>-212582.87396787116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5.4.1"/>
      <sheetName val="LTIP"/>
      <sheetName val="FY2006 Three Factor Formula"/>
      <sheetName val="FY2006 Senders Receivers "/>
    </sheetNames>
    <sheetDataSet>
      <sheetData sheetId="0">
        <row r="12">
          <cell r="I12">
            <v>8025121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 "/>
      <sheetName val="4.6.1"/>
      <sheetName val="4.6.2"/>
    </sheetNames>
    <sheetDataSet>
      <sheetData sheetId="0">
        <row r="16">
          <cell r="I16">
            <v>-4858459</v>
          </cell>
        </row>
        <row r="20">
          <cell r="I20">
            <v>-1385852.3131956439</v>
          </cell>
        </row>
        <row r="21">
          <cell r="I21">
            <v>-525944.76265158609</v>
          </cell>
        </row>
        <row r="22">
          <cell r="I22">
            <v>472405.91201826412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MEHC-MEC Mgmt Fees Aug09"/>
      <sheetName val="MEHC-MEC Mgmt Fees 2008"/>
    </sheetNames>
    <sheetDataSet>
      <sheetData sheetId="0">
        <row r="9">
          <cell r="I9">
            <v>-78012.306832735296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Summary"/>
      <sheetName val="Amort Sched"/>
      <sheetName val="Adjustments to Tax"/>
      <sheetName val="WUTC 185"/>
      <sheetName val="GL 566700"/>
      <sheetName val="GL 566710"/>
      <sheetName val="1823910-Dec09"/>
    </sheetNames>
    <sheetDataSet>
      <sheetData sheetId="0">
        <row r="13">
          <cell r="I13">
            <v>54303.537524919564</v>
          </cell>
        </row>
        <row r="16">
          <cell r="I16">
            <v>-532533.3878096831</v>
          </cell>
        </row>
        <row r="17">
          <cell r="I17">
            <v>564547.91874999995</v>
          </cell>
        </row>
        <row r="18">
          <cell r="I18">
            <v>123551.71296764362</v>
          </cell>
        </row>
        <row r="21">
          <cell r="I21">
            <v>-41091.633941917637</v>
          </cell>
        </row>
        <row r="22">
          <cell r="I22">
            <v>15594.692357382572</v>
          </cell>
        </row>
        <row r="23">
          <cell r="I23">
            <v>361533.94674291194</v>
          </cell>
        </row>
        <row r="25">
          <cell r="I25">
            <v>-43743</v>
          </cell>
        </row>
        <row r="26">
          <cell r="I26">
            <v>224611</v>
          </cell>
        </row>
        <row r="27">
          <cell r="I27">
            <v>-208010</v>
          </cell>
        </row>
        <row r="28">
          <cell r="I28">
            <v>-43335</v>
          </cell>
        </row>
        <row r="29">
          <cell r="I29">
            <v>-165366</v>
          </cell>
        </row>
        <row r="31">
          <cell r="I31">
            <v>25459.400411784434</v>
          </cell>
        </row>
        <row r="32">
          <cell r="I32">
            <v>-9661.6994621422491</v>
          </cell>
        </row>
        <row r="33">
          <cell r="I33">
            <v>-46890.38717771892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5.6.1 Property Tax Calc."/>
      <sheetName val="5.6.2 Summary"/>
      <sheetName val="5.6.3 Plant Ledger Balances"/>
      <sheetName val="5.6.4 Summary Pre-Merger"/>
      <sheetName val="5.6.5 Summary Post-Merger"/>
      <sheetName val="5.6.6 Summary Total"/>
      <sheetName val="5.6.7 ITC"/>
      <sheetName val="5.6.8 Base Data"/>
      <sheetName val="V1983"/>
      <sheetName val="V1984"/>
      <sheetName val="V1985"/>
      <sheetName val="V1986"/>
      <sheetName val="V1987"/>
      <sheetName val="V1988"/>
      <sheetName val="V1989"/>
      <sheetName val="V1990"/>
      <sheetName val="V1991"/>
      <sheetName val="V1992"/>
      <sheetName val="V1993"/>
      <sheetName val="V1994"/>
      <sheetName val="V1995"/>
      <sheetName val="V1996"/>
      <sheetName val="V1997"/>
      <sheetName val="V1998"/>
      <sheetName val="V1999"/>
      <sheetName val="V2000"/>
      <sheetName val="V2000.2"/>
      <sheetName val="V2001"/>
      <sheetName val="V2001.2"/>
      <sheetName val="V2002"/>
      <sheetName val="V2003"/>
      <sheetName val="V2003.2"/>
      <sheetName val="V2004"/>
      <sheetName val="V2004.2"/>
      <sheetName val="V2005"/>
      <sheetName val="V2005.2"/>
      <sheetName val="V2005.3"/>
      <sheetName val="V2006"/>
      <sheetName val="V2006.2"/>
      <sheetName val="V2006.3"/>
      <sheetName val="V2007"/>
      <sheetName val="V2007.2"/>
      <sheetName val="V2008"/>
      <sheetName val="V2008.2"/>
      <sheetName val="V2009"/>
      <sheetName val="Break"/>
      <sheetName val="Depr Rate"/>
    </sheetNames>
    <sheetDataSet>
      <sheetData sheetId="0">
        <row r="9">
          <cell r="I9">
            <v>-370246.10036195512</v>
          </cell>
        </row>
        <row r="10">
          <cell r="I10">
            <v>-26985.901168847417</v>
          </cell>
        </row>
        <row r="11">
          <cell r="I11">
            <v>-42124.459304340671</v>
          </cell>
        </row>
        <row r="12">
          <cell r="I12">
            <v>-90396.065974144673</v>
          </cell>
        </row>
        <row r="13">
          <cell r="I13">
            <v>-370246.10036195512</v>
          </cell>
        </row>
        <row r="14">
          <cell r="I14">
            <v>-26985.901168847417</v>
          </cell>
        </row>
        <row r="15">
          <cell r="I15">
            <v>116447.30590310732</v>
          </cell>
        </row>
        <row r="18">
          <cell r="I18">
            <v>-24358296.07644441</v>
          </cell>
        </row>
        <row r="19">
          <cell r="I19">
            <v>-1767631.8934282884</v>
          </cell>
        </row>
        <row r="20">
          <cell r="I20">
            <v>15693985.060380375</v>
          </cell>
        </row>
        <row r="21">
          <cell r="I21">
            <v>316777.27904775692</v>
          </cell>
        </row>
        <row r="22">
          <cell r="I22">
            <v>1572142.4576148225</v>
          </cell>
        </row>
        <row r="23">
          <cell r="I23">
            <v>144385.82344165733</v>
          </cell>
        </row>
        <row r="26">
          <cell r="I26">
            <v>-52188</v>
          </cell>
        </row>
        <row r="27">
          <cell r="I27">
            <v>19806</v>
          </cell>
        </row>
        <row r="28">
          <cell r="I28">
            <v>238507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8.6.1"/>
      <sheetName val="Depr Sch"/>
    </sheetNames>
    <sheetDataSet>
      <sheetData sheetId="0">
        <row r="9">
          <cell r="I9">
            <v>-17990.552800000001</v>
          </cell>
        </row>
        <row r="13">
          <cell r="I13">
            <v>-17990.552800000001</v>
          </cell>
        </row>
        <row r="17">
          <cell r="I17">
            <v>-441006.12659999984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Adjustment Summary"/>
    </sheetNames>
    <sheetDataSet>
      <sheetData sheetId="0">
        <row r="11">
          <cell r="I11">
            <v>-169568.97296169098</v>
          </cell>
        </row>
        <row r="15">
          <cell r="I15">
            <v>436629.36000000004</v>
          </cell>
        </row>
        <row r="16">
          <cell r="I16">
            <v>-419071.98208723229</v>
          </cell>
        </row>
        <row r="17">
          <cell r="I17">
            <v>-286133.98627459229</v>
          </cell>
        </row>
        <row r="18">
          <cell r="I18">
            <v>0</v>
          </cell>
        </row>
        <row r="19">
          <cell r="I19">
            <v>445442.12953812571</v>
          </cell>
        </row>
        <row r="20">
          <cell r="I20">
            <v>739666.66559016658</v>
          </cell>
        </row>
        <row r="31">
          <cell r="I31">
            <v>-347730.61460689106</v>
          </cell>
        </row>
        <row r="32">
          <cell r="I32">
            <v>-162775.95081482874</v>
          </cell>
        </row>
        <row r="33">
          <cell r="I33">
            <v>294743.1197675899</v>
          </cell>
        </row>
        <row r="34">
          <cell r="I34">
            <v>-134362.97251784222</v>
          </cell>
        </row>
        <row r="35">
          <cell r="I35">
            <v>-33911.536603771216</v>
          </cell>
        </row>
      </sheetData>
      <sheetData sheetId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Summary"/>
      <sheetName val="Per Books Data"/>
      <sheetName val="SAP301947"/>
      <sheetName val="Inputs"/>
      <sheetName val="Tax Proof"/>
      <sheetName val="Sep 1994"/>
      <sheetName val="Dec 1994"/>
      <sheetName val="Apr 1995"/>
      <sheetName val="May 1995"/>
      <sheetName val="Jun 1995"/>
      <sheetName val="Jul 1995"/>
      <sheetName val="Sep 1995"/>
      <sheetName val="Oct 1995"/>
      <sheetName val="Dec 1995"/>
      <sheetName val="Feb 1996"/>
      <sheetName val="Mar 1996"/>
      <sheetName val="Apr 1996"/>
      <sheetName val="Jun 1996"/>
      <sheetName val="Jul 1996"/>
      <sheetName val="Aug 1996"/>
      <sheetName val="Sep 1996"/>
      <sheetName val="Dec 1996"/>
      <sheetName val="Feb 1997"/>
      <sheetName val="Apr 1997"/>
      <sheetName val="May 1997"/>
      <sheetName val="Jun 1997"/>
      <sheetName val="Jul 1997"/>
      <sheetName val="Sep 1997"/>
      <sheetName val="Oct 1997"/>
      <sheetName val="Nov 1997"/>
      <sheetName val="Dec 1997"/>
      <sheetName val="Jan 1998"/>
      <sheetName val="Feb 1998"/>
      <sheetName val="Mar 1998"/>
      <sheetName val="Apr 1998"/>
      <sheetName val="May 1998"/>
      <sheetName val="Jul 1998"/>
      <sheetName val="Aug 1998"/>
      <sheetName val="Jun 1999"/>
      <sheetName val="Jul 1999"/>
      <sheetName val="Aug 1999"/>
      <sheetName val="Sep 1999"/>
      <sheetName val="Jun 2000"/>
      <sheetName val="Aug 2000"/>
      <sheetName val="Sep 2000"/>
      <sheetName val="Oct 2000"/>
      <sheetName val="Nov 2000"/>
      <sheetName val="Dec 2000"/>
      <sheetName val="Jan 2001"/>
      <sheetName val="Mar 2001"/>
      <sheetName val="May 2001"/>
      <sheetName val="Jun 2001"/>
      <sheetName val="Jul 2001"/>
      <sheetName val="Dec 2001"/>
      <sheetName val="May 2002"/>
      <sheetName val="Jun 2002"/>
      <sheetName val="Jul 2002"/>
      <sheetName val="Nov 2002"/>
      <sheetName val="July 2003"/>
      <sheetName val="Oct 2003"/>
      <sheetName val="May 2004"/>
      <sheetName val="June 2004"/>
      <sheetName val="May 2005"/>
      <sheetName val="June 2005"/>
      <sheetName val="Dec 2005"/>
      <sheetName val="Feb 2006"/>
      <sheetName val="May 2006"/>
      <sheetName val="June 2006"/>
      <sheetName val="Mar 2007"/>
      <sheetName val="Apr 2007"/>
      <sheetName val="May 2007"/>
      <sheetName val="Oct 2007"/>
      <sheetName val="Dec 2007"/>
      <sheetName val="Apr 2008"/>
      <sheetName val="Oct 2008"/>
      <sheetName val="Nov 2008"/>
      <sheetName val="Dec 2008"/>
      <sheetName val="Jan 2009"/>
      <sheetName val="Apr 2009"/>
      <sheetName val="Jun 2009"/>
      <sheetName val="Aug 2009"/>
      <sheetName val="Sep 2009"/>
      <sheetName val="Feb 2010"/>
    </sheetNames>
    <sheetDataSet>
      <sheetData sheetId="0">
        <row r="12">
          <cell r="I12">
            <v>-237950.87274093495</v>
          </cell>
        </row>
        <row r="15">
          <cell r="I15">
            <v>1600912.3899401117</v>
          </cell>
        </row>
        <row r="16">
          <cell r="I16">
            <v>-4218445.3037073184</v>
          </cell>
        </row>
        <row r="21">
          <cell r="I21">
            <v>28799.357273164835</v>
          </cell>
        </row>
        <row r="22">
          <cell r="I22">
            <v>537064.15226003109</v>
          </cell>
        </row>
        <row r="23">
          <cell r="I23">
            <v>-10929.66017775838</v>
          </cell>
        </row>
        <row r="24">
          <cell r="I24">
            <v>203821.24403438077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7.4.1"/>
    </sheetNames>
    <sheetDataSet>
      <sheetData sheetId="0">
        <row r="9">
          <cell r="I9">
            <v>-291666.75803272682</v>
          </cell>
        </row>
        <row r="12">
          <cell r="I12">
            <v>-510417.13577641395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  <sheetName val="CWC - calcu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">
          <cell r="C11">
            <v>266100834.98999998</v>
          </cell>
          <cell r="D11">
            <v>-6737565.5899999887</v>
          </cell>
          <cell r="E11">
            <v>259363269.39999998</v>
          </cell>
          <cell r="H11">
            <v>12402155.109999999</v>
          </cell>
          <cell r="I11">
            <v>271765424.50999999</v>
          </cell>
        </row>
        <row r="12">
          <cell r="C12">
            <v>0</v>
          </cell>
          <cell r="D12">
            <v>0</v>
          </cell>
          <cell r="E12">
            <v>0</v>
          </cell>
          <cell r="H12">
            <v>0</v>
          </cell>
          <cell r="I12">
            <v>0</v>
          </cell>
        </row>
        <row r="13">
          <cell r="C13">
            <v>78723890.002297029</v>
          </cell>
          <cell r="D13">
            <v>3803644.2032988709</v>
          </cell>
          <cell r="E13">
            <v>82527534.205595896</v>
          </cell>
          <cell r="H13">
            <v>-43556536.002497584</v>
          </cell>
          <cell r="I13">
            <v>38970998.203098312</v>
          </cell>
        </row>
        <row r="14">
          <cell r="C14">
            <v>12554856.948306177</v>
          </cell>
          <cell r="D14">
            <v>-4108989.02950744</v>
          </cell>
          <cell r="E14">
            <v>8445867.9187987372</v>
          </cell>
          <cell r="H14">
            <v>-1833131.8684714884</v>
          </cell>
          <cell r="I14">
            <v>6612736.0503272489</v>
          </cell>
        </row>
        <row r="15">
          <cell r="C15">
            <v>357379581.9406032</v>
          </cell>
          <cell r="D15">
            <v>-7042910.4162085578</v>
          </cell>
          <cell r="E15">
            <v>350336671.52439463</v>
          </cell>
          <cell r="H15">
            <v>-32987512.760969073</v>
          </cell>
          <cell r="I15">
            <v>317349158.76342553</v>
          </cell>
        </row>
        <row r="18">
          <cell r="C18">
            <v>48371132.770529747</v>
          </cell>
          <cell r="D18">
            <v>-1302039.490000973</v>
          </cell>
          <cell r="E18">
            <v>47069093.280528776</v>
          </cell>
          <cell r="H18">
            <v>4164858.8370971931</v>
          </cell>
          <cell r="I18">
            <v>51233952.117625967</v>
          </cell>
        </row>
        <row r="19">
          <cell r="C19">
            <v>0</v>
          </cell>
          <cell r="D19">
            <v>0</v>
          </cell>
          <cell r="E19">
            <v>0</v>
          </cell>
          <cell r="H19">
            <v>0</v>
          </cell>
          <cell r="I19">
            <v>0</v>
          </cell>
        </row>
        <row r="20">
          <cell r="C20">
            <v>6349037.5511267083</v>
          </cell>
          <cell r="D20">
            <v>1964.8349516471831</v>
          </cell>
          <cell r="E20">
            <v>6351002.3860783558</v>
          </cell>
          <cell r="H20">
            <v>14128.087987025521</v>
          </cell>
          <cell r="I20">
            <v>6365130.4740653811</v>
          </cell>
        </row>
        <row r="21">
          <cell r="C21">
            <v>125305885.00091264</v>
          </cell>
          <cell r="D21">
            <v>2206561.8332285578</v>
          </cell>
          <cell r="E21">
            <v>127512446.83414119</v>
          </cell>
          <cell r="H21">
            <v>-13760382.152448796</v>
          </cell>
          <cell r="I21">
            <v>113752064.68169239</v>
          </cell>
        </row>
        <row r="22">
          <cell r="C22">
            <v>25362553.335236829</v>
          </cell>
          <cell r="D22">
            <v>-119205.98724489645</v>
          </cell>
          <cell r="E22">
            <v>25243347.347991932</v>
          </cell>
          <cell r="H22">
            <v>3316493.9365832596</v>
          </cell>
          <cell r="I22">
            <v>28559841.28457519</v>
          </cell>
        </row>
        <row r="23">
          <cell r="C23">
            <v>13621606.721800074</v>
          </cell>
          <cell r="D23">
            <v>6969.4824389372116</v>
          </cell>
          <cell r="E23">
            <v>13628576.204239011</v>
          </cell>
          <cell r="H23">
            <v>91505.452370337007</v>
          </cell>
          <cell r="I23">
            <v>13720081.656609347</v>
          </cell>
        </row>
        <row r="24">
          <cell r="C24">
            <v>8025975.3729733964</v>
          </cell>
          <cell r="D24">
            <v>4466.1128616715359</v>
          </cell>
          <cell r="E24">
            <v>8030441.4858350679</v>
          </cell>
          <cell r="H24">
            <v>57733.388162278228</v>
          </cell>
          <cell r="I24">
            <v>8088174.8739973465</v>
          </cell>
        </row>
        <row r="25">
          <cell r="C25">
            <v>5423426.4819710292</v>
          </cell>
          <cell r="D25">
            <v>-4858857.1696259631</v>
          </cell>
          <cell r="E25">
            <v>564569.31234506611</v>
          </cell>
          <cell r="H25">
            <v>2679.2924333421715</v>
          </cell>
          <cell r="I25">
            <v>567248.60477840831</v>
          </cell>
        </row>
        <row r="26">
          <cell r="C26">
            <v>0</v>
          </cell>
          <cell r="D26">
            <v>0</v>
          </cell>
          <cell r="E26">
            <v>0</v>
          </cell>
          <cell r="H26">
            <v>0</v>
          </cell>
          <cell r="I26">
            <v>0</v>
          </cell>
        </row>
        <row r="27">
          <cell r="C27">
            <v>12167262.867714064</v>
          </cell>
          <cell r="D27">
            <v>-60435.408628654244</v>
          </cell>
          <cell r="E27">
            <v>12106827.45908541</v>
          </cell>
          <cell r="H27">
            <v>-1329008.6223783894</v>
          </cell>
          <cell r="I27">
            <v>10777818.836707022</v>
          </cell>
        </row>
        <row r="28">
          <cell r="C28">
            <v>244626880.10226449</v>
          </cell>
          <cell r="D28">
            <v>-4120575.7920196732</v>
          </cell>
          <cell r="E28">
            <v>240506304.31024483</v>
          </cell>
          <cell r="H28">
            <v>-7441991.7801937489</v>
          </cell>
          <cell r="I28">
            <v>233064312.53005108</v>
          </cell>
        </row>
        <row r="29">
          <cell r="C29">
            <v>36705844.209221087</v>
          </cell>
          <cell r="D29">
            <v>-415222.55433080252</v>
          </cell>
          <cell r="E29">
            <v>36290621.654890284</v>
          </cell>
          <cell r="H29">
            <v>-29238.355724457091</v>
          </cell>
          <cell r="I29">
            <v>36261383.29916583</v>
          </cell>
        </row>
        <row r="30">
          <cell r="C30">
            <v>4017010.1383138788</v>
          </cell>
          <cell r="D30">
            <v>-169568.97296169098</v>
          </cell>
          <cell r="E30">
            <v>3847441.1653521881</v>
          </cell>
          <cell r="H30">
            <v>-182288.98018681514</v>
          </cell>
          <cell r="I30">
            <v>3665152.1851653727</v>
          </cell>
        </row>
        <row r="31">
          <cell r="C31">
            <v>17744812.254208628</v>
          </cell>
          <cell r="D31">
            <v>-42124.459304340671</v>
          </cell>
          <cell r="E31">
            <v>17702687.794904288</v>
          </cell>
          <cell r="H31">
            <v>-428616.54</v>
          </cell>
          <cell r="I31">
            <v>17274071.254904289</v>
          </cell>
        </row>
        <row r="32">
          <cell r="C32">
            <v>-13966180.340332296</v>
          </cell>
          <cell r="D32">
            <v>131482.40610216436</v>
          </cell>
          <cell r="E32">
            <v>-13834697.934230132</v>
          </cell>
          <cell r="H32">
            <v>-14058518.201169636</v>
          </cell>
          <cell r="I32">
            <v>-27893216.135399766</v>
          </cell>
        </row>
        <row r="33">
          <cell r="C33">
            <v>0</v>
          </cell>
          <cell r="D33">
            <v>0</v>
          </cell>
          <cell r="E33">
            <v>0</v>
          </cell>
          <cell r="H33">
            <v>0</v>
          </cell>
          <cell r="I33">
            <v>0</v>
          </cell>
        </row>
        <row r="34">
          <cell r="C34">
            <v>22359798.153024439</v>
          </cell>
          <cell r="D34">
            <v>4140911.3285285961</v>
          </cell>
          <cell r="E34">
            <v>26500709.481553033</v>
          </cell>
          <cell r="H34">
            <v>-417014.14510028285</v>
          </cell>
          <cell r="I34">
            <v>26083695.336452749</v>
          </cell>
        </row>
        <row r="35">
          <cell r="C35">
            <v>0</v>
          </cell>
          <cell r="D35">
            <v>0</v>
          </cell>
          <cell r="E35">
            <v>0</v>
          </cell>
          <cell r="H35">
            <v>0</v>
          </cell>
          <cell r="I35">
            <v>0</v>
          </cell>
        </row>
        <row r="36">
          <cell r="C36">
            <v>-341244.31117613171</v>
          </cell>
          <cell r="D36">
            <v>-203945.96607426828</v>
          </cell>
          <cell r="E36">
            <v>-545190.27725040005</v>
          </cell>
          <cell r="H36">
            <v>949.34680470370222</v>
          </cell>
          <cell r="I36">
            <v>-544240.93044569634</v>
          </cell>
        </row>
        <row r="37">
          <cell r="C37">
            <v>311146920.20552415</v>
          </cell>
          <cell r="D37">
            <v>-679044.01006001607</v>
          </cell>
          <cell r="E37">
            <v>310467876.19546402</v>
          </cell>
          <cell r="H37">
            <v>-22556718.655570239</v>
          </cell>
          <cell r="I37">
            <v>287911157.53989381</v>
          </cell>
        </row>
        <row r="39">
          <cell r="C39">
            <v>46232661.73507905</v>
          </cell>
          <cell r="D39">
            <v>-6363866.4061485417</v>
          </cell>
          <cell r="E39">
            <v>39868795.328930616</v>
          </cell>
          <cell r="H39">
            <v>-10430794.105398834</v>
          </cell>
          <cell r="I39">
            <v>29438001.223531723</v>
          </cell>
        </row>
        <row r="42">
          <cell r="C42">
            <v>1398743840.7185168</v>
          </cell>
          <cell r="D42">
            <v>27046917.071776658</v>
          </cell>
          <cell r="E42">
            <v>1425790757.7902935</v>
          </cell>
          <cell r="H42">
            <v>-1161846.8837236031</v>
          </cell>
          <cell r="I42">
            <v>1424628910.90657</v>
          </cell>
        </row>
        <row r="43">
          <cell r="C43">
            <v>37310.24459140328</v>
          </cell>
          <cell r="D43">
            <v>0</v>
          </cell>
          <cell r="E43">
            <v>37310.24459140328</v>
          </cell>
          <cell r="H43">
            <v>0</v>
          </cell>
          <cell r="I43">
            <v>37310.24459140328</v>
          </cell>
        </row>
        <row r="44">
          <cell r="C44">
            <v>6671729.2360731997</v>
          </cell>
          <cell r="D44">
            <v>-2197306.0259155687</v>
          </cell>
          <cell r="E44">
            <v>4474423.210157631</v>
          </cell>
          <cell r="H44">
            <v>15188002.091061195</v>
          </cell>
          <cell r="I44">
            <v>19662425.301218826</v>
          </cell>
        </row>
        <row r="45">
          <cell r="C45">
            <v>0</v>
          </cell>
          <cell r="D45">
            <v>0</v>
          </cell>
          <cell r="E45">
            <v>0</v>
          </cell>
          <cell r="H45">
            <v>0</v>
          </cell>
          <cell r="I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H46">
            <v>0</v>
          </cell>
          <cell r="I46">
            <v>0</v>
          </cell>
        </row>
        <row r="47">
          <cell r="C47">
            <v>2850427.943054324</v>
          </cell>
          <cell r="D47">
            <v>-2850427.9619466118</v>
          </cell>
          <cell r="E47">
            <v>-1.8892287742346525E-2</v>
          </cell>
          <cell r="H47">
            <v>0</v>
          </cell>
          <cell r="I47">
            <v>-1.8892287742346525E-2</v>
          </cell>
        </row>
        <row r="48">
          <cell r="C48">
            <v>3524551.0469494397</v>
          </cell>
          <cell r="D48">
            <v>2033952.2560125524</v>
          </cell>
          <cell r="E48">
            <v>5558503.3029619921</v>
          </cell>
          <cell r="H48">
            <v>-3595.335989266634</v>
          </cell>
          <cell r="I48">
            <v>5554907.9669727255</v>
          </cell>
        </row>
        <row r="49">
          <cell r="C49">
            <v>7763142.7157643503</v>
          </cell>
          <cell r="D49">
            <v>2018177.8990736436</v>
          </cell>
          <cell r="E49">
            <v>9781320.6148379929</v>
          </cell>
          <cell r="H49">
            <v>-3545.2505568028428</v>
          </cell>
          <cell r="I49">
            <v>9777775.3642811906</v>
          </cell>
        </row>
        <row r="50">
          <cell r="C50">
            <v>2159291.1506739343</v>
          </cell>
          <cell r="D50">
            <v>8669513.3432273418</v>
          </cell>
          <cell r="E50">
            <v>10828804.493901275</v>
          </cell>
          <cell r="H50">
            <v>276298.99870484322</v>
          </cell>
          <cell r="I50">
            <v>11105103.492606118</v>
          </cell>
        </row>
        <row r="51">
          <cell r="C51">
            <v>2046740.5986772478</v>
          </cell>
          <cell r="D51">
            <v>0</v>
          </cell>
          <cell r="E51">
            <v>2046740.5986772478</v>
          </cell>
          <cell r="H51">
            <v>0</v>
          </cell>
          <cell r="I51">
            <v>2046740.5986772478</v>
          </cell>
        </row>
        <row r="52">
          <cell r="C52">
            <v>268576.60807565699</v>
          </cell>
          <cell r="D52">
            <v>-268576.60836182453</v>
          </cell>
          <cell r="E52">
            <v>-2.86167545709759E-4</v>
          </cell>
          <cell r="H52">
            <v>0</v>
          </cell>
          <cell r="I52">
            <v>-2.86167545709759E-4</v>
          </cell>
        </row>
        <row r="53">
          <cell r="C53">
            <v>1424065610.2623763</v>
          </cell>
          <cell r="D53">
            <v>34452249.973866187</v>
          </cell>
          <cell r="E53">
            <v>1458517860.2362425</v>
          </cell>
          <cell r="H53">
            <v>14295313.619496366</v>
          </cell>
          <cell r="I53">
            <v>1472813173.8557391</v>
          </cell>
        </row>
        <row r="56">
          <cell r="C56">
            <v>-503192583.84775847</v>
          </cell>
          <cell r="D56">
            <v>-7446965.4092337936</v>
          </cell>
          <cell r="E56">
            <v>-510639549.25699228</v>
          </cell>
          <cell r="H56">
            <v>123289.41095567844</v>
          </cell>
          <cell r="I56">
            <v>-510516259.84603661</v>
          </cell>
        </row>
        <row r="57">
          <cell r="C57">
            <v>-34606345.321051545</v>
          </cell>
          <cell r="D57">
            <v>0</v>
          </cell>
          <cell r="E57">
            <v>-34606345.321051545</v>
          </cell>
          <cell r="H57">
            <v>0</v>
          </cell>
          <cell r="I57">
            <v>-34606345.321051545</v>
          </cell>
        </row>
        <row r="58">
          <cell r="C58">
            <v>-128569574.10448816</v>
          </cell>
          <cell r="D58">
            <v>-6475410.3685375536</v>
          </cell>
          <cell r="E58">
            <v>-135044984.47302571</v>
          </cell>
          <cell r="H58">
            <v>-5544377.9755178178</v>
          </cell>
          <cell r="I58">
            <v>-140589362.44854352</v>
          </cell>
        </row>
        <row r="59">
          <cell r="C59">
            <v>-1096753.183804</v>
          </cell>
          <cell r="D59">
            <v>144385.82344165733</v>
          </cell>
          <cell r="E59">
            <v>-952367.36036234268</v>
          </cell>
          <cell r="H59">
            <v>0</v>
          </cell>
          <cell r="I59">
            <v>-952367.36036234268</v>
          </cell>
        </row>
        <row r="60">
          <cell r="C60">
            <v>-334499.98611589998</v>
          </cell>
          <cell r="D60">
            <v>23142.536575635779</v>
          </cell>
          <cell r="E60">
            <v>-311357.44954026421</v>
          </cell>
          <cell r="H60">
            <v>0</v>
          </cell>
          <cell r="I60">
            <v>-311357.44954026421</v>
          </cell>
        </row>
        <row r="61">
          <cell r="C61">
            <v>0</v>
          </cell>
          <cell r="D61">
            <v>-2980495.6783333328</v>
          </cell>
          <cell r="E61">
            <v>-2980495.6783333328</v>
          </cell>
          <cell r="H61">
            <v>0</v>
          </cell>
          <cell r="I61">
            <v>-2980495.6783333328</v>
          </cell>
        </row>
        <row r="62">
          <cell r="C62">
            <v>-4865967.0740704359</v>
          </cell>
          <cell r="D62">
            <v>-3245919.382546897</v>
          </cell>
          <cell r="E62">
            <v>-8111886.456617333</v>
          </cell>
          <cell r="H62">
            <v>7456.7769102435559</v>
          </cell>
          <cell r="I62">
            <v>-8104429.6797070894</v>
          </cell>
        </row>
        <row r="64">
          <cell r="C64">
            <v>-672665723.51728857</v>
          </cell>
          <cell r="D64">
            <v>-19981262.478634283</v>
          </cell>
          <cell r="E64">
            <v>-692646985.99592268</v>
          </cell>
          <cell r="H64">
            <v>-5413631.7876518955</v>
          </cell>
          <cell r="I64">
            <v>-698060617.78357458</v>
          </cell>
        </row>
        <row r="66">
          <cell r="C66">
            <v>751399886.74508774</v>
          </cell>
          <cell r="D66">
            <v>14470987.495231904</v>
          </cell>
          <cell r="E66">
            <v>765870874.24031985</v>
          </cell>
          <cell r="H66">
            <v>8881681.8318444714</v>
          </cell>
          <cell r="I66">
            <v>774752556.07216454</v>
          </cell>
        </row>
        <row r="69">
          <cell r="C69">
            <v>6.3973137599340105E-2</v>
          </cell>
          <cell r="D69">
            <v>-1.8180218268184042E-2</v>
          </cell>
          <cell r="E69">
            <v>4.5792919331156298E-2</v>
          </cell>
          <cell r="H69">
            <v>-2.6986874470287962E-2</v>
          </cell>
          <cell r="I69">
            <v>1.8806044860868162E-2</v>
          </cell>
        </row>
        <row r="72">
          <cell r="C72">
            <v>54626279.547771238</v>
          </cell>
          <cell r="D72">
            <v>-2091472.6715177819</v>
          </cell>
          <cell r="E72">
            <v>52534806.876253448</v>
          </cell>
          <cell r="H72">
            <v>-24906326.45166875</v>
          </cell>
          <cell r="I72">
            <v>27628480.42458465</v>
          </cell>
        </row>
        <row r="74">
          <cell r="C74">
            <v>-4599793.2770370385</v>
          </cell>
          <cell r="D74">
            <v>217013.20626896209</v>
          </cell>
          <cell r="E74">
            <v>-4382780.070768076</v>
          </cell>
          <cell r="H74">
            <v>0</v>
          </cell>
          <cell r="I74">
            <v>-4382780.070768076</v>
          </cell>
        </row>
        <row r="75">
          <cell r="C75">
            <v>25236151.190422058</v>
          </cell>
          <cell r="D75">
            <v>-3763889.0118707567</v>
          </cell>
          <cell r="E75">
            <v>21472262.178551301</v>
          </cell>
          <cell r="H75">
            <v>249010.38451033086</v>
          </cell>
          <cell r="I75">
            <v>21721272.563061632</v>
          </cell>
        </row>
        <row r="76">
          <cell r="C76">
            <v>64493174.138834439</v>
          </cell>
          <cell r="D76">
            <v>-2567816.9315885995</v>
          </cell>
          <cell r="E76">
            <v>61925357.207245842</v>
          </cell>
          <cell r="H76">
            <v>2050306.5331223095</v>
          </cell>
          <cell r="I76">
            <v>63975663.74036815</v>
          </cell>
        </row>
        <row r="77">
          <cell r="C77">
            <v>138386468.17417011</v>
          </cell>
          <cell r="D77">
            <v>-1488077.8149393392</v>
          </cell>
          <cell r="E77">
            <v>136898390.35923076</v>
          </cell>
          <cell r="H77">
            <v>951489.50999993121</v>
          </cell>
          <cell r="I77">
            <v>137849879.86923069</v>
          </cell>
        </row>
        <row r="78">
          <cell r="C78">
            <v>-39903372.400949448</v>
          </cell>
          <cell r="D78">
            <v>375664.01743475255</v>
          </cell>
          <cell r="E78">
            <v>-39527708.383514695</v>
          </cell>
          <cell r="H78">
            <v>-24056519.813056704</v>
          </cell>
          <cell r="I78">
            <v>-63584228.196571395</v>
          </cell>
        </row>
        <row r="80">
          <cell r="C80">
            <v>0</v>
          </cell>
          <cell r="D80">
            <v>0</v>
          </cell>
          <cell r="E80">
            <v>0</v>
          </cell>
          <cell r="H80">
            <v>0</v>
          </cell>
          <cell r="I80">
            <v>0</v>
          </cell>
        </row>
        <row r="81">
          <cell r="C81">
            <v>-39903372.400949448</v>
          </cell>
          <cell r="D81">
            <v>375664.01743475255</v>
          </cell>
          <cell r="E81">
            <v>-39527708.383514695</v>
          </cell>
          <cell r="H81">
            <v>-24056519.813056704</v>
          </cell>
          <cell r="I81">
            <v>-63584228.196571395</v>
          </cell>
        </row>
        <row r="83">
          <cell r="C83">
            <v>-13966180.340332296</v>
          </cell>
          <cell r="D83">
            <v>131482.40610216436</v>
          </cell>
          <cell r="E83">
            <v>-13834697.934230132</v>
          </cell>
          <cell r="H83">
            <v>-14058518.201169636</v>
          </cell>
          <cell r="I83">
            <v>-27893216.135399766</v>
          </cell>
        </row>
        <row r="100">
          <cell r="H100">
            <v>56747050.966133446</v>
          </cell>
        </row>
        <row r="113">
          <cell r="H113">
            <v>318350.95592000865</v>
          </cell>
        </row>
        <row r="120">
          <cell r="H120">
            <v>2311307.3858506153</v>
          </cell>
        </row>
        <row r="121">
          <cell r="H121">
            <v>18941087.418526985</v>
          </cell>
        </row>
        <row r="161">
          <cell r="H161">
            <v>54117392.624362819</v>
          </cell>
        </row>
        <row r="171">
          <cell r="H171">
            <v>18941087.418526985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 refreshError="1"/>
      <sheetData sheetId="35"/>
      <sheetData sheetId="36"/>
      <sheetData sheetId="37"/>
      <sheetData sheetId="38"/>
      <sheetData sheetId="39"/>
      <sheetData sheetId="40" refreshError="1"/>
      <sheetData sheetId="4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Tax Support"/>
    </sheetNames>
    <sheetDataSet>
      <sheetData sheetId="0">
        <row r="11">
          <cell r="I11">
            <v>5532834</v>
          </cell>
        </row>
      </sheetData>
      <sheetData sheetId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Workpaper 7.8"/>
    </sheetNames>
    <sheetDataSet>
      <sheetData sheetId="0">
        <row r="10">
          <cell r="I10">
            <v>-2199228</v>
          </cell>
        </row>
        <row r="12">
          <cell r="I12">
            <v>1099614</v>
          </cell>
        </row>
      </sheetData>
      <sheetData sheetId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Workpaper 7.9"/>
    </sheetNames>
    <sheetDataSet>
      <sheetData sheetId="0">
        <row r="10">
          <cell r="I10">
            <v>525562</v>
          </cell>
        </row>
        <row r="12">
          <cell r="I12">
            <v>-262781</v>
          </cell>
        </row>
      </sheetData>
      <sheetData sheetId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Workpaper 7.10"/>
    </sheetNames>
    <sheetDataSet>
      <sheetData sheetId="0">
        <row r="10">
          <cell r="I10">
            <v>170464.29080562192</v>
          </cell>
        </row>
      </sheetData>
      <sheetData sheetId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 "/>
      <sheetName val="Detail"/>
      <sheetName val="Tax Data Backup"/>
    </sheetNames>
    <sheetDataSet>
      <sheetData sheetId="0">
        <row r="21">
          <cell r="I21">
            <v>-2159291.1506739343</v>
          </cell>
        </row>
        <row r="40">
          <cell r="I40">
            <v>-2850427.9619466118</v>
          </cell>
        </row>
        <row r="48">
          <cell r="I48">
            <v>-2030094.5131613784</v>
          </cell>
        </row>
        <row r="60">
          <cell r="I60">
            <v>-837021.19896710326</v>
          </cell>
        </row>
        <row r="63">
          <cell r="I63">
            <v>12559.956921456682</v>
          </cell>
        </row>
        <row r="67">
          <cell r="I67">
            <v>-30343.453417825134</v>
          </cell>
        </row>
        <row r="68">
          <cell r="I68">
            <v>11515.54167494158</v>
          </cell>
        </row>
        <row r="69">
          <cell r="I69">
            <v>104120.48996763401</v>
          </cell>
        </row>
        <row r="71">
          <cell r="I71">
            <v>-37921.972817686954</v>
          </cell>
        </row>
        <row r="72">
          <cell r="I72">
            <v>14391.721426194801</v>
          </cell>
        </row>
        <row r="73">
          <cell r="I73">
            <v>396373.66001384397</v>
          </cell>
        </row>
        <row r="75">
          <cell r="I75">
            <v>-346778.45259815606</v>
          </cell>
        </row>
        <row r="76">
          <cell r="I76">
            <v>-131605.90991767219</v>
          </cell>
        </row>
        <row r="77">
          <cell r="I77">
            <v>1147776.7214228653</v>
          </cell>
        </row>
        <row r="79">
          <cell r="I79">
            <v>-139125.77560826804</v>
          </cell>
        </row>
        <row r="80">
          <cell r="I80">
            <v>-52799.599206138089</v>
          </cell>
        </row>
        <row r="81">
          <cell r="I81">
            <v>67930.527618659515</v>
          </cell>
        </row>
        <row r="83">
          <cell r="I83">
            <v>-52382.359823157582</v>
          </cell>
        </row>
        <row r="84">
          <cell r="I84">
            <v>-19879.619323328818</v>
          </cell>
        </row>
        <row r="85">
          <cell r="I85">
            <v>-19051.289504240573</v>
          </cell>
        </row>
        <row r="87">
          <cell r="I87">
            <v>-796.4601584256734</v>
          </cell>
        </row>
        <row r="88">
          <cell r="I88">
            <v>302.37214555872072</v>
          </cell>
        </row>
        <row r="89">
          <cell r="I89">
            <v>289.78250911106034</v>
          </cell>
        </row>
      </sheetData>
      <sheetData sheetId="1"/>
      <sheetData sheetId="2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CSD Balance"/>
    </sheetNames>
    <sheetDataSet>
      <sheetData sheetId="0">
        <row r="10">
          <cell r="I10">
            <v>34004.906666666662</v>
          </cell>
        </row>
        <row r="15">
          <cell r="I15">
            <v>-2980495.6783333328</v>
          </cell>
        </row>
      </sheetData>
      <sheetData sheetId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8.2.1"/>
      <sheetName val="Testimony"/>
    </sheetNames>
    <sheetDataSet>
      <sheetData sheetId="0">
        <row r="10">
          <cell r="I10">
            <v>53613851.168249354</v>
          </cell>
        </row>
        <row r="11">
          <cell r="I11">
            <v>2005617.942152187</v>
          </cell>
        </row>
        <row r="12">
          <cell r="I12">
            <v>2033952.2560125524</v>
          </cell>
        </row>
        <row r="13">
          <cell r="I13">
            <v>514243.44230495289</v>
          </cell>
        </row>
        <row r="14">
          <cell r="I14">
            <v>-23449722.352869298</v>
          </cell>
        </row>
      </sheetData>
      <sheetData sheetId="1"/>
      <sheetData sheetId="2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6.1.1"/>
      <sheetName val="6.1.2"/>
      <sheetName val="Dec 2009 Balance Check"/>
      <sheetName val="HYDRO CENTRAL"/>
      <sheetName val="Exp Actuals"/>
      <sheetName val="Reserve Actuals"/>
    </sheetNames>
    <sheetDataSet>
      <sheetData sheetId="0">
        <row r="12">
          <cell r="I12">
            <v>-8005.3957926276607</v>
          </cell>
        </row>
        <row r="16">
          <cell r="I16">
            <v>-256078.4788596172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Tax Support"/>
    </sheetNames>
    <sheetDataSet>
      <sheetData sheetId="0">
        <row r="11">
          <cell r="I11">
            <v>-349401.96004837664</v>
          </cell>
        </row>
        <row r="12">
          <cell r="I12">
            <v>0</v>
          </cell>
        </row>
        <row r="13">
          <cell r="I13"/>
        </row>
        <row r="14">
          <cell r="I14"/>
        </row>
        <row r="15">
          <cell r="I15">
            <v>2394.4741997504043</v>
          </cell>
        </row>
        <row r="16">
          <cell r="I16">
            <v>-6500.5958585535536</v>
          </cell>
        </row>
        <row r="17">
          <cell r="I17"/>
        </row>
        <row r="18">
          <cell r="I18"/>
        </row>
        <row r="19">
          <cell r="I19">
            <v>76958.033590389023</v>
          </cell>
        </row>
        <row r="20">
          <cell r="I20">
            <v>0</v>
          </cell>
        </row>
        <row r="21">
          <cell r="I21"/>
        </row>
        <row r="22">
          <cell r="I22"/>
        </row>
        <row r="23">
          <cell r="I23">
            <v>-710431.26069058268</v>
          </cell>
        </row>
        <row r="24">
          <cell r="I24">
            <v>0</v>
          </cell>
        </row>
        <row r="25">
          <cell r="I25"/>
        </row>
        <row r="26">
          <cell r="I26"/>
        </row>
        <row r="27">
          <cell r="I27">
            <v>-4212053.5994262854</v>
          </cell>
        </row>
        <row r="28">
          <cell r="I28">
            <v>0</v>
          </cell>
        </row>
      </sheetData>
      <sheetData sheetId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Workpaper 7.11"/>
    </sheetNames>
    <sheetDataSet>
      <sheetData sheetId="0">
        <row r="24">
          <cell r="I24">
            <v>-9873199.076123938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 3.1"/>
      <sheetName val="Lead Sheet 3.2"/>
      <sheetName val="Lead Sheet 3.3"/>
      <sheetName val="Table 1 - Revenues"/>
      <sheetName val="Table 1 - Kwh"/>
      <sheetName val="Table 2"/>
      <sheetName val="Table 3"/>
      <sheetName val="Actual Tax Data"/>
    </sheetNames>
    <sheetDataSet>
      <sheetData sheetId="0">
        <row r="12">
          <cell r="I12">
            <v>-6704444.6599999983</v>
          </cell>
        </row>
      </sheetData>
      <sheetData sheetId="1">
        <row r="14">
          <cell r="I14">
            <v>-33120.929999989981</v>
          </cell>
        </row>
        <row r="19">
          <cell r="I19">
            <v>-1653038</v>
          </cell>
        </row>
        <row r="20">
          <cell r="I20">
            <v>627345</v>
          </cell>
        </row>
        <row r="21">
          <cell r="I21">
            <v>2257541</v>
          </cell>
        </row>
        <row r="23">
          <cell r="I23">
            <v>479232</v>
          </cell>
        </row>
        <row r="25">
          <cell r="I25">
            <v>-10607</v>
          </cell>
        </row>
        <row r="26">
          <cell r="I26">
            <v>-130443</v>
          </cell>
        </row>
        <row r="27">
          <cell r="I27">
            <v>126418</v>
          </cell>
        </row>
        <row r="28">
          <cell r="I28">
            <v>14559</v>
          </cell>
        </row>
        <row r="29">
          <cell r="I29">
            <v>0</v>
          </cell>
        </row>
      </sheetData>
      <sheetData sheetId="2">
        <row r="14">
          <cell r="I14">
            <v>12402155.109999999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AMA - WCA Alloc"/>
    </sheetNames>
    <sheetDataSet>
      <sheetData sheetId="0">
        <row r="22">
          <cell r="I22">
            <v>23142.536575635779</v>
          </cell>
        </row>
      </sheetData>
      <sheetData sheetId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Split between Equity &amp; Debt"/>
    </sheetNames>
    <sheetDataSet>
      <sheetData sheetId="0">
        <row r="9">
          <cell r="I9">
            <v>217013.20626896209</v>
          </cell>
        </row>
      </sheetData>
      <sheetData sheetId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Production Factor Adj"/>
      <sheetName val="9.1.4"/>
    </sheetNames>
    <sheetDataSet>
      <sheetData sheetId="0">
        <row r="15">
          <cell r="I15">
            <v>-1067076.2761553444</v>
          </cell>
        </row>
        <row r="21">
          <cell r="I21">
            <v>337916.75424200855</v>
          </cell>
        </row>
        <row r="27">
          <cell r="I27">
            <v>-29238.355724457651</v>
          </cell>
        </row>
        <row r="29">
          <cell r="I29">
            <v>-4.2482522893737951</v>
          </cell>
        </row>
        <row r="30">
          <cell r="I30">
            <v>-301.13703550156788</v>
          </cell>
        </row>
        <row r="31">
          <cell r="I31">
            <v>-273.56363400281407</v>
          </cell>
        </row>
        <row r="32">
          <cell r="I32">
            <v>-6.7384850892144641</v>
          </cell>
        </row>
        <row r="33">
          <cell r="I33">
            <v>-2414.7450420376845</v>
          </cell>
        </row>
        <row r="34">
          <cell r="I34">
            <v>-19242.711250333115</v>
          </cell>
        </row>
        <row r="35">
          <cell r="I35">
            <v>-11271.310203687288</v>
          </cell>
        </row>
        <row r="36">
          <cell r="I36">
            <v>-203.50349396461388</v>
          </cell>
        </row>
        <row r="37">
          <cell r="I37">
            <v>-9472.3922966625541</v>
          </cell>
        </row>
        <row r="38">
          <cell r="I38">
            <v>-221.97163806670869</v>
          </cell>
        </row>
        <row r="39">
          <cell r="I39">
            <v>171.47397684041061</v>
          </cell>
        </row>
        <row r="40">
          <cell r="I40">
            <v>-4416.1042846203782</v>
          </cell>
        </row>
        <row r="41">
          <cell r="I41">
            <v>-65.425042796530761</v>
          </cell>
        </row>
        <row r="42">
          <cell r="I42">
            <v>-893.96950272418326</v>
          </cell>
        </row>
        <row r="46">
          <cell r="I46">
            <v>-69009.458876639605</v>
          </cell>
        </row>
        <row r="47">
          <cell r="I47">
            <v>-117781.48091936857</v>
          </cell>
        </row>
        <row r="48">
          <cell r="I48">
            <v>-3129.3065470436122</v>
          </cell>
        </row>
        <row r="49">
          <cell r="I49">
            <v>-5399.1450573368929</v>
          </cell>
        </row>
        <row r="50">
          <cell r="I50">
            <v>-41998.329920634627</v>
          </cell>
        </row>
        <row r="51">
          <cell r="I51">
            <v>-68481.432903148234</v>
          </cell>
        </row>
        <row r="52">
          <cell r="I52">
            <v>-60019.208314672112</v>
          </cell>
        </row>
        <row r="56">
          <cell r="I56">
            <v>-2083.3098946867976</v>
          </cell>
        </row>
        <row r="59">
          <cell r="I59">
            <v>-94771.058690577745</v>
          </cell>
        </row>
        <row r="60">
          <cell r="I60">
            <v>-3545.2505568028428</v>
          </cell>
        </row>
        <row r="61">
          <cell r="I61">
            <v>-3595.335989266634</v>
          </cell>
        </row>
        <row r="62">
          <cell r="I62">
            <v>-909.0075491683674</v>
          </cell>
        </row>
        <row r="63">
          <cell r="I63">
            <v>41451.135573294014</v>
          </cell>
        </row>
        <row r="67">
          <cell r="I67">
            <v>949.34683399333153</v>
          </cell>
        </row>
        <row r="68">
          <cell r="I68">
            <v>7456.7769102435559</v>
          </cell>
        </row>
        <row r="71">
          <cell r="I71">
            <v>7444.7447973741218</v>
          </cell>
        </row>
      </sheetData>
      <sheetData sheetId="1"/>
      <sheetData sheetId="2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 WA"/>
      <sheetName val="FORECAST2"/>
    </sheetNames>
    <sheetDataSet>
      <sheetData sheetId="0">
        <row r="11">
          <cell r="H11">
            <v>1178569.3667911782</v>
          </cell>
        </row>
      </sheetData>
      <sheetData sheetId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Amort Sched"/>
    </sheetNames>
    <sheetDataSet>
      <sheetData sheetId="0">
        <row r="10">
          <cell r="I10">
            <v>-3000000</v>
          </cell>
        </row>
        <row r="14">
          <cell r="I14">
            <v>-750000</v>
          </cell>
        </row>
        <row r="15">
          <cell r="I15">
            <v>16500000</v>
          </cell>
        </row>
        <row r="19">
          <cell r="I19">
            <v>3000000</v>
          </cell>
        </row>
        <row r="20">
          <cell r="I20">
            <v>-1138530</v>
          </cell>
        </row>
        <row r="21">
          <cell r="I21">
            <v>-6261915</v>
          </cell>
        </row>
      </sheetData>
      <sheetData sheetId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FY 2004 EXP BY EMPLOYEE"/>
      <sheetName val="3_31-05"/>
      <sheetName val="Tax Prep Svcs"/>
      <sheetName val="Actual Accounting"/>
      <sheetName val=" Amort Schedule"/>
      <sheetName val="923 Backup"/>
      <sheetName val="9_30_04"/>
    </sheetNames>
    <sheetDataSet>
      <sheetData sheetId="0">
        <row r="14">
          <cell r="I14">
            <v>-776572.64858778729</v>
          </cell>
        </row>
        <row r="19">
          <cell r="I19">
            <v>1013713.3485877872</v>
          </cell>
        </row>
        <row r="20">
          <cell r="I20">
            <v>384714.35292255116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Amort Sched"/>
      <sheetName val="Actual Tax Data"/>
    </sheetNames>
    <sheetDataSet>
      <sheetData sheetId="0">
        <row r="10">
          <cell r="I10">
            <v>-637047.3400000002</v>
          </cell>
        </row>
        <row r="15">
          <cell r="I15">
            <v>-637047.28166666592</v>
          </cell>
        </row>
        <row r="20">
          <cell r="I20">
            <v>-637047</v>
          </cell>
        </row>
        <row r="21">
          <cell r="I21">
            <v>241766</v>
          </cell>
        </row>
        <row r="22">
          <cell r="I22">
            <v>352575.36249999999</v>
          </cell>
        </row>
        <row r="24">
          <cell r="I24">
            <v>-62223.490000068792</v>
          </cell>
        </row>
        <row r="25">
          <cell r="I25">
            <v>-23614.40075340624</v>
          </cell>
        </row>
        <row r="26">
          <cell r="I26">
            <v>-21904.062846332235</v>
          </cell>
        </row>
      </sheetData>
      <sheetData sheetId="1"/>
      <sheetData sheetId="2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Leadsheet"/>
      <sheetName val="8.7.1"/>
      <sheetName val="8.7.2"/>
      <sheetName val="8.7.3"/>
      <sheetName val="8.7.4"/>
      <sheetName val="8.7.5"/>
      <sheetName val="8.7.6"/>
    </sheetNames>
    <sheetDataSet>
      <sheetData sheetId="0">
        <row r="9">
          <cell r="I9">
            <v>-768621.8482946154</v>
          </cell>
        </row>
        <row r="10">
          <cell r="I10">
            <v>586332.86810780026</v>
          </cell>
        </row>
        <row r="14">
          <cell r="I14">
            <v>-586332.86810780037</v>
          </cell>
        </row>
        <row r="17">
          <cell r="I17">
            <v>1064385.2416330248</v>
          </cell>
        </row>
        <row r="18">
          <cell r="I18">
            <v>-402093.99324819405</v>
          </cell>
        </row>
        <row r="21">
          <cell r="I21">
            <v>-898979.334985491</v>
          </cell>
        </row>
        <row r="22">
          <cell r="I22">
            <v>341171.63812389108</v>
          </cell>
        </row>
        <row r="23">
          <cell r="I23">
            <v>498127.96094176243</v>
          </cell>
        </row>
        <row r="26">
          <cell r="I26">
            <v>586332.86810780026</v>
          </cell>
        </row>
        <row r="27">
          <cell r="I27">
            <v>-222521.38247076774</v>
          </cell>
        </row>
        <row r="28">
          <cell r="I28">
            <v>-111261.90602486566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 "/>
      <sheetName val="Table 3.1.1"/>
    </sheetNames>
    <sheetDataSet>
      <sheetData sheetId="0">
        <row r="9">
          <cell r="I9">
            <v>-396368</v>
          </cell>
        </row>
      </sheetData>
      <sheetData sheetId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 "/>
      <sheetName val="Page 7.12.1"/>
      <sheetName val="Page 7.12.2"/>
    </sheetNames>
    <sheetDataSet>
      <sheetData sheetId="0">
        <row r="9">
          <cell r="I9">
            <v>-32248.540000000008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 - 5.1"/>
      <sheetName val="Lead Sheet - 5.2"/>
      <sheetName val="Summary "/>
      <sheetName val="2009 Unadjusted Results"/>
      <sheetName val="2009 Normalized Results"/>
      <sheetName val="Pro Forma 3 2012"/>
    </sheetNames>
    <sheetDataSet>
      <sheetData sheetId="0">
        <row r="13">
          <cell r="I13">
            <v>3803644.2032988709</v>
          </cell>
        </row>
        <row r="21">
          <cell r="I21">
            <v>-4235345.8895238079</v>
          </cell>
        </row>
        <row r="27">
          <cell r="I27">
            <v>0</v>
          </cell>
        </row>
        <row r="30">
          <cell r="I30">
            <v>-1306516.3102050694</v>
          </cell>
        </row>
        <row r="31">
          <cell r="I31">
            <v>-1654574.4183215983</v>
          </cell>
        </row>
      </sheetData>
      <sheetData sheetId="1">
        <row r="13">
          <cell r="I13">
            <v>-43487526.543622248</v>
          </cell>
        </row>
        <row r="21">
          <cell r="I21">
            <v>-8635921.0857873205</v>
          </cell>
        </row>
        <row r="27">
          <cell r="I27">
            <v>3336530.3943000822</v>
          </cell>
        </row>
        <row r="30">
          <cell r="I30">
            <v>4196528.7116824677</v>
          </cell>
        </row>
        <row r="31">
          <cell r="I31">
            <v>-4953979.2930746647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7.3.1"/>
    </sheetNames>
    <sheetDataSet>
      <sheetData sheetId="0">
        <row r="9">
          <cell r="I9">
            <v>-5638736.2665997902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 "/>
      <sheetName val="3.5 REC Revenues"/>
    </sheetNames>
    <sheetDataSet>
      <sheetData sheetId="0">
        <row r="9">
          <cell r="I9">
            <v>-4211638.5008969298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Summary"/>
      <sheetName val="FERC 566"/>
    </sheetNames>
    <sheetDataSet>
      <sheetData sheetId="0">
        <row r="10">
          <cell r="I10">
            <v>102649.47138948992</v>
          </cell>
        </row>
        <row r="12">
          <cell r="I12">
            <v>-17062.670165353691</v>
          </cell>
        </row>
        <row r="17">
          <cell r="I17">
            <v>-7394.9629479036066</v>
          </cell>
        </row>
      </sheetData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 4.2"/>
      <sheetName val="Lead Sheet 4.3"/>
      <sheetName val="Description"/>
      <sheetName val="Summary"/>
      <sheetName val="Escalation"/>
      <sheetName val="Labor Increases"/>
      <sheetName val="Payroll Tax"/>
      <sheetName val="WCA RAM Input Annualization"/>
      <sheetName val="WCA RAM Input Proforma"/>
      <sheetName val="WCA FERC Spread RAM Indicator"/>
    </sheetNames>
    <sheetDataSet>
      <sheetData sheetId="0">
        <row r="9">
          <cell r="I9">
            <v>0</v>
          </cell>
        </row>
        <row r="10">
          <cell r="I10">
            <v>0</v>
          </cell>
        </row>
        <row r="11">
          <cell r="I11">
            <v>-1.1386698157198312</v>
          </cell>
        </row>
        <row r="12">
          <cell r="I12">
            <v>1570.6990973295158</v>
          </cell>
        </row>
        <row r="13">
          <cell r="I13">
            <v>1.267349501741261</v>
          </cell>
        </row>
        <row r="14">
          <cell r="I14">
            <v>0</v>
          </cell>
        </row>
        <row r="15">
          <cell r="I15">
            <v>-285.58128768236969</v>
          </cell>
        </row>
        <row r="16">
          <cell r="I16">
            <v>5.3474122692439199</v>
          </cell>
        </row>
        <row r="17">
          <cell r="I17">
            <v>0</v>
          </cell>
        </row>
        <row r="18">
          <cell r="I18">
            <v>-11.571414283786176</v>
          </cell>
        </row>
        <row r="19">
          <cell r="I19">
            <v>3289.3039630802841</v>
          </cell>
        </row>
        <row r="20">
          <cell r="I20">
            <v>0</v>
          </cell>
        </row>
        <row r="21">
          <cell r="I21">
            <v>1687.6589231684209</v>
          </cell>
        </row>
        <row r="22">
          <cell r="I22">
            <v>0</v>
          </cell>
        </row>
        <row r="23">
          <cell r="I23">
            <v>277.17602847876208</v>
          </cell>
        </row>
        <row r="24">
          <cell r="I24">
            <v>0</v>
          </cell>
        </row>
        <row r="25">
          <cell r="I25">
            <v>348.61360576371493</v>
          </cell>
        </row>
        <row r="26">
          <cell r="I26">
            <v>73.228796819369649</v>
          </cell>
        </row>
        <row r="27">
          <cell r="I27">
            <v>0</v>
          </cell>
        </row>
        <row r="28">
          <cell r="I28">
            <v>108.51122946125389</v>
          </cell>
        </row>
        <row r="29">
          <cell r="I29">
            <v>0</v>
          </cell>
        </row>
        <row r="30">
          <cell r="I30">
            <v>27.278807630342413</v>
          </cell>
        </row>
        <row r="31">
          <cell r="I31">
            <v>350.40493073336393</v>
          </cell>
        </row>
        <row r="32">
          <cell r="I32">
            <v>1486.1211996747884</v>
          </cell>
        </row>
        <row r="33">
          <cell r="I33">
            <v>0</v>
          </cell>
        </row>
        <row r="34">
          <cell r="I34">
            <v>70.447479749293691</v>
          </cell>
        </row>
        <row r="35">
          <cell r="I35">
            <v>-1.5667060347230575</v>
          </cell>
        </row>
        <row r="36">
          <cell r="I36">
            <v>908.321148945044</v>
          </cell>
        </row>
        <row r="37">
          <cell r="I37">
            <v>0</v>
          </cell>
        </row>
        <row r="38">
          <cell r="I38">
            <v>539.36630903554976</v>
          </cell>
        </row>
        <row r="39">
          <cell r="I39">
            <v>14.48062556893545</v>
          </cell>
        </row>
        <row r="40">
          <cell r="I40">
            <v>167.86754168591898</v>
          </cell>
        </row>
        <row r="41">
          <cell r="I41">
            <v>1453.0347078132452</v>
          </cell>
        </row>
        <row r="42">
          <cell r="I42">
            <v>1820.466923562755</v>
          </cell>
        </row>
        <row r="43">
          <cell r="I43">
            <v>3190.5522784749605</v>
          </cell>
        </row>
        <row r="44">
          <cell r="I44">
            <v>614.58274655876983</v>
          </cell>
        </row>
        <row r="45">
          <cell r="I45">
            <v>2417.6393487201899</v>
          </cell>
        </row>
        <row r="46">
          <cell r="I46">
            <v>2048.4735129513465</v>
          </cell>
        </row>
        <row r="47">
          <cell r="I47">
            <v>207.26347054315181</v>
          </cell>
        </row>
        <row r="48">
          <cell r="I48">
            <v>0</v>
          </cell>
        </row>
        <row r="49">
          <cell r="I49">
            <v>0</v>
          </cell>
        </row>
        <row r="50">
          <cell r="I50">
            <v>46.675479132572811</v>
          </cell>
        </row>
        <row r="51">
          <cell r="I51">
            <v>6498.651633996994</v>
          </cell>
        </row>
      </sheetData>
      <sheetData sheetId="1">
        <row r="9">
          <cell r="I9">
            <v>0</v>
          </cell>
        </row>
        <row r="10">
          <cell r="I10">
            <v>0</v>
          </cell>
        </row>
        <row r="11">
          <cell r="I11">
            <v>-14.719571245904099</v>
          </cell>
        </row>
        <row r="12">
          <cell r="I12">
            <v>20304.408661613041</v>
          </cell>
        </row>
        <row r="13">
          <cell r="I13">
            <v>16.383012025789544</v>
          </cell>
        </row>
        <row r="14">
          <cell r="I14">
            <v>0</v>
          </cell>
        </row>
        <row r="15">
          <cell r="I15">
            <v>-3691.7059295896684</v>
          </cell>
        </row>
        <row r="16">
          <cell r="I16">
            <v>69.125935184817905</v>
          </cell>
        </row>
        <row r="17">
          <cell r="I17">
            <v>0</v>
          </cell>
        </row>
        <row r="18">
          <cell r="I18">
            <v>-149.58353564363881</v>
          </cell>
        </row>
        <row r="19">
          <cell r="I19">
            <v>42520.793442993971</v>
          </cell>
        </row>
        <row r="20">
          <cell r="I20">
            <v>0</v>
          </cell>
        </row>
        <row r="21">
          <cell r="I21">
            <v>21816.346947476846</v>
          </cell>
        </row>
        <row r="22">
          <cell r="I22">
            <v>0</v>
          </cell>
        </row>
        <row r="23">
          <cell r="I23">
            <v>3583.0512432356791</v>
          </cell>
        </row>
        <row r="24">
          <cell r="I24">
            <v>0</v>
          </cell>
        </row>
        <row r="25">
          <cell r="I25">
            <v>4506.5239602286192</v>
          </cell>
        </row>
        <row r="26">
          <cell r="I26">
            <v>946.62779073768183</v>
          </cell>
        </row>
        <row r="27">
          <cell r="I27">
            <v>0</v>
          </cell>
        </row>
        <row r="28">
          <cell r="I28">
            <v>1402.7233803733093</v>
          </cell>
        </row>
        <row r="29">
          <cell r="I29">
            <v>0</v>
          </cell>
        </row>
        <row r="30">
          <cell r="I30">
            <v>352.63282373415814</v>
          </cell>
        </row>
        <row r="31">
          <cell r="I31">
            <v>4529.6803969333614</v>
          </cell>
        </row>
        <row r="32">
          <cell r="I32">
            <v>19211.071178551261</v>
          </cell>
        </row>
        <row r="33">
          <cell r="I33">
            <v>0</v>
          </cell>
        </row>
        <row r="34">
          <cell r="I34">
            <v>910.67373785488792</v>
          </cell>
        </row>
        <row r="35">
          <cell r="I35">
            <v>-20.252790388507275</v>
          </cell>
        </row>
        <row r="36">
          <cell r="I36">
            <v>11741.856753799952</v>
          </cell>
        </row>
        <row r="37">
          <cell r="I37">
            <v>0</v>
          </cell>
        </row>
        <row r="38">
          <cell r="I38">
            <v>6972.3819002527671</v>
          </cell>
        </row>
        <row r="39">
          <cell r="I39">
            <v>187.19087553265837</v>
          </cell>
        </row>
        <row r="40">
          <cell r="I40">
            <v>2170.0217267624785</v>
          </cell>
        </row>
        <row r="41">
          <cell r="I41">
            <v>18783.362489421623</v>
          </cell>
        </row>
        <row r="42">
          <cell r="I42">
            <v>23533.154398453891</v>
          </cell>
        </row>
        <row r="43">
          <cell r="I43">
            <v>41244.231583591216</v>
          </cell>
        </row>
        <row r="44">
          <cell r="I44">
            <v>7944.7038988702707</v>
          </cell>
        </row>
        <row r="45">
          <cell r="I45">
            <v>31252.795278402366</v>
          </cell>
        </row>
        <row r="46">
          <cell r="I46">
            <v>26480.592883875863</v>
          </cell>
        </row>
        <row r="47">
          <cell r="I47">
            <v>2679.2924333421715</v>
          </cell>
        </row>
        <row r="48">
          <cell r="I48">
            <v>0</v>
          </cell>
        </row>
        <row r="49">
          <cell r="I49">
            <v>0</v>
          </cell>
        </row>
        <row r="50">
          <cell r="I50">
            <v>603.37336692664383</v>
          </cell>
        </row>
        <row r="51">
          <cell r="I51">
            <v>84007.99284247146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4.7.1"/>
    </sheetNames>
    <sheetDataSet>
      <sheetData sheetId="0">
        <row r="10">
          <cell r="I10">
            <v>-113509.94069594286</v>
          </cell>
        </row>
        <row r="13">
          <cell r="I13">
            <v>-82916.446129532909</v>
          </cell>
        </row>
        <row r="15">
          <cell r="I15">
            <v>-47</v>
          </cell>
        </row>
        <row r="16">
          <cell r="I16">
            <v>-91.506246302488393</v>
          </cell>
        </row>
        <row r="17">
          <cell r="I17">
            <v>-62.154217472519179</v>
          </cell>
        </row>
      </sheetData>
      <sheetData sheetId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4.1.1"/>
      <sheetName val="LTIP"/>
      <sheetName val="FY2006 Three Factor Formula"/>
      <sheetName val="FY2006 Senders Receivers "/>
    </sheetNames>
    <sheetDataSet>
      <sheetData sheetId="0">
        <row r="9">
          <cell r="I9">
            <v>-398.79035040746351</v>
          </cell>
        </row>
        <row r="10">
          <cell r="I10">
            <v>-121.30651395581121</v>
          </cell>
        </row>
        <row r="11">
          <cell r="I11">
            <v>-605.43309650578158</v>
          </cell>
        </row>
        <row r="12">
          <cell r="I12">
            <v>-43058.05529843457</v>
          </cell>
        </row>
        <row r="17">
          <cell r="I17">
            <v>-92.604621577703739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47"/>
  <sheetViews>
    <sheetView tabSelected="1" zoomScale="85" zoomScaleNormal="85" workbookViewId="0">
      <selection activeCell="H3" sqref="H3"/>
    </sheetView>
  </sheetViews>
  <sheetFormatPr defaultRowHeight="12.75"/>
  <cols>
    <col min="1" max="1" width="40" style="97" customWidth="1"/>
    <col min="2" max="2" width="15.7109375" style="97" customWidth="1"/>
    <col min="3" max="3" width="0.7109375" style="97" customWidth="1"/>
    <col min="4" max="4" width="15.7109375" style="97" customWidth="1"/>
    <col min="5" max="5" width="0.7109375" style="97" customWidth="1"/>
    <col min="6" max="6" width="15.7109375" style="97" customWidth="1"/>
    <col min="7" max="7" width="0.7109375" style="97" customWidth="1"/>
    <col min="8" max="8" width="15.7109375" style="97" customWidth="1"/>
    <col min="9" max="9" width="0.7109375" style="97" customWidth="1"/>
    <col min="10" max="10" width="15.7109375" style="97" customWidth="1"/>
    <col min="11" max="11" width="0.7109375" style="97" customWidth="1"/>
    <col min="12" max="12" width="15.7109375" style="97" customWidth="1"/>
    <col min="13" max="13" width="0.7109375" style="97" customWidth="1"/>
    <col min="14" max="14" width="15.85546875" style="97" customWidth="1"/>
    <col min="15" max="16384" width="9.140625" style="97"/>
  </cols>
  <sheetData>
    <row r="1" spans="1:14">
      <c r="A1" s="5" t="s">
        <v>61</v>
      </c>
    </row>
    <row r="2" spans="1:14">
      <c r="A2" s="1" t="s">
        <v>220</v>
      </c>
    </row>
    <row r="3" spans="1:14">
      <c r="A3" s="1" t="s">
        <v>187</v>
      </c>
    </row>
    <row r="4" spans="1:14">
      <c r="A4" s="1"/>
    </row>
    <row r="5" spans="1:14">
      <c r="A5" s="1"/>
      <c r="B5" s="178" t="s">
        <v>180</v>
      </c>
      <c r="C5" s="179"/>
      <c r="D5" s="178" t="s">
        <v>181</v>
      </c>
      <c r="E5" s="179"/>
      <c r="F5" s="178" t="s">
        <v>182</v>
      </c>
      <c r="G5" s="180"/>
      <c r="H5" s="178" t="s">
        <v>183</v>
      </c>
      <c r="I5" s="180"/>
      <c r="J5" s="178" t="s">
        <v>184</v>
      </c>
      <c r="K5" s="180"/>
      <c r="L5" s="178" t="s">
        <v>185</v>
      </c>
      <c r="M5" s="180"/>
      <c r="N5" s="178" t="s">
        <v>207</v>
      </c>
    </row>
    <row r="6" spans="1:14">
      <c r="A6" s="1"/>
      <c r="B6" s="189" t="s">
        <v>190</v>
      </c>
      <c r="C6" s="190"/>
      <c r="D6" s="190"/>
      <c r="F6" s="190" t="s">
        <v>188</v>
      </c>
      <c r="H6" s="190"/>
      <c r="J6" s="191" t="s">
        <v>189</v>
      </c>
      <c r="L6" s="191"/>
      <c r="N6" s="191" t="s">
        <v>219</v>
      </c>
    </row>
    <row r="7" spans="1:14" ht="43.5" customHeight="1">
      <c r="A7" s="98"/>
      <c r="B7" s="177" t="s">
        <v>186</v>
      </c>
      <c r="C7" s="177"/>
      <c r="D7" s="177" t="s">
        <v>176</v>
      </c>
      <c r="E7" s="177"/>
      <c r="F7" s="177" t="s">
        <v>177</v>
      </c>
      <c r="G7" s="177"/>
      <c r="H7" s="177" t="s">
        <v>178</v>
      </c>
      <c r="I7" s="177"/>
      <c r="J7" s="177" t="s">
        <v>179</v>
      </c>
      <c r="K7" s="177"/>
      <c r="L7" s="177" t="s">
        <v>205</v>
      </c>
      <c r="M7" s="177"/>
      <c r="N7" s="177" t="s">
        <v>206</v>
      </c>
    </row>
    <row r="8" spans="1:14">
      <c r="A8" s="61" t="s">
        <v>68</v>
      </c>
      <c r="B8" s="41"/>
      <c r="C8" s="41"/>
      <c r="D8" s="41"/>
      <c r="F8" s="41"/>
      <c r="H8" s="41"/>
      <c r="J8" s="41"/>
      <c r="L8" s="41"/>
      <c r="N8" s="41"/>
    </row>
    <row r="9" spans="1:14">
      <c r="A9" s="61" t="s">
        <v>69</v>
      </c>
      <c r="B9" s="41">
        <f>[2]Results!C11</f>
        <v>266100834.98999998</v>
      </c>
      <c r="C9" s="41"/>
      <c r="D9" s="41">
        <f>'Restating Adj'!B9</f>
        <v>-6737565.5899999887</v>
      </c>
      <c r="F9" s="41">
        <f>B9+D9</f>
        <v>259363269.39999998</v>
      </c>
      <c r="H9" s="41">
        <f>'Pro Forma Adj'!B9</f>
        <v>12402155.109999999</v>
      </c>
      <c r="J9" s="41">
        <f>F9+H9</f>
        <v>271765424.50999999</v>
      </c>
      <c r="L9" s="41">
        <f>-(J37-(J64*Overall_ROR))/gross_up_factor</f>
        <v>56747051.318428427</v>
      </c>
      <c r="N9" s="41">
        <f>J9+L9</f>
        <v>328512475.82842839</v>
      </c>
    </row>
    <row r="10" spans="1:14">
      <c r="A10" s="61" t="s">
        <v>70</v>
      </c>
      <c r="B10" s="41">
        <f>[2]Results!C12</f>
        <v>0</v>
      </c>
      <c r="C10" s="41"/>
      <c r="D10" s="41">
        <f>'Restating Adj'!B10</f>
        <v>0</v>
      </c>
      <c r="F10" s="41">
        <f t="shared" ref="F10:F12" si="0">B10+D10</f>
        <v>0</v>
      </c>
      <c r="H10" s="41">
        <f>'Pro Forma Adj'!B10</f>
        <v>0</v>
      </c>
      <c r="J10" s="41">
        <f t="shared" ref="J10:J12" si="1">F10+H10</f>
        <v>0</v>
      </c>
      <c r="L10" s="41"/>
      <c r="N10" s="41">
        <f t="shared" ref="N10:N12" si="2">J10+L10</f>
        <v>0</v>
      </c>
    </row>
    <row r="11" spans="1:14">
      <c r="A11" s="61" t="s">
        <v>71</v>
      </c>
      <c r="B11" s="41">
        <f>[2]Results!C13</f>
        <v>78723890.002297029</v>
      </c>
      <c r="C11" s="41"/>
      <c r="D11" s="41">
        <f>'Restating Adj'!B11</f>
        <v>3803644.2032988709</v>
      </c>
      <c r="F11" s="41">
        <f t="shared" si="0"/>
        <v>82527534.205595896</v>
      </c>
      <c r="H11" s="41">
        <f>'Pro Forma Adj'!B11</f>
        <v>-43556536.002498887</v>
      </c>
      <c r="J11" s="41">
        <f t="shared" si="1"/>
        <v>38970998.203097008</v>
      </c>
      <c r="L11" s="41"/>
      <c r="N11" s="41">
        <f t="shared" si="2"/>
        <v>38970998.203097008</v>
      </c>
    </row>
    <row r="12" spans="1:14">
      <c r="A12" s="61" t="s">
        <v>72</v>
      </c>
      <c r="B12" s="41">
        <f>[2]Results!C14</f>
        <v>12554856.948306177</v>
      </c>
      <c r="C12" s="41"/>
      <c r="D12" s="41">
        <f>'Restating Adj'!B12</f>
        <v>-4108989.02950744</v>
      </c>
      <c r="F12" s="41">
        <f t="shared" si="0"/>
        <v>8445867.9187987372</v>
      </c>
      <c r="H12" s="41">
        <f>'Pro Forma Adj'!B12</f>
        <v>-1833131.8684714881</v>
      </c>
      <c r="J12" s="41">
        <f t="shared" si="1"/>
        <v>6612736.0503272489</v>
      </c>
      <c r="L12" s="41"/>
      <c r="N12" s="41">
        <f t="shared" si="2"/>
        <v>6612736.0503272489</v>
      </c>
    </row>
    <row r="13" spans="1:14" ht="13.5" thickBot="1">
      <c r="A13" s="61" t="s">
        <v>73</v>
      </c>
      <c r="B13" s="60">
        <f>SUM(B9:B12)</f>
        <v>357379581.9406032</v>
      </c>
      <c r="C13" s="41"/>
      <c r="D13" s="60">
        <f>SUM(D9:D12)</f>
        <v>-7042910.4162085578</v>
      </c>
      <c r="F13" s="60">
        <f>SUM(F9:F12)</f>
        <v>350336671.52439463</v>
      </c>
      <c r="H13" s="60">
        <f>SUM(H9:H12)</f>
        <v>-32987512.760970376</v>
      </c>
      <c r="J13" s="60">
        <f>SUM(J9:J12)</f>
        <v>317349158.76342422</v>
      </c>
      <c r="L13" s="60">
        <f>SUM(L9:L12)</f>
        <v>56747051.318428427</v>
      </c>
      <c r="N13" s="60">
        <f>SUM(N9:N12)</f>
        <v>374096210.08185261</v>
      </c>
    </row>
    <row r="14" spans="1:14" ht="13.5" thickTop="1">
      <c r="A14" s="61"/>
      <c r="B14" s="41"/>
      <c r="C14" s="41"/>
      <c r="D14" s="41"/>
      <c r="F14" s="41"/>
      <c r="H14" s="41"/>
      <c r="J14" s="41"/>
      <c r="L14" s="41"/>
      <c r="N14" s="41"/>
    </row>
    <row r="15" spans="1:14">
      <c r="A15" s="61" t="s">
        <v>74</v>
      </c>
      <c r="B15" s="41"/>
      <c r="C15" s="41"/>
      <c r="D15" s="41"/>
      <c r="F15" s="41"/>
      <c r="H15" s="41"/>
      <c r="J15" s="41"/>
      <c r="L15" s="41"/>
      <c r="N15" s="41"/>
    </row>
    <row r="16" spans="1:14">
      <c r="A16" s="61" t="s">
        <v>75</v>
      </c>
      <c r="B16" s="41">
        <f>[2]Results!C18</f>
        <v>48371132.770529747</v>
      </c>
      <c r="C16" s="41"/>
      <c r="D16" s="41">
        <f>'Restating Adj'!B16</f>
        <v>-1302039.490000973</v>
      </c>
      <c r="F16" s="41">
        <f t="shared" ref="F16:F25" si="3">B16+D16</f>
        <v>47069093.280528776</v>
      </c>
      <c r="H16" s="41">
        <f>'Pro Forma Adj'!B16</f>
        <v>4164858.837095404</v>
      </c>
      <c r="J16" s="41">
        <f t="shared" ref="J16:J25" si="4">F16+H16</f>
        <v>51233952.117624179</v>
      </c>
      <c r="L16" s="41"/>
      <c r="N16" s="41">
        <f t="shared" ref="N16:N25" si="5">J16+L16</f>
        <v>51233952.117624179</v>
      </c>
    </row>
    <row r="17" spans="1:14">
      <c r="A17" s="61" t="s">
        <v>76</v>
      </c>
      <c r="B17" s="41">
        <f>[2]Results!C19</f>
        <v>0</v>
      </c>
      <c r="C17" s="41"/>
      <c r="D17" s="41">
        <f>'Restating Adj'!B17</f>
        <v>0</v>
      </c>
      <c r="F17" s="41">
        <f t="shared" si="3"/>
        <v>0</v>
      </c>
      <c r="H17" s="41">
        <f>'Pro Forma Adj'!B17</f>
        <v>0</v>
      </c>
      <c r="J17" s="41">
        <f t="shared" si="4"/>
        <v>0</v>
      </c>
      <c r="L17" s="41"/>
      <c r="N17" s="41">
        <f t="shared" si="5"/>
        <v>0</v>
      </c>
    </row>
    <row r="18" spans="1:14">
      <c r="A18" s="61" t="s">
        <v>77</v>
      </c>
      <c r="B18" s="41">
        <f>[2]Results!C20</f>
        <v>6349037.5511267083</v>
      </c>
      <c r="C18" s="41"/>
      <c r="D18" s="41">
        <f>'Restating Adj'!B18</f>
        <v>1964.8349516471831</v>
      </c>
      <c r="F18" s="41">
        <f t="shared" si="3"/>
        <v>6351002.3860783558</v>
      </c>
      <c r="H18" s="41">
        <f>'Pro Forma Adj'!B18</f>
        <v>14128.087987025239</v>
      </c>
      <c r="J18" s="41">
        <f t="shared" si="4"/>
        <v>6365130.4740653811</v>
      </c>
      <c r="L18" s="41"/>
      <c r="N18" s="41">
        <f t="shared" si="5"/>
        <v>6365130.4740653811</v>
      </c>
    </row>
    <row r="19" spans="1:14">
      <c r="A19" s="61" t="s">
        <v>78</v>
      </c>
      <c r="B19" s="41">
        <f>[2]Results!C21</f>
        <v>125305885.00091264</v>
      </c>
      <c r="C19" s="41"/>
      <c r="D19" s="41">
        <f>'Restating Adj'!B19</f>
        <v>2206561.8332285574</v>
      </c>
      <c r="F19" s="41">
        <f t="shared" si="3"/>
        <v>127512446.83414119</v>
      </c>
      <c r="H19" s="41">
        <f>'Pro Forma Adj'!B19</f>
        <v>-13760382.152451843</v>
      </c>
      <c r="J19" s="41">
        <f t="shared" si="4"/>
        <v>113752064.68168935</v>
      </c>
      <c r="L19" s="41"/>
      <c r="N19" s="41">
        <f t="shared" si="5"/>
        <v>113752064.68168935</v>
      </c>
    </row>
    <row r="20" spans="1:14">
      <c r="A20" s="61" t="s">
        <v>79</v>
      </c>
      <c r="B20" s="41">
        <f>[2]Results!C22</f>
        <v>25362553.335236829</v>
      </c>
      <c r="C20" s="41"/>
      <c r="D20" s="41">
        <f>'Restating Adj'!B20</f>
        <v>-119205.98724489645</v>
      </c>
      <c r="F20" s="41">
        <f t="shared" si="3"/>
        <v>25243347.347991932</v>
      </c>
      <c r="H20" s="41">
        <f>'Pro Forma Adj'!B20</f>
        <v>3316493.9365832619</v>
      </c>
      <c r="J20" s="41">
        <f t="shared" si="4"/>
        <v>28559841.284575194</v>
      </c>
      <c r="L20" s="41"/>
      <c r="N20" s="41">
        <f t="shared" si="5"/>
        <v>28559841.284575194</v>
      </c>
    </row>
    <row r="21" spans="1:14">
      <c r="A21" s="61" t="s">
        <v>80</v>
      </c>
      <c r="B21" s="41">
        <f>[2]Results!C23</f>
        <v>13621606.721800074</v>
      </c>
      <c r="C21" s="41"/>
      <c r="D21" s="41">
        <f>'Restating Adj'!B21</f>
        <v>6969.4824389372116</v>
      </c>
      <c r="F21" s="41">
        <f t="shared" si="3"/>
        <v>13628576.204239011</v>
      </c>
      <c r="H21" s="41">
        <f>'Pro Forma Adj'!B21</f>
        <v>91505.452370337007</v>
      </c>
      <c r="J21" s="41">
        <f t="shared" si="4"/>
        <v>13720081.656609347</v>
      </c>
      <c r="L21" s="41"/>
      <c r="N21" s="41">
        <f t="shared" si="5"/>
        <v>13720081.656609347</v>
      </c>
    </row>
    <row r="22" spans="1:14">
      <c r="A22" s="61" t="s">
        <v>81</v>
      </c>
      <c r="B22" s="41">
        <f>[2]Results!C24</f>
        <v>8025975.3729733964</v>
      </c>
      <c r="C22" s="41"/>
      <c r="D22" s="41">
        <f>'Restating Adj'!B22</f>
        <v>4466.1128616715359</v>
      </c>
      <c r="F22" s="41">
        <f t="shared" si="3"/>
        <v>8030441.4858350679</v>
      </c>
      <c r="H22" s="41">
        <f>'Pro Forma Adj'!B22</f>
        <v>57733.388162278228</v>
      </c>
      <c r="J22" s="41">
        <f t="shared" si="4"/>
        <v>8088174.8739973465</v>
      </c>
      <c r="L22" s="41">
        <f>L9*uncollectible_perc</f>
        <v>318350.95789638348</v>
      </c>
      <c r="N22" s="41">
        <f t="shared" si="5"/>
        <v>8406525.8318937309</v>
      </c>
    </row>
    <row r="23" spans="1:14">
      <c r="A23" s="61" t="s">
        <v>82</v>
      </c>
      <c r="B23" s="41">
        <f>[2]Results!C25</f>
        <v>5423426.4819710292</v>
      </c>
      <c r="C23" s="41"/>
      <c r="D23" s="41">
        <f>'Restating Adj'!B23</f>
        <v>-4858857.1696259631</v>
      </c>
      <c r="F23" s="41">
        <f t="shared" si="3"/>
        <v>564569.31234506611</v>
      </c>
      <c r="H23" s="41">
        <f>'Pro Forma Adj'!B23</f>
        <v>2679.2924333421715</v>
      </c>
      <c r="J23" s="41">
        <f t="shared" si="4"/>
        <v>567248.60477840831</v>
      </c>
      <c r="L23" s="41"/>
      <c r="N23" s="41">
        <f t="shared" si="5"/>
        <v>567248.60477840831</v>
      </c>
    </row>
    <row r="24" spans="1:14">
      <c r="A24" s="61" t="s">
        <v>83</v>
      </c>
      <c r="B24" s="41">
        <f>[2]Results!C26</f>
        <v>0</v>
      </c>
      <c r="C24" s="41"/>
      <c r="D24" s="41">
        <f>'Restating Adj'!B24</f>
        <v>0</v>
      </c>
      <c r="F24" s="41">
        <f t="shared" si="3"/>
        <v>0</v>
      </c>
      <c r="H24" s="41">
        <f>'Pro Forma Adj'!B24</f>
        <v>0</v>
      </c>
      <c r="J24" s="41">
        <f t="shared" si="4"/>
        <v>0</v>
      </c>
      <c r="L24" s="41"/>
      <c r="N24" s="41">
        <f t="shared" si="5"/>
        <v>0</v>
      </c>
    </row>
    <row r="25" spans="1:14">
      <c r="A25" s="61" t="s">
        <v>84</v>
      </c>
      <c r="B25" s="41">
        <f>[2]Results!C27</f>
        <v>12167262.867714064</v>
      </c>
      <c r="C25" s="41"/>
      <c r="D25" s="41">
        <f>'Restating Adj'!B25</f>
        <v>-60435.408628654244</v>
      </c>
      <c r="F25" s="41">
        <f t="shared" si="3"/>
        <v>12106827.45908541</v>
      </c>
      <c r="H25" s="41">
        <f>'Pro Forma Adj'!B25</f>
        <v>-1329008.6223783894</v>
      </c>
      <c r="J25" s="41">
        <f t="shared" si="4"/>
        <v>10777818.836707022</v>
      </c>
      <c r="L25" s="41"/>
      <c r="N25" s="41">
        <f t="shared" si="5"/>
        <v>10777818.836707022</v>
      </c>
    </row>
    <row r="26" spans="1:14">
      <c r="A26" s="61" t="s">
        <v>85</v>
      </c>
      <c r="B26" s="32">
        <f>SUM(B16:B25)</f>
        <v>244626880.10226449</v>
      </c>
      <c r="C26" s="41"/>
      <c r="D26" s="32">
        <f>SUM(D16:D25)</f>
        <v>-4120575.7920196736</v>
      </c>
      <c r="F26" s="32">
        <f>SUM(F16:F25)</f>
        <v>240506304.31024483</v>
      </c>
      <c r="H26" s="32">
        <f>SUM(H16:H25)</f>
        <v>-7441991.7801985824</v>
      </c>
      <c r="J26" s="32">
        <f>SUM(J16:J25)</f>
        <v>233064312.53004625</v>
      </c>
      <c r="L26" s="32">
        <f>SUM(L16:L25)</f>
        <v>318350.95789638348</v>
      </c>
      <c r="N26" s="32">
        <f>SUM(N16:N25)</f>
        <v>233382663.48794264</v>
      </c>
    </row>
    <row r="27" spans="1:14">
      <c r="A27" s="61" t="s">
        <v>86</v>
      </c>
      <c r="B27" s="41">
        <f>[2]Results!C29</f>
        <v>36705844.209221087</v>
      </c>
      <c r="C27" s="41"/>
      <c r="D27" s="41">
        <f>'Restating Adj'!B27</f>
        <v>-415222.55433080252</v>
      </c>
      <c r="F27" s="41">
        <f t="shared" ref="F27:F29" si="6">B27+D27</f>
        <v>36290621.654890284</v>
      </c>
      <c r="H27" s="41">
        <f>'Pro Forma Adj'!B27</f>
        <v>-29238.355724457651</v>
      </c>
      <c r="J27" s="41">
        <f t="shared" ref="J27:J29" si="7">F27+H27</f>
        <v>36261383.29916583</v>
      </c>
      <c r="L27" s="41"/>
      <c r="N27" s="41">
        <f t="shared" ref="N27:N34" si="8">J27+L27</f>
        <v>36261383.29916583</v>
      </c>
    </row>
    <row r="28" spans="1:14">
      <c r="A28" s="61" t="s">
        <v>87</v>
      </c>
      <c r="B28" s="41">
        <f>[2]Results!C30</f>
        <v>4017010.1383138788</v>
      </c>
      <c r="C28" s="41"/>
      <c r="D28" s="41">
        <f>'Restating Adj'!B28</f>
        <v>-169568.97296169098</v>
      </c>
      <c r="F28" s="41">
        <f t="shared" si="6"/>
        <v>3847441.1653521881</v>
      </c>
      <c r="H28" s="41">
        <f>'Pro Forma Adj'!B28</f>
        <v>-182288.98018681514</v>
      </c>
      <c r="J28" s="41">
        <f t="shared" si="7"/>
        <v>3665152.1851653727</v>
      </c>
      <c r="L28" s="41"/>
      <c r="N28" s="41">
        <f t="shared" si="8"/>
        <v>3665152.1851653727</v>
      </c>
    </row>
    <row r="29" spans="1:14">
      <c r="A29" s="61" t="s">
        <v>88</v>
      </c>
      <c r="B29" s="41">
        <f>[2]Results!C31</f>
        <v>17744812.254208628</v>
      </c>
      <c r="C29" s="41"/>
      <c r="D29" s="41">
        <f>'Restating Adj'!B29</f>
        <v>-42124.459304340671</v>
      </c>
      <c r="F29" s="41">
        <f t="shared" si="6"/>
        <v>17702687.794904288</v>
      </c>
      <c r="H29" s="41">
        <f>'Pro Forma Adj'!B29</f>
        <v>-428616.54000000004</v>
      </c>
      <c r="J29" s="41">
        <f t="shared" si="7"/>
        <v>17274071.254904289</v>
      </c>
      <c r="L29" s="41">
        <f>L9*(WUTC_reg_fee_perc+WA_rev_tax_perc)</f>
        <v>2311307.4001995898</v>
      </c>
      <c r="N29" s="41">
        <f t="shared" si="8"/>
        <v>19585378.655103877</v>
      </c>
    </row>
    <row r="30" spans="1:14">
      <c r="A30" s="61" t="s">
        <v>89</v>
      </c>
      <c r="B30" s="41">
        <f>B84</f>
        <v>-13966180.340332307</v>
      </c>
      <c r="C30" s="41"/>
      <c r="D30" s="41">
        <f>D84</f>
        <v>131482.4065884024</v>
      </c>
      <c r="F30" s="41">
        <f>F84</f>
        <v>-13834697.933743902</v>
      </c>
      <c r="H30" s="41">
        <f>H84</f>
        <v>-14058518.321996704</v>
      </c>
      <c r="J30" s="41">
        <f>J84</f>
        <v>-27893216.25574062</v>
      </c>
      <c r="L30" s="41">
        <f>L84</f>
        <v>18941087.536116358</v>
      </c>
      <c r="N30" s="41">
        <f>N84</f>
        <v>-8952128.7196242753</v>
      </c>
    </row>
    <row r="31" spans="1:14">
      <c r="A31" s="61" t="s">
        <v>90</v>
      </c>
      <c r="B31" s="41">
        <f>B79</f>
        <v>0</v>
      </c>
      <c r="C31" s="41"/>
      <c r="D31" s="41">
        <f>D79</f>
        <v>0</v>
      </c>
      <c r="F31" s="41">
        <f>F79</f>
        <v>0</v>
      </c>
      <c r="H31" s="41">
        <f>H79</f>
        <v>0</v>
      </c>
      <c r="J31" s="41">
        <f>J79</f>
        <v>0</v>
      </c>
      <c r="L31" s="41">
        <f>L79</f>
        <v>0</v>
      </c>
      <c r="N31" s="41">
        <f>N79</f>
        <v>0</v>
      </c>
    </row>
    <row r="32" spans="1:14">
      <c r="A32" s="61" t="s">
        <v>91</v>
      </c>
      <c r="B32" s="41">
        <f>[2]Results!C34</f>
        <v>22359798.153024439</v>
      </c>
      <c r="C32" s="41"/>
      <c r="D32" s="41">
        <f>'Restating Adj'!B32</f>
        <v>4140911.3285285961</v>
      </c>
      <c r="F32" s="41">
        <f t="shared" ref="F32:F34" si="9">B32+D32</f>
        <v>26500709.481553033</v>
      </c>
      <c r="H32" s="41">
        <f>'Pro Forma Adj'!B32</f>
        <v>-417013.79217773164</v>
      </c>
      <c r="J32" s="41">
        <f t="shared" ref="J32:J34" si="10">F32+H32</f>
        <v>26083695.6893753</v>
      </c>
      <c r="L32" s="41"/>
      <c r="N32" s="41">
        <f t="shared" si="8"/>
        <v>26083695.6893753</v>
      </c>
    </row>
    <row r="33" spans="1:14">
      <c r="A33" s="61" t="s">
        <v>92</v>
      </c>
      <c r="B33" s="41">
        <f>[2]Results!C35</f>
        <v>0</v>
      </c>
      <c r="C33" s="41"/>
      <c r="D33" s="41">
        <f>'Restating Adj'!B33</f>
        <v>0</v>
      </c>
      <c r="F33" s="41">
        <f t="shared" si="9"/>
        <v>0</v>
      </c>
      <c r="H33" s="41">
        <f>'Pro Forma Adj'!B33</f>
        <v>0</v>
      </c>
      <c r="J33" s="41">
        <f t="shared" si="10"/>
        <v>0</v>
      </c>
      <c r="L33" s="41"/>
      <c r="N33" s="41">
        <f t="shared" si="8"/>
        <v>0</v>
      </c>
    </row>
    <row r="34" spans="1:14">
      <c r="A34" s="61" t="s">
        <v>93</v>
      </c>
      <c r="B34" s="41">
        <f>[2]Results!C36</f>
        <v>-341244.31117613171</v>
      </c>
      <c r="C34" s="41"/>
      <c r="D34" s="41">
        <f>'Restating Adj'!B34</f>
        <v>-203945.96607426828</v>
      </c>
      <c r="F34" s="41">
        <f t="shared" si="9"/>
        <v>-545190.27725040005</v>
      </c>
      <c r="H34" s="41">
        <f>'Pro Forma Adj'!B34</f>
        <v>949.34683399333153</v>
      </c>
      <c r="J34" s="41">
        <f t="shared" si="10"/>
        <v>-544240.93041640671</v>
      </c>
      <c r="L34" s="41"/>
      <c r="N34" s="41">
        <f t="shared" si="8"/>
        <v>-544240.93041640671</v>
      </c>
    </row>
    <row r="35" spans="1:14">
      <c r="A35" s="61" t="s">
        <v>94</v>
      </c>
      <c r="B35" s="32">
        <f>SUM(B26:B34)</f>
        <v>311146920.20552409</v>
      </c>
      <c r="C35" s="41"/>
      <c r="D35" s="32">
        <f>SUM(D26:D34)</f>
        <v>-679044.00957377814</v>
      </c>
      <c r="F35" s="32">
        <f>SUM(F26:F34)</f>
        <v>310467876.19595027</v>
      </c>
      <c r="H35" s="32">
        <f>SUM(H26:H34)</f>
        <v>-22556718.423450299</v>
      </c>
      <c r="J35" s="32">
        <f>SUM(J26:J34)</f>
        <v>287911157.77249998</v>
      </c>
      <c r="L35" s="32">
        <f>SUM(L26:L34)</f>
        <v>21570745.894212332</v>
      </c>
      <c r="N35" s="32">
        <f>SUM(N26:N34)</f>
        <v>309481903.66671228</v>
      </c>
    </row>
    <row r="36" spans="1:14">
      <c r="A36" s="61"/>
      <c r="B36" s="41"/>
      <c r="C36" s="41"/>
      <c r="D36" s="41"/>
      <c r="F36" s="41"/>
      <c r="H36" s="41"/>
      <c r="J36" s="41"/>
      <c r="L36" s="41"/>
      <c r="N36" s="41"/>
    </row>
    <row r="37" spans="1:14" ht="13.5" thickBot="1">
      <c r="A37" s="61" t="s">
        <v>95</v>
      </c>
      <c r="B37" s="60">
        <f>B13-B35</f>
        <v>46232661.73507911</v>
      </c>
      <c r="C37" s="41"/>
      <c r="D37" s="60">
        <f>D13-D35</f>
        <v>-6363866.4066347796</v>
      </c>
      <c r="F37" s="60">
        <f>F13-F35</f>
        <v>39868795.328444362</v>
      </c>
      <c r="H37" s="60">
        <f>H13-H35</f>
        <v>-10430794.337520078</v>
      </c>
      <c r="J37" s="60">
        <f>J13-J35</f>
        <v>29438000.990924239</v>
      </c>
      <c r="L37" s="60">
        <f>L13-L35</f>
        <v>35176305.424216092</v>
      </c>
      <c r="N37" s="60">
        <f>N13-N35</f>
        <v>64614306.415140331</v>
      </c>
    </row>
    <row r="38" spans="1:14" ht="13.5" thickTop="1">
      <c r="A38" s="61"/>
      <c r="B38" s="41"/>
      <c r="C38" s="41"/>
      <c r="D38" s="41"/>
      <c r="F38" s="41"/>
      <c r="H38" s="41"/>
      <c r="J38" s="41"/>
      <c r="L38" s="41"/>
      <c r="N38" s="41"/>
    </row>
    <row r="39" spans="1:14">
      <c r="A39" s="61" t="s">
        <v>96</v>
      </c>
      <c r="B39" s="41"/>
      <c r="C39" s="41"/>
      <c r="D39" s="41"/>
      <c r="F39" s="41"/>
      <c r="H39" s="41"/>
      <c r="J39" s="41"/>
      <c r="L39" s="41"/>
      <c r="N39" s="41"/>
    </row>
    <row r="40" spans="1:14">
      <c r="A40" s="61" t="s">
        <v>97</v>
      </c>
      <c r="B40" s="41">
        <f>[2]Results!C42</f>
        <v>1398743840.7185168</v>
      </c>
      <c r="C40" s="41"/>
      <c r="D40" s="41">
        <f>'Restating Adj'!B40</f>
        <v>27046917.071776655</v>
      </c>
      <c r="F40" s="41">
        <f t="shared" ref="F40:F50" si="11">B40+D40</f>
        <v>1425790757.7902935</v>
      </c>
      <c r="H40" s="41">
        <f>'Pro Forma Adj'!B40</f>
        <v>-1161847.3348459222</v>
      </c>
      <c r="J40" s="41">
        <f t="shared" ref="J40:J50" si="12">F40+H40</f>
        <v>1424628910.4554474</v>
      </c>
      <c r="L40" s="41"/>
      <c r="N40" s="41">
        <f t="shared" ref="N40:N50" si="13">J40+L40</f>
        <v>1424628910.4554474</v>
      </c>
    </row>
    <row r="41" spans="1:14">
      <c r="A41" s="61" t="s">
        <v>98</v>
      </c>
      <c r="B41" s="41">
        <f>[2]Results!C43</f>
        <v>37310.24459140328</v>
      </c>
      <c r="C41" s="41"/>
      <c r="D41" s="41">
        <f>'Restating Adj'!B41</f>
        <v>0</v>
      </c>
      <c r="F41" s="41">
        <f t="shared" si="11"/>
        <v>37310.24459140328</v>
      </c>
      <c r="H41" s="41">
        <f>'Pro Forma Adj'!B41</f>
        <v>0</v>
      </c>
      <c r="J41" s="41">
        <f t="shared" si="12"/>
        <v>37310.24459140328</v>
      </c>
      <c r="L41" s="41"/>
      <c r="N41" s="41">
        <f t="shared" si="13"/>
        <v>37310.24459140328</v>
      </c>
    </row>
    <row r="42" spans="1:14">
      <c r="A42" s="61" t="s">
        <v>99</v>
      </c>
      <c r="B42" s="41">
        <f>[2]Results!C44</f>
        <v>6671729.2360731997</v>
      </c>
      <c r="C42" s="41"/>
      <c r="D42" s="41">
        <f>'Restating Adj'!B42</f>
        <v>-2197306.0259155687</v>
      </c>
      <c r="F42" s="41">
        <f t="shared" si="11"/>
        <v>4474423.210157631</v>
      </c>
      <c r="H42" s="41">
        <f>'Pro Forma Adj'!B42</f>
        <v>15188002.091061195</v>
      </c>
      <c r="J42" s="41">
        <f t="shared" si="12"/>
        <v>19662425.301218826</v>
      </c>
      <c r="L42" s="41"/>
      <c r="N42" s="41">
        <f t="shared" si="13"/>
        <v>19662425.301218826</v>
      </c>
    </row>
    <row r="43" spans="1:14">
      <c r="A43" s="61" t="s">
        <v>100</v>
      </c>
      <c r="B43" s="41">
        <f>[2]Results!C45</f>
        <v>0</v>
      </c>
      <c r="C43" s="41"/>
      <c r="D43" s="41">
        <f>'Restating Adj'!B43</f>
        <v>0</v>
      </c>
      <c r="F43" s="41">
        <f t="shared" si="11"/>
        <v>0</v>
      </c>
      <c r="H43" s="41">
        <f>'Pro Forma Adj'!B43</f>
        <v>0</v>
      </c>
      <c r="J43" s="41">
        <f t="shared" si="12"/>
        <v>0</v>
      </c>
      <c r="L43" s="41"/>
      <c r="N43" s="41">
        <f t="shared" si="13"/>
        <v>0</v>
      </c>
    </row>
    <row r="44" spans="1:14">
      <c r="A44" s="61" t="s">
        <v>101</v>
      </c>
      <c r="B44" s="41">
        <f>[2]Results!C46</f>
        <v>0</v>
      </c>
      <c r="C44" s="41"/>
      <c r="D44" s="41">
        <f>'Restating Adj'!B44</f>
        <v>0</v>
      </c>
      <c r="F44" s="41">
        <f t="shared" si="11"/>
        <v>0</v>
      </c>
      <c r="H44" s="41">
        <f>'Pro Forma Adj'!B44</f>
        <v>0</v>
      </c>
      <c r="J44" s="41">
        <f t="shared" si="12"/>
        <v>0</v>
      </c>
      <c r="L44" s="41"/>
      <c r="N44" s="41">
        <f t="shared" si="13"/>
        <v>0</v>
      </c>
    </row>
    <row r="45" spans="1:14">
      <c r="A45" s="61" t="s">
        <v>102</v>
      </c>
      <c r="B45" s="41">
        <f>[2]Results!C47</f>
        <v>2850427.943054324</v>
      </c>
      <c r="C45" s="41"/>
      <c r="D45" s="41">
        <f>'Restating Adj'!B45</f>
        <v>-2850427.9619466118</v>
      </c>
      <c r="F45" s="41">
        <f t="shared" si="11"/>
        <v>-1.8892287742346525E-2</v>
      </c>
      <c r="H45" s="41">
        <f>'Pro Forma Adj'!B45</f>
        <v>0</v>
      </c>
      <c r="J45" s="41">
        <f t="shared" si="12"/>
        <v>-1.8892287742346525E-2</v>
      </c>
      <c r="L45" s="41"/>
      <c r="N45" s="41">
        <f t="shared" si="13"/>
        <v>-1.8892287742346525E-2</v>
      </c>
    </row>
    <row r="46" spans="1:14">
      <c r="A46" s="61" t="s">
        <v>103</v>
      </c>
      <c r="B46" s="41">
        <f>[2]Results!C48</f>
        <v>3524551.0469494397</v>
      </c>
      <c r="C46" s="41"/>
      <c r="D46" s="41">
        <f>'Restating Adj'!B46</f>
        <v>2033952.2560125524</v>
      </c>
      <c r="F46" s="41">
        <f t="shared" si="11"/>
        <v>5558503.3029619921</v>
      </c>
      <c r="H46" s="41">
        <f>'Pro Forma Adj'!B46</f>
        <v>-3595.335989266634</v>
      </c>
      <c r="J46" s="41">
        <f t="shared" si="12"/>
        <v>5554907.9669727255</v>
      </c>
      <c r="L46" s="41"/>
      <c r="N46" s="41">
        <f t="shared" si="13"/>
        <v>5554907.9669727255</v>
      </c>
    </row>
    <row r="47" spans="1:14">
      <c r="A47" s="61" t="s">
        <v>104</v>
      </c>
      <c r="B47" s="41">
        <f>[2]Results!C49</f>
        <v>7763142.7157643503</v>
      </c>
      <c r="C47" s="41"/>
      <c r="D47" s="41">
        <f>'Restating Adj'!B47</f>
        <v>2018177.8990736436</v>
      </c>
      <c r="F47" s="41">
        <f t="shared" si="11"/>
        <v>9781320.6148379929</v>
      </c>
      <c r="H47" s="41">
        <f>'Pro Forma Adj'!B47</f>
        <v>-3545.2505568028428</v>
      </c>
      <c r="J47" s="41">
        <f t="shared" si="12"/>
        <v>9777775.3642811906</v>
      </c>
      <c r="L47" s="41"/>
      <c r="N47" s="41">
        <f t="shared" si="13"/>
        <v>9777775.3642811906</v>
      </c>
    </row>
    <row r="48" spans="1:14">
      <c r="A48" s="61" t="s">
        <v>105</v>
      </c>
      <c r="B48" s="41">
        <f>[2]Results!C50</f>
        <v>2159291.1506739343</v>
      </c>
      <c r="C48" s="41"/>
      <c r="D48" s="41">
        <f>'Restating Adj'!B48</f>
        <v>8669513.3432273418</v>
      </c>
      <c r="F48" s="41">
        <f t="shared" si="11"/>
        <v>10828804.493901275</v>
      </c>
      <c r="H48" s="41">
        <f>'Pro Forma Adj'!B48</f>
        <v>276298.99870484136</v>
      </c>
      <c r="J48" s="41">
        <f t="shared" si="12"/>
        <v>11105103.492606116</v>
      </c>
      <c r="L48" s="41"/>
      <c r="N48" s="41">
        <f t="shared" si="13"/>
        <v>11105103.492606116</v>
      </c>
    </row>
    <row r="49" spans="1:14">
      <c r="A49" s="61" t="s">
        <v>106</v>
      </c>
      <c r="B49" s="41">
        <f>[2]Results!C51</f>
        <v>2046740.5986772478</v>
      </c>
      <c r="C49" s="41"/>
      <c r="D49" s="41">
        <f>'Restating Adj'!B49</f>
        <v>0</v>
      </c>
      <c r="F49" s="41">
        <f t="shared" si="11"/>
        <v>2046740.5986772478</v>
      </c>
      <c r="H49" s="41">
        <f>'Pro Forma Adj'!B49</f>
        <v>0</v>
      </c>
      <c r="J49" s="41">
        <f t="shared" si="12"/>
        <v>2046740.5986772478</v>
      </c>
      <c r="L49" s="41"/>
      <c r="N49" s="41">
        <f t="shared" si="13"/>
        <v>2046740.5986772478</v>
      </c>
    </row>
    <row r="50" spans="1:14">
      <c r="A50" s="61" t="s">
        <v>107</v>
      </c>
      <c r="B50" s="41">
        <f>[2]Results!C52</f>
        <v>268576.60807565699</v>
      </c>
      <c r="C50" s="41"/>
      <c r="D50" s="41">
        <f>'Restating Adj'!B50</f>
        <v>-268576.60836182453</v>
      </c>
      <c r="F50" s="41">
        <f t="shared" si="11"/>
        <v>-2.86167545709759E-4</v>
      </c>
      <c r="H50" s="41">
        <f>'Pro Forma Adj'!B50</f>
        <v>0</v>
      </c>
      <c r="J50" s="41">
        <f t="shared" si="12"/>
        <v>-2.86167545709759E-4</v>
      </c>
      <c r="L50" s="41"/>
      <c r="N50" s="41">
        <f t="shared" si="13"/>
        <v>-2.86167545709759E-4</v>
      </c>
    </row>
    <row r="51" spans="1:14" ht="13.5" thickBot="1">
      <c r="A51" s="61" t="s">
        <v>108</v>
      </c>
      <c r="B51" s="60">
        <f>SUM(B40:B50)</f>
        <v>1424065610.2623763</v>
      </c>
      <c r="C51" s="41"/>
      <c r="D51" s="60">
        <f>SUM(D40:D50)</f>
        <v>34452249.973866187</v>
      </c>
      <c r="F51" s="60">
        <f>SUM(F40:F50)</f>
        <v>1458517860.2362425</v>
      </c>
      <c r="H51" s="60">
        <f>SUM(H40:H50)</f>
        <v>14295313.168374045</v>
      </c>
      <c r="J51" s="60">
        <f>SUM(J40:J50)</f>
        <v>1472813173.4046166</v>
      </c>
      <c r="L51" s="60">
        <f>SUM(L40:L50)</f>
        <v>0</v>
      </c>
      <c r="N51" s="60">
        <f>SUM(N40:N50)</f>
        <v>1472813173.4046166</v>
      </c>
    </row>
    <row r="52" spans="1:14" ht="13.5" thickTop="1">
      <c r="A52" s="61"/>
      <c r="B52" s="41"/>
      <c r="C52" s="41"/>
      <c r="D52" s="41"/>
      <c r="F52" s="41"/>
      <c r="H52" s="41"/>
      <c r="J52" s="41"/>
      <c r="L52" s="41"/>
      <c r="N52" s="41"/>
    </row>
    <row r="53" spans="1:14">
      <c r="A53" s="61" t="s">
        <v>109</v>
      </c>
      <c r="B53" s="41"/>
      <c r="C53" s="41"/>
      <c r="D53" s="41"/>
      <c r="F53" s="41"/>
      <c r="H53" s="41"/>
      <c r="J53" s="41"/>
      <c r="L53" s="41"/>
      <c r="N53" s="41"/>
    </row>
    <row r="54" spans="1:14">
      <c r="A54" s="61" t="s">
        <v>110</v>
      </c>
      <c r="B54" s="41">
        <f>[2]Results!C56</f>
        <v>-503192583.84775847</v>
      </c>
      <c r="C54" s="41"/>
      <c r="D54" s="41">
        <f>'Restating Adj'!B54</f>
        <v>-7446965.4092337936</v>
      </c>
      <c r="F54" s="41">
        <f t="shared" ref="F54:F60" si="14">B54+D54</f>
        <v>-510639549.25699228</v>
      </c>
      <c r="H54" s="41">
        <f>'Pro Forma Adj'!B54</f>
        <v>123289.41095568537</v>
      </c>
      <c r="J54" s="41">
        <f t="shared" ref="J54:J60" si="15">F54+H54</f>
        <v>-510516259.84603661</v>
      </c>
      <c r="L54" s="41"/>
      <c r="N54" s="41">
        <f t="shared" ref="N54:N61" si="16">J54+L54</f>
        <v>-510516259.84603661</v>
      </c>
    </row>
    <row r="55" spans="1:14">
      <c r="A55" s="61" t="s">
        <v>111</v>
      </c>
      <c r="B55" s="41">
        <f>[2]Results!C57</f>
        <v>-34606345.321051545</v>
      </c>
      <c r="C55" s="41"/>
      <c r="D55" s="41">
        <f>'Restating Adj'!B55</f>
        <v>0</v>
      </c>
      <c r="F55" s="41">
        <f t="shared" si="14"/>
        <v>-34606345.321051545</v>
      </c>
      <c r="H55" s="41">
        <f>'Pro Forma Adj'!B55</f>
        <v>0</v>
      </c>
      <c r="J55" s="41">
        <f t="shared" si="15"/>
        <v>-34606345.321051545</v>
      </c>
      <c r="L55" s="41"/>
      <c r="N55" s="41">
        <f t="shared" si="16"/>
        <v>-34606345.321051545</v>
      </c>
    </row>
    <row r="56" spans="1:14">
      <c r="A56" s="61" t="s">
        <v>112</v>
      </c>
      <c r="B56" s="41">
        <f>[2]Results!C58</f>
        <v>-128569574.10448816</v>
      </c>
      <c r="C56" s="41"/>
      <c r="D56" s="41">
        <f>'Restating Adj'!B56</f>
        <v>-6475410.4180893609</v>
      </c>
      <c r="F56" s="41">
        <f t="shared" si="14"/>
        <v>-135044984.52257752</v>
      </c>
      <c r="H56" s="41">
        <f>'Pro Forma Adj'!B56</f>
        <v>-5544377.6454294352</v>
      </c>
      <c r="J56" s="41">
        <f t="shared" si="15"/>
        <v>-140589362.16800696</v>
      </c>
      <c r="L56" s="41"/>
      <c r="N56" s="41">
        <f t="shared" si="16"/>
        <v>-140589362.16800696</v>
      </c>
    </row>
    <row r="57" spans="1:14">
      <c r="A57" s="61" t="s">
        <v>113</v>
      </c>
      <c r="B57" s="41">
        <f>[2]Results!C59</f>
        <v>-1096753.183804</v>
      </c>
      <c r="C57" s="41"/>
      <c r="D57" s="41">
        <f>'Restating Adj'!B57</f>
        <v>144385.82344165733</v>
      </c>
      <c r="F57" s="41">
        <f t="shared" si="14"/>
        <v>-952367.36036234268</v>
      </c>
      <c r="H57" s="41">
        <f>'Pro Forma Adj'!B57</f>
        <v>0</v>
      </c>
      <c r="J57" s="41">
        <f t="shared" si="15"/>
        <v>-952367.36036234268</v>
      </c>
      <c r="L57" s="41"/>
      <c r="N57" s="41">
        <f t="shared" si="16"/>
        <v>-952367.36036234268</v>
      </c>
    </row>
    <row r="58" spans="1:14">
      <c r="A58" s="61" t="s">
        <v>114</v>
      </c>
      <c r="B58" s="41">
        <f>[2]Results!C60</f>
        <v>-334499.98611589998</v>
      </c>
      <c r="C58" s="41"/>
      <c r="D58" s="41">
        <f>'Restating Adj'!B58</f>
        <v>23142.536575635779</v>
      </c>
      <c r="F58" s="41">
        <f t="shared" si="14"/>
        <v>-311357.44954026421</v>
      </c>
      <c r="H58" s="41">
        <f>'Pro Forma Adj'!B58</f>
        <v>0</v>
      </c>
      <c r="J58" s="41">
        <f t="shared" si="15"/>
        <v>-311357.44954026421</v>
      </c>
      <c r="L58" s="41"/>
      <c r="N58" s="41">
        <f t="shared" si="16"/>
        <v>-311357.44954026421</v>
      </c>
    </row>
    <row r="59" spans="1:14">
      <c r="A59" s="61" t="s">
        <v>115</v>
      </c>
      <c r="B59" s="41">
        <f>[2]Results!C61</f>
        <v>0</v>
      </c>
      <c r="C59" s="41"/>
      <c r="D59" s="41">
        <f>'Restating Adj'!B59</f>
        <v>-2980495.6783333328</v>
      </c>
      <c r="F59" s="41">
        <f t="shared" si="14"/>
        <v>-2980495.6783333328</v>
      </c>
      <c r="H59" s="41">
        <f>'Pro Forma Adj'!B59</f>
        <v>0</v>
      </c>
      <c r="J59" s="41">
        <f t="shared" si="15"/>
        <v>-2980495.6783333328</v>
      </c>
      <c r="L59" s="41"/>
      <c r="N59" s="41">
        <f t="shared" si="16"/>
        <v>-2980495.6783333328</v>
      </c>
    </row>
    <row r="60" spans="1:14">
      <c r="A60" s="61" t="s">
        <v>116</v>
      </c>
      <c r="B60" s="41">
        <f>[2]Results!C62</f>
        <v>-4865967.0740704359</v>
      </c>
      <c r="C60" s="41"/>
      <c r="D60" s="41">
        <f>'Restating Adj'!B60</f>
        <v>-3245919.382546897</v>
      </c>
      <c r="F60" s="41">
        <f t="shared" si="14"/>
        <v>-8111886.456617333</v>
      </c>
      <c r="H60" s="41">
        <f>'Pro Forma Adj'!B60</f>
        <v>7456.7769102435559</v>
      </c>
      <c r="J60" s="41">
        <f t="shared" si="15"/>
        <v>-8104429.6797070894</v>
      </c>
      <c r="L60" s="41"/>
      <c r="N60" s="41">
        <f t="shared" si="16"/>
        <v>-8104429.6797070894</v>
      </c>
    </row>
    <row r="61" spans="1:14">
      <c r="A61" s="61"/>
      <c r="B61" s="41"/>
      <c r="C61" s="41"/>
      <c r="D61" s="41"/>
      <c r="F61" s="41"/>
      <c r="H61" s="41"/>
      <c r="J61" s="41"/>
      <c r="L61" s="41"/>
      <c r="N61" s="41">
        <f t="shared" si="16"/>
        <v>0</v>
      </c>
    </row>
    <row r="62" spans="1:14" ht="13.5" thickBot="1">
      <c r="A62" s="61" t="s">
        <v>117</v>
      </c>
      <c r="B62" s="60">
        <f>SUM(B54:B60)</f>
        <v>-672665723.51728857</v>
      </c>
      <c r="C62" s="41"/>
      <c r="D62" s="60">
        <f>SUM(D54:D60)</f>
        <v>-19981262.52818609</v>
      </c>
      <c r="F62" s="60">
        <f>SUM(F54:F60)</f>
        <v>-692646986.04547453</v>
      </c>
      <c r="H62" s="60">
        <f>SUM(H54:H60)</f>
        <v>-5413631.4575635064</v>
      </c>
      <c r="J62" s="60">
        <f>SUM(J54:J60)</f>
        <v>-698060617.50303805</v>
      </c>
      <c r="L62" s="60">
        <f>SUM(L54:L60)</f>
        <v>0</v>
      </c>
      <c r="N62" s="60">
        <f>SUM(N54:N60)</f>
        <v>-698060617.50303805</v>
      </c>
    </row>
    <row r="63" spans="1:14" ht="13.5" thickTop="1">
      <c r="A63" s="61"/>
      <c r="B63" s="41"/>
      <c r="C63" s="41"/>
      <c r="D63" s="41"/>
      <c r="F63" s="41"/>
      <c r="H63" s="41"/>
      <c r="J63" s="41"/>
      <c r="L63" s="41"/>
      <c r="N63" s="41"/>
    </row>
    <row r="64" spans="1:14" ht="13.5" thickBot="1">
      <c r="A64" s="61" t="s">
        <v>118</v>
      </c>
      <c r="B64" s="60">
        <f>B51+B62</f>
        <v>751399886.74508774</v>
      </c>
      <c r="C64" s="41"/>
      <c r="D64" s="60">
        <f>D51+D62</f>
        <v>14470987.445680097</v>
      </c>
      <c r="F64" s="60">
        <f>F51+F62</f>
        <v>765870874.190768</v>
      </c>
      <c r="H64" s="60">
        <f>H51+H62</f>
        <v>8881681.7108105384</v>
      </c>
      <c r="J64" s="60">
        <f>J51+J62</f>
        <v>774752555.90157855</v>
      </c>
      <c r="L64" s="60">
        <f>L51+L62</f>
        <v>0</v>
      </c>
      <c r="N64" s="60">
        <f>N51+N62</f>
        <v>774752555.90157855</v>
      </c>
    </row>
    <row r="65" spans="1:14" ht="13.5" thickTop="1">
      <c r="A65" s="61"/>
      <c r="B65" s="41"/>
      <c r="C65" s="41"/>
      <c r="D65" s="41"/>
      <c r="F65" s="41"/>
      <c r="H65" s="41"/>
      <c r="J65" s="41"/>
      <c r="L65" s="41"/>
      <c r="N65" s="41"/>
    </row>
    <row r="66" spans="1:14">
      <c r="A66" s="61" t="s">
        <v>67</v>
      </c>
      <c r="B66" s="131">
        <f>B37/B64</f>
        <v>6.1528704689256267E-2</v>
      </c>
      <c r="C66" s="131"/>
      <c r="D66" s="131">
        <f>F66-B66</f>
        <v>-9.471893714990666E-3</v>
      </c>
      <c r="F66" s="131">
        <f>F37/F64</f>
        <v>5.2056810974265601E-2</v>
      </c>
      <c r="H66" s="131">
        <f>J66-F66</f>
        <v>-1.4060161893621685E-2</v>
      </c>
      <c r="J66" s="131">
        <f>J37/J64</f>
        <v>3.7996649080643916E-2</v>
      </c>
      <c r="L66" s="131">
        <f>N66-J66</f>
        <v>4.5403277673968401E-2</v>
      </c>
      <c r="N66" s="131">
        <f>N37/N64</f>
        <v>8.3399926754612316E-2</v>
      </c>
    </row>
    <row r="67" spans="1:14">
      <c r="A67" s="61" t="s">
        <v>119</v>
      </c>
      <c r="B67" s="131">
        <f>(B66-Weighted_cost_debt-Weighted_cost_pref)/Percent_common</f>
        <v>6.3973137599340243E-2</v>
      </c>
      <c r="C67" s="131"/>
      <c r="D67" s="131">
        <f>F67-B67</f>
        <v>-1.818021826293794E-2</v>
      </c>
      <c r="F67" s="131">
        <f>(F66-Weighted_cost_debt-Weighted_cost_pref)/Percent_common</f>
        <v>4.5792919336402303E-2</v>
      </c>
      <c r="H67" s="131">
        <f>J67-F67</f>
        <v>-2.6986875035742198E-2</v>
      </c>
      <c r="J67" s="131">
        <f>(J66-Weighted_cost_debt-Weighted_cost_pref)/Percent_common</f>
        <v>1.8806044300660105E-2</v>
      </c>
      <c r="L67" s="131">
        <f>N67-J67</f>
        <v>8.7146406284008451E-2</v>
      </c>
      <c r="N67" s="131">
        <f>(N66-Weighted_cost_debt-Weighted_cost_pref)/Percent_common</f>
        <v>0.10595245058466855</v>
      </c>
    </row>
    <row r="68" spans="1:14">
      <c r="A68" s="61" t="s">
        <v>63</v>
      </c>
      <c r="B68" s="41">
        <f>-(B37-(B64*Overall_ROR))/gross_up_factor</f>
        <v>26511726.17193846</v>
      </c>
      <c r="C68" s="41"/>
      <c r="D68" s="41">
        <f>-(D37-(D64*Overall_ROR))/gross_up_factor</f>
        <v>12213245.724341001</v>
      </c>
      <c r="F68" s="41">
        <f>-(F37-(F64*Overall_ROR))/gross_up_factor</f>
        <v>38724971.896279424</v>
      </c>
      <c r="H68" s="41">
        <f>-(H37-(H64*Overall_ROR))/gross_up_factor</f>
        <v>18022079.422148928</v>
      </c>
      <c r="J68" s="41">
        <f>-(J37-(J64*Overall_ROR))/gross_up_factor</f>
        <v>56747051.318428427</v>
      </c>
      <c r="L68" s="41"/>
      <c r="N68" s="41"/>
    </row>
    <row r="69" spans="1:14">
      <c r="A69" s="61"/>
      <c r="B69" s="115"/>
      <c r="C69" s="115"/>
      <c r="D69" s="115"/>
      <c r="F69" s="115"/>
      <c r="H69" s="115"/>
      <c r="J69" s="115"/>
      <c r="L69" s="115"/>
      <c r="N69" s="115"/>
    </row>
    <row r="70" spans="1:14">
      <c r="A70" s="61" t="s">
        <v>120</v>
      </c>
      <c r="B70" s="41"/>
      <c r="C70" s="41"/>
      <c r="D70" s="41"/>
      <c r="F70" s="41"/>
      <c r="H70" s="41"/>
      <c r="J70" s="41"/>
      <c r="L70" s="41"/>
      <c r="N70" s="41"/>
    </row>
    <row r="71" spans="1:14">
      <c r="A71" s="61" t="s">
        <v>121</v>
      </c>
      <c r="B71" s="41">
        <f t="shared" ref="B71:N71" si="17">B13-B26-B27-B28-B29-B34</f>
        <v>54626279.547771238</v>
      </c>
      <c r="C71" s="41"/>
      <c r="D71" s="41">
        <f t="shared" si="17"/>
        <v>-2091472.6715177814</v>
      </c>
      <c r="F71" s="41">
        <f t="shared" si="17"/>
        <v>52534806.876253448</v>
      </c>
      <c r="H71" s="41">
        <f t="shared" si="17"/>
        <v>-24906326.451694515</v>
      </c>
      <c r="J71" s="41">
        <f t="shared" si="17"/>
        <v>27628480.424558874</v>
      </c>
      <c r="L71" s="41">
        <f t="shared" si="17"/>
        <v>54117392.960332453</v>
      </c>
      <c r="N71" s="41">
        <f t="shared" si="17"/>
        <v>81745873.384891301</v>
      </c>
    </row>
    <row r="72" spans="1:14">
      <c r="A72" s="61" t="s">
        <v>122</v>
      </c>
      <c r="B72" s="41">
        <f>[2]Results!$C73</f>
        <v>0</v>
      </c>
      <c r="C72" s="41"/>
      <c r="D72" s="41"/>
      <c r="F72" s="41">
        <f t="shared" ref="F72:F76" si="18">B72+D72</f>
        <v>0</v>
      </c>
      <c r="H72" s="41"/>
      <c r="J72" s="41"/>
      <c r="L72" s="41"/>
      <c r="N72" s="41"/>
    </row>
    <row r="73" spans="1:14">
      <c r="A73" s="61" t="s">
        <v>123</v>
      </c>
      <c r="B73" s="41">
        <f>[2]Results!$C74</f>
        <v>-4599793.2770370385</v>
      </c>
      <c r="C73" s="41"/>
      <c r="D73" s="41">
        <f>'Restating Adj'!B73</f>
        <v>217013.20626896209</v>
      </c>
      <c r="F73" s="41">
        <f t="shared" si="18"/>
        <v>-4382780.070768076</v>
      </c>
      <c r="H73" s="41">
        <f>'Pro Forma Adj'!B73</f>
        <v>0</v>
      </c>
      <c r="J73" s="41">
        <f t="shared" ref="J73:J76" si="19">F73+H73</f>
        <v>-4382780.070768076</v>
      </c>
      <c r="L73" s="41"/>
      <c r="N73" s="41">
        <f t="shared" ref="N73:N76" si="20">J73+L73</f>
        <v>-4382780.070768076</v>
      </c>
    </row>
    <row r="74" spans="1:14">
      <c r="A74" s="61" t="s">
        <v>124</v>
      </c>
      <c r="B74" s="41">
        <f>[2]Results!$C75</f>
        <v>25236151.190422058</v>
      </c>
      <c r="C74" s="41"/>
      <c r="D74" s="41">
        <f>'Restating Adj'!B74</f>
        <v>-3763889.0132600106</v>
      </c>
      <c r="F74" s="41">
        <f t="shared" si="18"/>
        <v>21472262.177162047</v>
      </c>
      <c r="H74" s="41">
        <f>'Pro Forma Adj'!B74</f>
        <v>249010.38111696765</v>
      </c>
      <c r="J74" s="41">
        <f t="shared" si="19"/>
        <v>21721272.558279015</v>
      </c>
      <c r="L74" s="41"/>
      <c r="N74" s="41">
        <f t="shared" si="20"/>
        <v>21721272.558279015</v>
      </c>
    </row>
    <row r="75" spans="1:14">
      <c r="A75" s="61" t="s">
        <v>125</v>
      </c>
      <c r="B75" s="41">
        <f>[2]Results!$C76</f>
        <v>64493174.138834439</v>
      </c>
      <c r="C75" s="41"/>
      <c r="D75" s="41">
        <f>'Restating Adj'!B75</f>
        <v>-2567816.9315885995</v>
      </c>
      <c r="E75" s="98"/>
      <c r="F75" s="41">
        <f t="shared" si="18"/>
        <v>61925357.207245842</v>
      </c>
      <c r="G75" s="98"/>
      <c r="H75" s="41">
        <f>'Pro Forma Adj'!B75</f>
        <v>2050306.5331223093</v>
      </c>
      <c r="J75" s="41">
        <f t="shared" si="19"/>
        <v>63975663.74036815</v>
      </c>
      <c r="L75" s="41"/>
      <c r="N75" s="41">
        <f t="shared" si="20"/>
        <v>63975663.74036815</v>
      </c>
    </row>
    <row r="76" spans="1:14">
      <c r="A76" s="61" t="s">
        <v>126</v>
      </c>
      <c r="B76" s="36">
        <f>[2]Results!$C77</f>
        <v>138386468.17417011</v>
      </c>
      <c r="C76" s="41"/>
      <c r="D76" s="36">
        <f>'Restating Adj'!B76</f>
        <v>-1488077.8149393392</v>
      </c>
      <c r="E76" s="98"/>
      <c r="F76" s="36">
        <f t="shared" si="18"/>
        <v>136898390.35923076</v>
      </c>
      <c r="G76" s="98"/>
      <c r="H76" s="36">
        <f>'Pro Forma Adj'!B76</f>
        <v>951489.85858771845</v>
      </c>
      <c r="J76" s="36">
        <f t="shared" si="19"/>
        <v>137849880.21781847</v>
      </c>
      <c r="L76" s="36"/>
      <c r="N76" s="36">
        <f t="shared" si="20"/>
        <v>137849880.21781847</v>
      </c>
    </row>
    <row r="77" spans="1:14">
      <c r="A77" s="61" t="s">
        <v>127</v>
      </c>
      <c r="B77" s="41">
        <f t="shared" ref="B77:N77" si="21">B71-B73-B74+B75-B76</f>
        <v>-39903372.400949448</v>
      </c>
      <c r="C77" s="41"/>
      <c r="D77" s="41">
        <f t="shared" si="21"/>
        <v>375664.0188240069</v>
      </c>
      <c r="E77" s="98"/>
      <c r="F77" s="41">
        <f t="shared" si="21"/>
        <v>-39527708.382125437</v>
      </c>
      <c r="G77" s="98"/>
      <c r="H77" s="41">
        <f t="shared" si="21"/>
        <v>-24056520.158276893</v>
      </c>
      <c r="J77" s="41">
        <f t="shared" si="21"/>
        <v>-63584228.540402383</v>
      </c>
      <c r="L77" s="41">
        <f t="shared" si="21"/>
        <v>54117392.960332453</v>
      </c>
      <c r="N77" s="41">
        <f t="shared" si="21"/>
        <v>-9466835.5800699592</v>
      </c>
    </row>
    <row r="78" spans="1:14">
      <c r="A78" s="61"/>
      <c r="B78" s="41"/>
      <c r="C78" s="41"/>
      <c r="D78" s="41"/>
      <c r="E78" s="98"/>
      <c r="F78" s="41"/>
      <c r="G78" s="98"/>
      <c r="H78" s="41"/>
      <c r="J78" s="41"/>
      <c r="L78" s="41"/>
      <c r="N78" s="41"/>
    </row>
    <row r="79" spans="1:14">
      <c r="A79" s="61" t="s">
        <v>128</v>
      </c>
      <c r="B79" s="41">
        <v>0</v>
      </c>
      <c r="C79" s="41"/>
      <c r="D79" s="41">
        <v>0</v>
      </c>
      <c r="E79" s="98"/>
      <c r="F79" s="41">
        <v>0</v>
      </c>
      <c r="G79" s="98"/>
      <c r="H79" s="41">
        <v>0</v>
      </c>
      <c r="J79" s="41">
        <v>0</v>
      </c>
      <c r="L79" s="41">
        <v>0</v>
      </c>
      <c r="N79" s="41">
        <v>0</v>
      </c>
    </row>
    <row r="80" spans="1:14">
      <c r="A80" s="61" t="s">
        <v>129</v>
      </c>
      <c r="B80" s="41">
        <f>B77-B79</f>
        <v>-39903372.400949448</v>
      </c>
      <c r="C80" s="41"/>
      <c r="D80" s="41">
        <f>D77-D79</f>
        <v>375664.0188240069</v>
      </c>
      <c r="E80" s="98"/>
      <c r="F80" s="41">
        <f>F77-F79</f>
        <v>-39527708.382125437</v>
      </c>
      <c r="G80" s="98"/>
      <c r="H80" s="41">
        <f>H77-H79</f>
        <v>-24056520.158276893</v>
      </c>
      <c r="J80" s="41">
        <f>J77-J79</f>
        <v>-63584228.540402383</v>
      </c>
      <c r="L80" s="41">
        <f>L77-L79</f>
        <v>54117392.960332453</v>
      </c>
      <c r="N80" s="41">
        <f>N77-N79</f>
        <v>-9466835.5800699592</v>
      </c>
    </row>
    <row r="81" spans="1:14">
      <c r="A81" s="61"/>
      <c r="B81" s="41"/>
      <c r="C81" s="41"/>
      <c r="D81" s="41"/>
      <c r="E81" s="98"/>
      <c r="F81" s="41"/>
      <c r="G81" s="98"/>
      <c r="H81" s="41"/>
      <c r="J81" s="41"/>
      <c r="L81" s="41"/>
      <c r="N81" s="41"/>
    </row>
    <row r="82" spans="1:14">
      <c r="A82" s="61" t="s">
        <v>202</v>
      </c>
      <c r="B82" s="41">
        <f>B80*0.35</f>
        <v>-13966180.340332307</v>
      </c>
      <c r="C82" s="41"/>
      <c r="D82" s="41">
        <f>D80*0.35</f>
        <v>131482.4065884024</v>
      </c>
      <c r="E82" s="98"/>
      <c r="F82" s="41">
        <f>F80*0.35</f>
        <v>-13834697.933743902</v>
      </c>
      <c r="G82" s="98"/>
      <c r="H82" s="41">
        <f>H80*0.35</f>
        <v>-8419782.0553969126</v>
      </c>
      <c r="J82" s="41">
        <f>J80*0.35</f>
        <v>-22254479.989140831</v>
      </c>
      <c r="L82" s="41">
        <f>L80*0.35</f>
        <v>18941087.536116358</v>
      </c>
      <c r="N82" s="41">
        <f>N80*0.35</f>
        <v>-3313392.4530244856</v>
      </c>
    </row>
    <row r="83" spans="1:14">
      <c r="A83" s="61" t="s">
        <v>203</v>
      </c>
      <c r="B83" s="41">
        <v>0</v>
      </c>
      <c r="C83" s="41"/>
      <c r="D83" s="41">
        <f>'Restating Adj'!B83</f>
        <v>0</v>
      </c>
      <c r="E83" s="98"/>
      <c r="F83" s="41">
        <f t="shared" ref="F83" si="22">B83+D83</f>
        <v>0</v>
      </c>
      <c r="G83" s="98"/>
      <c r="H83" s="41">
        <f>'Pro Forma Adj'!B83</f>
        <v>-5638736.2665997902</v>
      </c>
      <c r="J83" s="41">
        <f t="shared" ref="J83" si="23">F83+H83</f>
        <v>-5638736.2665997902</v>
      </c>
      <c r="L83" s="41"/>
      <c r="N83" s="41">
        <f t="shared" ref="N83" si="24">J83+L83</f>
        <v>-5638736.2665997902</v>
      </c>
    </row>
    <row r="84" spans="1:14">
      <c r="A84" s="61" t="s">
        <v>204</v>
      </c>
      <c r="B84" s="41">
        <f>B82+B83</f>
        <v>-13966180.340332307</v>
      </c>
      <c r="C84" s="41"/>
      <c r="D84" s="41">
        <f>D82+D83</f>
        <v>131482.4065884024</v>
      </c>
      <c r="E84" s="98"/>
      <c r="F84" s="41">
        <f>F82+F83</f>
        <v>-13834697.933743902</v>
      </c>
      <c r="G84" s="98"/>
      <c r="H84" s="41">
        <f>H82+H83</f>
        <v>-14058518.321996704</v>
      </c>
      <c r="J84" s="41">
        <f>J82+J83</f>
        <v>-27893216.25574062</v>
      </c>
      <c r="L84" s="41">
        <f>L82+L83</f>
        <v>18941087.536116358</v>
      </c>
      <c r="N84" s="41">
        <f>N82+N83</f>
        <v>-8952128.7196242753</v>
      </c>
    </row>
    <row r="85" spans="1:14">
      <c r="A85" s="61"/>
      <c r="B85" s="41"/>
      <c r="C85" s="41"/>
      <c r="D85" s="41"/>
      <c r="F85" s="41"/>
      <c r="H85" s="41"/>
      <c r="J85" s="41"/>
      <c r="L85" s="41"/>
      <c r="N85" s="41"/>
    </row>
    <row r="86" spans="1:14">
      <c r="A86" s="61"/>
      <c r="B86" s="41"/>
      <c r="C86" s="41"/>
      <c r="D86" s="41"/>
      <c r="E86" s="98"/>
      <c r="F86" s="41"/>
      <c r="G86" s="98"/>
      <c r="H86" s="41"/>
      <c r="J86" s="41"/>
      <c r="L86" s="41"/>
      <c r="N86" s="41"/>
    </row>
    <row r="87" spans="1:14">
      <c r="A87" s="61"/>
      <c r="B87" s="41"/>
      <c r="C87" s="41"/>
      <c r="D87" s="41"/>
      <c r="E87" s="98"/>
      <c r="F87" s="41"/>
      <c r="G87" s="98"/>
      <c r="H87" s="41"/>
      <c r="J87" s="41"/>
      <c r="L87" s="41"/>
      <c r="N87" s="41"/>
    </row>
    <row r="88" spans="1:14">
      <c r="A88" s="61"/>
      <c r="B88" s="41"/>
      <c r="C88" s="41"/>
      <c r="D88" s="41"/>
      <c r="E88" s="98"/>
      <c r="F88" s="41"/>
      <c r="G88" s="98"/>
      <c r="H88" s="41"/>
      <c r="J88" s="41"/>
      <c r="L88" s="41"/>
      <c r="N88" s="41"/>
    </row>
    <row r="89" spans="1:14">
      <c r="A89" s="61"/>
      <c r="B89" s="41"/>
      <c r="C89" s="41"/>
      <c r="D89" s="41"/>
      <c r="E89" s="98"/>
      <c r="F89" s="41"/>
      <c r="G89" s="98"/>
      <c r="H89" s="41"/>
      <c r="J89" s="41"/>
      <c r="L89" s="41"/>
      <c r="N89" s="41"/>
    </row>
    <row r="90" spans="1:14">
      <c r="A90" s="123"/>
      <c r="B90" s="41"/>
      <c r="C90" s="41"/>
      <c r="D90" s="41"/>
      <c r="E90" s="98"/>
      <c r="F90" s="41"/>
      <c r="G90" s="98"/>
      <c r="H90" s="41"/>
      <c r="J90" s="41"/>
      <c r="L90" s="41"/>
      <c r="N90" s="41"/>
    </row>
    <row r="91" spans="1:14">
      <c r="A91" s="98"/>
      <c r="B91" s="24"/>
      <c r="C91" s="24"/>
      <c r="D91" s="24"/>
      <c r="F91" s="24"/>
      <c r="H91" s="24"/>
      <c r="J91" s="24"/>
      <c r="L91" s="24"/>
      <c r="N91" s="24"/>
    </row>
    <row r="92" spans="1:14">
      <c r="A92" s="98"/>
    </row>
    <row r="93" spans="1:14">
      <c r="A93" s="98"/>
    </row>
    <row r="94" spans="1:14">
      <c r="A94" s="98"/>
    </row>
    <row r="95" spans="1:14">
      <c r="A95" s="98"/>
    </row>
    <row r="96" spans="1:14">
      <c r="A96" s="98"/>
    </row>
    <row r="97" spans="1:1">
      <c r="A97" s="98"/>
    </row>
    <row r="98" spans="1:1">
      <c r="A98" s="98"/>
    </row>
    <row r="99" spans="1:1">
      <c r="A99" s="98"/>
    </row>
    <row r="100" spans="1:1">
      <c r="A100" s="98"/>
    </row>
    <row r="101" spans="1:1">
      <c r="A101" s="98"/>
    </row>
    <row r="102" spans="1:1">
      <c r="A102" s="98"/>
    </row>
    <row r="103" spans="1:1">
      <c r="A103" s="98"/>
    </row>
    <row r="104" spans="1:1">
      <c r="A104" s="98"/>
    </row>
    <row r="105" spans="1:1">
      <c r="A105" s="98"/>
    </row>
    <row r="106" spans="1:1">
      <c r="A106" s="98"/>
    </row>
    <row r="107" spans="1:1">
      <c r="A107" s="98"/>
    </row>
    <row r="108" spans="1:1">
      <c r="A108" s="98"/>
    </row>
    <row r="109" spans="1:1">
      <c r="A109" s="98"/>
    </row>
    <row r="110" spans="1:1">
      <c r="A110" s="98"/>
    </row>
    <row r="111" spans="1:1">
      <c r="A111" s="98"/>
    </row>
    <row r="112" spans="1:1">
      <c r="A112" s="98"/>
    </row>
    <row r="113" spans="1:1">
      <c r="A113" s="98"/>
    </row>
    <row r="114" spans="1:1">
      <c r="A114" s="98"/>
    </row>
    <row r="115" spans="1:1">
      <c r="A115" s="98"/>
    </row>
    <row r="116" spans="1:1">
      <c r="A116" s="98"/>
    </row>
    <row r="117" spans="1:1">
      <c r="A117" s="98"/>
    </row>
    <row r="118" spans="1:1">
      <c r="A118" s="98"/>
    </row>
    <row r="119" spans="1:1">
      <c r="A119" s="98"/>
    </row>
    <row r="120" spans="1:1">
      <c r="A120" s="98"/>
    </row>
    <row r="121" spans="1:1">
      <c r="A121" s="98"/>
    </row>
    <row r="122" spans="1:1">
      <c r="A122" s="98"/>
    </row>
    <row r="123" spans="1:1">
      <c r="A123" s="98"/>
    </row>
    <row r="124" spans="1:1">
      <c r="A124" s="98"/>
    </row>
    <row r="125" spans="1:1">
      <c r="A125" s="98"/>
    </row>
    <row r="126" spans="1:1">
      <c r="A126" s="98"/>
    </row>
    <row r="127" spans="1:1">
      <c r="A127" s="98"/>
    </row>
    <row r="128" spans="1:1">
      <c r="A128" s="98"/>
    </row>
    <row r="129" spans="1:1">
      <c r="A129" s="98"/>
    </row>
    <row r="130" spans="1:1">
      <c r="A130" s="98"/>
    </row>
    <row r="131" spans="1:1">
      <c r="A131" s="98"/>
    </row>
    <row r="132" spans="1:1">
      <c r="A132" s="98"/>
    </row>
    <row r="133" spans="1:1">
      <c r="A133" s="98"/>
    </row>
    <row r="134" spans="1:1">
      <c r="A134" s="98"/>
    </row>
    <row r="135" spans="1:1">
      <c r="A135" s="98"/>
    </row>
    <row r="136" spans="1:1">
      <c r="A136" s="98"/>
    </row>
    <row r="137" spans="1:1">
      <c r="A137" s="98"/>
    </row>
    <row r="138" spans="1:1">
      <c r="A138" s="98"/>
    </row>
    <row r="139" spans="1:1">
      <c r="A139" s="98"/>
    </row>
    <row r="140" spans="1:1">
      <c r="A140" s="98"/>
    </row>
    <row r="141" spans="1:1">
      <c r="A141" s="98"/>
    </row>
    <row r="142" spans="1:1">
      <c r="A142" s="98"/>
    </row>
    <row r="143" spans="1:1">
      <c r="A143" s="98"/>
    </row>
    <row r="144" spans="1:1">
      <c r="A144" s="98"/>
    </row>
    <row r="145" spans="1:1">
      <c r="A145" s="98"/>
    </row>
    <row r="146" spans="1:1">
      <c r="A146" s="98"/>
    </row>
    <row r="147" spans="1:1">
      <c r="A147" s="98"/>
    </row>
  </sheetData>
  <phoneticPr fontId="2" type="noConversion"/>
  <pageMargins left="0.5" right="0.5" top="0.5" bottom="0.5" header="0.5" footer="0.5"/>
  <pageSetup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90"/>
  <sheetViews>
    <sheetView zoomScale="85" zoomScaleNormal="85" zoomScaleSheetLayoutView="85" workbookViewId="0">
      <pane xSplit="1" ySplit="6" topLeftCell="Z16" activePane="bottomRight" state="frozen"/>
      <selection pane="topRight" activeCell="B1" sqref="B1"/>
      <selection pane="bottomLeft" activeCell="A7" sqref="A7"/>
      <selection pane="bottomRight" activeCell="AB46" sqref="AB46"/>
    </sheetView>
  </sheetViews>
  <sheetFormatPr defaultRowHeight="12.75"/>
  <cols>
    <col min="1" max="1" width="40.42578125" style="57" customWidth="1"/>
    <col min="2" max="4" width="13.7109375" style="3" customWidth="1"/>
    <col min="5" max="5" width="13.7109375" style="77" customWidth="1"/>
    <col min="6" max="17" width="13.7109375" style="3" customWidth="1"/>
    <col min="18" max="18" width="13.7109375" style="77" customWidth="1"/>
    <col min="19" max="26" width="13.7109375" style="3" customWidth="1"/>
    <col min="27" max="27" width="13.7109375" style="77" customWidth="1"/>
    <col min="28" max="35" width="13.7109375" style="3" customWidth="1"/>
    <col min="36" max="16384" width="9.140625" style="3"/>
  </cols>
  <sheetData>
    <row r="1" spans="1:35">
      <c r="A1" s="118" t="s">
        <v>61</v>
      </c>
    </row>
    <row r="2" spans="1:35" s="2" customFormat="1">
      <c r="A2" s="1" t="s">
        <v>220</v>
      </c>
    </row>
    <row r="3" spans="1:35" s="4" customFormat="1" ht="13.5" thickBot="1">
      <c r="A3" s="125" t="s">
        <v>65</v>
      </c>
    </row>
    <row r="4" spans="1:35" s="5" customFormat="1" ht="13.5" thickBot="1">
      <c r="A4" s="118"/>
      <c r="B4" s="163"/>
      <c r="C4" s="6" t="s">
        <v>44</v>
      </c>
      <c r="D4" s="7"/>
      <c r="E4" s="8"/>
      <c r="F4" s="7"/>
      <c r="G4" s="9"/>
      <c r="H4" s="6" t="s">
        <v>45</v>
      </c>
      <c r="I4" s="7"/>
      <c r="J4" s="7"/>
      <c r="K4" s="7"/>
      <c r="L4" s="9"/>
      <c r="M4" s="6" t="s">
        <v>46</v>
      </c>
      <c r="N4" s="7"/>
      <c r="O4" s="7"/>
      <c r="P4" s="9"/>
      <c r="Q4" s="8" t="s">
        <v>58</v>
      </c>
      <c r="R4" s="6" t="s">
        <v>47</v>
      </c>
      <c r="S4" s="7"/>
      <c r="T4" s="7"/>
      <c r="U4" s="7"/>
      <c r="V4" s="7"/>
      <c r="W4" s="7"/>
      <c r="X4" s="7"/>
      <c r="Y4" s="7"/>
      <c r="Z4" s="9"/>
      <c r="AA4" s="229" t="s">
        <v>48</v>
      </c>
      <c r="AB4" s="230"/>
      <c r="AC4" s="230"/>
      <c r="AD4" s="230"/>
      <c r="AE4" s="230"/>
      <c r="AF4" s="230"/>
      <c r="AG4" s="230"/>
      <c r="AH4" s="231"/>
      <c r="AI4" s="232"/>
    </row>
    <row r="5" spans="1:35">
      <c r="B5" s="84"/>
      <c r="C5" s="11" t="s">
        <v>0</v>
      </c>
      <c r="D5" s="10" t="s">
        <v>2</v>
      </c>
      <c r="E5" s="64" t="s">
        <v>4</v>
      </c>
      <c r="F5" s="10" t="s">
        <v>5</v>
      </c>
      <c r="G5" s="12" t="s">
        <v>6</v>
      </c>
      <c r="H5" s="139" t="s">
        <v>1</v>
      </c>
      <c r="I5" s="140" t="s">
        <v>7</v>
      </c>
      <c r="J5" s="140" t="s">
        <v>10</v>
      </c>
      <c r="K5" s="140" t="s">
        <v>11</v>
      </c>
      <c r="L5" s="141" t="s">
        <v>12</v>
      </c>
      <c r="M5" s="139" t="s">
        <v>13</v>
      </c>
      <c r="N5" s="140" t="s">
        <v>54</v>
      </c>
      <c r="O5" s="140" t="s">
        <v>50</v>
      </c>
      <c r="P5" s="141" t="s">
        <v>53</v>
      </c>
      <c r="Q5" s="84" t="s">
        <v>14</v>
      </c>
      <c r="R5" s="160" t="s">
        <v>15</v>
      </c>
      <c r="S5" s="10" t="s">
        <v>16</v>
      </c>
      <c r="T5" s="10" t="s">
        <v>18</v>
      </c>
      <c r="U5" s="10" t="s">
        <v>55</v>
      </c>
      <c r="V5" s="10" t="s">
        <v>56</v>
      </c>
      <c r="W5" s="10" t="s">
        <v>20</v>
      </c>
      <c r="X5" s="10" t="s">
        <v>21</v>
      </c>
      <c r="Y5" s="10" t="s">
        <v>22</v>
      </c>
      <c r="Z5" s="12" t="s">
        <v>23</v>
      </c>
      <c r="AA5" s="146" t="s">
        <v>25</v>
      </c>
      <c r="AB5" s="140" t="s">
        <v>26</v>
      </c>
      <c r="AC5" s="140" t="s">
        <v>27</v>
      </c>
      <c r="AD5" s="140" t="s">
        <v>28</v>
      </c>
      <c r="AE5" s="140" t="s">
        <v>29</v>
      </c>
      <c r="AF5" s="140" t="s">
        <v>57</v>
      </c>
      <c r="AG5" s="140" t="s">
        <v>30</v>
      </c>
      <c r="AH5" s="140" t="s">
        <v>32</v>
      </c>
      <c r="AI5" s="141" t="s">
        <v>33</v>
      </c>
    </row>
    <row r="6" spans="1:35" s="5" customFormat="1" ht="63" customHeight="1">
      <c r="A6" s="118"/>
      <c r="B6" s="85" t="s">
        <v>43</v>
      </c>
      <c r="C6" s="14" t="s">
        <v>130</v>
      </c>
      <c r="D6" s="13" t="s">
        <v>131</v>
      </c>
      <c r="E6" s="78" t="s">
        <v>132</v>
      </c>
      <c r="F6" s="13" t="s">
        <v>133</v>
      </c>
      <c r="G6" s="15" t="s">
        <v>134</v>
      </c>
      <c r="H6" s="14" t="s">
        <v>135</v>
      </c>
      <c r="I6" s="13" t="s">
        <v>136</v>
      </c>
      <c r="J6" s="78" t="s">
        <v>137</v>
      </c>
      <c r="K6" s="78" t="s">
        <v>138</v>
      </c>
      <c r="L6" s="15" t="s">
        <v>139</v>
      </c>
      <c r="M6" s="14" t="s">
        <v>140</v>
      </c>
      <c r="N6" s="78" t="s">
        <v>141</v>
      </c>
      <c r="O6" s="78" t="s">
        <v>142</v>
      </c>
      <c r="P6" s="15" t="s">
        <v>143</v>
      </c>
      <c r="Q6" s="85" t="s">
        <v>144</v>
      </c>
      <c r="R6" s="161" t="s">
        <v>145</v>
      </c>
      <c r="S6" s="13" t="s">
        <v>146</v>
      </c>
      <c r="T6" s="13" t="s">
        <v>147</v>
      </c>
      <c r="U6" s="13" t="s">
        <v>148</v>
      </c>
      <c r="V6" s="13" t="s">
        <v>149</v>
      </c>
      <c r="W6" s="13" t="s">
        <v>150</v>
      </c>
      <c r="X6" s="13" t="s">
        <v>151</v>
      </c>
      <c r="Y6" s="13" t="s">
        <v>152</v>
      </c>
      <c r="Z6" s="15" t="s">
        <v>153</v>
      </c>
      <c r="AA6" s="147" t="s">
        <v>154</v>
      </c>
      <c r="AB6" s="16" t="s">
        <v>155</v>
      </c>
      <c r="AC6" s="16" t="s">
        <v>156</v>
      </c>
      <c r="AD6" s="13" t="s">
        <v>157</v>
      </c>
      <c r="AE6" s="16" t="s">
        <v>158</v>
      </c>
      <c r="AF6" s="13" t="s">
        <v>159</v>
      </c>
      <c r="AG6" s="16" t="s">
        <v>160</v>
      </c>
      <c r="AH6" s="13" t="s">
        <v>161</v>
      </c>
      <c r="AI6" s="15" t="s">
        <v>115</v>
      </c>
    </row>
    <row r="7" spans="1:35">
      <c r="B7" s="164"/>
      <c r="C7" s="18"/>
      <c r="D7" s="17"/>
      <c r="E7" s="65"/>
      <c r="F7" s="19"/>
      <c r="G7" s="22"/>
      <c r="H7" s="20"/>
      <c r="I7" s="17"/>
      <c r="J7" s="19"/>
      <c r="K7" s="17"/>
      <c r="L7" s="23"/>
      <c r="M7" s="20"/>
      <c r="N7" s="17"/>
      <c r="O7" s="17"/>
      <c r="P7" s="23"/>
      <c r="Q7" s="86"/>
      <c r="R7" s="162"/>
      <c r="S7" s="19"/>
      <c r="T7" s="19"/>
      <c r="U7" s="17"/>
      <c r="V7" s="19"/>
      <c r="W7" s="17"/>
      <c r="X7" s="17"/>
      <c r="Y7" s="17"/>
      <c r="Z7" s="23"/>
      <c r="AA7" s="148"/>
      <c r="AB7" s="19"/>
      <c r="AC7" s="19"/>
      <c r="AD7" s="17"/>
      <c r="AE7" s="19"/>
      <c r="AF7" s="17"/>
      <c r="AG7" s="19"/>
      <c r="AH7" s="19"/>
      <c r="AI7" s="22"/>
    </row>
    <row r="8" spans="1:35">
      <c r="A8" s="61" t="s">
        <v>68</v>
      </c>
      <c r="B8" s="86"/>
      <c r="C8" s="20"/>
      <c r="D8" s="17"/>
      <c r="E8" s="65"/>
      <c r="F8" s="17"/>
      <c r="G8" s="22"/>
      <c r="H8" s="20"/>
      <c r="I8" s="17"/>
      <c r="J8" s="17"/>
      <c r="K8" s="17"/>
      <c r="L8" s="22"/>
      <c r="M8" s="20"/>
      <c r="N8" s="17"/>
      <c r="O8" s="17"/>
      <c r="P8" s="22"/>
      <c r="Q8" s="86"/>
      <c r="R8" s="148"/>
      <c r="S8" s="17"/>
      <c r="T8" s="17"/>
      <c r="U8" s="17"/>
      <c r="V8" s="17"/>
      <c r="W8" s="17"/>
      <c r="X8" s="17"/>
      <c r="Y8" s="17"/>
      <c r="Z8" s="22"/>
      <c r="AA8" s="148"/>
      <c r="AB8" s="17"/>
      <c r="AC8" s="17"/>
      <c r="AD8" s="17"/>
      <c r="AE8" s="17"/>
      <c r="AF8" s="17"/>
      <c r="AG8" s="17"/>
      <c r="AH8" s="17"/>
      <c r="AI8" s="22"/>
    </row>
    <row r="9" spans="1:35">
      <c r="A9" s="61" t="s">
        <v>69</v>
      </c>
      <c r="B9" s="90">
        <f>SUM(C9:AI9)</f>
        <v>-6737565.5899999887</v>
      </c>
      <c r="C9" s="26">
        <f>'[3]Lead Sheet 3.1'!$I$12</f>
        <v>-6704444.6599999983</v>
      </c>
      <c r="D9" s="25">
        <f>'[3]Lead Sheet 3.2'!$I$14</f>
        <v>-33120.929999989981</v>
      </c>
      <c r="E9" s="66"/>
      <c r="F9" s="25"/>
      <c r="G9" s="30"/>
      <c r="H9" s="27"/>
      <c r="I9" s="25"/>
      <c r="J9" s="28"/>
      <c r="K9" s="25"/>
      <c r="L9" s="30"/>
      <c r="M9" s="27"/>
      <c r="N9" s="25"/>
      <c r="O9" s="25"/>
      <c r="P9" s="30"/>
      <c r="Q9" s="87"/>
      <c r="R9" s="150"/>
      <c r="S9" s="28"/>
      <c r="T9" s="28"/>
      <c r="U9" s="28"/>
      <c r="V9" s="28"/>
      <c r="W9" s="28"/>
      <c r="X9" s="28"/>
      <c r="Y9" s="28"/>
      <c r="Z9" s="29"/>
      <c r="AA9" s="149"/>
      <c r="AB9" s="25"/>
      <c r="AC9" s="25"/>
      <c r="AD9" s="25"/>
      <c r="AE9" s="25"/>
      <c r="AF9" s="17"/>
      <c r="AG9" s="25"/>
      <c r="AH9" s="28"/>
      <c r="AI9" s="30"/>
    </row>
    <row r="10" spans="1:35">
      <c r="A10" s="61" t="s">
        <v>70</v>
      </c>
      <c r="B10" s="90">
        <f>SUM(C10:AI10)</f>
        <v>0</v>
      </c>
      <c r="C10" s="26"/>
      <c r="D10" s="28"/>
      <c r="E10" s="67"/>
      <c r="F10" s="25"/>
      <c r="G10" s="29"/>
      <c r="H10" s="26"/>
      <c r="I10" s="28"/>
      <c r="J10" s="28"/>
      <c r="K10" s="28"/>
      <c r="L10" s="30"/>
      <c r="M10" s="26"/>
      <c r="N10" s="28"/>
      <c r="O10" s="28"/>
      <c r="P10" s="30"/>
      <c r="Q10" s="87"/>
      <c r="R10" s="150"/>
      <c r="S10" s="28"/>
      <c r="T10" s="28"/>
      <c r="U10" s="28"/>
      <c r="V10" s="28"/>
      <c r="W10" s="28"/>
      <c r="X10" s="28"/>
      <c r="Y10" s="28"/>
      <c r="Z10" s="29"/>
      <c r="AA10" s="150"/>
      <c r="AB10" s="25"/>
      <c r="AC10" s="25"/>
      <c r="AD10" s="28"/>
      <c r="AE10" s="25"/>
      <c r="AF10" s="17"/>
      <c r="AG10" s="25"/>
      <c r="AH10" s="28"/>
      <c r="AI10" s="29"/>
    </row>
    <row r="11" spans="1:35">
      <c r="A11" s="61" t="s">
        <v>71</v>
      </c>
      <c r="B11" s="90">
        <f>SUM(C11:AI11)</f>
        <v>3803644.2032988709</v>
      </c>
      <c r="C11" s="26"/>
      <c r="D11" s="28"/>
      <c r="E11" s="67"/>
      <c r="F11" s="25"/>
      <c r="G11" s="29"/>
      <c r="H11" s="26"/>
      <c r="I11" s="28"/>
      <c r="J11" s="28"/>
      <c r="K11" s="28"/>
      <c r="L11" s="30"/>
      <c r="M11" s="26">
        <f>'[4]Lead Sheet - 5.1'!$I$13</f>
        <v>3803644.2032988709</v>
      </c>
      <c r="N11" s="28"/>
      <c r="O11" s="28"/>
      <c r="P11" s="30"/>
      <c r="Q11" s="87"/>
      <c r="R11" s="150"/>
      <c r="S11" s="28"/>
      <c r="T11" s="28"/>
      <c r="U11" s="28"/>
      <c r="V11" s="28"/>
      <c r="W11" s="28"/>
      <c r="X11" s="28"/>
      <c r="Y11" s="28"/>
      <c r="Z11" s="29"/>
      <c r="AA11" s="150"/>
      <c r="AB11" s="25"/>
      <c r="AC11" s="25"/>
      <c r="AD11" s="28"/>
      <c r="AE11" s="25"/>
      <c r="AF11" s="17"/>
      <c r="AG11" s="25"/>
      <c r="AH11" s="28"/>
      <c r="AI11" s="29"/>
    </row>
    <row r="12" spans="1:35">
      <c r="A12" s="61" t="s">
        <v>72</v>
      </c>
      <c r="B12" s="90">
        <f>SUM(C12:AI12)</f>
        <v>-4108989.02950744</v>
      </c>
      <c r="C12" s="26"/>
      <c r="D12" s="28"/>
      <c r="E12" s="67"/>
      <c r="F12" s="25">
        <f>'[5]Lead Sheet '!$I$9</f>
        <v>-4211638.5008969298</v>
      </c>
      <c r="G12" s="29">
        <f>'[6]Lead Sheet'!$I$10</f>
        <v>102649.47138948992</v>
      </c>
      <c r="H12" s="26"/>
      <c r="I12" s="28"/>
      <c r="J12" s="28"/>
      <c r="K12" s="28"/>
      <c r="L12" s="30"/>
      <c r="M12" s="26"/>
      <c r="N12" s="28"/>
      <c r="O12" s="28"/>
      <c r="P12" s="30"/>
      <c r="Q12" s="87"/>
      <c r="R12" s="150"/>
      <c r="S12" s="28"/>
      <c r="T12" s="28"/>
      <c r="U12" s="28"/>
      <c r="V12" s="28"/>
      <c r="W12" s="28"/>
      <c r="X12" s="28"/>
      <c r="Y12" s="28"/>
      <c r="Z12" s="29"/>
      <c r="AA12" s="150"/>
      <c r="AB12" s="25"/>
      <c r="AC12" s="25"/>
      <c r="AD12" s="28"/>
      <c r="AE12" s="25"/>
      <c r="AF12" s="17"/>
      <c r="AG12" s="25"/>
      <c r="AH12" s="28"/>
      <c r="AI12" s="29"/>
    </row>
    <row r="13" spans="1:35">
      <c r="A13" s="61" t="s">
        <v>73</v>
      </c>
      <c r="B13" s="88">
        <f>SUM(C13:AI13)</f>
        <v>-7042910.4162085596</v>
      </c>
      <c r="C13" s="33">
        <f>SUM(C9:C12)</f>
        <v>-6704444.6599999983</v>
      </c>
      <c r="D13" s="31">
        <f t="shared" ref="D13:AI13" si="0">SUM(D9:D12)</f>
        <v>-33120.929999989981</v>
      </c>
      <c r="E13" s="68">
        <f t="shared" si="0"/>
        <v>0</v>
      </c>
      <c r="F13" s="31">
        <f t="shared" si="0"/>
        <v>-4211638.5008969298</v>
      </c>
      <c r="G13" s="34">
        <f t="shared" si="0"/>
        <v>102649.47138948992</v>
      </c>
      <c r="H13" s="33">
        <f t="shared" si="0"/>
        <v>0</v>
      </c>
      <c r="I13" s="31">
        <f t="shared" si="0"/>
        <v>0</v>
      </c>
      <c r="J13" s="31">
        <f t="shared" si="0"/>
        <v>0</v>
      </c>
      <c r="K13" s="31">
        <f t="shared" si="0"/>
        <v>0</v>
      </c>
      <c r="L13" s="34">
        <f t="shared" ref="L13" si="1">SUM(L9:L12)</f>
        <v>0</v>
      </c>
      <c r="M13" s="33">
        <f t="shared" ref="M13" si="2">SUM(M9:M12)</f>
        <v>3803644.2032988709</v>
      </c>
      <c r="N13" s="31">
        <f t="shared" ref="N13:O13" si="3">SUM(N9:N12)</f>
        <v>0</v>
      </c>
      <c r="O13" s="31">
        <f t="shared" si="3"/>
        <v>0</v>
      </c>
      <c r="P13" s="34">
        <f t="shared" si="0"/>
        <v>0</v>
      </c>
      <c r="Q13" s="88">
        <f t="shared" si="0"/>
        <v>0</v>
      </c>
      <c r="R13" s="151">
        <f t="shared" si="0"/>
        <v>0</v>
      </c>
      <c r="S13" s="31">
        <f t="shared" ref="S13" si="4">SUM(S9:S12)</f>
        <v>0</v>
      </c>
      <c r="T13" s="31">
        <f t="shared" si="0"/>
        <v>0</v>
      </c>
      <c r="U13" s="31">
        <f t="shared" si="0"/>
        <v>0</v>
      </c>
      <c r="V13" s="31">
        <f t="shared" si="0"/>
        <v>0</v>
      </c>
      <c r="W13" s="31">
        <f t="shared" si="0"/>
        <v>0</v>
      </c>
      <c r="X13" s="31">
        <f t="shared" ref="X13:Y13" si="5">SUM(X9:X12)</f>
        <v>0</v>
      </c>
      <c r="Y13" s="31">
        <f t="shared" si="5"/>
        <v>0</v>
      </c>
      <c r="Z13" s="34">
        <f t="shared" si="0"/>
        <v>0</v>
      </c>
      <c r="AA13" s="151">
        <f t="shared" si="0"/>
        <v>0</v>
      </c>
      <c r="AB13" s="31">
        <f t="shared" si="0"/>
        <v>0</v>
      </c>
      <c r="AC13" s="31">
        <f t="shared" si="0"/>
        <v>0</v>
      </c>
      <c r="AD13" s="31">
        <f t="shared" si="0"/>
        <v>0</v>
      </c>
      <c r="AE13" s="31">
        <f t="shared" ref="AE13" si="6">SUM(AE9:AE12)</f>
        <v>0</v>
      </c>
      <c r="AF13" s="31">
        <f t="shared" si="0"/>
        <v>0</v>
      </c>
      <c r="AG13" s="31">
        <f t="shared" si="0"/>
        <v>0</v>
      </c>
      <c r="AH13" s="31">
        <f t="shared" si="0"/>
        <v>0</v>
      </c>
      <c r="AI13" s="34">
        <f t="shared" si="0"/>
        <v>0</v>
      </c>
    </row>
    <row r="14" spans="1:35">
      <c r="A14" s="61"/>
      <c r="B14" s="86"/>
      <c r="C14" s="20"/>
      <c r="D14" s="17"/>
      <c r="E14" s="65"/>
      <c r="F14" s="17"/>
      <c r="G14" s="22"/>
      <c r="H14" s="20"/>
      <c r="I14" s="17"/>
      <c r="J14" s="17"/>
      <c r="K14" s="17"/>
      <c r="L14" s="22"/>
      <c r="M14" s="20"/>
      <c r="N14" s="17"/>
      <c r="O14" s="17"/>
      <c r="P14" s="22"/>
      <c r="Q14" s="86"/>
      <c r="R14" s="148"/>
      <c r="S14" s="17"/>
      <c r="T14" s="17"/>
      <c r="U14" s="17"/>
      <c r="V14" s="17"/>
      <c r="W14" s="17"/>
      <c r="X14" s="17"/>
      <c r="Y14" s="17"/>
      <c r="Z14" s="22"/>
      <c r="AA14" s="148"/>
      <c r="AB14" s="17"/>
      <c r="AC14" s="17"/>
      <c r="AD14" s="17"/>
      <c r="AE14" s="17"/>
      <c r="AF14" s="17"/>
      <c r="AG14" s="17"/>
      <c r="AH14" s="17"/>
      <c r="AI14" s="22"/>
    </row>
    <row r="15" spans="1:35">
      <c r="A15" s="61" t="s">
        <v>74</v>
      </c>
      <c r="B15" s="86"/>
      <c r="C15" s="20"/>
      <c r="D15" s="17"/>
      <c r="E15" s="65"/>
      <c r="F15" s="17"/>
      <c r="G15" s="22"/>
      <c r="H15" s="20"/>
      <c r="I15" s="17"/>
      <c r="J15" s="17"/>
      <c r="K15" s="17"/>
      <c r="L15" s="22"/>
      <c r="M15" s="20"/>
      <c r="N15" s="17"/>
      <c r="O15" s="17"/>
      <c r="P15" s="22"/>
      <c r="Q15" s="86"/>
      <c r="R15" s="149"/>
      <c r="S15" s="17"/>
      <c r="T15" s="17"/>
      <c r="U15" s="17"/>
      <c r="V15" s="17"/>
      <c r="W15" s="17"/>
      <c r="X15" s="17"/>
      <c r="Y15" s="17"/>
      <c r="Z15" s="22"/>
      <c r="AA15" s="148"/>
      <c r="AB15" s="17"/>
      <c r="AC15" s="17"/>
      <c r="AD15" s="17"/>
      <c r="AE15" s="17"/>
      <c r="AF15" s="17"/>
      <c r="AG15" s="17"/>
      <c r="AH15" s="17"/>
      <c r="AI15" s="22"/>
    </row>
    <row r="16" spans="1:35">
      <c r="A16" s="61" t="s">
        <v>75</v>
      </c>
      <c r="B16" s="90">
        <f t="shared" ref="B16:B37" si="7">SUM(C16:AI16)</f>
        <v>-1302039.490000973</v>
      </c>
      <c r="C16" s="26"/>
      <c r="D16" s="28"/>
      <c r="E16" s="67"/>
      <c r="F16" s="25"/>
      <c r="G16" s="29"/>
      <c r="H16" s="26"/>
      <c r="I16" s="28">
        <f>SUM('[7]Lead Sheet 4.2'!$I$9:$I$19)</f>
        <v>4568.3264503989094</v>
      </c>
      <c r="J16" s="28"/>
      <c r="K16" s="28"/>
      <c r="L16" s="30">
        <f>'[8]Lead Sheet'!$I$16</f>
        <v>-91.506246302488393</v>
      </c>
      <c r="M16" s="26">
        <f>'[4]Lead Sheet - 5.1'!$I$30</f>
        <v>-1306516.3102050694</v>
      </c>
      <c r="N16" s="28"/>
      <c r="O16" s="28"/>
      <c r="P16" s="29"/>
      <c r="Q16" s="87"/>
      <c r="R16" s="150"/>
      <c r="S16" s="28"/>
      <c r="T16" s="28"/>
      <c r="U16" s="28"/>
      <c r="V16" s="28"/>
      <c r="W16" s="28"/>
      <c r="X16" s="28"/>
      <c r="Y16" s="28"/>
      <c r="Z16" s="29"/>
      <c r="AA16" s="150"/>
      <c r="AB16" s="25"/>
      <c r="AC16" s="25"/>
      <c r="AD16" s="28"/>
      <c r="AE16" s="25"/>
      <c r="AF16" s="17"/>
      <c r="AG16" s="25"/>
      <c r="AH16" s="28"/>
      <c r="AI16" s="29"/>
    </row>
    <row r="17" spans="1:35">
      <c r="A17" s="61" t="s">
        <v>76</v>
      </c>
      <c r="B17" s="90">
        <f t="shared" si="7"/>
        <v>0</v>
      </c>
      <c r="C17" s="26"/>
      <c r="D17" s="28"/>
      <c r="E17" s="67"/>
      <c r="F17" s="25"/>
      <c r="G17" s="29"/>
      <c r="H17" s="26"/>
      <c r="I17" s="28"/>
      <c r="J17" s="28"/>
      <c r="K17" s="28"/>
      <c r="L17" s="30"/>
      <c r="M17" s="26"/>
      <c r="N17" s="28"/>
      <c r="O17" s="28"/>
      <c r="P17" s="29"/>
      <c r="Q17" s="87"/>
      <c r="R17" s="150"/>
      <c r="S17" s="28"/>
      <c r="T17" s="28"/>
      <c r="U17" s="28"/>
      <c r="V17" s="28"/>
      <c r="W17" s="28"/>
      <c r="X17" s="28"/>
      <c r="Y17" s="28"/>
      <c r="Z17" s="29"/>
      <c r="AA17" s="150"/>
      <c r="AB17" s="25"/>
      <c r="AC17" s="25"/>
      <c r="AD17" s="28"/>
      <c r="AE17" s="25"/>
      <c r="AF17" s="17"/>
      <c r="AG17" s="25"/>
      <c r="AH17" s="28"/>
      <c r="AI17" s="29"/>
    </row>
    <row r="18" spans="1:35">
      <c r="A18" s="61" t="s">
        <v>77</v>
      </c>
      <c r="B18" s="90">
        <f t="shared" si="7"/>
        <v>1964.8349516471831</v>
      </c>
      <c r="C18" s="26"/>
      <c r="D18" s="28"/>
      <c r="E18" s="67"/>
      <c r="F18" s="25"/>
      <c r="G18" s="29"/>
      <c r="H18" s="26"/>
      <c r="I18" s="28">
        <f>SUM('[7]Lead Sheet 4.2'!$I$20:$I$23)</f>
        <v>1964.8349516471831</v>
      </c>
      <c r="J18" s="28"/>
      <c r="K18" s="28"/>
      <c r="L18" s="124"/>
      <c r="M18" s="26"/>
      <c r="N18" s="28"/>
      <c r="O18" s="28"/>
      <c r="P18" s="29"/>
      <c r="Q18" s="87"/>
      <c r="R18" s="150"/>
      <c r="S18" s="28"/>
      <c r="T18" s="28"/>
      <c r="U18" s="28"/>
      <c r="V18" s="28"/>
      <c r="W18" s="28"/>
      <c r="X18" s="28"/>
      <c r="Y18" s="28"/>
      <c r="Z18" s="29"/>
      <c r="AA18" s="150"/>
      <c r="AB18" s="25"/>
      <c r="AC18" s="25"/>
      <c r="AD18" s="28"/>
      <c r="AE18" s="25"/>
      <c r="AF18" s="17"/>
      <c r="AG18" s="25"/>
      <c r="AH18" s="28"/>
      <c r="AI18" s="29"/>
    </row>
    <row r="19" spans="1:35">
      <c r="A19" s="61" t="s">
        <v>78</v>
      </c>
      <c r="B19" s="90">
        <f t="shared" si="7"/>
        <v>2206561.8332285574</v>
      </c>
      <c r="C19" s="26"/>
      <c r="D19" s="28"/>
      <c r="E19" s="67"/>
      <c r="F19" s="25"/>
      <c r="G19" s="29"/>
      <c r="H19" s="26">
        <f>'[9]Lead Sheet'!$I$9</f>
        <v>-398.79035040746351</v>
      </c>
      <c r="I19" s="28">
        <f>SUM('[7]Lead Sheet 4.2'!$I$24:$I$32)</f>
        <v>2394.1585700828332</v>
      </c>
      <c r="J19" s="28"/>
      <c r="K19" s="28"/>
      <c r="L19" s="30">
        <f>'[8]Lead Sheet'!$I$13</f>
        <v>-82916.446129532909</v>
      </c>
      <c r="M19" s="26">
        <f>'[4]Lead Sheet - 5.1'!$I$21+'[4]Lead Sheet - 5.1'!$I$31</f>
        <v>-5889920.3078454062</v>
      </c>
      <c r="N19" s="28">
        <f>'[10]Lead Sheet WCA'!$I$13</f>
        <v>152282.21898382137</v>
      </c>
      <c r="O19" s="28">
        <f>'[11]Lead Sheet'!$I$12</f>
        <v>8025121</v>
      </c>
      <c r="P19" s="29"/>
      <c r="Q19" s="87">
        <v>0</v>
      </c>
      <c r="R19" s="150"/>
      <c r="S19" s="28"/>
      <c r="T19" s="28"/>
      <c r="U19" s="28"/>
      <c r="V19" s="28"/>
      <c r="W19" s="28"/>
      <c r="X19" s="28"/>
      <c r="Y19" s="28"/>
      <c r="Z19" s="29"/>
      <c r="AA19" s="150"/>
      <c r="AB19" s="25"/>
      <c r="AC19" s="25"/>
      <c r="AD19" s="28"/>
      <c r="AE19" s="25"/>
      <c r="AF19" s="17"/>
      <c r="AG19" s="25"/>
      <c r="AH19" s="28"/>
      <c r="AI19" s="29"/>
    </row>
    <row r="20" spans="1:35">
      <c r="A20" s="61" t="s">
        <v>79</v>
      </c>
      <c r="B20" s="90">
        <f t="shared" si="7"/>
        <v>-119205.98724489645</v>
      </c>
      <c r="C20" s="26"/>
      <c r="D20" s="28"/>
      <c r="E20" s="67"/>
      <c r="F20" s="25"/>
      <c r="G20" s="29">
        <f>'[6]Lead Sheet'!$I$17</f>
        <v>-7394.9629479036066</v>
      </c>
      <c r="H20" s="26"/>
      <c r="I20" s="28">
        <f>SUM('[7]Lead Sheet 4.2'!$I$33:$I$40)</f>
        <v>1698.9163989500187</v>
      </c>
      <c r="J20" s="28"/>
      <c r="K20" s="28"/>
      <c r="L20" s="30">
        <f>'[8]Lead Sheet'!$I$10</f>
        <v>-113509.94069594286</v>
      </c>
      <c r="M20" s="26">
        <f>'[4]Lead Sheet - 5.1'!$I$27</f>
        <v>0</v>
      </c>
      <c r="N20" s="28"/>
      <c r="O20" s="28"/>
      <c r="P20" s="29"/>
      <c r="Q20" s="87"/>
      <c r="R20" s="150"/>
      <c r="S20" s="28"/>
      <c r="T20" s="28"/>
      <c r="U20" s="28"/>
      <c r="V20" s="28"/>
      <c r="W20" s="28"/>
      <c r="X20" s="28"/>
      <c r="Y20" s="28"/>
      <c r="Z20" s="29"/>
      <c r="AA20" s="150"/>
      <c r="AB20" s="25"/>
      <c r="AC20" s="25"/>
      <c r="AD20" s="28"/>
      <c r="AE20" s="25"/>
      <c r="AF20" s="17"/>
      <c r="AG20" s="25"/>
      <c r="AH20" s="28"/>
      <c r="AI20" s="29"/>
    </row>
    <row r="21" spans="1:35">
      <c r="A21" s="61" t="s">
        <v>80</v>
      </c>
      <c r="B21" s="90">
        <f t="shared" si="7"/>
        <v>6969.4824389372116</v>
      </c>
      <c r="C21" s="26"/>
      <c r="D21" s="28"/>
      <c r="E21" s="67"/>
      <c r="F21" s="25"/>
      <c r="G21" s="29"/>
      <c r="H21" s="26"/>
      <c r="I21" s="28">
        <f>SUM('[7]Lead Sheet 4.2'!$I$41:$I$44)</f>
        <v>7078.6366564097307</v>
      </c>
      <c r="J21" s="28"/>
      <c r="K21" s="28"/>
      <c r="L21" s="30">
        <f>'[8]Lead Sheet'!$I$17+'[8]Lead Sheet'!$I$15</f>
        <v>-109.15421747251918</v>
      </c>
      <c r="M21" s="26"/>
      <c r="N21" s="28"/>
      <c r="O21" s="28"/>
      <c r="P21" s="29"/>
      <c r="Q21" s="87"/>
      <c r="R21" s="150"/>
      <c r="S21" s="28"/>
      <c r="T21" s="28"/>
      <c r="U21" s="28"/>
      <c r="V21" s="28"/>
      <c r="W21" s="28"/>
      <c r="X21" s="28"/>
      <c r="Y21" s="28"/>
      <c r="Z21" s="29"/>
      <c r="AA21" s="150"/>
      <c r="AB21" s="25"/>
      <c r="AC21" s="25"/>
      <c r="AD21" s="28"/>
      <c r="AE21" s="25"/>
      <c r="AF21" s="17"/>
      <c r="AG21" s="25"/>
      <c r="AH21" s="28"/>
      <c r="AI21" s="29"/>
    </row>
    <row r="22" spans="1:35">
      <c r="A22" s="61" t="s">
        <v>81</v>
      </c>
      <c r="B22" s="90">
        <f t="shared" si="7"/>
        <v>4466.1128616715359</v>
      </c>
      <c r="C22" s="26"/>
      <c r="D22" s="28"/>
      <c r="E22" s="67"/>
      <c r="F22" s="25"/>
      <c r="G22" s="29"/>
      <c r="H22" s="26"/>
      <c r="I22" s="28">
        <f>SUM('[7]Lead Sheet 4.2'!$I$45:$I$46)</f>
        <v>4466.1128616715359</v>
      </c>
      <c r="J22" s="28"/>
      <c r="K22" s="28"/>
      <c r="L22" s="30"/>
      <c r="M22" s="26"/>
      <c r="N22" s="28"/>
      <c r="O22" s="28"/>
      <c r="P22" s="29"/>
      <c r="Q22" s="87"/>
      <c r="R22" s="150"/>
      <c r="S22" s="28"/>
      <c r="T22" s="28"/>
      <c r="U22" s="28"/>
      <c r="V22" s="28"/>
      <c r="W22" s="28"/>
      <c r="X22" s="28"/>
      <c r="Y22" s="28"/>
      <c r="Z22" s="29"/>
      <c r="AA22" s="150"/>
      <c r="AB22" s="25"/>
      <c r="AC22" s="25"/>
      <c r="AD22" s="28"/>
      <c r="AE22" s="25"/>
      <c r="AF22" s="17"/>
      <c r="AG22" s="25"/>
      <c r="AH22" s="28"/>
      <c r="AI22" s="29"/>
    </row>
    <row r="23" spans="1:35">
      <c r="A23" s="61" t="s">
        <v>82</v>
      </c>
      <c r="B23" s="90">
        <f t="shared" si="7"/>
        <v>-4858857.1696259631</v>
      </c>
      <c r="C23" s="26"/>
      <c r="D23" s="28"/>
      <c r="E23" s="67"/>
      <c r="F23" s="25"/>
      <c r="G23" s="29"/>
      <c r="H23" s="26">
        <f>'[9]Lead Sheet'!$I$11</f>
        <v>-605.43309650578158</v>
      </c>
      <c r="I23" s="28">
        <f>SUM('[7]Lead Sheet 4.2'!$I$47:$I$49)</f>
        <v>207.26347054315181</v>
      </c>
      <c r="J23" s="28"/>
      <c r="K23" s="28">
        <f>'[12]Lead Sheet '!$I$16</f>
        <v>-4858459</v>
      </c>
      <c r="L23" s="30"/>
      <c r="M23" s="26"/>
      <c r="N23" s="28"/>
      <c r="O23" s="28"/>
      <c r="P23" s="29"/>
      <c r="Q23" s="87"/>
      <c r="R23" s="150"/>
      <c r="S23" s="28"/>
      <c r="T23" s="28"/>
      <c r="U23" s="28"/>
      <c r="V23" s="28"/>
      <c r="W23" s="28"/>
      <c r="X23" s="28"/>
      <c r="Y23" s="28"/>
      <c r="Z23" s="29"/>
      <c r="AA23" s="150"/>
      <c r="AB23" s="25"/>
      <c r="AC23" s="25"/>
      <c r="AD23" s="28"/>
      <c r="AE23" s="25"/>
      <c r="AF23" s="17"/>
      <c r="AG23" s="25"/>
      <c r="AH23" s="28"/>
      <c r="AI23" s="29"/>
    </row>
    <row r="24" spans="1:35">
      <c r="A24" s="61" t="s">
        <v>83</v>
      </c>
      <c r="B24" s="90">
        <f t="shared" si="7"/>
        <v>0</v>
      </c>
      <c r="C24" s="26"/>
      <c r="D24" s="28"/>
      <c r="E24" s="67"/>
      <c r="F24" s="25"/>
      <c r="G24" s="29"/>
      <c r="H24" s="26"/>
      <c r="I24" s="28"/>
      <c r="J24" s="28"/>
      <c r="K24" s="28"/>
      <c r="L24" s="30"/>
      <c r="M24" s="26"/>
      <c r="N24" s="28"/>
      <c r="O24" s="28"/>
      <c r="P24" s="29"/>
      <c r="Q24" s="87"/>
      <c r="R24" s="150"/>
      <c r="S24" s="28"/>
      <c r="T24" s="28"/>
      <c r="U24" s="28"/>
      <c r="V24" s="28"/>
      <c r="W24" s="28"/>
      <c r="X24" s="28"/>
      <c r="Y24" s="28"/>
      <c r="Z24" s="29"/>
      <c r="AA24" s="150"/>
      <c r="AB24" s="25"/>
      <c r="AC24" s="25"/>
      <c r="AD24" s="28"/>
      <c r="AE24" s="25"/>
      <c r="AF24" s="17"/>
      <c r="AG24" s="25"/>
      <c r="AH24" s="28"/>
      <c r="AI24" s="29"/>
    </row>
    <row r="25" spans="1:35">
      <c r="A25" s="61" t="s">
        <v>84</v>
      </c>
      <c r="B25" s="165">
        <f t="shared" si="7"/>
        <v>-60435.408628654244</v>
      </c>
      <c r="C25" s="37"/>
      <c r="D25" s="35"/>
      <c r="E25" s="69"/>
      <c r="F25" s="38"/>
      <c r="G25" s="39"/>
      <c r="H25" s="37">
        <f>'[9]Lead Sheet'!$I$12+'[9]Lead Sheet'!$I$10+'[9]Lead Sheet'!$I$17</f>
        <v>-43271.966433968082</v>
      </c>
      <c r="I25" s="35">
        <f>SUM('[7]Lead Sheet 4.2'!$I$50:$I$51)</f>
        <v>6545.3271131295669</v>
      </c>
      <c r="J25" s="35">
        <f>'[13]Lead Sheet'!$I$9</f>
        <v>-78012.306832735296</v>
      </c>
      <c r="K25" s="35"/>
      <c r="L25" s="39"/>
      <c r="M25" s="37"/>
      <c r="N25" s="35"/>
      <c r="O25" s="35"/>
      <c r="P25" s="39"/>
      <c r="Q25" s="89"/>
      <c r="R25" s="152"/>
      <c r="S25" s="35"/>
      <c r="T25" s="35"/>
      <c r="U25" s="35"/>
      <c r="V25" s="35"/>
      <c r="W25" s="35"/>
      <c r="X25" s="35"/>
      <c r="Y25" s="35"/>
      <c r="Z25" s="39"/>
      <c r="AA25" s="152"/>
      <c r="AB25" s="38"/>
      <c r="AC25" s="38">
        <f>'[14]Lead Sheet'!$I$13</f>
        <v>54303.537524919564</v>
      </c>
      <c r="AD25" s="35"/>
      <c r="AE25" s="35"/>
      <c r="AF25" s="40"/>
      <c r="AG25" s="38"/>
      <c r="AH25" s="35"/>
      <c r="AI25" s="39"/>
    </row>
    <row r="26" spans="1:35">
      <c r="A26" s="61" t="s">
        <v>85</v>
      </c>
      <c r="B26" s="86">
        <f t="shared" si="7"/>
        <v>-4120575.7920196732</v>
      </c>
      <c r="C26" s="20">
        <f>SUM(C16:C25)</f>
        <v>0</v>
      </c>
      <c r="D26" s="17">
        <f t="shared" ref="D26:AI26" si="8">SUM(D16:D25)</f>
        <v>0</v>
      </c>
      <c r="E26" s="65">
        <f t="shared" si="8"/>
        <v>0</v>
      </c>
      <c r="F26" s="17">
        <f t="shared" si="8"/>
        <v>0</v>
      </c>
      <c r="G26" s="22">
        <f t="shared" si="8"/>
        <v>-7394.9629479036066</v>
      </c>
      <c r="H26" s="20">
        <f>SUM(H16:H25)</f>
        <v>-44276.189880881328</v>
      </c>
      <c r="I26" s="17">
        <f t="shared" si="8"/>
        <v>28923.57647283293</v>
      </c>
      <c r="J26" s="17">
        <f t="shared" si="8"/>
        <v>-78012.306832735296</v>
      </c>
      <c r="K26" s="17">
        <f t="shared" si="8"/>
        <v>-4858459</v>
      </c>
      <c r="L26" s="22">
        <f t="shared" ref="L26" si="9">SUM(L16:L25)</f>
        <v>-196627.0472892508</v>
      </c>
      <c r="M26" s="20">
        <v>-7196436.6180504756</v>
      </c>
      <c r="N26" s="17">
        <f t="shared" ref="N26:O26" si="10">SUM(N16:N25)</f>
        <v>152282.21898382137</v>
      </c>
      <c r="O26" s="17">
        <f t="shared" si="10"/>
        <v>8025121</v>
      </c>
      <c r="P26" s="22">
        <f t="shared" si="8"/>
        <v>0</v>
      </c>
      <c r="Q26" s="86">
        <f t="shared" si="8"/>
        <v>0</v>
      </c>
      <c r="R26" s="148">
        <f t="shared" si="8"/>
        <v>0</v>
      </c>
      <c r="S26" s="17">
        <f t="shared" ref="S26" si="11">SUM(S16:S25)</f>
        <v>0</v>
      </c>
      <c r="T26" s="17">
        <f t="shared" si="8"/>
        <v>0</v>
      </c>
      <c r="U26" s="17">
        <f t="shared" si="8"/>
        <v>0</v>
      </c>
      <c r="V26" s="17">
        <f t="shared" si="8"/>
        <v>0</v>
      </c>
      <c r="W26" s="17">
        <f t="shared" si="8"/>
        <v>0</v>
      </c>
      <c r="X26" s="17">
        <f t="shared" ref="X26:Y26" si="12">SUM(X16:X25)</f>
        <v>0</v>
      </c>
      <c r="Y26" s="17">
        <f t="shared" si="12"/>
        <v>0</v>
      </c>
      <c r="Z26" s="22">
        <f t="shared" si="8"/>
        <v>0</v>
      </c>
      <c r="AA26" s="148">
        <f t="shared" si="8"/>
        <v>0</v>
      </c>
      <c r="AB26" s="17">
        <f t="shared" si="8"/>
        <v>0</v>
      </c>
      <c r="AC26" s="17">
        <f t="shared" si="8"/>
        <v>54303.537524919564</v>
      </c>
      <c r="AD26" s="17">
        <f t="shared" si="8"/>
        <v>0</v>
      </c>
      <c r="AE26" s="17">
        <f t="shared" ref="AE26" si="13">SUM(AE16:AE25)</f>
        <v>0</v>
      </c>
      <c r="AF26" s="17">
        <f t="shared" si="8"/>
        <v>0</v>
      </c>
      <c r="AG26" s="17">
        <f t="shared" si="8"/>
        <v>0</v>
      </c>
      <c r="AH26" s="17">
        <f t="shared" si="8"/>
        <v>0</v>
      </c>
      <c r="AI26" s="22">
        <f t="shared" si="8"/>
        <v>0</v>
      </c>
    </row>
    <row r="27" spans="1:35">
      <c r="A27" s="61" t="s">
        <v>86</v>
      </c>
      <c r="B27" s="90">
        <f t="shared" si="7"/>
        <v>-415222.55433080252</v>
      </c>
      <c r="C27" s="26"/>
      <c r="D27" s="28"/>
      <c r="E27" s="67"/>
      <c r="F27" s="25"/>
      <c r="G27" s="29"/>
      <c r="H27" s="26"/>
      <c r="I27" s="28"/>
      <c r="J27" s="28"/>
      <c r="K27" s="28"/>
      <c r="L27" s="30"/>
      <c r="M27" s="26"/>
      <c r="N27" s="28"/>
      <c r="O27" s="28"/>
      <c r="P27" s="30">
        <f>SUM('[15]Lead Sheet'!$I$9:$I$10)</f>
        <v>-397232.00153080252</v>
      </c>
      <c r="Q27" s="86"/>
      <c r="R27" s="150"/>
      <c r="S27" s="28"/>
      <c r="T27" s="28"/>
      <c r="U27" s="28"/>
      <c r="V27" s="28"/>
      <c r="W27" s="28"/>
      <c r="X27" s="28"/>
      <c r="Y27" s="28"/>
      <c r="Z27" s="29"/>
      <c r="AA27" s="150"/>
      <c r="AB27" s="25"/>
      <c r="AC27" s="25"/>
      <c r="AD27" s="28"/>
      <c r="AE27" s="25"/>
      <c r="AF27" s="17"/>
      <c r="AG27" s="25">
        <f>'[16]Lead Sheet'!$I$9</f>
        <v>-17990.552800000001</v>
      </c>
      <c r="AH27" s="28"/>
      <c r="AI27" s="29"/>
    </row>
    <row r="28" spans="1:35">
      <c r="A28" s="61" t="s">
        <v>87</v>
      </c>
      <c r="B28" s="90">
        <f t="shared" si="7"/>
        <v>-169568.97296169098</v>
      </c>
      <c r="C28" s="26"/>
      <c r="D28" s="28"/>
      <c r="E28" s="67"/>
      <c r="F28" s="25"/>
      <c r="G28" s="29"/>
      <c r="H28" s="26"/>
      <c r="I28" s="28"/>
      <c r="J28" s="28"/>
      <c r="K28" s="28"/>
      <c r="L28" s="30"/>
      <c r="M28" s="26"/>
      <c r="N28" s="28"/>
      <c r="O28" s="28"/>
      <c r="P28" s="30"/>
      <c r="Q28" s="86"/>
      <c r="R28" s="150"/>
      <c r="S28" s="28"/>
      <c r="T28" s="28"/>
      <c r="U28" s="28"/>
      <c r="V28" s="28"/>
      <c r="W28" s="28"/>
      <c r="X28" s="28"/>
      <c r="Y28" s="28"/>
      <c r="Z28" s="29"/>
      <c r="AA28" s="150"/>
      <c r="AB28" s="25"/>
      <c r="AC28" s="25"/>
      <c r="AD28" s="28"/>
      <c r="AE28" s="25"/>
      <c r="AF28" s="17"/>
      <c r="AG28" s="25"/>
      <c r="AH28" s="28">
        <f>SUM('[17]Lead Sheet'!$I$11)</f>
        <v>-169568.97296169098</v>
      </c>
      <c r="AI28" s="29"/>
    </row>
    <row r="29" spans="1:35">
      <c r="A29" s="61" t="s">
        <v>88</v>
      </c>
      <c r="B29" s="90">
        <f t="shared" si="7"/>
        <v>-42124.459304340671</v>
      </c>
      <c r="C29" s="26"/>
      <c r="D29" s="28"/>
      <c r="E29" s="67"/>
      <c r="F29" s="25"/>
      <c r="G29" s="29"/>
      <c r="H29" s="26"/>
      <c r="I29" s="28"/>
      <c r="J29" s="28"/>
      <c r="K29" s="28"/>
      <c r="L29" s="30"/>
      <c r="M29" s="26"/>
      <c r="N29" s="28"/>
      <c r="O29" s="28"/>
      <c r="P29" s="30">
        <f>'[15]Lead Sheet'!$I$11</f>
        <v>-42124.459304340671</v>
      </c>
      <c r="Q29" s="86"/>
      <c r="R29" s="150"/>
      <c r="S29" s="28"/>
      <c r="T29" s="28"/>
      <c r="U29" s="28"/>
      <c r="V29" s="28"/>
      <c r="W29" s="28"/>
      <c r="X29" s="28"/>
      <c r="Y29" s="28"/>
      <c r="Z29" s="29"/>
      <c r="AA29" s="150"/>
      <c r="AB29" s="25"/>
      <c r="AC29" s="25"/>
      <c r="AD29" s="28"/>
      <c r="AE29" s="25"/>
      <c r="AF29" s="17"/>
      <c r="AG29" s="25"/>
      <c r="AH29" s="28"/>
      <c r="AI29" s="29"/>
    </row>
    <row r="30" spans="1:35">
      <c r="A30" s="61" t="s">
        <v>89</v>
      </c>
      <c r="B30" s="90">
        <f t="shared" si="7"/>
        <v>131482.40658840319</v>
      </c>
      <c r="C30" s="26">
        <f>C84</f>
        <v>-2346555.6309999991</v>
      </c>
      <c r="D30" s="28">
        <f t="shared" ref="D30:AI30" si="14">D84</f>
        <v>-586443.1754999964</v>
      </c>
      <c r="E30" s="67">
        <f t="shared" si="14"/>
        <v>-94609.872786075939</v>
      </c>
      <c r="F30" s="25">
        <f t="shared" si="14"/>
        <v>-1474073.4753139254</v>
      </c>
      <c r="G30" s="29">
        <f t="shared" si="14"/>
        <v>38515.552018087728</v>
      </c>
      <c r="H30" s="26">
        <f t="shared" si="14"/>
        <v>15496.666458308464</v>
      </c>
      <c r="I30" s="28">
        <f t="shared" si="14"/>
        <v>-10123.251765491525</v>
      </c>
      <c r="J30" s="28">
        <f t="shared" si="14"/>
        <v>27304.307391457351</v>
      </c>
      <c r="K30" s="28">
        <f t="shared" si="14"/>
        <v>2185508.9596184753</v>
      </c>
      <c r="L30" s="30">
        <f t="shared" si="14"/>
        <v>68819.466551237769</v>
      </c>
      <c r="M30" s="26">
        <f t="shared" si="14"/>
        <v>3850028.2874722714</v>
      </c>
      <c r="N30" s="28">
        <f t="shared" si="14"/>
        <v>-53298.776644337479</v>
      </c>
      <c r="O30" s="28">
        <f t="shared" si="14"/>
        <v>-2808792.3499999996</v>
      </c>
      <c r="P30" s="30">
        <f t="shared" si="14"/>
        <v>28116.38384746986</v>
      </c>
      <c r="Q30" s="86">
        <f t="shared" si="14"/>
        <v>0</v>
      </c>
      <c r="R30" s="150">
        <f t="shared" si="14"/>
        <v>1317361.1546410036</v>
      </c>
      <c r="S30" s="28">
        <f t="shared" si="14"/>
        <v>0</v>
      </c>
      <c r="T30" s="28">
        <f t="shared" si="14"/>
        <v>0</v>
      </c>
      <c r="U30" s="28">
        <f t="shared" si="14"/>
        <v>0</v>
      </c>
      <c r="V30" s="28">
        <f t="shared" si="14"/>
        <v>-75954.622194136726</v>
      </c>
      <c r="W30" s="28">
        <f t="shared" si="14"/>
        <v>0</v>
      </c>
      <c r="X30" s="28">
        <f t="shared" si="14"/>
        <v>0</v>
      </c>
      <c r="Y30" s="28">
        <f t="shared" si="14"/>
        <v>0</v>
      </c>
      <c r="Z30" s="29">
        <f t="shared" si="14"/>
        <v>0</v>
      </c>
      <c r="AA30" s="150">
        <f t="shared" si="14"/>
        <v>0</v>
      </c>
      <c r="AB30" s="25">
        <f t="shared" si="14"/>
        <v>0</v>
      </c>
      <c r="AC30" s="25">
        <f t="shared" si="14"/>
        <v>-39787.569869268467</v>
      </c>
      <c r="AD30" s="28">
        <f t="shared" si="14"/>
        <v>0</v>
      </c>
      <c r="AE30" s="25"/>
      <c r="AF30" s="17">
        <f t="shared" si="14"/>
        <v>164228.64557247536</v>
      </c>
      <c r="AG30" s="25"/>
      <c r="AH30" s="28">
        <f t="shared" si="14"/>
        <v>-62356.574575820028</v>
      </c>
      <c r="AI30" s="29">
        <f t="shared" si="14"/>
        <v>-11901.71733333333</v>
      </c>
    </row>
    <row r="31" spans="1:35">
      <c r="A31" s="61" t="s">
        <v>90</v>
      </c>
      <c r="B31" s="90">
        <f t="shared" si="7"/>
        <v>0</v>
      </c>
      <c r="C31" s="27">
        <v>0</v>
      </c>
      <c r="D31" s="25">
        <v>0</v>
      </c>
      <c r="E31" s="66">
        <v>0</v>
      </c>
      <c r="F31" s="25">
        <v>0</v>
      </c>
      <c r="G31" s="30">
        <v>0</v>
      </c>
      <c r="H31" s="27">
        <v>0</v>
      </c>
      <c r="I31" s="25">
        <v>0</v>
      </c>
      <c r="J31" s="25">
        <v>0</v>
      </c>
      <c r="K31" s="25">
        <v>0</v>
      </c>
      <c r="L31" s="30">
        <v>0</v>
      </c>
      <c r="M31" s="27">
        <v>0</v>
      </c>
      <c r="N31" s="25">
        <v>0</v>
      </c>
      <c r="O31" s="25">
        <v>0</v>
      </c>
      <c r="P31" s="30">
        <v>0</v>
      </c>
      <c r="Q31" s="90">
        <v>0</v>
      </c>
      <c r="R31" s="149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30">
        <v>0</v>
      </c>
      <c r="AA31" s="149">
        <v>0</v>
      </c>
      <c r="AB31" s="25">
        <v>0</v>
      </c>
      <c r="AC31" s="25">
        <v>0</v>
      </c>
      <c r="AD31" s="25">
        <v>0</v>
      </c>
      <c r="AE31" s="25"/>
      <c r="AF31" s="17"/>
      <c r="AG31" s="25"/>
      <c r="AH31" s="25"/>
      <c r="AI31" s="30"/>
    </row>
    <row r="32" spans="1:35">
      <c r="A32" s="61" t="s">
        <v>91</v>
      </c>
      <c r="B32" s="90">
        <f>SUM(C32:AI32)</f>
        <v>4140911.3285285961</v>
      </c>
      <c r="C32" s="26"/>
      <c r="D32" s="28">
        <f>'[3]Lead Sheet 3.2'!$I$20+'[3]Lead Sheet 3.2'!$I$26+'[3]Lead Sheet 3.2'!$I$27</f>
        <v>623320</v>
      </c>
      <c r="E32" s="67">
        <f>'[18]Lead Sheet'!$I$23+'[18]Lead Sheet'!$I$24</f>
        <v>192891.5838566224</v>
      </c>
      <c r="F32" s="25"/>
      <c r="G32" s="29"/>
      <c r="H32" s="26"/>
      <c r="I32" s="28"/>
      <c r="J32" s="28"/>
      <c r="K32" s="28">
        <f>'[12]Lead Sheet '!$I$21</f>
        <v>-525944.76265158609</v>
      </c>
      <c r="L32" s="30"/>
      <c r="M32" s="26"/>
      <c r="N32" s="28"/>
      <c r="O32" s="28"/>
      <c r="P32" s="30">
        <f>SUM('[15]Lead Sheet'!$I$15,'[15]Lead Sheet'!$I$27)</f>
        <v>136253.30590310734</v>
      </c>
      <c r="Q32" s="87"/>
      <c r="R32" s="150"/>
      <c r="S32" s="28"/>
      <c r="T32" s="28">
        <f>'[19]Lead Sheet'!$I$9</f>
        <v>-291666.75803272682</v>
      </c>
      <c r="U32" s="28">
        <f>'[20]Lead Sheet'!$I$11</f>
        <v>5532834</v>
      </c>
      <c r="V32" s="28"/>
      <c r="W32" s="28">
        <f>'[21]Lead Sheet'!$I$10</f>
        <v>-2199228</v>
      </c>
      <c r="X32" s="28">
        <f>'[22]Lead Sheet'!$I$10</f>
        <v>525562</v>
      </c>
      <c r="Y32" s="28">
        <f>'[23]Lead Sheet'!$I$10</f>
        <v>170464.29080562192</v>
      </c>
      <c r="Z32" s="29"/>
      <c r="AA32" s="150"/>
      <c r="AB32" s="25"/>
      <c r="AC32" s="25">
        <f>SUM('[14]Lead Sheet'!$I$22,'[14]Lead Sheet'!$I$26:$I$27,'[14]Lead Sheet'!$I$32)</f>
        <v>22533.992895240313</v>
      </c>
      <c r="AD32" s="28"/>
      <c r="AE32" s="25"/>
      <c r="AF32" s="17">
        <f>SUM('[24]Lead Sheet '!$I$68,'[24]Lead Sheet '!$I$72,'[24]Lead Sheet '!$I$76,'[24]Lead Sheet '!$I$80,'[24]Lead Sheet '!$I$84,'[24]Lead Sheet '!$I$88)</f>
        <v>-178075.49320044401</v>
      </c>
      <c r="AG32" s="25"/>
      <c r="AH32" s="28">
        <f>SUM('[17]Lead Sheet'!$I$32:$I$33)</f>
        <v>131967.16895276116</v>
      </c>
      <c r="AI32" s="29"/>
    </row>
    <row r="33" spans="1:35">
      <c r="A33" s="61" t="s">
        <v>92</v>
      </c>
      <c r="B33" s="90">
        <f t="shared" si="7"/>
        <v>0</v>
      </c>
      <c r="C33" s="26"/>
      <c r="D33" s="28"/>
      <c r="E33" s="67"/>
      <c r="F33" s="25"/>
      <c r="G33" s="29"/>
      <c r="H33" s="26"/>
      <c r="I33" s="28"/>
      <c r="J33" s="28"/>
      <c r="K33" s="28"/>
      <c r="L33" s="30"/>
      <c r="M33" s="26"/>
      <c r="N33" s="28"/>
      <c r="O33" s="28"/>
      <c r="P33" s="30"/>
      <c r="Q33" s="87"/>
      <c r="R33" s="150"/>
      <c r="S33" s="28"/>
      <c r="T33" s="28"/>
      <c r="U33" s="28"/>
      <c r="V33" s="28"/>
      <c r="W33" s="28"/>
      <c r="X33" s="28"/>
      <c r="Y33" s="28"/>
      <c r="Z33" s="29"/>
      <c r="AA33" s="150"/>
      <c r="AB33" s="25"/>
      <c r="AC33" s="25"/>
      <c r="AD33" s="28"/>
      <c r="AE33" s="25"/>
      <c r="AF33" s="17"/>
      <c r="AG33" s="25"/>
      <c r="AH33" s="28"/>
      <c r="AI33" s="29"/>
    </row>
    <row r="34" spans="1:35">
      <c r="A34" s="61" t="s">
        <v>93</v>
      </c>
      <c r="B34" s="90">
        <f t="shared" si="7"/>
        <v>-203945.96607426828</v>
      </c>
      <c r="C34" s="26"/>
      <c r="D34" s="28"/>
      <c r="E34" s="67">
        <f>'[18]Lead Sheet'!$I$12</f>
        <v>-237950.87274093495</v>
      </c>
      <c r="F34" s="25"/>
      <c r="G34" s="29"/>
      <c r="H34" s="26"/>
      <c r="I34" s="28"/>
      <c r="J34" s="28"/>
      <c r="K34" s="28"/>
      <c r="L34" s="29"/>
      <c r="M34" s="26"/>
      <c r="N34" s="28"/>
      <c r="O34" s="28"/>
      <c r="P34" s="29"/>
      <c r="Q34" s="87"/>
      <c r="R34" s="150"/>
      <c r="S34" s="28"/>
      <c r="T34" s="28"/>
      <c r="U34" s="28"/>
      <c r="V34" s="28"/>
      <c r="W34" s="28"/>
      <c r="X34" s="28"/>
      <c r="Y34" s="28"/>
      <c r="Z34" s="29"/>
      <c r="AA34" s="150"/>
      <c r="AB34" s="25"/>
      <c r="AC34" s="25"/>
      <c r="AD34" s="28"/>
      <c r="AE34" s="25"/>
      <c r="AF34" s="17"/>
      <c r="AG34" s="25"/>
      <c r="AH34" s="28"/>
      <c r="AI34" s="29">
        <f>'[25]Lead Sheet'!$I$10</f>
        <v>34004.906666666662</v>
      </c>
    </row>
    <row r="35" spans="1:35">
      <c r="A35" s="61" t="s">
        <v>94</v>
      </c>
      <c r="B35" s="88">
        <f t="shared" si="7"/>
        <v>-679044.00957377709</v>
      </c>
      <c r="C35" s="33">
        <f>SUM(C26:C34)</f>
        <v>-2346555.6309999991</v>
      </c>
      <c r="D35" s="31">
        <f t="shared" ref="D35:AI35" si="15">SUM(D26:D34)</f>
        <v>36876.824500003597</v>
      </c>
      <c r="E35" s="68">
        <f t="shared" si="15"/>
        <v>-139669.16167038848</v>
      </c>
      <c r="F35" s="31">
        <f t="shared" si="15"/>
        <v>-1474073.4753139254</v>
      </c>
      <c r="G35" s="34">
        <f t="shared" si="15"/>
        <v>31120.58907018412</v>
      </c>
      <c r="H35" s="33">
        <f t="shared" si="15"/>
        <v>-28779.523422572864</v>
      </c>
      <c r="I35" s="31">
        <f t="shared" si="15"/>
        <v>18800.324707341406</v>
      </c>
      <c r="J35" s="31">
        <f t="shared" si="15"/>
        <v>-50707.999441277949</v>
      </c>
      <c r="K35" s="31">
        <f t="shared" si="15"/>
        <v>-3198894.8030331107</v>
      </c>
      <c r="L35" s="34">
        <f t="shared" ref="L35" si="16">SUM(L26:L34)</f>
        <v>-127807.58073801303</v>
      </c>
      <c r="M35" s="33">
        <f t="shared" ref="M35" si="17">SUM(M26:M34)</f>
        <v>-3346408.3305782042</v>
      </c>
      <c r="N35" s="31">
        <f t="shared" ref="N35:O35" si="18">SUM(N26:N34)</f>
        <v>98983.442339483881</v>
      </c>
      <c r="O35" s="31">
        <f t="shared" si="18"/>
        <v>5216328.6500000004</v>
      </c>
      <c r="P35" s="34">
        <f t="shared" si="15"/>
        <v>-274986.77108456596</v>
      </c>
      <c r="Q35" s="88">
        <f t="shared" si="15"/>
        <v>0</v>
      </c>
      <c r="R35" s="151">
        <f t="shared" si="15"/>
        <v>1317361.1546410036</v>
      </c>
      <c r="S35" s="31">
        <f t="shared" ref="S35" si="19">SUM(S26:S34)</f>
        <v>0</v>
      </c>
      <c r="T35" s="31">
        <f t="shared" si="15"/>
        <v>-291666.75803272682</v>
      </c>
      <c r="U35" s="31">
        <f t="shared" si="15"/>
        <v>5532834</v>
      </c>
      <c r="V35" s="31">
        <f t="shared" si="15"/>
        <v>-75954.622194136726</v>
      </c>
      <c r="W35" s="31">
        <f t="shared" si="15"/>
        <v>-2199228</v>
      </c>
      <c r="X35" s="31">
        <f t="shared" ref="X35:Y35" si="20">SUM(X26:X34)</f>
        <v>525562</v>
      </c>
      <c r="Y35" s="31">
        <f t="shared" si="20"/>
        <v>170464.29080562192</v>
      </c>
      <c r="Z35" s="34">
        <f t="shared" si="15"/>
        <v>0</v>
      </c>
      <c r="AA35" s="151">
        <f t="shared" si="15"/>
        <v>0</v>
      </c>
      <c r="AB35" s="31">
        <f t="shared" si="15"/>
        <v>0</v>
      </c>
      <c r="AC35" s="31">
        <f t="shared" si="15"/>
        <v>37049.96055089141</v>
      </c>
      <c r="AD35" s="31">
        <f t="shared" si="15"/>
        <v>0</v>
      </c>
      <c r="AE35" s="31">
        <f t="shared" ref="AE35" si="21">SUM(AE26:AE34)</f>
        <v>0</v>
      </c>
      <c r="AF35" s="31">
        <f t="shared" si="15"/>
        <v>-13846.847627968644</v>
      </c>
      <c r="AG35" s="31">
        <f t="shared" si="15"/>
        <v>-17990.552800000001</v>
      </c>
      <c r="AH35" s="31">
        <f t="shared" si="15"/>
        <v>-99958.378584749851</v>
      </c>
      <c r="AI35" s="34">
        <f t="shared" si="15"/>
        <v>22103.189333333332</v>
      </c>
    </row>
    <row r="36" spans="1:35">
      <c r="A36" s="61"/>
      <c r="B36" s="86">
        <f t="shared" si="7"/>
        <v>0</v>
      </c>
      <c r="C36" s="20"/>
      <c r="D36" s="17"/>
      <c r="E36" s="65"/>
      <c r="F36" s="17"/>
      <c r="G36" s="22"/>
      <c r="H36" s="20"/>
      <c r="I36" s="17"/>
      <c r="J36" s="17"/>
      <c r="K36" s="17"/>
      <c r="L36" s="22"/>
      <c r="M36" s="20"/>
      <c r="N36" s="17"/>
      <c r="O36" s="17"/>
      <c r="P36" s="22"/>
      <c r="Q36" s="86"/>
      <c r="R36" s="148"/>
      <c r="S36" s="17"/>
      <c r="T36" s="17"/>
      <c r="U36" s="17"/>
      <c r="V36" s="17"/>
      <c r="W36" s="17"/>
      <c r="X36" s="17"/>
      <c r="Y36" s="17"/>
      <c r="Z36" s="22"/>
      <c r="AA36" s="148"/>
      <c r="AB36" s="17"/>
      <c r="AC36" s="17"/>
      <c r="AD36" s="17"/>
      <c r="AE36" s="17"/>
      <c r="AF36" s="17"/>
      <c r="AG36" s="17"/>
      <c r="AH36" s="17"/>
      <c r="AI36" s="22"/>
    </row>
    <row r="37" spans="1:35" ht="13.5" thickBot="1">
      <c r="A37" s="61" t="s">
        <v>95</v>
      </c>
      <c r="B37" s="91">
        <f t="shared" si="7"/>
        <v>-6363866.4066347815</v>
      </c>
      <c r="C37" s="43">
        <f t="shared" ref="C37:AI37" si="22">C13-C35</f>
        <v>-4357889.0289999992</v>
      </c>
      <c r="D37" s="42">
        <f t="shared" si="22"/>
        <v>-69997.754499993578</v>
      </c>
      <c r="E37" s="70">
        <f t="shared" si="22"/>
        <v>139669.16167038848</v>
      </c>
      <c r="F37" s="42">
        <f t="shared" si="22"/>
        <v>-2737565.0255830046</v>
      </c>
      <c r="G37" s="44">
        <f t="shared" si="22"/>
        <v>71528.882319305791</v>
      </c>
      <c r="H37" s="43">
        <f t="shared" si="22"/>
        <v>28779.523422572864</v>
      </c>
      <c r="I37" s="42">
        <f t="shared" si="22"/>
        <v>-18800.324707341406</v>
      </c>
      <c r="J37" s="42">
        <f t="shared" si="22"/>
        <v>50707.999441277949</v>
      </c>
      <c r="K37" s="42">
        <f t="shared" si="22"/>
        <v>3198894.8030331107</v>
      </c>
      <c r="L37" s="44">
        <f t="shared" ref="L37" si="23">L13-L35</f>
        <v>127807.58073801303</v>
      </c>
      <c r="M37" s="43">
        <f t="shared" si="22"/>
        <v>7150052.5338770747</v>
      </c>
      <c r="N37" s="42">
        <f t="shared" ref="N37:O37" si="24">N13-N35</f>
        <v>-98983.442339483881</v>
      </c>
      <c r="O37" s="42">
        <f t="shared" si="24"/>
        <v>-5216328.6500000004</v>
      </c>
      <c r="P37" s="44">
        <f t="shared" si="22"/>
        <v>274986.77108456596</v>
      </c>
      <c r="Q37" s="91">
        <f t="shared" si="22"/>
        <v>0</v>
      </c>
      <c r="R37" s="153">
        <f t="shared" si="22"/>
        <v>-1317361.1546410036</v>
      </c>
      <c r="S37" s="42">
        <f t="shared" ref="S37" si="25">S13-S35</f>
        <v>0</v>
      </c>
      <c r="T37" s="42">
        <f t="shared" si="22"/>
        <v>291666.75803272682</v>
      </c>
      <c r="U37" s="42">
        <f t="shared" si="22"/>
        <v>-5532834</v>
      </c>
      <c r="V37" s="42">
        <f t="shared" si="22"/>
        <v>75954.622194136726</v>
      </c>
      <c r="W37" s="42">
        <f t="shared" si="22"/>
        <v>2199228</v>
      </c>
      <c r="X37" s="42">
        <f t="shared" ref="X37:Y37" si="26">X13-X35</f>
        <v>-525562</v>
      </c>
      <c r="Y37" s="42">
        <f t="shared" si="26"/>
        <v>-170464.29080562192</v>
      </c>
      <c r="Z37" s="44">
        <f t="shared" si="22"/>
        <v>0</v>
      </c>
      <c r="AA37" s="153">
        <f t="shared" si="22"/>
        <v>0</v>
      </c>
      <c r="AB37" s="42">
        <f t="shared" si="22"/>
        <v>0</v>
      </c>
      <c r="AC37" s="42">
        <f t="shared" si="22"/>
        <v>-37049.96055089141</v>
      </c>
      <c r="AD37" s="42">
        <f t="shared" si="22"/>
        <v>0</v>
      </c>
      <c r="AE37" s="42">
        <f t="shared" ref="AE37" si="27">AE13-AE35</f>
        <v>0</v>
      </c>
      <c r="AF37" s="42">
        <f t="shared" si="22"/>
        <v>13846.847627968644</v>
      </c>
      <c r="AG37" s="42">
        <f t="shared" si="22"/>
        <v>17990.552800000001</v>
      </c>
      <c r="AH37" s="42">
        <f t="shared" si="22"/>
        <v>99958.378584749851</v>
      </c>
      <c r="AI37" s="44">
        <f t="shared" si="22"/>
        <v>-22103.189333333332</v>
      </c>
    </row>
    <row r="38" spans="1:35" ht="13.5" thickTop="1">
      <c r="A38" s="61"/>
      <c r="B38" s="86"/>
      <c r="C38" s="20"/>
      <c r="D38" s="17"/>
      <c r="E38" s="65"/>
      <c r="F38" s="17"/>
      <c r="G38" s="22"/>
      <c r="H38" s="20"/>
      <c r="I38" s="17"/>
      <c r="J38" s="17"/>
      <c r="K38" s="17"/>
      <c r="L38" s="22"/>
      <c r="M38" s="20"/>
      <c r="N38" s="17"/>
      <c r="O38" s="17"/>
      <c r="P38" s="22"/>
      <c r="Q38" s="86"/>
      <c r="R38" s="148"/>
      <c r="S38" s="17"/>
      <c r="T38" s="17"/>
      <c r="U38" s="17"/>
      <c r="V38" s="17"/>
      <c r="W38" s="17"/>
      <c r="X38" s="17"/>
      <c r="Y38" s="17"/>
      <c r="Z38" s="22"/>
      <c r="AA38" s="148"/>
      <c r="AB38" s="17"/>
      <c r="AC38" s="17"/>
      <c r="AD38" s="17"/>
      <c r="AE38" s="17"/>
      <c r="AF38" s="17"/>
      <c r="AG38" s="17"/>
      <c r="AH38" s="17"/>
      <c r="AI38" s="22"/>
    </row>
    <row r="39" spans="1:35">
      <c r="A39" s="61" t="s">
        <v>96</v>
      </c>
      <c r="B39" s="86"/>
      <c r="C39" s="20"/>
      <c r="D39" s="17"/>
      <c r="E39" s="65"/>
      <c r="F39" s="17"/>
      <c r="G39" s="22"/>
      <c r="H39" s="20"/>
      <c r="I39" s="17"/>
      <c r="J39" s="17"/>
      <c r="K39" s="17"/>
      <c r="L39" s="22"/>
      <c r="M39" s="20"/>
      <c r="N39" s="17"/>
      <c r="O39" s="17"/>
      <c r="P39" s="22"/>
      <c r="Q39" s="86"/>
      <c r="R39" s="148"/>
      <c r="S39" s="17"/>
      <c r="T39" s="17"/>
      <c r="U39" s="17"/>
      <c r="V39" s="17"/>
      <c r="W39" s="17"/>
      <c r="X39" s="17"/>
      <c r="Y39" s="17"/>
      <c r="Z39" s="22"/>
      <c r="AA39" s="148"/>
      <c r="AB39" s="17"/>
      <c r="AC39" s="17"/>
      <c r="AD39" s="17"/>
      <c r="AE39" s="17"/>
      <c r="AF39" s="17"/>
      <c r="AG39" s="17"/>
      <c r="AH39" s="17"/>
      <c r="AI39" s="22"/>
    </row>
    <row r="40" spans="1:35">
      <c r="A40" s="61" t="s">
        <v>97</v>
      </c>
      <c r="B40" s="90">
        <f t="shared" ref="B40:B51" si="28">SUM(C40:AI40)</f>
        <v>27046917.071776655</v>
      </c>
      <c r="C40" s="26"/>
      <c r="D40" s="28"/>
      <c r="E40" s="67"/>
      <c r="F40" s="25"/>
      <c r="G40" s="29"/>
      <c r="H40" s="26"/>
      <c r="I40" s="28"/>
      <c r="J40" s="28"/>
      <c r="K40" s="28"/>
      <c r="L40" s="30"/>
      <c r="M40" s="26"/>
      <c r="N40" s="28"/>
      <c r="O40" s="28"/>
      <c r="P40" s="30">
        <f>SUM('[15]Lead Sheet'!$I$18:$I$19)</f>
        <v>-26125927.969872698</v>
      </c>
      <c r="Q40" s="87"/>
      <c r="R40" s="150"/>
      <c r="S40" s="28"/>
      <c r="T40" s="28"/>
      <c r="U40" s="28"/>
      <c r="V40" s="28"/>
      <c r="W40" s="28"/>
      <c r="X40" s="28"/>
      <c r="Y40" s="28"/>
      <c r="Z40" s="29"/>
      <c r="AA40" s="150"/>
      <c r="AB40" s="25">
        <f>'[26]Lead Sheet'!$I$10</f>
        <v>53613851.168249354</v>
      </c>
      <c r="AC40" s="25"/>
      <c r="AD40" s="28"/>
      <c r="AE40" s="25"/>
      <c r="AF40" s="17"/>
      <c r="AG40" s="25">
        <f>'[16]Lead Sheet'!$I$17</f>
        <v>-441006.12659999984</v>
      </c>
      <c r="AH40" s="28"/>
      <c r="AI40" s="29"/>
    </row>
    <row r="41" spans="1:35">
      <c r="A41" s="61" t="s">
        <v>98</v>
      </c>
      <c r="B41" s="90">
        <f t="shared" si="28"/>
        <v>0</v>
      </c>
      <c r="C41" s="26"/>
      <c r="D41" s="28"/>
      <c r="E41" s="67"/>
      <c r="F41" s="25"/>
      <c r="G41" s="29"/>
      <c r="H41" s="26"/>
      <c r="I41" s="28"/>
      <c r="J41" s="28"/>
      <c r="K41" s="28"/>
      <c r="L41" s="30"/>
      <c r="M41" s="26"/>
      <c r="N41" s="28"/>
      <c r="O41" s="28"/>
      <c r="P41" s="30"/>
      <c r="Q41" s="87"/>
      <c r="R41" s="150"/>
      <c r="S41" s="28"/>
      <c r="T41" s="28"/>
      <c r="U41" s="28"/>
      <c r="V41" s="28"/>
      <c r="W41" s="28"/>
      <c r="X41" s="28"/>
      <c r="Y41" s="28"/>
      <c r="Z41" s="29"/>
      <c r="AA41" s="150"/>
      <c r="AB41" s="25"/>
      <c r="AC41" s="25"/>
      <c r="AD41" s="28"/>
      <c r="AE41" s="25"/>
      <c r="AF41" s="17"/>
      <c r="AG41" s="25"/>
      <c r="AH41" s="28"/>
      <c r="AI41" s="29"/>
    </row>
    <row r="42" spans="1:35">
      <c r="A42" s="61" t="s">
        <v>99</v>
      </c>
      <c r="B42" s="90">
        <f t="shared" si="28"/>
        <v>-2197306.0259155687</v>
      </c>
      <c r="C42" s="26"/>
      <c r="D42" s="28"/>
      <c r="E42" s="67"/>
      <c r="F42" s="25"/>
      <c r="G42" s="29"/>
      <c r="H42" s="26"/>
      <c r="I42" s="28"/>
      <c r="J42" s="28"/>
      <c r="K42" s="28"/>
      <c r="L42" s="30"/>
      <c r="M42" s="26"/>
      <c r="N42" s="28"/>
      <c r="O42" s="28"/>
      <c r="P42" s="30"/>
      <c r="Q42" s="87"/>
      <c r="R42" s="150"/>
      <c r="S42" s="28"/>
      <c r="T42" s="28"/>
      <c r="U42" s="28"/>
      <c r="V42" s="28"/>
      <c r="W42" s="28"/>
      <c r="X42" s="28"/>
      <c r="Y42" s="28"/>
      <c r="Z42" s="29"/>
      <c r="AA42" s="150"/>
      <c r="AB42" s="25">
        <f>'[26]Lead Sheet'!$I$13</f>
        <v>514243.44230495289</v>
      </c>
      <c r="AC42" s="25">
        <f>SUM('[14]Lead Sheet'!$I$16:$I$18)</f>
        <v>155566.24390796048</v>
      </c>
      <c r="AD42" s="28"/>
      <c r="AE42" s="25">
        <f>SUM('[24]Lead Sheet '!$I$48,'[24]Lead Sheet '!$I$60)</f>
        <v>-2867115.7121284818</v>
      </c>
      <c r="AF42" s="17"/>
      <c r="AG42" s="25"/>
      <c r="AH42" s="28"/>
      <c r="AI42" s="29"/>
    </row>
    <row r="43" spans="1:35">
      <c r="A43" s="61" t="s">
        <v>100</v>
      </c>
      <c r="B43" s="90">
        <f t="shared" si="28"/>
        <v>0</v>
      </c>
      <c r="C43" s="26"/>
      <c r="D43" s="28"/>
      <c r="E43" s="67"/>
      <c r="F43" s="25"/>
      <c r="G43" s="29"/>
      <c r="H43" s="26"/>
      <c r="I43" s="28"/>
      <c r="J43" s="28"/>
      <c r="K43" s="28"/>
      <c r="L43" s="30"/>
      <c r="M43" s="26"/>
      <c r="N43" s="28"/>
      <c r="O43" s="28"/>
      <c r="P43" s="30"/>
      <c r="Q43" s="87"/>
      <c r="R43" s="150"/>
      <c r="S43" s="28"/>
      <c r="T43" s="28"/>
      <c r="U43" s="28"/>
      <c r="V43" s="28"/>
      <c r="W43" s="28"/>
      <c r="X43" s="28"/>
      <c r="Y43" s="28"/>
      <c r="Z43" s="29"/>
      <c r="AA43" s="150"/>
      <c r="AB43" s="25"/>
      <c r="AC43" s="25"/>
      <c r="AD43" s="28"/>
      <c r="AE43" s="25"/>
      <c r="AF43" s="17"/>
      <c r="AG43" s="25"/>
      <c r="AH43" s="28"/>
      <c r="AI43" s="29"/>
    </row>
    <row r="44" spans="1:35">
      <c r="A44" s="61" t="s">
        <v>101</v>
      </c>
      <c r="B44" s="90">
        <f t="shared" si="28"/>
        <v>0</v>
      </c>
      <c r="C44" s="26"/>
      <c r="D44" s="28"/>
      <c r="E44" s="67"/>
      <c r="F44" s="25"/>
      <c r="G44" s="29"/>
      <c r="H44" s="26"/>
      <c r="I44" s="28"/>
      <c r="J44" s="28"/>
      <c r="K44" s="28"/>
      <c r="L44" s="30"/>
      <c r="M44" s="26"/>
      <c r="N44" s="28"/>
      <c r="O44" s="28"/>
      <c r="P44" s="30"/>
      <c r="Q44" s="87"/>
      <c r="R44" s="150"/>
      <c r="S44" s="28"/>
      <c r="T44" s="28"/>
      <c r="U44" s="28"/>
      <c r="V44" s="28"/>
      <c r="W44" s="28"/>
      <c r="X44" s="28"/>
      <c r="Y44" s="28"/>
      <c r="Z44" s="29"/>
      <c r="AA44" s="150"/>
      <c r="AB44" s="25"/>
      <c r="AC44" s="25"/>
      <c r="AD44" s="28"/>
      <c r="AE44" s="25"/>
      <c r="AF44" s="17"/>
      <c r="AG44" s="25"/>
      <c r="AH44" s="28"/>
      <c r="AI44" s="29"/>
    </row>
    <row r="45" spans="1:35">
      <c r="A45" s="61" t="s">
        <v>102</v>
      </c>
      <c r="B45" s="90">
        <f t="shared" si="28"/>
        <v>-2850427.9619466118</v>
      </c>
      <c r="C45" s="26"/>
      <c r="D45" s="28"/>
      <c r="E45" s="67"/>
      <c r="F45" s="25"/>
      <c r="G45" s="29"/>
      <c r="H45" s="26"/>
      <c r="I45" s="28"/>
      <c r="J45" s="28"/>
      <c r="K45" s="28"/>
      <c r="L45" s="30"/>
      <c r="M45" s="26"/>
      <c r="N45" s="28"/>
      <c r="O45" s="28"/>
      <c r="P45" s="30"/>
      <c r="Q45" s="87"/>
      <c r="R45" s="150"/>
      <c r="S45" s="28"/>
      <c r="T45" s="28"/>
      <c r="U45" s="28"/>
      <c r="V45" s="28"/>
      <c r="W45" s="28"/>
      <c r="X45" s="28"/>
      <c r="Y45" s="28"/>
      <c r="Z45" s="29"/>
      <c r="AA45" s="150"/>
      <c r="AB45" s="25"/>
      <c r="AC45" s="25"/>
      <c r="AD45" s="28"/>
      <c r="AE45" s="25">
        <f>'[24]Lead Sheet '!$I$40</f>
        <v>-2850427.9619466118</v>
      </c>
      <c r="AF45" s="17"/>
      <c r="AG45" s="25"/>
      <c r="AH45" s="28"/>
      <c r="AI45" s="29"/>
    </row>
    <row r="46" spans="1:35">
      <c r="A46" s="61" t="s">
        <v>103</v>
      </c>
      <c r="B46" s="90">
        <f t="shared" si="28"/>
        <v>2033952.2560125524</v>
      </c>
      <c r="C46" s="26"/>
      <c r="D46" s="28"/>
      <c r="E46" s="67"/>
      <c r="F46" s="25"/>
      <c r="G46" s="29"/>
      <c r="H46" s="26"/>
      <c r="I46" s="28"/>
      <c r="J46" s="28"/>
      <c r="K46" s="28"/>
      <c r="L46" s="30"/>
      <c r="M46" s="26"/>
      <c r="N46" s="28"/>
      <c r="O46" s="28"/>
      <c r="P46" s="30"/>
      <c r="Q46" s="87"/>
      <c r="R46" s="150"/>
      <c r="S46" s="28"/>
      <c r="T46" s="28"/>
      <c r="U46" s="28"/>
      <c r="V46" s="28"/>
      <c r="W46" s="28"/>
      <c r="X46" s="28"/>
      <c r="Y46" s="28"/>
      <c r="Z46" s="29"/>
      <c r="AA46" s="150"/>
      <c r="AB46" s="25">
        <f>'[26]Lead Sheet'!$I$12</f>
        <v>2033952.2560125524</v>
      </c>
      <c r="AC46" s="25"/>
      <c r="AD46" s="28"/>
      <c r="AE46" s="25"/>
      <c r="AF46" s="17"/>
      <c r="AG46" s="25"/>
      <c r="AH46" s="28"/>
      <c r="AI46" s="29"/>
    </row>
    <row r="47" spans="1:35">
      <c r="A47" s="61" t="s">
        <v>104</v>
      </c>
      <c r="B47" s="90">
        <f t="shared" si="28"/>
        <v>2018177.8990736436</v>
      </c>
      <c r="C47" s="26"/>
      <c r="D47" s="28"/>
      <c r="E47" s="67"/>
      <c r="F47" s="25"/>
      <c r="G47" s="29"/>
      <c r="H47" s="26"/>
      <c r="I47" s="28"/>
      <c r="J47" s="28"/>
      <c r="K47" s="28"/>
      <c r="L47" s="30"/>
      <c r="M47" s="26"/>
      <c r="N47" s="28"/>
      <c r="O47" s="28"/>
      <c r="P47" s="30"/>
      <c r="Q47" s="87"/>
      <c r="R47" s="150"/>
      <c r="S47" s="28"/>
      <c r="T47" s="28"/>
      <c r="U47" s="28"/>
      <c r="V47" s="28"/>
      <c r="W47" s="28"/>
      <c r="X47" s="28"/>
      <c r="Y47" s="28"/>
      <c r="Z47" s="29"/>
      <c r="AA47" s="150"/>
      <c r="AB47" s="25">
        <f>'[26]Lead Sheet'!$I$11</f>
        <v>2005617.942152187</v>
      </c>
      <c r="AC47" s="25"/>
      <c r="AD47" s="28"/>
      <c r="AE47" s="25">
        <f>'[24]Lead Sheet '!$I$63</f>
        <v>12559.956921456682</v>
      </c>
      <c r="AF47" s="17"/>
      <c r="AG47" s="25"/>
      <c r="AH47" s="28"/>
      <c r="AI47" s="29"/>
    </row>
    <row r="48" spans="1:35">
      <c r="A48" s="61" t="s">
        <v>105</v>
      </c>
      <c r="B48" s="90">
        <f t="shared" si="28"/>
        <v>8669513.3432273418</v>
      </c>
      <c r="C48" s="26"/>
      <c r="D48" s="28"/>
      <c r="E48" s="67"/>
      <c r="F48" s="25"/>
      <c r="G48" s="29"/>
      <c r="H48" s="26"/>
      <c r="I48" s="28"/>
      <c r="J48" s="28"/>
      <c r="K48" s="28"/>
      <c r="L48" s="30"/>
      <c r="M48" s="26"/>
      <c r="N48" s="28"/>
      <c r="O48" s="28"/>
      <c r="P48" s="30"/>
      <c r="Q48" s="87"/>
      <c r="R48" s="150"/>
      <c r="S48" s="28"/>
      <c r="T48" s="28"/>
      <c r="U48" s="28"/>
      <c r="V48" s="28"/>
      <c r="W48" s="28"/>
      <c r="X48" s="28"/>
      <c r="Y48" s="28"/>
      <c r="Z48" s="29"/>
      <c r="AA48" s="150">
        <f>'CWC Calc'!E28</f>
        <v>10828804.493901275</v>
      </c>
      <c r="AB48" s="25"/>
      <c r="AC48" s="25"/>
      <c r="AD48" s="28"/>
      <c r="AE48" s="25">
        <f>'[24]Lead Sheet '!$I$21</f>
        <v>-2159291.1506739343</v>
      </c>
      <c r="AF48" s="17"/>
      <c r="AG48" s="25"/>
      <c r="AH48" s="28"/>
      <c r="AI48" s="29"/>
    </row>
    <row r="49" spans="1:35">
      <c r="A49" s="61" t="s">
        <v>106</v>
      </c>
      <c r="B49" s="90">
        <f t="shared" si="28"/>
        <v>0</v>
      </c>
      <c r="C49" s="26"/>
      <c r="D49" s="28"/>
      <c r="E49" s="67"/>
      <c r="F49" s="25"/>
      <c r="G49" s="29"/>
      <c r="H49" s="26"/>
      <c r="I49" s="28"/>
      <c r="J49" s="28"/>
      <c r="K49" s="28"/>
      <c r="L49" s="30"/>
      <c r="M49" s="26"/>
      <c r="N49" s="28"/>
      <c r="O49" s="28"/>
      <c r="P49" s="30"/>
      <c r="Q49" s="87"/>
      <c r="R49" s="150"/>
      <c r="S49" s="28"/>
      <c r="T49" s="28"/>
      <c r="U49" s="28"/>
      <c r="V49" s="28"/>
      <c r="W49" s="28"/>
      <c r="X49" s="28"/>
      <c r="Y49" s="28"/>
      <c r="Z49" s="29"/>
      <c r="AA49" s="150"/>
      <c r="AB49" s="25"/>
      <c r="AC49" s="25"/>
      <c r="AD49" s="28"/>
      <c r="AE49" s="25"/>
      <c r="AF49" s="17"/>
      <c r="AG49" s="25"/>
      <c r="AH49" s="28"/>
      <c r="AI49" s="29"/>
    </row>
    <row r="50" spans="1:35">
      <c r="A50" s="61" t="s">
        <v>107</v>
      </c>
      <c r="B50" s="90">
        <f t="shared" si="28"/>
        <v>-268576.60836182453</v>
      </c>
      <c r="C50" s="26"/>
      <c r="D50" s="28"/>
      <c r="E50" s="67"/>
      <c r="F50" s="25"/>
      <c r="G50" s="29"/>
      <c r="H50" s="26"/>
      <c r="I50" s="28"/>
      <c r="J50" s="28"/>
      <c r="K50" s="28"/>
      <c r="L50" s="30"/>
      <c r="M50" s="26"/>
      <c r="N50" s="28"/>
      <c r="O50" s="28"/>
      <c r="P50" s="30"/>
      <c r="Q50" s="87"/>
      <c r="R50" s="150"/>
      <c r="S50" s="28"/>
      <c r="T50" s="28"/>
      <c r="U50" s="28"/>
      <c r="V50" s="28"/>
      <c r="W50" s="28"/>
      <c r="X50" s="28"/>
      <c r="Y50" s="28"/>
      <c r="Z50" s="29"/>
      <c r="AA50" s="150"/>
      <c r="AB50" s="25"/>
      <c r="AC50" s="25"/>
      <c r="AD50" s="28"/>
      <c r="AE50" s="25"/>
      <c r="AF50" s="17"/>
      <c r="AG50" s="25"/>
      <c r="AH50" s="28">
        <f>SUM('[17]Lead Sheet'!$I$15:$I$17)</f>
        <v>-268576.60836182453</v>
      </c>
      <c r="AI50" s="29"/>
    </row>
    <row r="51" spans="1:35">
      <c r="A51" s="61" t="s">
        <v>108</v>
      </c>
      <c r="B51" s="92">
        <f t="shared" si="28"/>
        <v>34452249.973866187</v>
      </c>
      <c r="C51" s="46">
        <f>SUM(C40:C50)</f>
        <v>0</v>
      </c>
      <c r="D51" s="45">
        <f t="shared" ref="D51:AI51" si="29">SUM(D40:D50)</f>
        <v>0</v>
      </c>
      <c r="E51" s="71">
        <f t="shared" si="29"/>
        <v>0</v>
      </c>
      <c r="F51" s="45">
        <f t="shared" si="29"/>
        <v>0</v>
      </c>
      <c r="G51" s="47">
        <f t="shared" si="29"/>
        <v>0</v>
      </c>
      <c r="H51" s="46">
        <f t="shared" si="29"/>
        <v>0</v>
      </c>
      <c r="I51" s="45">
        <f t="shared" si="29"/>
        <v>0</v>
      </c>
      <c r="J51" s="45">
        <f t="shared" si="29"/>
        <v>0</v>
      </c>
      <c r="K51" s="45">
        <f t="shared" si="29"/>
        <v>0</v>
      </c>
      <c r="L51" s="47">
        <f t="shared" ref="L51" si="30">SUM(L40:L50)</f>
        <v>0</v>
      </c>
      <c r="M51" s="46">
        <f t="shared" ref="M51" si="31">SUM(M40:M50)</f>
        <v>0</v>
      </c>
      <c r="N51" s="45">
        <f t="shared" ref="N51:O51" si="32">SUM(N40:N50)</f>
        <v>0</v>
      </c>
      <c r="O51" s="45">
        <f t="shared" si="32"/>
        <v>0</v>
      </c>
      <c r="P51" s="47">
        <f t="shared" si="29"/>
        <v>-26125927.969872698</v>
      </c>
      <c r="Q51" s="92">
        <f t="shared" si="29"/>
        <v>0</v>
      </c>
      <c r="R51" s="154">
        <f t="shared" si="29"/>
        <v>0</v>
      </c>
      <c r="S51" s="45">
        <f t="shared" ref="S51" si="33">SUM(S40:S50)</f>
        <v>0</v>
      </c>
      <c r="T51" s="45">
        <f t="shared" si="29"/>
        <v>0</v>
      </c>
      <c r="U51" s="45">
        <f t="shared" si="29"/>
        <v>0</v>
      </c>
      <c r="V51" s="45">
        <f t="shared" si="29"/>
        <v>0</v>
      </c>
      <c r="W51" s="45">
        <f t="shared" si="29"/>
        <v>0</v>
      </c>
      <c r="X51" s="45">
        <f t="shared" ref="X51:Y51" si="34">SUM(X40:X50)</f>
        <v>0</v>
      </c>
      <c r="Y51" s="45">
        <f t="shared" si="34"/>
        <v>0</v>
      </c>
      <c r="Z51" s="47">
        <f t="shared" si="29"/>
        <v>0</v>
      </c>
      <c r="AA51" s="154">
        <f t="shared" si="29"/>
        <v>10828804.493901275</v>
      </c>
      <c r="AB51" s="45">
        <f t="shared" si="29"/>
        <v>58167664.808719046</v>
      </c>
      <c r="AC51" s="45">
        <f t="shared" si="29"/>
        <v>155566.24390796048</v>
      </c>
      <c r="AD51" s="45">
        <f t="shared" si="29"/>
        <v>0</v>
      </c>
      <c r="AE51" s="45">
        <f t="shared" ref="AE51" si="35">SUM(AE40:AE50)</f>
        <v>-7864274.867827571</v>
      </c>
      <c r="AF51" s="45">
        <f t="shared" si="29"/>
        <v>0</v>
      </c>
      <c r="AG51" s="45">
        <f t="shared" si="29"/>
        <v>-441006.12659999984</v>
      </c>
      <c r="AH51" s="45">
        <f t="shared" si="29"/>
        <v>-268576.60836182453</v>
      </c>
      <c r="AI51" s="47">
        <f t="shared" si="29"/>
        <v>0</v>
      </c>
    </row>
    <row r="52" spans="1:35">
      <c r="A52" s="61"/>
      <c r="B52" s="86"/>
      <c r="C52" s="20"/>
      <c r="D52" s="17"/>
      <c r="E52" s="65"/>
      <c r="F52" s="17"/>
      <c r="G52" s="22"/>
      <c r="H52" s="20"/>
      <c r="I52" s="17"/>
      <c r="J52" s="17"/>
      <c r="K52" s="17"/>
      <c r="L52" s="22"/>
      <c r="M52" s="20"/>
      <c r="N52" s="17"/>
      <c r="O52" s="17"/>
      <c r="P52" s="22"/>
      <c r="Q52" s="86"/>
      <c r="R52" s="148"/>
      <c r="S52" s="17"/>
      <c r="T52" s="17"/>
      <c r="U52" s="17"/>
      <c r="V52" s="17"/>
      <c r="W52" s="17"/>
      <c r="X52" s="17"/>
      <c r="Y52" s="17"/>
      <c r="Z52" s="22"/>
      <c r="AA52" s="148"/>
      <c r="AB52" s="17"/>
      <c r="AC52" s="17"/>
      <c r="AD52" s="17"/>
      <c r="AE52" s="17"/>
      <c r="AF52" s="17"/>
      <c r="AG52" s="17"/>
      <c r="AH52" s="17"/>
      <c r="AI52" s="22"/>
    </row>
    <row r="53" spans="1:35">
      <c r="A53" s="61" t="s">
        <v>109</v>
      </c>
      <c r="B53" s="86"/>
      <c r="C53" s="20"/>
      <c r="D53" s="17"/>
      <c r="E53" s="65"/>
      <c r="F53" s="17"/>
      <c r="G53" s="22"/>
      <c r="H53" s="20"/>
      <c r="I53" s="17"/>
      <c r="J53" s="17"/>
      <c r="K53" s="17"/>
      <c r="L53" s="22"/>
      <c r="M53" s="20"/>
      <c r="N53" s="17"/>
      <c r="O53" s="17"/>
      <c r="P53" s="22"/>
      <c r="Q53" s="86"/>
      <c r="R53" s="148"/>
      <c r="S53" s="17"/>
      <c r="T53" s="17"/>
      <c r="U53" s="17"/>
      <c r="V53" s="17"/>
      <c r="W53" s="17"/>
      <c r="X53" s="17"/>
      <c r="Y53" s="17"/>
      <c r="Z53" s="22"/>
      <c r="AA53" s="148"/>
      <c r="AB53" s="17"/>
      <c r="AC53" s="17"/>
      <c r="AD53" s="17"/>
      <c r="AE53" s="17"/>
      <c r="AF53" s="17"/>
      <c r="AG53" s="17"/>
      <c r="AH53" s="17"/>
      <c r="AI53" s="22"/>
    </row>
    <row r="54" spans="1:35">
      <c r="A54" s="61" t="s">
        <v>110</v>
      </c>
      <c r="B54" s="90">
        <f t="shared" ref="B54:B62" si="36">SUM(C54:AI54)</f>
        <v>-7446965.4092337936</v>
      </c>
      <c r="C54" s="26"/>
      <c r="D54" s="28"/>
      <c r="E54" s="67"/>
      <c r="F54" s="25"/>
      <c r="G54" s="29"/>
      <c r="H54" s="26"/>
      <c r="I54" s="28"/>
      <c r="J54" s="28"/>
      <c r="K54" s="28"/>
      <c r="L54" s="30"/>
      <c r="M54" s="26"/>
      <c r="N54" s="28"/>
      <c r="O54" s="28"/>
      <c r="P54" s="30">
        <f>SUM('[15]Lead Sheet'!$I$20:$I$21)</f>
        <v>16010762.339428132</v>
      </c>
      <c r="Q54" s="87">
        <f>'[27]Lead Sheet'!$I$12</f>
        <v>-8005.3957926276607</v>
      </c>
      <c r="R54" s="150"/>
      <c r="S54" s="28"/>
      <c r="T54" s="28"/>
      <c r="U54" s="28"/>
      <c r="V54" s="28"/>
      <c r="W54" s="28"/>
      <c r="X54" s="28"/>
      <c r="Y54" s="28"/>
      <c r="Z54" s="29"/>
      <c r="AA54" s="150"/>
      <c r="AB54" s="25">
        <f>'[26]Lead Sheet'!$I$14</f>
        <v>-23449722.352869298</v>
      </c>
      <c r="AC54" s="25"/>
      <c r="AD54" s="28"/>
      <c r="AE54" s="25"/>
      <c r="AF54" s="17"/>
      <c r="AG54" s="25"/>
      <c r="AH54" s="28"/>
      <c r="AI54" s="29"/>
    </row>
    <row r="55" spans="1:35">
      <c r="A55" s="61" t="s">
        <v>111</v>
      </c>
      <c r="B55" s="90">
        <f t="shared" si="36"/>
        <v>0</v>
      </c>
      <c r="C55" s="26"/>
      <c r="D55" s="28"/>
      <c r="E55" s="67"/>
      <c r="F55" s="25"/>
      <c r="G55" s="29"/>
      <c r="H55" s="26"/>
      <c r="I55" s="28"/>
      <c r="J55" s="28"/>
      <c r="K55" s="28"/>
      <c r="L55" s="30"/>
      <c r="M55" s="26"/>
      <c r="N55" s="28"/>
      <c r="O55" s="28"/>
      <c r="P55" s="30"/>
      <c r="Q55" s="87"/>
      <c r="R55" s="150"/>
      <c r="S55" s="28"/>
      <c r="T55" s="28"/>
      <c r="U55" s="28"/>
      <c r="V55" s="28"/>
      <c r="W55" s="28"/>
      <c r="X55" s="28"/>
      <c r="Y55" s="28"/>
      <c r="Z55" s="29"/>
      <c r="AA55" s="150"/>
      <c r="AB55" s="25"/>
      <c r="AC55" s="25"/>
      <c r="AD55" s="28"/>
      <c r="AE55" s="25"/>
      <c r="AF55" s="17"/>
      <c r="AG55" s="25"/>
      <c r="AH55" s="28"/>
      <c r="AI55" s="29"/>
    </row>
    <row r="56" spans="1:35">
      <c r="A56" s="61" t="s">
        <v>112</v>
      </c>
      <c r="B56" s="90">
        <f t="shared" si="36"/>
        <v>-6475410.4180893609</v>
      </c>
      <c r="C56" s="26"/>
      <c r="D56" s="28">
        <f>'[3]Lead Sheet 3.2'!$I$21+'[3]Lead Sheet 3.2'!$I$23+'[3]Lead Sheet 3.2'!$I$28+'[3]Lead Sheet 3.2'!$I$29</f>
        <v>2751332</v>
      </c>
      <c r="E56" s="67">
        <f>'[18]Lead Sheet'!$I$15</f>
        <v>1600912.3899401117</v>
      </c>
      <c r="F56" s="25"/>
      <c r="G56" s="29"/>
      <c r="H56" s="26"/>
      <c r="I56" s="28"/>
      <c r="J56" s="28"/>
      <c r="K56" s="28">
        <f>'[12]Lead Sheet '!$I$22</f>
        <v>472405.91201826412</v>
      </c>
      <c r="L56" s="30"/>
      <c r="M56" s="26"/>
      <c r="N56" s="28"/>
      <c r="O56" s="28"/>
      <c r="P56" s="30">
        <f>SUM('[15]Lead Sheet'!$I$28,'[15]Lead Sheet'!$I$22)</f>
        <v>1810649.4576148225</v>
      </c>
      <c r="Q56" s="87"/>
      <c r="R56" s="150"/>
      <c r="S56" s="28">
        <f>SUM('[28]Lead Sheet'!$I$11:$I$28)</f>
        <v>-5199034.9082336593</v>
      </c>
      <c r="T56" s="28">
        <f>'[19]Lead Sheet'!$I$12</f>
        <v>-510417.13577641395</v>
      </c>
      <c r="U56" s="28"/>
      <c r="V56" s="28"/>
      <c r="W56" s="28">
        <f>'[21]Lead Sheet'!$I$12</f>
        <v>1099614</v>
      </c>
      <c r="X56" s="28">
        <f>'[22]Lead Sheet'!$I$12</f>
        <v>-262781</v>
      </c>
      <c r="Y56" s="28"/>
      <c r="Z56" s="29">
        <f>'[29]Lead Sheet'!$I$24</f>
        <v>-9873199.076123938</v>
      </c>
      <c r="AA56" s="150"/>
      <c r="AB56" s="25"/>
      <c r="AC56" s="25">
        <f>SUM('[14]Lead Sheet'!$I$23,'[14]Lead Sheet'!$I$28:$I$29,'[14]Lead Sheet'!$I$33)</f>
        <v>105942.55956519302</v>
      </c>
      <c r="AD56" s="28"/>
      <c r="AE56" s="25"/>
      <c r="AF56" s="17">
        <f>SUM('[24]Lead Sheet '!$I$69,'[24]Lead Sheet '!$I$73,'[24]Lead Sheet '!$I$77,'[24]Lead Sheet '!$I$81,'[24]Lead Sheet '!$I$85,'[24]Lead Sheet '!$I$89)</f>
        <v>1697439.8920278733</v>
      </c>
      <c r="AG56" s="25"/>
      <c r="AH56" s="28">
        <f>SUM('[17]Lead Sheet'!$I$34:$I$35)</f>
        <v>-168274.50912161343</v>
      </c>
      <c r="AI56" s="29"/>
    </row>
    <row r="57" spans="1:35">
      <c r="A57" s="61" t="s">
        <v>113</v>
      </c>
      <c r="B57" s="90">
        <f t="shared" si="36"/>
        <v>144385.82344165733</v>
      </c>
      <c r="C57" s="26"/>
      <c r="D57" s="28"/>
      <c r="E57" s="67"/>
      <c r="F57" s="25"/>
      <c r="G57" s="29"/>
      <c r="H57" s="26"/>
      <c r="I57" s="28"/>
      <c r="J57" s="28"/>
      <c r="K57" s="28"/>
      <c r="L57" s="30"/>
      <c r="M57" s="26"/>
      <c r="N57" s="28"/>
      <c r="O57" s="28"/>
      <c r="P57" s="30">
        <f>'[15]Lead Sheet'!$I$23</f>
        <v>144385.82344165733</v>
      </c>
      <c r="Q57" s="87"/>
      <c r="R57" s="150"/>
      <c r="S57" s="28"/>
      <c r="T57" s="28"/>
      <c r="U57" s="28"/>
      <c r="V57" s="28"/>
      <c r="W57" s="28"/>
      <c r="X57" s="28"/>
      <c r="Y57" s="28"/>
      <c r="Z57" s="29"/>
      <c r="AA57" s="150"/>
      <c r="AB57" s="25"/>
      <c r="AC57" s="25"/>
      <c r="AD57" s="28"/>
      <c r="AE57" s="25"/>
      <c r="AF57" s="17"/>
      <c r="AG57" s="25"/>
      <c r="AH57" s="28"/>
      <c r="AI57" s="29"/>
    </row>
    <row r="58" spans="1:35">
      <c r="A58" s="61" t="s">
        <v>114</v>
      </c>
      <c r="B58" s="90">
        <f t="shared" si="36"/>
        <v>23142.536575635779</v>
      </c>
      <c r="C58" s="26"/>
      <c r="D58" s="28"/>
      <c r="E58" s="67"/>
      <c r="F58" s="25"/>
      <c r="G58" s="29"/>
      <c r="H58" s="26"/>
      <c r="I58" s="28"/>
      <c r="J58" s="28"/>
      <c r="K58" s="28"/>
      <c r="L58" s="30"/>
      <c r="M58" s="26"/>
      <c r="N58" s="28"/>
      <c r="O58" s="28"/>
      <c r="P58" s="30"/>
      <c r="Q58" s="87"/>
      <c r="R58" s="150"/>
      <c r="S58" s="28"/>
      <c r="T58" s="28"/>
      <c r="U58" s="28"/>
      <c r="V58" s="28"/>
      <c r="W58" s="28"/>
      <c r="X58" s="28"/>
      <c r="Y58" s="28"/>
      <c r="Z58" s="29"/>
      <c r="AA58" s="150"/>
      <c r="AB58" s="25"/>
      <c r="AC58" s="25"/>
      <c r="AD58" s="28">
        <f>'[30]Lead Sheet'!$I$22</f>
        <v>23142.536575635779</v>
      </c>
      <c r="AE58" s="25"/>
      <c r="AF58" s="17"/>
      <c r="AG58" s="25"/>
      <c r="AH58" s="28"/>
      <c r="AI58" s="29"/>
    </row>
    <row r="59" spans="1:35">
      <c r="A59" s="61" t="s">
        <v>115</v>
      </c>
      <c r="B59" s="90">
        <f t="shared" si="36"/>
        <v>-2980495.6783333328</v>
      </c>
      <c r="C59" s="26"/>
      <c r="D59" s="28"/>
      <c r="E59" s="67"/>
      <c r="F59" s="25"/>
      <c r="G59" s="29"/>
      <c r="H59" s="26"/>
      <c r="I59" s="28"/>
      <c r="J59" s="28"/>
      <c r="K59" s="28"/>
      <c r="L59" s="30"/>
      <c r="M59" s="26"/>
      <c r="N59" s="28"/>
      <c r="O59" s="28"/>
      <c r="P59" s="30"/>
      <c r="Q59" s="87"/>
      <c r="R59" s="150"/>
      <c r="S59" s="28"/>
      <c r="T59" s="28"/>
      <c r="U59" s="28"/>
      <c r="V59" s="28"/>
      <c r="W59" s="28"/>
      <c r="X59" s="28"/>
      <c r="Y59" s="28"/>
      <c r="Z59" s="29"/>
      <c r="AA59" s="150"/>
      <c r="AB59" s="25"/>
      <c r="AC59" s="25"/>
      <c r="AD59" s="28"/>
      <c r="AE59" s="25"/>
      <c r="AF59" s="17"/>
      <c r="AG59" s="25"/>
      <c r="AH59" s="28"/>
      <c r="AI59" s="29">
        <f>'[25]Lead Sheet'!$I$15</f>
        <v>-2980495.6783333328</v>
      </c>
    </row>
    <row r="60" spans="1:35">
      <c r="A60" s="61" t="s">
        <v>116</v>
      </c>
      <c r="B60" s="90">
        <f t="shared" si="36"/>
        <v>-3245919.382546897</v>
      </c>
      <c r="C60" s="26"/>
      <c r="D60" s="28"/>
      <c r="E60" s="67">
        <f>'[18]Lead Sheet'!$I$16</f>
        <v>-4218445.3037073184</v>
      </c>
      <c r="F60" s="25"/>
      <c r="G60" s="29"/>
      <c r="H60" s="26"/>
      <c r="I60" s="28"/>
      <c r="J60" s="28"/>
      <c r="K60" s="28"/>
      <c r="L60" s="30"/>
      <c r="M60" s="26"/>
      <c r="N60" s="28">
        <f>'[10]Lead Sheet WCA'!$I$15</f>
        <v>-212582.87396787116</v>
      </c>
      <c r="O60" s="28"/>
      <c r="P60" s="30"/>
      <c r="Q60" s="87"/>
      <c r="R60" s="150"/>
      <c r="S60" s="28"/>
      <c r="T60" s="28"/>
      <c r="U60" s="28"/>
      <c r="V60" s="28"/>
      <c r="W60" s="28"/>
      <c r="X60" s="28"/>
      <c r="Y60" s="28"/>
      <c r="Z60" s="29"/>
      <c r="AA60" s="150"/>
      <c r="AB60" s="25"/>
      <c r="AC60" s="25"/>
      <c r="AD60" s="28"/>
      <c r="AE60" s="25"/>
      <c r="AF60" s="17"/>
      <c r="AG60" s="25"/>
      <c r="AH60" s="28">
        <f>SUM('[17]Lead Sheet'!$I$18:$I$20)</f>
        <v>1185108.7951282924</v>
      </c>
      <c r="AI60" s="29"/>
    </row>
    <row r="61" spans="1:35">
      <c r="A61" s="61"/>
      <c r="B61" s="86">
        <f t="shared" si="36"/>
        <v>0</v>
      </c>
      <c r="C61" s="20"/>
      <c r="D61" s="17"/>
      <c r="E61" s="65"/>
      <c r="F61" s="17"/>
      <c r="G61" s="22"/>
      <c r="H61" s="20"/>
      <c r="I61" s="17"/>
      <c r="J61" s="17"/>
      <c r="K61" s="17"/>
      <c r="L61" s="22"/>
      <c r="M61" s="20"/>
      <c r="N61" s="17"/>
      <c r="O61" s="17"/>
      <c r="P61" s="22"/>
      <c r="Q61" s="86"/>
      <c r="R61" s="148"/>
      <c r="S61" s="17"/>
      <c r="T61" s="17"/>
      <c r="U61" s="17"/>
      <c r="V61" s="17"/>
      <c r="W61" s="17"/>
      <c r="X61" s="17"/>
      <c r="Y61" s="17"/>
      <c r="Z61" s="22"/>
      <c r="AA61" s="148"/>
      <c r="AB61" s="17"/>
      <c r="AC61" s="17"/>
      <c r="AD61" s="17"/>
      <c r="AE61" s="17"/>
      <c r="AF61" s="17"/>
      <c r="AG61" s="17"/>
      <c r="AH61" s="17"/>
      <c r="AI61" s="22"/>
    </row>
    <row r="62" spans="1:35">
      <c r="A62" s="61" t="s">
        <v>117</v>
      </c>
      <c r="B62" s="88">
        <f t="shared" si="36"/>
        <v>-19981262.52818609</v>
      </c>
      <c r="C62" s="33">
        <f t="shared" ref="C62:AI62" si="37">SUM(C54:C61)</f>
        <v>0</v>
      </c>
      <c r="D62" s="31">
        <f t="shared" si="37"/>
        <v>2751332</v>
      </c>
      <c r="E62" s="68">
        <f t="shared" si="37"/>
        <v>-2617532.9137672065</v>
      </c>
      <c r="F62" s="31">
        <f t="shared" si="37"/>
        <v>0</v>
      </c>
      <c r="G62" s="34">
        <f t="shared" si="37"/>
        <v>0</v>
      </c>
      <c r="H62" s="33">
        <f t="shared" si="37"/>
        <v>0</v>
      </c>
      <c r="I62" s="31">
        <f t="shared" si="37"/>
        <v>0</v>
      </c>
      <c r="J62" s="31">
        <f t="shared" si="37"/>
        <v>0</v>
      </c>
      <c r="K62" s="31">
        <f t="shared" si="37"/>
        <v>472405.91201826412</v>
      </c>
      <c r="L62" s="34">
        <f t="shared" ref="L62" si="38">SUM(L54:L61)</f>
        <v>0</v>
      </c>
      <c r="M62" s="33">
        <f t="shared" ref="M62" si="39">SUM(M54:M61)</f>
        <v>0</v>
      </c>
      <c r="N62" s="31">
        <f t="shared" ref="N62:O62" si="40">SUM(N54:N61)</f>
        <v>-212582.87396787116</v>
      </c>
      <c r="O62" s="31">
        <f t="shared" si="40"/>
        <v>0</v>
      </c>
      <c r="P62" s="34">
        <f t="shared" si="37"/>
        <v>17965797.620484613</v>
      </c>
      <c r="Q62" s="88">
        <f t="shared" si="37"/>
        <v>-8005.3957926276607</v>
      </c>
      <c r="R62" s="151">
        <f t="shared" si="37"/>
        <v>0</v>
      </c>
      <c r="S62" s="31">
        <f t="shared" ref="S62" si="41">SUM(S54:S61)</f>
        <v>-5199034.9082336593</v>
      </c>
      <c r="T62" s="31">
        <f t="shared" si="37"/>
        <v>-510417.13577641395</v>
      </c>
      <c r="U62" s="31">
        <f t="shared" si="37"/>
        <v>0</v>
      </c>
      <c r="V62" s="31">
        <f t="shared" si="37"/>
        <v>0</v>
      </c>
      <c r="W62" s="31">
        <f t="shared" si="37"/>
        <v>1099614</v>
      </c>
      <c r="X62" s="31">
        <f t="shared" ref="X62:Y62" si="42">SUM(X54:X61)</f>
        <v>-262781</v>
      </c>
      <c r="Y62" s="31">
        <f t="shared" si="42"/>
        <v>0</v>
      </c>
      <c r="Z62" s="34">
        <f t="shared" si="37"/>
        <v>-9873199.076123938</v>
      </c>
      <c r="AA62" s="151">
        <f t="shared" si="37"/>
        <v>0</v>
      </c>
      <c r="AB62" s="31">
        <f t="shared" si="37"/>
        <v>-23449722.352869298</v>
      </c>
      <c r="AC62" s="31">
        <f t="shared" si="37"/>
        <v>105942.55956519302</v>
      </c>
      <c r="AD62" s="31">
        <f t="shared" si="37"/>
        <v>23142.536575635779</v>
      </c>
      <c r="AE62" s="31">
        <f t="shared" ref="AE62" si="43">SUM(AE54:AE61)</f>
        <v>0</v>
      </c>
      <c r="AF62" s="31">
        <f t="shared" si="37"/>
        <v>1697439.8920278733</v>
      </c>
      <c r="AG62" s="31">
        <f t="shared" si="37"/>
        <v>0</v>
      </c>
      <c r="AH62" s="31">
        <f t="shared" si="37"/>
        <v>1016834.2860066789</v>
      </c>
      <c r="AI62" s="34">
        <f t="shared" si="37"/>
        <v>-2980495.6783333328</v>
      </c>
    </row>
    <row r="63" spans="1:35">
      <c r="A63" s="61"/>
      <c r="B63" s="86"/>
      <c r="C63" s="20"/>
      <c r="D63" s="17"/>
      <c r="E63" s="65"/>
      <c r="F63" s="17"/>
      <c r="G63" s="22"/>
      <c r="H63" s="20"/>
      <c r="I63" s="17"/>
      <c r="J63" s="17"/>
      <c r="K63" s="17"/>
      <c r="L63" s="22"/>
      <c r="M63" s="20"/>
      <c r="N63" s="17"/>
      <c r="O63" s="17"/>
      <c r="P63" s="22"/>
      <c r="Q63" s="86"/>
      <c r="R63" s="148"/>
      <c r="S63" s="17"/>
      <c r="T63" s="17"/>
      <c r="U63" s="17"/>
      <c r="V63" s="17"/>
      <c r="W63" s="17"/>
      <c r="X63" s="17"/>
      <c r="Y63" s="17"/>
      <c r="Z63" s="22"/>
      <c r="AA63" s="148"/>
      <c r="AB63" s="17"/>
      <c r="AC63" s="17"/>
      <c r="AD63" s="17"/>
      <c r="AE63" s="17"/>
      <c r="AF63" s="17"/>
      <c r="AG63" s="17"/>
      <c r="AH63" s="17"/>
      <c r="AI63" s="22"/>
    </row>
    <row r="64" spans="1:35" ht="13.5" thickBot="1">
      <c r="A64" s="61" t="s">
        <v>118</v>
      </c>
      <c r="B64" s="93">
        <f>SUM(C64:AI64)</f>
        <v>14470987.445680102</v>
      </c>
      <c r="C64" s="49">
        <f t="shared" ref="C64:AI64" si="44">C51+C62</f>
        <v>0</v>
      </c>
      <c r="D64" s="48">
        <f t="shared" si="44"/>
        <v>2751332</v>
      </c>
      <c r="E64" s="72">
        <f t="shared" si="44"/>
        <v>-2617532.9137672065</v>
      </c>
      <c r="F64" s="48">
        <f t="shared" si="44"/>
        <v>0</v>
      </c>
      <c r="G64" s="50">
        <f t="shared" si="44"/>
        <v>0</v>
      </c>
      <c r="H64" s="49">
        <f t="shared" si="44"/>
        <v>0</v>
      </c>
      <c r="I64" s="48">
        <f t="shared" si="44"/>
        <v>0</v>
      </c>
      <c r="J64" s="48">
        <f t="shared" si="44"/>
        <v>0</v>
      </c>
      <c r="K64" s="48">
        <f t="shared" si="44"/>
        <v>472405.91201826412</v>
      </c>
      <c r="L64" s="50">
        <f t="shared" ref="L64" si="45">L51+L62</f>
        <v>0</v>
      </c>
      <c r="M64" s="49">
        <f t="shared" ref="M64" si="46">M51+M62</f>
        <v>0</v>
      </c>
      <c r="N64" s="48">
        <f t="shared" ref="N64:O64" si="47">N51+N62</f>
        <v>-212582.87396787116</v>
      </c>
      <c r="O64" s="48">
        <f t="shared" si="47"/>
        <v>0</v>
      </c>
      <c r="P64" s="50">
        <f t="shared" si="44"/>
        <v>-8160130.3493880853</v>
      </c>
      <c r="Q64" s="93">
        <f t="shared" si="44"/>
        <v>-8005.3957926276607</v>
      </c>
      <c r="R64" s="155">
        <f t="shared" si="44"/>
        <v>0</v>
      </c>
      <c r="S64" s="48">
        <f t="shared" ref="S64" si="48">S51+S62</f>
        <v>-5199034.9082336593</v>
      </c>
      <c r="T64" s="48">
        <f t="shared" si="44"/>
        <v>-510417.13577641395</v>
      </c>
      <c r="U64" s="48">
        <f t="shared" si="44"/>
        <v>0</v>
      </c>
      <c r="V64" s="48">
        <f t="shared" si="44"/>
        <v>0</v>
      </c>
      <c r="W64" s="48">
        <f t="shared" si="44"/>
        <v>1099614</v>
      </c>
      <c r="X64" s="48">
        <f t="shared" ref="X64:Y64" si="49">X51+X62</f>
        <v>-262781</v>
      </c>
      <c r="Y64" s="48">
        <f t="shared" si="49"/>
        <v>0</v>
      </c>
      <c r="Z64" s="50">
        <f t="shared" si="44"/>
        <v>-9873199.076123938</v>
      </c>
      <c r="AA64" s="155">
        <f t="shared" si="44"/>
        <v>10828804.493901275</v>
      </c>
      <c r="AB64" s="48">
        <f t="shared" si="44"/>
        <v>34717942.455849752</v>
      </c>
      <c r="AC64" s="48">
        <f t="shared" si="44"/>
        <v>261508.8034731535</v>
      </c>
      <c r="AD64" s="48">
        <f t="shared" si="44"/>
        <v>23142.536575635779</v>
      </c>
      <c r="AE64" s="48">
        <f t="shared" ref="AE64" si="50">AE51+AE62</f>
        <v>-7864274.867827571</v>
      </c>
      <c r="AF64" s="48">
        <f t="shared" si="44"/>
        <v>1697439.8920278733</v>
      </c>
      <c r="AG64" s="48">
        <f t="shared" si="44"/>
        <v>-441006.12659999984</v>
      </c>
      <c r="AH64" s="48">
        <f t="shared" si="44"/>
        <v>748257.67764485441</v>
      </c>
      <c r="AI64" s="50">
        <f t="shared" si="44"/>
        <v>-2980495.6783333328</v>
      </c>
    </row>
    <row r="65" spans="1:35" ht="13.5" thickTop="1">
      <c r="A65" s="61"/>
      <c r="B65" s="86"/>
      <c r="C65" s="20"/>
      <c r="D65" s="17"/>
      <c r="E65" s="65"/>
      <c r="F65" s="17"/>
      <c r="G65" s="22"/>
      <c r="H65" s="20"/>
      <c r="I65" s="17"/>
      <c r="J65" s="17"/>
      <c r="K65" s="17"/>
      <c r="L65" s="22"/>
      <c r="M65" s="20"/>
      <c r="N65" s="17"/>
      <c r="O65" s="17"/>
      <c r="P65" s="22"/>
      <c r="Q65" s="86"/>
      <c r="R65" s="148"/>
      <c r="S65" s="17"/>
      <c r="T65" s="17"/>
      <c r="U65" s="17"/>
      <c r="V65" s="17"/>
      <c r="W65" s="17"/>
      <c r="X65" s="17"/>
      <c r="Y65" s="17"/>
      <c r="Z65" s="22"/>
      <c r="AA65" s="148"/>
      <c r="AB65" s="17"/>
      <c r="AC65" s="17"/>
      <c r="AD65" s="17"/>
      <c r="AE65" s="17"/>
      <c r="AF65" s="17"/>
      <c r="AG65" s="17"/>
      <c r="AH65" s="17"/>
      <c r="AI65" s="22"/>
    </row>
    <row r="66" spans="1:35">
      <c r="A66" s="61"/>
      <c r="B66" s="86"/>
      <c r="C66" s="20"/>
      <c r="D66" s="17"/>
      <c r="E66" s="65"/>
      <c r="F66" s="17"/>
      <c r="G66" s="22"/>
      <c r="H66" s="20"/>
      <c r="I66" s="17"/>
      <c r="J66" s="17"/>
      <c r="K66" s="17"/>
      <c r="L66" s="22"/>
      <c r="M66" s="20"/>
      <c r="N66" s="17"/>
      <c r="O66" s="17"/>
      <c r="P66" s="22"/>
      <c r="Q66" s="86"/>
      <c r="R66" s="148"/>
      <c r="S66" s="17"/>
      <c r="T66" s="17"/>
      <c r="U66" s="17"/>
      <c r="V66" s="17"/>
      <c r="W66" s="17"/>
      <c r="X66" s="17"/>
      <c r="Y66" s="17"/>
      <c r="Z66" s="22"/>
      <c r="AA66" s="148"/>
      <c r="AB66" s="17"/>
      <c r="AC66" s="17"/>
      <c r="AD66" s="17"/>
      <c r="AE66" s="17"/>
      <c r="AF66" s="17"/>
      <c r="AG66" s="17"/>
      <c r="AH66" s="17"/>
      <c r="AI66" s="22"/>
    </row>
    <row r="67" spans="1:35" s="77" customFormat="1">
      <c r="A67" s="61" t="s">
        <v>223</v>
      </c>
      <c r="B67" s="135">
        <f t="shared" ref="B67:AI67" si="51">(((B37+Unadj_Op_revenue)/(B64+Unadj_rate_base))-Weighted_cost_debt-Weighted_cost_pref)/Percent_common-Unadj_ROE</f>
        <v>-1.8180218262937996E-2</v>
      </c>
      <c r="C67" s="133">
        <f t="shared" si="51"/>
        <v>-1.1131849302527218E-2</v>
      </c>
      <c r="D67" s="132">
        <f t="shared" si="51"/>
        <v>-6.0899939575821682E-4</v>
      </c>
      <c r="E67" s="132">
        <f t="shared" si="51"/>
        <v>7.7085501437022808E-4</v>
      </c>
      <c r="F67" s="132">
        <f t="shared" si="51"/>
        <v>-6.9928722640401897E-3</v>
      </c>
      <c r="G67" s="134">
        <f t="shared" si="51"/>
        <v>1.8271432187880188E-4</v>
      </c>
      <c r="H67" s="133">
        <f t="shared" si="51"/>
        <v>7.3514794802442829E-5</v>
      </c>
      <c r="I67" s="132">
        <f t="shared" si="51"/>
        <v>-4.8023797780988309E-5</v>
      </c>
      <c r="J67" s="132">
        <f t="shared" si="51"/>
        <v>1.2952918361543164E-4</v>
      </c>
      <c r="K67" s="132">
        <f t="shared" si="51"/>
        <v>8.0919638028449509E-3</v>
      </c>
      <c r="L67" s="134">
        <f t="shared" si="51"/>
        <v>3.2647337254997078E-4</v>
      </c>
      <c r="M67" s="133">
        <f t="shared" si="51"/>
        <v>1.8264188643311252E-2</v>
      </c>
      <c r="N67" s="132">
        <f t="shared" si="51"/>
        <v>-2.1949511710442349E-4</v>
      </c>
      <c r="O67" s="132">
        <f t="shared" si="51"/>
        <v>-1.3324658810226736E-2</v>
      </c>
      <c r="P67" s="134">
        <f t="shared" si="51"/>
        <v>2.0067484686028675E-3</v>
      </c>
      <c r="Q67" s="135">
        <f t="shared" si="51"/>
        <v>1.2582193486543325E-6</v>
      </c>
      <c r="R67" s="133">
        <f t="shared" si="51"/>
        <v>-3.3650847354945099E-3</v>
      </c>
      <c r="S67" s="132">
        <f t="shared" si="51"/>
        <v>8.2282417315605871E-4</v>
      </c>
      <c r="T67" s="132">
        <f t="shared" si="51"/>
        <v>8.2582051627630437E-4</v>
      </c>
      <c r="U67" s="132">
        <f t="shared" si="51"/>
        <v>-1.4133144257239619E-2</v>
      </c>
      <c r="V67" s="132">
        <f t="shared" si="51"/>
        <v>1.9401949027818277E-4</v>
      </c>
      <c r="W67" s="132">
        <f t="shared" si="51"/>
        <v>5.4369544618077664E-3</v>
      </c>
      <c r="X67" s="132">
        <f t="shared" si="51"/>
        <v>-1.3016565127590002E-3</v>
      </c>
      <c r="Y67" s="132">
        <f t="shared" si="51"/>
        <v>-4.354362362333497E-4</v>
      </c>
      <c r="Z67" s="134">
        <f t="shared" si="51"/>
        <v>1.5724294060810856E-3</v>
      </c>
      <c r="AA67" s="133">
        <f t="shared" si="51"/>
        <v>-1.6777809919495332E-3</v>
      </c>
      <c r="AB67" s="132">
        <f t="shared" si="51"/>
        <v>-5.2156252819073393E-3</v>
      </c>
      <c r="AC67" s="132">
        <f t="shared" si="51"/>
        <v>-1.3569495251591901E-4</v>
      </c>
      <c r="AD67" s="132">
        <f t="shared" si="51"/>
        <v>-3.6371943421265041E-6</v>
      </c>
      <c r="AE67" s="132">
        <f t="shared" si="51"/>
        <v>1.2490992837847076E-3</v>
      </c>
      <c r="AF67" s="132">
        <f t="shared" si="51"/>
        <v>-2.3089401124271047E-4</v>
      </c>
      <c r="AG67" s="132">
        <f t="shared" si="51"/>
        <v>1.1533581428649353E-4</v>
      </c>
      <c r="AH67" s="132">
        <f t="shared" si="51"/>
        <v>1.3759452187354915E-4</v>
      </c>
      <c r="AI67" s="134">
        <f t="shared" si="51"/>
        <v>4.1362371613809512E-4</v>
      </c>
    </row>
    <row r="68" spans="1:35" s="77" customFormat="1">
      <c r="A68" s="61" t="s">
        <v>63</v>
      </c>
      <c r="B68" s="143">
        <f t="shared" ref="B68" si="52">SUM(C68:AI68)</f>
        <v>12213245.724341007</v>
      </c>
      <c r="C68" s="55">
        <f t="shared" ref="C68:AI68" si="53">-(C37-(C64*Overall_ROR))/gross_up_factor</f>
        <v>7030213.959153383</v>
      </c>
      <c r="D68" s="53">
        <f t="shared" si="53"/>
        <v>483091.63596178865</v>
      </c>
      <c r="E68" s="74">
        <f t="shared" si="53"/>
        <v>-577485.00787019019</v>
      </c>
      <c r="F68" s="53">
        <f t="shared" si="53"/>
        <v>4416282.2249193471</v>
      </c>
      <c r="G68" s="56">
        <f t="shared" si="53"/>
        <v>-115391.49886962927</v>
      </c>
      <c r="H68" s="55">
        <f t="shared" si="53"/>
        <v>-46427.572147146006</v>
      </c>
      <c r="I68" s="53">
        <f t="shared" si="53"/>
        <v>30328.974490774675</v>
      </c>
      <c r="J68" s="53">
        <f t="shared" si="53"/>
        <v>-81802.92869793823</v>
      </c>
      <c r="K68" s="53">
        <f t="shared" si="53"/>
        <v>-5096948.0382828731</v>
      </c>
      <c r="L68" s="56">
        <f t="shared" si="53"/>
        <v>-206181.16528685074</v>
      </c>
      <c r="M68" s="55">
        <f t="shared" si="53"/>
        <v>-11534575.295020124</v>
      </c>
      <c r="N68" s="53">
        <f t="shared" si="53"/>
        <v>131080.25851868655</v>
      </c>
      <c r="O68" s="53">
        <f t="shared" si="53"/>
        <v>8415062.0281344783</v>
      </c>
      <c r="P68" s="56">
        <f t="shared" si="53"/>
        <v>-1541494.5509187784</v>
      </c>
      <c r="Q68" s="86">
        <f t="shared" si="53"/>
        <v>-1077.0633172632556</v>
      </c>
      <c r="R68" s="156">
        <f t="shared" si="53"/>
        <v>2125187.3824627404</v>
      </c>
      <c r="S68" s="53">
        <f t="shared" si="53"/>
        <v>-699489.43561122671</v>
      </c>
      <c r="T68" s="53">
        <f t="shared" si="53"/>
        <v>-539193.95230767201</v>
      </c>
      <c r="U68" s="53">
        <f t="shared" si="53"/>
        <v>8925653.3522617277</v>
      </c>
      <c r="V68" s="53">
        <f t="shared" si="53"/>
        <v>-122531.17086232291</v>
      </c>
      <c r="W68" s="53">
        <f t="shared" si="53"/>
        <v>-3399884.1588694588</v>
      </c>
      <c r="X68" s="53">
        <f t="shared" si="53"/>
        <v>812489.61831322196</v>
      </c>
      <c r="Y68" s="53">
        <f t="shared" si="53"/>
        <v>274995.62948574225</v>
      </c>
      <c r="Z68" s="56">
        <f t="shared" si="53"/>
        <v>-1328361.6231346978</v>
      </c>
      <c r="AA68" s="156">
        <f t="shared" si="53"/>
        <v>1456930.8491826907</v>
      </c>
      <c r="AB68" s="53">
        <f t="shared" si="53"/>
        <v>4671027.2969250008</v>
      </c>
      <c r="AC68" s="53">
        <f t="shared" si="53"/>
        <v>94953.530942363694</v>
      </c>
      <c r="AD68" s="53">
        <f t="shared" si="53"/>
        <v>3113.6470775118155</v>
      </c>
      <c r="AE68" s="53">
        <f t="shared" si="53"/>
        <v>-1058076.6018855576</v>
      </c>
      <c r="AF68" s="53">
        <f t="shared" si="53"/>
        <v>206039.29690771762</v>
      </c>
      <c r="AG68" s="53">
        <f t="shared" si="53"/>
        <v>-88356.558944376317</v>
      </c>
      <c r="AH68" s="53">
        <f t="shared" si="53"/>
        <v>-60582.190535537506</v>
      </c>
      <c r="AI68" s="56">
        <f t="shared" si="53"/>
        <v>-365345.14783452702</v>
      </c>
    </row>
    <row r="69" spans="1:35" s="77" customFormat="1">
      <c r="A69" s="61"/>
      <c r="B69" s="94"/>
      <c r="C69" s="81"/>
      <c r="D69" s="79"/>
      <c r="E69" s="79"/>
      <c r="F69" s="79"/>
      <c r="G69" s="82"/>
      <c r="H69" s="81"/>
      <c r="I69" s="79"/>
      <c r="J69" s="79"/>
      <c r="K69" s="79"/>
      <c r="L69" s="82"/>
      <c r="M69" s="81"/>
      <c r="N69" s="79"/>
      <c r="O69" s="79"/>
      <c r="P69" s="82"/>
      <c r="Q69" s="94"/>
      <c r="R69" s="81"/>
      <c r="S69" s="79"/>
      <c r="T69" s="79"/>
      <c r="U69" s="79"/>
      <c r="V69" s="79"/>
      <c r="W69" s="79"/>
      <c r="X69" s="79"/>
      <c r="Y69" s="79"/>
      <c r="Z69" s="82"/>
      <c r="AA69" s="81"/>
      <c r="AB69" s="79"/>
      <c r="AC69" s="79"/>
      <c r="AD69" s="79"/>
      <c r="AE69" s="79"/>
      <c r="AF69" s="79"/>
      <c r="AG69" s="79"/>
      <c r="AH69" s="79"/>
      <c r="AI69" s="82"/>
    </row>
    <row r="70" spans="1:35">
      <c r="A70" s="61" t="s">
        <v>120</v>
      </c>
      <c r="B70" s="86"/>
      <c r="C70" s="20"/>
      <c r="D70" s="17"/>
      <c r="E70" s="65"/>
      <c r="F70" s="17"/>
      <c r="G70" s="22"/>
      <c r="H70" s="20"/>
      <c r="I70" s="17"/>
      <c r="J70" s="17"/>
      <c r="K70" s="17"/>
      <c r="L70" s="22"/>
      <c r="M70" s="20"/>
      <c r="N70" s="17"/>
      <c r="O70" s="17"/>
      <c r="P70" s="22"/>
      <c r="Q70" s="86"/>
      <c r="R70" s="148"/>
      <c r="S70" s="17"/>
      <c r="T70" s="17"/>
      <c r="U70" s="17"/>
      <c r="V70" s="17"/>
      <c r="W70" s="17"/>
      <c r="X70" s="17"/>
      <c r="Y70" s="17"/>
      <c r="Z70" s="22"/>
      <c r="AA70" s="148"/>
      <c r="AB70" s="17"/>
      <c r="AC70" s="17"/>
      <c r="AD70" s="17"/>
      <c r="AE70" s="17"/>
      <c r="AF70" s="17"/>
      <c r="AG70" s="17"/>
      <c r="AH70" s="17"/>
      <c r="AI70" s="22"/>
    </row>
    <row r="71" spans="1:35">
      <c r="A71" s="61" t="s">
        <v>121</v>
      </c>
      <c r="B71" s="143">
        <f t="shared" ref="B71:B77" si="54">SUM(C71:AI71)</f>
        <v>-2091472.6715177835</v>
      </c>
      <c r="C71" s="55">
        <f t="shared" ref="C71:AI71" si="55">C13-C26-C27-C28-C29-C34</f>
        <v>-6704444.6599999983</v>
      </c>
      <c r="D71" s="53">
        <f t="shared" si="55"/>
        <v>-33120.929999989981</v>
      </c>
      <c r="E71" s="74">
        <f t="shared" si="55"/>
        <v>237950.87274093495</v>
      </c>
      <c r="F71" s="53">
        <f t="shared" si="55"/>
        <v>-4211638.5008969298</v>
      </c>
      <c r="G71" s="56">
        <f t="shared" si="55"/>
        <v>110044.43433739353</v>
      </c>
      <c r="H71" s="55">
        <f>H13-H26-H27-H28-H29-H34</f>
        <v>44276.189880881328</v>
      </c>
      <c r="I71" s="53">
        <f t="shared" si="55"/>
        <v>-28923.57647283293</v>
      </c>
      <c r="J71" s="53">
        <f t="shared" si="55"/>
        <v>78012.306832735296</v>
      </c>
      <c r="K71" s="53">
        <f t="shared" si="55"/>
        <v>4858459</v>
      </c>
      <c r="L71" s="56">
        <f t="shared" si="55"/>
        <v>196627.0472892508</v>
      </c>
      <c r="M71" s="55">
        <f t="shared" si="55"/>
        <v>11000080.821349347</v>
      </c>
      <c r="N71" s="53">
        <f t="shared" si="55"/>
        <v>-152282.21898382137</v>
      </c>
      <c r="O71" s="53">
        <f t="shared" si="55"/>
        <v>-8025121</v>
      </c>
      <c r="P71" s="56">
        <f t="shared" si="55"/>
        <v>439356.46083514317</v>
      </c>
      <c r="Q71" s="86">
        <f t="shared" si="55"/>
        <v>0</v>
      </c>
      <c r="R71" s="156">
        <f t="shared" si="55"/>
        <v>0</v>
      </c>
      <c r="S71" s="53">
        <f t="shared" si="55"/>
        <v>0</v>
      </c>
      <c r="T71" s="53">
        <f t="shared" si="55"/>
        <v>0</v>
      </c>
      <c r="U71" s="53">
        <f t="shared" si="55"/>
        <v>0</v>
      </c>
      <c r="V71" s="53">
        <f t="shared" si="55"/>
        <v>0</v>
      </c>
      <c r="W71" s="53">
        <f t="shared" si="55"/>
        <v>0</v>
      </c>
      <c r="X71" s="53">
        <f t="shared" si="55"/>
        <v>0</v>
      </c>
      <c r="Y71" s="53">
        <f t="shared" si="55"/>
        <v>0</v>
      </c>
      <c r="Z71" s="56">
        <f t="shared" si="55"/>
        <v>0</v>
      </c>
      <c r="AA71" s="156">
        <f t="shared" si="55"/>
        <v>0</v>
      </c>
      <c r="AB71" s="53">
        <f t="shared" si="55"/>
        <v>0</v>
      </c>
      <c r="AC71" s="53">
        <f t="shared" si="55"/>
        <v>-54303.537524919564</v>
      </c>
      <c r="AD71" s="53">
        <f t="shared" si="55"/>
        <v>0</v>
      </c>
      <c r="AE71" s="53">
        <f t="shared" si="55"/>
        <v>0</v>
      </c>
      <c r="AF71" s="53">
        <f t="shared" si="55"/>
        <v>0</v>
      </c>
      <c r="AG71" s="53">
        <f t="shared" si="55"/>
        <v>17990.552800000001</v>
      </c>
      <c r="AH71" s="53">
        <f t="shared" si="55"/>
        <v>169568.97296169098</v>
      </c>
      <c r="AI71" s="56">
        <f t="shared" si="55"/>
        <v>-34004.906666666662</v>
      </c>
    </row>
    <row r="72" spans="1:35">
      <c r="A72" s="61" t="s">
        <v>122</v>
      </c>
      <c r="B72" s="86">
        <f t="shared" si="54"/>
        <v>0</v>
      </c>
      <c r="C72" s="20"/>
      <c r="D72" s="17"/>
      <c r="E72" s="65"/>
      <c r="F72" s="17"/>
      <c r="G72" s="22"/>
      <c r="H72" s="20"/>
      <c r="I72" s="17"/>
      <c r="J72" s="17"/>
      <c r="K72" s="17"/>
      <c r="L72" s="22"/>
      <c r="M72" s="20"/>
      <c r="N72" s="17"/>
      <c r="O72" s="17"/>
      <c r="P72" s="22"/>
      <c r="Q72" s="86"/>
      <c r="R72" s="148"/>
      <c r="S72" s="17"/>
      <c r="T72" s="17"/>
      <c r="U72" s="17"/>
      <c r="V72" s="17"/>
      <c r="W72" s="17"/>
      <c r="X72" s="17"/>
      <c r="Y72" s="17"/>
      <c r="Z72" s="22"/>
      <c r="AA72" s="148"/>
      <c r="AB72" s="17"/>
      <c r="AC72" s="17"/>
      <c r="AD72" s="17"/>
      <c r="AE72" s="17"/>
      <c r="AF72" s="17"/>
      <c r="AG72" s="17"/>
      <c r="AH72" s="17"/>
      <c r="AI72" s="22"/>
    </row>
    <row r="73" spans="1:35">
      <c r="A73" s="61" t="s">
        <v>123</v>
      </c>
      <c r="B73" s="90">
        <f t="shared" si="54"/>
        <v>217013.20626896209</v>
      </c>
      <c r="C73" s="27"/>
      <c r="D73" s="25"/>
      <c r="E73" s="66"/>
      <c r="F73" s="25"/>
      <c r="G73" s="30"/>
      <c r="H73" s="27"/>
      <c r="I73" s="25"/>
      <c r="J73" s="25"/>
      <c r="K73" s="25"/>
      <c r="L73" s="30"/>
      <c r="M73" s="27"/>
      <c r="N73" s="25"/>
      <c r="O73" s="25"/>
      <c r="P73" s="30"/>
      <c r="Q73" s="90"/>
      <c r="R73" s="149"/>
      <c r="S73" s="25"/>
      <c r="T73" s="25"/>
      <c r="U73" s="25"/>
      <c r="V73" s="25">
        <f>'[31]Lead Sheet'!$I$9</f>
        <v>217013.20626896209</v>
      </c>
      <c r="W73" s="25"/>
      <c r="X73" s="25"/>
      <c r="Y73" s="25"/>
      <c r="Z73" s="30"/>
      <c r="AA73" s="149"/>
      <c r="AB73" s="25"/>
      <c r="AC73" s="25"/>
      <c r="AD73" s="25"/>
      <c r="AE73" s="25"/>
      <c r="AF73" s="17"/>
      <c r="AG73" s="25"/>
      <c r="AH73" s="25"/>
      <c r="AI73" s="30"/>
    </row>
    <row r="74" spans="1:35">
      <c r="A74" s="61" t="s">
        <v>124</v>
      </c>
      <c r="B74" s="90">
        <f t="shared" si="54"/>
        <v>-3763889.0132600106</v>
      </c>
      <c r="C74" s="27"/>
      <c r="D74" s="25"/>
      <c r="E74" s="66"/>
      <c r="F74" s="25"/>
      <c r="G74" s="30"/>
      <c r="H74" s="27"/>
      <c r="I74" s="25"/>
      <c r="J74" s="25"/>
      <c r="K74" s="25"/>
      <c r="L74" s="30"/>
      <c r="M74" s="27"/>
      <c r="N74" s="25"/>
      <c r="O74" s="25"/>
      <c r="P74" s="30"/>
      <c r="Q74" s="90"/>
      <c r="R74" s="149">
        <f>'Interest Calc'!C16</f>
        <v>-3763889.0132600106</v>
      </c>
      <c r="S74" s="25"/>
      <c r="T74" s="25"/>
      <c r="U74" s="25"/>
      <c r="V74" s="25"/>
      <c r="W74" s="25"/>
      <c r="X74" s="25"/>
      <c r="Y74" s="25"/>
      <c r="Z74" s="30"/>
      <c r="AA74" s="149"/>
      <c r="AB74" s="25"/>
      <c r="AC74" s="25"/>
      <c r="AD74" s="25"/>
      <c r="AE74" s="25"/>
      <c r="AF74" s="17"/>
      <c r="AG74" s="25"/>
      <c r="AH74" s="25"/>
      <c r="AI74" s="30"/>
    </row>
    <row r="75" spans="1:35">
      <c r="A75" s="61" t="s">
        <v>125</v>
      </c>
      <c r="B75" s="90">
        <f t="shared" si="54"/>
        <v>-2567816.9315885995</v>
      </c>
      <c r="C75" s="27"/>
      <c r="D75" s="25">
        <f>'[3]Lead Sheet 3.2'!$I$19</f>
        <v>-1653038</v>
      </c>
      <c r="E75" s="66">
        <f>'[18]Lead Sheet'!$I$21</f>
        <v>28799.357273164835</v>
      </c>
      <c r="F75" s="25"/>
      <c r="G75" s="30"/>
      <c r="H75" s="27"/>
      <c r="I75" s="25"/>
      <c r="J75" s="25"/>
      <c r="K75" s="25"/>
      <c r="L75" s="30"/>
      <c r="M75" s="27"/>
      <c r="N75" s="25"/>
      <c r="O75" s="25"/>
      <c r="P75" s="30">
        <f>SUM('[15]Lead Sheet'!$I$13:$I$14,'[15]Lead Sheet'!$I$26)</f>
        <v>-449420.00153080252</v>
      </c>
      <c r="Q75" s="90"/>
      <c r="R75" s="149"/>
      <c r="S75" s="25"/>
      <c r="T75" s="25"/>
      <c r="U75" s="25"/>
      <c r="V75" s="25"/>
      <c r="W75" s="25"/>
      <c r="X75" s="25"/>
      <c r="Y75" s="25"/>
      <c r="Z75" s="30"/>
      <c r="AA75" s="149"/>
      <c r="AB75" s="25"/>
      <c r="AC75" s="25">
        <f>SUM('[14]Lead Sheet'!$I$21,'[14]Lead Sheet'!$I$25,'[14]Lead Sheet'!$I$31)</f>
        <v>-59375.233530133206</v>
      </c>
      <c r="AD75" s="25"/>
      <c r="AE75" s="25"/>
      <c r="AF75" s="17">
        <f>SUM('[24]Lead Sheet '!$I$67,'[24]Lead Sheet '!$I$71,'[24]Lead Sheet '!$I$87)</f>
        <v>-69061.886393937762</v>
      </c>
      <c r="AG75" s="25">
        <f>'[16]Lead Sheet'!$I$13</f>
        <v>-17990.552800000001</v>
      </c>
      <c r="AH75" s="25">
        <f>'[17]Lead Sheet'!$I$31</f>
        <v>-347730.61460689106</v>
      </c>
      <c r="AI75" s="30"/>
    </row>
    <row r="76" spans="1:35">
      <c r="A76" s="61" t="s">
        <v>126</v>
      </c>
      <c r="B76" s="95">
        <f t="shared" si="54"/>
        <v>-1488077.8149393392</v>
      </c>
      <c r="C76" s="58"/>
      <c r="D76" s="40">
        <f>'[3]Lead Sheet 3.2'!$I$25</f>
        <v>-10607</v>
      </c>
      <c r="E76" s="75">
        <f>'[18]Lead Sheet'!$I$22</f>
        <v>537064.15226003109</v>
      </c>
      <c r="F76" s="40"/>
      <c r="G76" s="59"/>
      <c r="H76" s="58"/>
      <c r="I76" s="38"/>
      <c r="J76" s="38"/>
      <c r="K76" s="38">
        <f>'[12]Lead Sheet '!$I$20</f>
        <v>-1385852.3131956439</v>
      </c>
      <c r="L76" s="83"/>
      <c r="M76" s="58"/>
      <c r="N76" s="38"/>
      <c r="O76" s="38"/>
      <c r="P76" s="83">
        <f>'[15]Lead Sheet'!$I$12</f>
        <v>-90396.065974144673</v>
      </c>
      <c r="Q76" s="95"/>
      <c r="R76" s="157"/>
      <c r="S76" s="40"/>
      <c r="T76" s="40"/>
      <c r="U76" s="40"/>
      <c r="V76" s="40"/>
      <c r="W76" s="40"/>
      <c r="X76" s="40"/>
      <c r="Y76" s="40"/>
      <c r="Z76" s="59"/>
      <c r="AA76" s="157"/>
      <c r="AB76" s="40"/>
      <c r="AC76" s="40"/>
      <c r="AD76" s="40"/>
      <c r="AE76" s="40"/>
      <c r="AF76" s="40">
        <f>SUM('[24]Lead Sheet '!$I$75,'[24]Lead Sheet '!$I$79,'[24]Lead Sheet '!$I$83)</f>
        <v>-538286.5880295817</v>
      </c>
      <c r="AG76" s="40"/>
      <c r="AH76" s="40"/>
      <c r="AI76" s="59"/>
    </row>
    <row r="77" spans="1:35">
      <c r="A77" s="61" t="s">
        <v>127</v>
      </c>
      <c r="B77" s="96">
        <f t="shared" si="54"/>
        <v>375664.01882400439</v>
      </c>
      <c r="C77" s="51">
        <f t="shared" ref="C77:AI77" si="56">C71-C73-C74+C75-C76</f>
        <v>-6704444.6599999983</v>
      </c>
      <c r="D77" s="41">
        <f t="shared" si="56"/>
        <v>-1675551.9299999899</v>
      </c>
      <c r="E77" s="73">
        <f t="shared" si="56"/>
        <v>-270313.92224593129</v>
      </c>
      <c r="F77" s="41">
        <f t="shared" si="56"/>
        <v>-4211638.5008969298</v>
      </c>
      <c r="G77" s="52">
        <f t="shared" si="56"/>
        <v>110044.43433739353</v>
      </c>
      <c r="H77" s="51">
        <f t="shared" si="56"/>
        <v>44276.189880881328</v>
      </c>
      <c r="I77" s="41">
        <f t="shared" si="56"/>
        <v>-28923.57647283293</v>
      </c>
      <c r="J77" s="41">
        <f t="shared" si="56"/>
        <v>78012.306832735296</v>
      </c>
      <c r="K77" s="41">
        <f t="shared" si="56"/>
        <v>6244311.3131956439</v>
      </c>
      <c r="L77" s="52">
        <f t="shared" ref="L77" si="57">L71-L73-L74+L75-L76</f>
        <v>196627.0472892508</v>
      </c>
      <c r="M77" s="51">
        <f t="shared" ref="M77" si="58">M71-M73-M74+M75-M76</f>
        <v>11000080.821349347</v>
      </c>
      <c r="N77" s="41">
        <f t="shared" ref="N77:O77" si="59">N71-N73-N74+N75-N76</f>
        <v>-152282.21898382137</v>
      </c>
      <c r="O77" s="41">
        <f t="shared" si="59"/>
        <v>-8025121</v>
      </c>
      <c r="P77" s="52">
        <f t="shared" si="56"/>
        <v>80332.525278485322</v>
      </c>
      <c r="Q77" s="96">
        <f t="shared" si="56"/>
        <v>0</v>
      </c>
      <c r="R77" s="80">
        <f t="shared" si="56"/>
        <v>3763889.0132600106</v>
      </c>
      <c r="S77" s="41">
        <f t="shared" ref="S77" si="60">S71-S73-S74+S75-S76</f>
        <v>0</v>
      </c>
      <c r="T77" s="41">
        <f t="shared" si="56"/>
        <v>0</v>
      </c>
      <c r="U77" s="41">
        <f t="shared" si="56"/>
        <v>0</v>
      </c>
      <c r="V77" s="41">
        <f t="shared" si="56"/>
        <v>-217013.20626896209</v>
      </c>
      <c r="W77" s="41">
        <f t="shared" si="56"/>
        <v>0</v>
      </c>
      <c r="X77" s="41">
        <f t="shared" ref="X77:Y77" si="61">X71-X73-X74+X75-X76</f>
        <v>0</v>
      </c>
      <c r="Y77" s="41">
        <f t="shared" si="61"/>
        <v>0</v>
      </c>
      <c r="Z77" s="52">
        <f t="shared" si="56"/>
        <v>0</v>
      </c>
      <c r="AA77" s="80">
        <f t="shared" si="56"/>
        <v>0</v>
      </c>
      <c r="AB77" s="41">
        <f t="shared" si="56"/>
        <v>0</v>
      </c>
      <c r="AC77" s="41">
        <f t="shared" si="56"/>
        <v>-113678.77105505277</v>
      </c>
      <c r="AD77" s="41">
        <f t="shared" si="56"/>
        <v>0</v>
      </c>
      <c r="AE77" s="41">
        <f t="shared" ref="AE77" si="62">AE71-AE73-AE74+AE75-AE76</f>
        <v>0</v>
      </c>
      <c r="AF77" s="41">
        <f t="shared" si="56"/>
        <v>469224.70163564396</v>
      </c>
      <c r="AG77" s="41">
        <f t="shared" si="56"/>
        <v>0</v>
      </c>
      <c r="AH77" s="41">
        <f t="shared" si="56"/>
        <v>-178161.64164520008</v>
      </c>
      <c r="AI77" s="52">
        <f t="shared" si="56"/>
        <v>-34004.906666666662</v>
      </c>
    </row>
    <row r="78" spans="1:35">
      <c r="A78" s="61"/>
      <c r="B78" s="86"/>
      <c r="C78" s="20"/>
      <c r="D78" s="17"/>
      <c r="E78" s="65"/>
      <c r="F78" s="17"/>
      <c r="G78" s="22"/>
      <c r="H78" s="20"/>
      <c r="I78" s="17"/>
      <c r="J78" s="17"/>
      <c r="K78" s="17"/>
      <c r="L78" s="22"/>
      <c r="M78" s="20"/>
      <c r="N78" s="17"/>
      <c r="O78" s="17"/>
      <c r="P78" s="22"/>
      <c r="Q78" s="86"/>
      <c r="R78" s="148"/>
      <c r="S78" s="17"/>
      <c r="T78" s="17"/>
      <c r="U78" s="17"/>
      <c r="V78" s="17"/>
      <c r="W78" s="17"/>
      <c r="X78" s="17"/>
      <c r="Y78" s="17"/>
      <c r="Z78" s="22"/>
      <c r="AA78" s="148"/>
      <c r="AB78" s="17"/>
      <c r="AC78" s="17"/>
      <c r="AD78" s="17"/>
      <c r="AE78" s="17"/>
      <c r="AF78" s="17"/>
      <c r="AG78" s="17"/>
      <c r="AH78" s="17"/>
      <c r="AI78" s="22"/>
    </row>
    <row r="79" spans="1:35">
      <c r="A79" s="61" t="s">
        <v>128</v>
      </c>
      <c r="B79" s="166"/>
      <c r="C79" s="20"/>
      <c r="D79" s="17"/>
      <c r="E79" s="65"/>
      <c r="F79" s="17"/>
      <c r="G79" s="22"/>
      <c r="H79" s="20"/>
      <c r="I79" s="17"/>
      <c r="J79" s="17"/>
      <c r="K79" s="17"/>
      <c r="L79" s="22"/>
      <c r="M79" s="20"/>
      <c r="N79" s="17"/>
      <c r="O79" s="17"/>
      <c r="P79" s="22"/>
      <c r="Q79" s="86"/>
      <c r="R79" s="158"/>
      <c r="S79" s="57"/>
      <c r="T79" s="57"/>
      <c r="U79" s="57"/>
      <c r="V79" s="57"/>
      <c r="W79" s="57"/>
      <c r="X79" s="57"/>
      <c r="Y79" s="57"/>
      <c r="Z79" s="124"/>
      <c r="AA79" s="158"/>
      <c r="AB79" s="57"/>
      <c r="AC79" s="57"/>
      <c r="AD79" s="57"/>
      <c r="AE79" s="57"/>
      <c r="AF79" s="57"/>
      <c r="AG79" s="57"/>
      <c r="AH79" s="57"/>
      <c r="AI79" s="124"/>
    </row>
    <row r="80" spans="1:35">
      <c r="A80" s="61" t="s">
        <v>129</v>
      </c>
      <c r="B80" s="166">
        <f>SUM(C80:AI80)</f>
        <v>375664.01882400439</v>
      </c>
      <c r="C80" s="20">
        <f>C77-C79</f>
        <v>-6704444.6599999983</v>
      </c>
      <c r="D80" s="17">
        <f t="shared" ref="D80:AI80" si="63">D77-D79</f>
        <v>-1675551.9299999899</v>
      </c>
      <c r="E80" s="65">
        <f t="shared" si="63"/>
        <v>-270313.92224593129</v>
      </c>
      <c r="F80" s="17">
        <f t="shared" si="63"/>
        <v>-4211638.5008969298</v>
      </c>
      <c r="G80" s="22">
        <f t="shared" si="63"/>
        <v>110044.43433739353</v>
      </c>
      <c r="H80" s="20">
        <f t="shared" si="63"/>
        <v>44276.189880881328</v>
      </c>
      <c r="I80" s="17">
        <f t="shared" si="63"/>
        <v>-28923.57647283293</v>
      </c>
      <c r="J80" s="17">
        <f t="shared" si="63"/>
        <v>78012.306832735296</v>
      </c>
      <c r="K80" s="17">
        <f t="shared" si="63"/>
        <v>6244311.3131956439</v>
      </c>
      <c r="L80" s="22">
        <f t="shared" si="63"/>
        <v>196627.0472892508</v>
      </c>
      <c r="M80" s="20">
        <f t="shared" si="63"/>
        <v>11000080.821349347</v>
      </c>
      <c r="N80" s="17">
        <f t="shared" si="63"/>
        <v>-152282.21898382137</v>
      </c>
      <c r="O80" s="17">
        <f t="shared" si="63"/>
        <v>-8025121</v>
      </c>
      <c r="P80" s="22">
        <f t="shared" si="63"/>
        <v>80332.525278485322</v>
      </c>
      <c r="Q80" s="86">
        <f t="shared" si="63"/>
        <v>0</v>
      </c>
      <c r="R80" s="158">
        <f t="shared" si="63"/>
        <v>3763889.0132600106</v>
      </c>
      <c r="S80" s="57">
        <f t="shared" si="63"/>
        <v>0</v>
      </c>
      <c r="T80" s="57">
        <f t="shared" si="63"/>
        <v>0</v>
      </c>
      <c r="U80" s="57">
        <f t="shared" si="63"/>
        <v>0</v>
      </c>
      <c r="V80" s="57">
        <f t="shared" si="63"/>
        <v>-217013.20626896209</v>
      </c>
      <c r="W80" s="57">
        <f t="shared" si="63"/>
        <v>0</v>
      </c>
      <c r="X80" s="57">
        <f t="shared" si="63"/>
        <v>0</v>
      </c>
      <c r="Y80" s="57">
        <f t="shared" si="63"/>
        <v>0</v>
      </c>
      <c r="Z80" s="124">
        <f t="shared" si="63"/>
        <v>0</v>
      </c>
      <c r="AA80" s="158">
        <f t="shared" si="63"/>
        <v>0</v>
      </c>
      <c r="AB80" s="57">
        <f t="shared" si="63"/>
        <v>0</v>
      </c>
      <c r="AC80" s="57">
        <f t="shared" si="63"/>
        <v>-113678.77105505277</v>
      </c>
      <c r="AD80" s="57">
        <f t="shared" si="63"/>
        <v>0</v>
      </c>
      <c r="AE80" s="57">
        <f t="shared" si="63"/>
        <v>0</v>
      </c>
      <c r="AF80" s="57">
        <f t="shared" si="63"/>
        <v>469224.70163564396</v>
      </c>
      <c r="AG80" s="57">
        <f t="shared" si="63"/>
        <v>0</v>
      </c>
      <c r="AH80" s="57">
        <f t="shared" si="63"/>
        <v>-178161.64164520008</v>
      </c>
      <c r="AI80" s="124">
        <f t="shared" si="63"/>
        <v>-34004.906666666662</v>
      </c>
    </row>
    <row r="81" spans="1:35">
      <c r="A81" s="61"/>
      <c r="B81" s="166"/>
      <c r="C81" s="20"/>
      <c r="D81" s="17"/>
      <c r="E81" s="65"/>
      <c r="F81" s="17"/>
      <c r="G81" s="22"/>
      <c r="H81" s="20"/>
      <c r="I81" s="17"/>
      <c r="J81" s="17"/>
      <c r="K81" s="17"/>
      <c r="L81" s="22"/>
      <c r="M81" s="20"/>
      <c r="N81" s="17"/>
      <c r="O81" s="17"/>
      <c r="P81" s="22"/>
      <c r="Q81" s="86"/>
      <c r="R81" s="158"/>
      <c r="S81" s="57"/>
      <c r="T81" s="57"/>
      <c r="U81" s="57"/>
      <c r="V81" s="57"/>
      <c r="W81" s="57"/>
      <c r="X81" s="57"/>
      <c r="Y81" s="57"/>
      <c r="Z81" s="124"/>
      <c r="AA81" s="158"/>
      <c r="AB81" s="57"/>
      <c r="AC81" s="57"/>
      <c r="AD81" s="57"/>
      <c r="AE81" s="57"/>
      <c r="AF81" s="57"/>
      <c r="AG81" s="57"/>
      <c r="AH81" s="57"/>
      <c r="AI81" s="124"/>
    </row>
    <row r="82" spans="1:35">
      <c r="A82" s="61" t="s">
        <v>202</v>
      </c>
      <c r="B82" s="166">
        <f>SUM(C82:AI82)</f>
        <v>131482.40658840319</v>
      </c>
      <c r="C82" s="20">
        <f>C80*0.35</f>
        <v>-2346555.6309999991</v>
      </c>
      <c r="D82" s="17">
        <f t="shared" ref="D82:AI82" si="64">D80*0.35</f>
        <v>-586443.1754999964</v>
      </c>
      <c r="E82" s="65">
        <f t="shared" si="64"/>
        <v>-94609.872786075939</v>
      </c>
      <c r="F82" s="17">
        <f t="shared" si="64"/>
        <v>-1474073.4753139254</v>
      </c>
      <c r="G82" s="22">
        <f t="shared" si="64"/>
        <v>38515.552018087728</v>
      </c>
      <c r="H82" s="20">
        <f t="shared" si="64"/>
        <v>15496.666458308464</v>
      </c>
      <c r="I82" s="17">
        <f t="shared" si="64"/>
        <v>-10123.251765491525</v>
      </c>
      <c r="J82" s="17">
        <f t="shared" si="64"/>
        <v>27304.307391457351</v>
      </c>
      <c r="K82" s="17">
        <f t="shared" si="64"/>
        <v>2185508.9596184753</v>
      </c>
      <c r="L82" s="22">
        <f t="shared" si="64"/>
        <v>68819.466551237769</v>
      </c>
      <c r="M82" s="20">
        <f t="shared" si="64"/>
        <v>3850028.2874722714</v>
      </c>
      <c r="N82" s="17">
        <f t="shared" si="64"/>
        <v>-53298.776644337479</v>
      </c>
      <c r="O82" s="17">
        <f t="shared" si="64"/>
        <v>-2808792.3499999996</v>
      </c>
      <c r="P82" s="22">
        <f t="shared" si="64"/>
        <v>28116.38384746986</v>
      </c>
      <c r="Q82" s="86">
        <f t="shared" si="64"/>
        <v>0</v>
      </c>
      <c r="R82" s="158">
        <f t="shared" si="64"/>
        <v>1317361.1546410036</v>
      </c>
      <c r="S82" s="57">
        <f t="shared" si="64"/>
        <v>0</v>
      </c>
      <c r="T82" s="57">
        <f t="shared" si="64"/>
        <v>0</v>
      </c>
      <c r="U82" s="57">
        <f t="shared" si="64"/>
        <v>0</v>
      </c>
      <c r="V82" s="57">
        <f t="shared" si="64"/>
        <v>-75954.622194136726</v>
      </c>
      <c r="W82" s="57">
        <f t="shared" si="64"/>
        <v>0</v>
      </c>
      <c r="X82" s="57">
        <f t="shared" si="64"/>
        <v>0</v>
      </c>
      <c r="Y82" s="57">
        <f t="shared" si="64"/>
        <v>0</v>
      </c>
      <c r="Z82" s="124">
        <f t="shared" si="64"/>
        <v>0</v>
      </c>
      <c r="AA82" s="158">
        <f t="shared" si="64"/>
        <v>0</v>
      </c>
      <c r="AB82" s="57">
        <f t="shared" si="64"/>
        <v>0</v>
      </c>
      <c r="AC82" s="57">
        <f t="shared" si="64"/>
        <v>-39787.569869268467</v>
      </c>
      <c r="AD82" s="57">
        <f t="shared" si="64"/>
        <v>0</v>
      </c>
      <c r="AE82" s="57">
        <f t="shared" si="64"/>
        <v>0</v>
      </c>
      <c r="AF82" s="57">
        <f t="shared" si="64"/>
        <v>164228.64557247536</v>
      </c>
      <c r="AG82" s="57">
        <f t="shared" si="64"/>
        <v>0</v>
      </c>
      <c r="AH82" s="57">
        <f t="shared" si="64"/>
        <v>-62356.574575820028</v>
      </c>
      <c r="AI82" s="124">
        <f t="shared" si="64"/>
        <v>-11901.71733333333</v>
      </c>
    </row>
    <row r="83" spans="1:35">
      <c r="A83" s="61" t="s">
        <v>203</v>
      </c>
      <c r="B83" s="166">
        <f>SUM(C83:AI83)</f>
        <v>0</v>
      </c>
      <c r="C83" s="20"/>
      <c r="D83" s="17"/>
      <c r="E83" s="65"/>
      <c r="F83" s="17"/>
      <c r="G83" s="22"/>
      <c r="H83" s="20"/>
      <c r="I83" s="17"/>
      <c r="J83" s="17"/>
      <c r="K83" s="17"/>
      <c r="L83" s="22"/>
      <c r="M83" s="20"/>
      <c r="N83" s="17"/>
      <c r="O83" s="17"/>
      <c r="P83" s="22"/>
      <c r="Q83" s="86"/>
      <c r="R83" s="158"/>
      <c r="S83" s="57"/>
      <c r="T83" s="57"/>
      <c r="U83" s="57"/>
      <c r="V83" s="57"/>
      <c r="W83" s="57"/>
      <c r="X83" s="57"/>
      <c r="Y83" s="57"/>
      <c r="Z83" s="124"/>
      <c r="AA83" s="158"/>
      <c r="AB83" s="57"/>
      <c r="AC83" s="57"/>
      <c r="AD83" s="57"/>
      <c r="AE83" s="57"/>
      <c r="AF83" s="57"/>
      <c r="AG83" s="57"/>
      <c r="AH83" s="57"/>
      <c r="AI83" s="124"/>
    </row>
    <row r="84" spans="1:35" s="57" customFormat="1" ht="13.5" thickBot="1">
      <c r="A84" s="61" t="s">
        <v>204</v>
      </c>
      <c r="B84" s="167">
        <f>SUM(C84:AI84)</f>
        <v>131482.40658840319</v>
      </c>
      <c r="C84" s="126">
        <f>C82+C83</f>
        <v>-2346555.6309999991</v>
      </c>
      <c r="D84" s="127">
        <f t="shared" ref="D84:AI84" si="65">D82+D83</f>
        <v>-586443.1754999964</v>
      </c>
      <c r="E84" s="128">
        <f t="shared" si="65"/>
        <v>-94609.872786075939</v>
      </c>
      <c r="F84" s="127">
        <f t="shared" si="65"/>
        <v>-1474073.4753139254</v>
      </c>
      <c r="G84" s="129">
        <f t="shared" si="65"/>
        <v>38515.552018087728</v>
      </c>
      <c r="H84" s="126">
        <f t="shared" si="65"/>
        <v>15496.666458308464</v>
      </c>
      <c r="I84" s="127">
        <f t="shared" si="65"/>
        <v>-10123.251765491525</v>
      </c>
      <c r="J84" s="127">
        <f t="shared" si="65"/>
        <v>27304.307391457351</v>
      </c>
      <c r="K84" s="127">
        <f t="shared" si="65"/>
        <v>2185508.9596184753</v>
      </c>
      <c r="L84" s="129">
        <f t="shared" si="65"/>
        <v>68819.466551237769</v>
      </c>
      <c r="M84" s="126">
        <f t="shared" si="65"/>
        <v>3850028.2874722714</v>
      </c>
      <c r="N84" s="127">
        <f t="shared" si="65"/>
        <v>-53298.776644337479</v>
      </c>
      <c r="O84" s="127">
        <f t="shared" si="65"/>
        <v>-2808792.3499999996</v>
      </c>
      <c r="P84" s="129">
        <f t="shared" si="65"/>
        <v>28116.38384746986</v>
      </c>
      <c r="Q84" s="130">
        <f t="shared" si="65"/>
        <v>0</v>
      </c>
      <c r="R84" s="159">
        <f t="shared" si="65"/>
        <v>1317361.1546410036</v>
      </c>
      <c r="S84" s="62">
        <f t="shared" si="65"/>
        <v>0</v>
      </c>
      <c r="T84" s="62">
        <f t="shared" si="65"/>
        <v>0</v>
      </c>
      <c r="U84" s="62">
        <f t="shared" si="65"/>
        <v>0</v>
      </c>
      <c r="V84" s="62">
        <f t="shared" si="65"/>
        <v>-75954.622194136726</v>
      </c>
      <c r="W84" s="62">
        <f t="shared" si="65"/>
        <v>0</v>
      </c>
      <c r="X84" s="62">
        <f t="shared" si="65"/>
        <v>0</v>
      </c>
      <c r="Y84" s="62">
        <f t="shared" si="65"/>
        <v>0</v>
      </c>
      <c r="Z84" s="63">
        <f t="shared" si="65"/>
        <v>0</v>
      </c>
      <c r="AA84" s="159">
        <f t="shared" si="65"/>
        <v>0</v>
      </c>
      <c r="AB84" s="62">
        <f t="shared" si="65"/>
        <v>0</v>
      </c>
      <c r="AC84" s="62">
        <f t="shared" si="65"/>
        <v>-39787.569869268467</v>
      </c>
      <c r="AD84" s="62">
        <f t="shared" si="65"/>
        <v>0</v>
      </c>
      <c r="AE84" s="62">
        <f t="shared" si="65"/>
        <v>0</v>
      </c>
      <c r="AF84" s="62">
        <f t="shared" si="65"/>
        <v>164228.64557247536</v>
      </c>
      <c r="AG84" s="62">
        <f t="shared" si="65"/>
        <v>0</v>
      </c>
      <c r="AH84" s="62">
        <f t="shared" si="65"/>
        <v>-62356.574575820028</v>
      </c>
      <c r="AI84" s="63">
        <f t="shared" si="65"/>
        <v>-11901.71733333333</v>
      </c>
    </row>
    <row r="85" spans="1:35" s="57" customFormat="1">
      <c r="A85" s="61"/>
      <c r="B85" s="41"/>
      <c r="C85" s="41"/>
      <c r="D85" s="41"/>
      <c r="E85" s="73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73"/>
      <c r="S85" s="41"/>
      <c r="T85" s="41"/>
      <c r="U85" s="41"/>
      <c r="V85" s="41"/>
      <c r="W85" s="41"/>
      <c r="X85" s="41"/>
      <c r="Y85" s="41"/>
      <c r="Z85" s="41"/>
      <c r="AA85" s="73"/>
      <c r="AB85" s="41"/>
      <c r="AC85" s="41"/>
      <c r="AD85" s="41"/>
      <c r="AE85" s="41"/>
      <c r="AF85" s="41"/>
      <c r="AG85" s="41"/>
      <c r="AH85" s="41"/>
      <c r="AI85" s="41"/>
    </row>
    <row r="86" spans="1:35" s="57" customFormat="1">
      <c r="A86" s="61"/>
      <c r="B86" s="61"/>
      <c r="C86" s="61"/>
      <c r="D86" s="61"/>
      <c r="E86" s="76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76"/>
      <c r="S86" s="61"/>
      <c r="T86" s="61"/>
      <c r="U86" s="61"/>
      <c r="V86" s="61"/>
      <c r="W86" s="61"/>
      <c r="X86" s="61"/>
      <c r="Y86" s="61"/>
      <c r="Z86" s="61"/>
      <c r="AA86" s="76"/>
      <c r="AB86" s="61"/>
      <c r="AC86" s="61"/>
      <c r="AD86" s="61"/>
      <c r="AE86" s="61"/>
      <c r="AF86" s="61"/>
      <c r="AG86" s="61"/>
      <c r="AH86" s="61"/>
      <c r="AI86" s="61"/>
    </row>
    <row r="87" spans="1:35" s="57" customFormat="1">
      <c r="A87" s="98"/>
      <c r="B87" s="17"/>
      <c r="C87" s="17"/>
      <c r="D87" s="17"/>
      <c r="E87" s="65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65"/>
      <c r="S87" s="17"/>
      <c r="T87" s="17"/>
      <c r="U87" s="17"/>
      <c r="V87" s="17"/>
      <c r="W87" s="17"/>
      <c r="X87" s="17"/>
      <c r="Y87" s="17"/>
      <c r="Z87" s="17"/>
      <c r="AA87" s="65"/>
      <c r="AB87" s="17"/>
      <c r="AC87" s="17"/>
      <c r="AD87" s="17"/>
      <c r="AE87" s="17"/>
      <c r="AF87" s="17"/>
      <c r="AG87" s="17"/>
      <c r="AH87" s="17"/>
      <c r="AI87" s="17"/>
    </row>
    <row r="88" spans="1:35" s="57" customFormat="1">
      <c r="A88" s="61"/>
      <c r="B88" s="17"/>
      <c r="C88" s="17"/>
      <c r="D88" s="17"/>
      <c r="E88" s="65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65"/>
      <c r="S88" s="17"/>
      <c r="T88" s="17"/>
      <c r="U88" s="17"/>
      <c r="V88" s="17"/>
      <c r="W88" s="17"/>
      <c r="X88" s="17"/>
      <c r="Y88" s="17"/>
      <c r="Z88" s="17"/>
      <c r="AA88" s="65"/>
      <c r="AB88" s="17"/>
      <c r="AC88" s="17"/>
      <c r="AD88" s="17"/>
      <c r="AE88" s="17"/>
      <c r="AF88" s="17"/>
      <c r="AG88" s="17"/>
      <c r="AH88" s="17"/>
      <c r="AI88" s="17"/>
    </row>
    <row r="89" spans="1:35" s="57" customFormat="1">
      <c r="A89" s="61"/>
      <c r="E89" s="2"/>
      <c r="R89" s="2"/>
      <c r="AA89" s="2"/>
    </row>
    <row r="90" spans="1:35" s="57" customFormat="1">
      <c r="A90" s="123"/>
      <c r="E90" s="2"/>
      <c r="R90" s="2"/>
      <c r="AA90" s="2"/>
    </row>
  </sheetData>
  <mergeCells count="1">
    <mergeCell ref="AA4:AI4"/>
  </mergeCells>
  <phoneticPr fontId="2" type="noConversion"/>
  <pageMargins left="0.5" right="0.5" top="0.5" bottom="0.5" header="0.5" footer="0.5"/>
  <pageSetup scale="57" fitToWidth="6" orientation="portrait" r:id="rId1"/>
  <headerFooter alignWithMargins="0">
    <oddHeader xml:space="preserve">&amp;L
&amp;R
</oddHeader>
  </headerFooter>
  <colBreaks count="4" manualBreakCount="4">
    <brk id="7" max="1048575" man="1"/>
    <brk id="12" max="83" man="1"/>
    <brk id="17" max="1048575" man="1"/>
    <brk id="2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S91"/>
  <sheetViews>
    <sheetView zoomScale="85" zoomScaleNormal="85" zoomScaleSheetLayoutView="85" workbookViewId="0">
      <pane xSplit="1" ySplit="6" topLeftCell="B46" activePane="bottomRight" state="frozen"/>
      <selection pane="topRight" activeCell="B1" sqref="B1"/>
      <selection pane="bottomLeft" activeCell="A7" sqref="A7"/>
      <selection pane="bottomRight" activeCell="A7" sqref="A7"/>
    </sheetView>
  </sheetViews>
  <sheetFormatPr defaultRowHeight="12.75"/>
  <cols>
    <col min="1" max="1" width="40.42578125" style="3" customWidth="1"/>
    <col min="2" max="10" width="13.7109375" style="3" customWidth="1"/>
    <col min="11" max="11" width="13.7109375" style="77" customWidth="1"/>
    <col min="12" max="14" width="13.7109375" style="3" customWidth="1"/>
    <col min="15" max="15" width="13.7109375" style="77" customWidth="1"/>
    <col min="16" max="20" width="13.7109375" style="3" customWidth="1"/>
    <col min="21" max="16384" width="9.140625" style="3"/>
  </cols>
  <sheetData>
    <row r="1" spans="1:19">
      <c r="A1" s="5" t="s">
        <v>61</v>
      </c>
    </row>
    <row r="2" spans="1:19">
      <c r="A2" s="1" t="s">
        <v>220</v>
      </c>
    </row>
    <row r="3" spans="1:19" ht="13.5" thickBot="1">
      <c r="A3" s="1" t="s">
        <v>66</v>
      </c>
      <c r="B3" s="57"/>
    </row>
    <row r="4" spans="1:19" ht="13.5" thickBot="1">
      <c r="A4" s="5"/>
      <c r="B4" s="168"/>
      <c r="C4" s="99" t="s">
        <v>44</v>
      </c>
      <c r="D4" s="103"/>
      <c r="E4" s="99" t="s">
        <v>45</v>
      </c>
      <c r="F4" s="101"/>
      <c r="G4" s="102"/>
      <c r="H4" s="99" t="s">
        <v>46</v>
      </c>
      <c r="I4" s="103"/>
      <c r="J4" s="104" t="s">
        <v>42</v>
      </c>
      <c r="K4" s="6" t="s">
        <v>47</v>
      </c>
      <c r="L4" s="100"/>
      <c r="M4" s="100"/>
      <c r="N4" s="103"/>
      <c r="O4" s="6" t="s">
        <v>48</v>
      </c>
      <c r="P4" s="101"/>
      <c r="Q4" s="102"/>
      <c r="R4" s="99" t="s">
        <v>64</v>
      </c>
      <c r="S4" s="102"/>
    </row>
    <row r="5" spans="1:19">
      <c r="B5" s="84"/>
      <c r="C5" s="11" t="s">
        <v>3</v>
      </c>
      <c r="D5" s="12" t="s">
        <v>6</v>
      </c>
      <c r="E5" s="11" t="s">
        <v>8</v>
      </c>
      <c r="F5" s="10" t="s">
        <v>9</v>
      </c>
      <c r="G5" s="12" t="s">
        <v>52</v>
      </c>
      <c r="H5" s="11" t="s">
        <v>59</v>
      </c>
      <c r="I5" s="12" t="s">
        <v>51</v>
      </c>
      <c r="J5" s="84" t="s">
        <v>14</v>
      </c>
      <c r="K5" s="160" t="s">
        <v>15</v>
      </c>
      <c r="L5" s="10" t="s">
        <v>17</v>
      </c>
      <c r="M5" s="10" t="s">
        <v>19</v>
      </c>
      <c r="N5" s="12" t="s">
        <v>24</v>
      </c>
      <c r="O5" s="160" t="s">
        <v>25</v>
      </c>
      <c r="P5" s="10" t="s">
        <v>31</v>
      </c>
      <c r="Q5" s="12" t="s">
        <v>34</v>
      </c>
      <c r="R5" s="11" t="s">
        <v>35</v>
      </c>
      <c r="S5" s="12" t="s">
        <v>60</v>
      </c>
    </row>
    <row r="6" spans="1:19" s="5" customFormat="1" ht="63" customHeight="1">
      <c r="B6" s="108" t="s">
        <v>49</v>
      </c>
      <c r="C6" s="106" t="s">
        <v>162</v>
      </c>
      <c r="D6" s="107" t="s">
        <v>134</v>
      </c>
      <c r="E6" s="106" t="s">
        <v>165</v>
      </c>
      <c r="F6" s="105" t="s">
        <v>166</v>
      </c>
      <c r="G6" s="107" t="s">
        <v>167</v>
      </c>
      <c r="H6" s="106" t="s">
        <v>163</v>
      </c>
      <c r="I6" s="107" t="s">
        <v>164</v>
      </c>
      <c r="J6" s="108" t="s">
        <v>144</v>
      </c>
      <c r="K6" s="173" t="s">
        <v>145</v>
      </c>
      <c r="L6" s="109" t="s">
        <v>170</v>
      </c>
      <c r="M6" s="105" t="s">
        <v>171</v>
      </c>
      <c r="N6" s="107" t="s">
        <v>172</v>
      </c>
      <c r="O6" s="169" t="s">
        <v>154</v>
      </c>
      <c r="P6" s="105" t="s">
        <v>168</v>
      </c>
      <c r="Q6" s="107" t="s">
        <v>169</v>
      </c>
      <c r="R6" s="106" t="s">
        <v>173</v>
      </c>
      <c r="S6" s="107" t="s">
        <v>174</v>
      </c>
    </row>
    <row r="7" spans="1:19">
      <c r="A7" s="57"/>
      <c r="B7" s="86"/>
      <c r="C7" s="20"/>
      <c r="D7" s="22"/>
      <c r="E7" s="21"/>
      <c r="F7" s="17"/>
      <c r="G7" s="23"/>
      <c r="H7" s="21"/>
      <c r="I7" s="22"/>
      <c r="J7" s="86"/>
      <c r="K7" s="162"/>
      <c r="L7" s="19"/>
      <c r="M7" s="17"/>
      <c r="N7" s="22"/>
      <c r="O7" s="148"/>
      <c r="P7" s="17"/>
      <c r="Q7" s="23"/>
      <c r="R7" s="20"/>
      <c r="S7" s="23"/>
    </row>
    <row r="8" spans="1:19">
      <c r="A8" s="61" t="s">
        <v>68</v>
      </c>
      <c r="B8" s="86"/>
      <c r="C8" s="20"/>
      <c r="D8" s="22"/>
      <c r="E8" s="20"/>
      <c r="F8" s="17"/>
      <c r="G8" s="22"/>
      <c r="H8" s="20"/>
      <c r="I8" s="22"/>
      <c r="J8" s="86"/>
      <c r="K8" s="148"/>
      <c r="L8" s="17"/>
      <c r="M8" s="17"/>
      <c r="N8" s="22"/>
      <c r="O8" s="148"/>
      <c r="P8" s="17"/>
      <c r="Q8" s="22"/>
      <c r="R8" s="20"/>
      <c r="S8" s="22"/>
    </row>
    <row r="9" spans="1:19">
      <c r="A9" s="61" t="s">
        <v>69</v>
      </c>
      <c r="B9" s="90">
        <f>SUM(C9:FP9)</f>
        <v>12402155.109999999</v>
      </c>
      <c r="C9" s="27">
        <f>'[3]Lead Sheet 3.3'!$I$14</f>
        <v>12402155.109999999</v>
      </c>
      <c r="D9" s="30"/>
      <c r="E9" s="26"/>
      <c r="F9" s="25"/>
      <c r="G9" s="30"/>
      <c r="H9" s="26"/>
      <c r="I9" s="29"/>
      <c r="J9" s="87"/>
      <c r="K9" s="150"/>
      <c r="L9" s="28"/>
      <c r="M9" s="28"/>
      <c r="N9" s="29"/>
      <c r="O9" s="149"/>
      <c r="P9" s="25"/>
      <c r="Q9" s="30"/>
      <c r="R9" s="27"/>
      <c r="S9" s="30"/>
    </row>
    <row r="10" spans="1:19">
      <c r="A10" s="61" t="s">
        <v>70</v>
      </c>
      <c r="B10" s="87">
        <f t="shared" ref="B10:B12" si="0">SUM(C10:FP10)</f>
        <v>0</v>
      </c>
      <c r="C10" s="26"/>
      <c r="D10" s="29"/>
      <c r="E10" s="26"/>
      <c r="F10" s="28"/>
      <c r="G10" s="29"/>
      <c r="H10" s="26"/>
      <c r="I10" s="29"/>
      <c r="J10" s="87"/>
      <c r="K10" s="150"/>
      <c r="L10" s="28"/>
      <c r="M10" s="28"/>
      <c r="N10" s="29"/>
      <c r="O10" s="150"/>
      <c r="P10" s="28"/>
      <c r="Q10" s="30"/>
      <c r="R10" s="26"/>
      <c r="S10" s="30"/>
    </row>
    <row r="11" spans="1:19">
      <c r="A11" s="61" t="s">
        <v>71</v>
      </c>
      <c r="B11" s="87">
        <f t="shared" si="0"/>
        <v>-43556536.002498887</v>
      </c>
      <c r="C11" s="26"/>
      <c r="D11" s="29"/>
      <c r="E11" s="26"/>
      <c r="F11" s="28"/>
      <c r="G11" s="29"/>
      <c r="H11" s="26">
        <f>'[4]Lead Sheet - 5.2'!$I$13</f>
        <v>-43487526.543622248</v>
      </c>
      <c r="I11" s="29"/>
      <c r="J11" s="87"/>
      <c r="K11" s="150"/>
      <c r="L11" s="28"/>
      <c r="M11" s="28"/>
      <c r="N11" s="29"/>
      <c r="O11" s="150"/>
      <c r="P11" s="28"/>
      <c r="Q11" s="30"/>
      <c r="R11" s="26"/>
      <c r="S11" s="30">
        <f>'[32]Lead Sheet'!$I$46</f>
        <v>-69009.458876639605</v>
      </c>
    </row>
    <row r="12" spans="1:19">
      <c r="A12" s="61" t="s">
        <v>72</v>
      </c>
      <c r="B12" s="87">
        <f t="shared" si="0"/>
        <v>-1833131.8684714881</v>
      </c>
      <c r="C12" s="26"/>
      <c r="D12" s="29">
        <f>'[6]Lead Sheet'!$I$12</f>
        <v>-17062.670165353691</v>
      </c>
      <c r="E12" s="26"/>
      <c r="F12" s="28"/>
      <c r="G12" s="29"/>
      <c r="H12" s="26"/>
      <c r="I12" s="29">
        <f>'[33]Lead Sheet WA'!$H$11</f>
        <v>1178569.3667911782</v>
      </c>
      <c r="J12" s="87"/>
      <c r="K12" s="150"/>
      <c r="L12" s="28"/>
      <c r="M12" s="28"/>
      <c r="N12" s="29"/>
      <c r="O12" s="150"/>
      <c r="P12" s="28"/>
      <c r="Q12" s="30">
        <f>'[34]Lead Sheet'!$I$10</f>
        <v>-3000000</v>
      </c>
      <c r="R12" s="26"/>
      <c r="S12" s="30">
        <f>'[32]Lead Sheet'!$I$56+'[32]Lead Sheet'!$I$71</f>
        <v>5361.4349026873242</v>
      </c>
    </row>
    <row r="13" spans="1:19">
      <c r="A13" s="61" t="s">
        <v>73</v>
      </c>
      <c r="B13" s="88">
        <f t="shared" ref="B13" si="1">SUM(C13:S13)</f>
        <v>-32987512.760970376</v>
      </c>
      <c r="C13" s="33">
        <f t="shared" ref="C13:R13" si="2">SUM(C9:C12)</f>
        <v>12402155.109999999</v>
      </c>
      <c r="D13" s="34">
        <f t="shared" si="2"/>
        <v>-17062.670165353691</v>
      </c>
      <c r="E13" s="33">
        <f t="shared" si="2"/>
        <v>0</v>
      </c>
      <c r="F13" s="31">
        <f t="shared" si="2"/>
        <v>0</v>
      </c>
      <c r="G13" s="34">
        <f t="shared" si="2"/>
        <v>0</v>
      </c>
      <c r="H13" s="33">
        <f t="shared" si="2"/>
        <v>-43487526.543622248</v>
      </c>
      <c r="I13" s="34">
        <f t="shared" si="2"/>
        <v>1178569.3667911782</v>
      </c>
      <c r="J13" s="88">
        <f t="shared" si="2"/>
        <v>0</v>
      </c>
      <c r="K13" s="151">
        <f t="shared" si="2"/>
        <v>0</v>
      </c>
      <c r="L13" s="31">
        <f t="shared" si="2"/>
        <v>0</v>
      </c>
      <c r="M13" s="31">
        <f t="shared" si="2"/>
        <v>0</v>
      </c>
      <c r="N13" s="34">
        <f t="shared" si="2"/>
        <v>0</v>
      </c>
      <c r="O13" s="151">
        <f t="shared" si="2"/>
        <v>0</v>
      </c>
      <c r="P13" s="31">
        <f t="shared" si="2"/>
        <v>0</v>
      </c>
      <c r="Q13" s="34">
        <f t="shared" si="2"/>
        <v>-3000000</v>
      </c>
      <c r="R13" s="33">
        <f t="shared" si="2"/>
        <v>0</v>
      </c>
      <c r="S13" s="34">
        <f>SUM(S9:S12)</f>
        <v>-63648.02397395228</v>
      </c>
    </row>
    <row r="14" spans="1:19">
      <c r="A14" s="61"/>
      <c r="B14" s="86"/>
      <c r="C14" s="20"/>
      <c r="D14" s="22"/>
      <c r="E14" s="20"/>
      <c r="F14" s="17"/>
      <c r="G14" s="22"/>
      <c r="H14" s="20"/>
      <c r="I14" s="22"/>
      <c r="J14" s="86"/>
      <c r="K14" s="148"/>
      <c r="L14" s="17"/>
      <c r="M14" s="17"/>
      <c r="N14" s="22"/>
      <c r="O14" s="148"/>
      <c r="P14" s="17"/>
      <c r="Q14" s="22"/>
      <c r="R14" s="20"/>
      <c r="S14" s="22"/>
    </row>
    <row r="15" spans="1:19">
      <c r="A15" s="61" t="s">
        <v>74</v>
      </c>
      <c r="B15" s="86"/>
      <c r="C15" s="20"/>
      <c r="D15" s="22"/>
      <c r="E15" s="20"/>
      <c r="F15" s="17"/>
      <c r="G15" s="22"/>
      <c r="H15" s="20"/>
      <c r="I15" s="22"/>
      <c r="J15" s="86"/>
      <c r="K15" s="149"/>
      <c r="L15" s="17"/>
      <c r="M15" s="17"/>
      <c r="N15" s="22"/>
      <c r="O15" s="148"/>
      <c r="P15" s="17"/>
      <c r="Q15" s="22"/>
      <c r="R15" s="20"/>
      <c r="S15" s="22"/>
    </row>
    <row r="16" spans="1:19">
      <c r="A16" s="61" t="s">
        <v>75</v>
      </c>
      <c r="B16" s="87">
        <f t="shared" ref="B16:B37" si="3">SUM(C16:FP16)</f>
        <v>4164858.837095404</v>
      </c>
      <c r="C16" s="26"/>
      <c r="D16" s="29"/>
      <c r="E16" s="26">
        <f>SUM('[7]Lead Sheet 4.3'!$I$9:$I$19)</f>
        <v>59054.702015338407</v>
      </c>
      <c r="F16" s="28"/>
      <c r="G16" s="29"/>
      <c r="H16" s="26">
        <f>'[4]Lead Sheet - 5.2'!$I$30</f>
        <v>4196528.7116824677</v>
      </c>
      <c r="I16" s="29"/>
      <c r="J16" s="87"/>
      <c r="K16" s="150"/>
      <c r="L16" s="28"/>
      <c r="M16" s="28"/>
      <c r="N16" s="29"/>
      <c r="O16" s="150"/>
      <c r="P16" s="28"/>
      <c r="Q16" s="30"/>
      <c r="R16" s="26">
        <f>SUM('[32]Lead Sheet'!$I$29:$I$34)</f>
        <v>-22243.143699253771</v>
      </c>
      <c r="S16" s="30">
        <f>'[32]Lead Sheet'!$I$51</f>
        <v>-68481.432903148234</v>
      </c>
    </row>
    <row r="17" spans="1:19">
      <c r="A17" s="61" t="s">
        <v>76</v>
      </c>
      <c r="B17" s="87">
        <f t="shared" si="3"/>
        <v>0</v>
      </c>
      <c r="C17" s="26"/>
      <c r="D17" s="29"/>
      <c r="E17" s="26"/>
      <c r="F17" s="28"/>
      <c r="G17" s="29"/>
      <c r="H17" s="26"/>
      <c r="I17" s="29"/>
      <c r="J17" s="87"/>
      <c r="K17" s="150"/>
      <c r="L17" s="28"/>
      <c r="M17" s="28"/>
      <c r="N17" s="29"/>
      <c r="O17" s="150"/>
      <c r="P17" s="28"/>
      <c r="Q17" s="30"/>
      <c r="R17" s="18"/>
      <c r="S17" s="30"/>
    </row>
    <row r="18" spans="1:19">
      <c r="A18" s="61" t="s">
        <v>77</v>
      </c>
      <c r="B18" s="87">
        <f t="shared" si="3"/>
        <v>14128.087987025239</v>
      </c>
      <c r="C18" s="26"/>
      <c r="D18" s="29"/>
      <c r="E18" s="26">
        <f>SUM('[7]Lead Sheet 4.3'!$I$20:$I$23)</f>
        <v>25399.398190712527</v>
      </c>
      <c r="F18" s="28"/>
      <c r="G18" s="29"/>
      <c r="H18" s="26"/>
      <c r="I18" s="29"/>
      <c r="J18" s="87"/>
      <c r="K18" s="150"/>
      <c r="L18" s="28"/>
      <c r="M18" s="28"/>
      <c r="N18" s="29"/>
      <c r="O18" s="150"/>
      <c r="P18" s="28"/>
      <c r="Q18" s="30"/>
      <c r="R18" s="26">
        <f>'[32]Lead Sheet'!$I$35</f>
        <v>-11271.310203687288</v>
      </c>
      <c r="S18" s="30"/>
    </row>
    <row r="19" spans="1:19">
      <c r="A19" s="61" t="s">
        <v>78</v>
      </c>
      <c r="B19" s="87">
        <f t="shared" si="3"/>
        <v>-13760382.152451843</v>
      </c>
      <c r="C19" s="26"/>
      <c r="D19" s="29"/>
      <c r="E19" s="26">
        <f>SUM('[7]Lead Sheet 4.3'!$I$24:$I$32)</f>
        <v>30949.259530558389</v>
      </c>
      <c r="F19" s="28"/>
      <c r="G19" s="29"/>
      <c r="H19" s="26">
        <f>SUM('[4]Lead Sheet - 5.2'!$I$21,'[4]Lead Sheet - 5.2'!$I$31)</f>
        <v>-13589900.378861986</v>
      </c>
      <c r="I19" s="29"/>
      <c r="J19" s="87"/>
      <c r="K19" s="150"/>
      <c r="L19" s="28"/>
      <c r="M19" s="28"/>
      <c r="N19" s="29"/>
      <c r="O19" s="150"/>
      <c r="P19" s="28"/>
      <c r="Q19" s="30"/>
      <c r="R19" s="26">
        <f>SUM('[32]Lead Sheet'!$I$36:$I$42)</f>
        <v>-15101.892281994558</v>
      </c>
      <c r="S19" s="30">
        <f>SUM('[32]Lead Sheet'!$I$52,'[32]Lead Sheet'!$I$47:$I$49)</f>
        <v>-186329.14083842118</v>
      </c>
    </row>
    <row r="20" spans="1:19">
      <c r="A20" s="61" t="s">
        <v>79</v>
      </c>
      <c r="B20" s="87">
        <f t="shared" si="3"/>
        <v>3316493.9365832619</v>
      </c>
      <c r="C20" s="26"/>
      <c r="D20" s="29"/>
      <c r="E20" s="26">
        <f>SUM('[7]Lead Sheet 4.3'!$I$33:$I$40)</f>
        <v>21961.872203814237</v>
      </c>
      <c r="F20" s="28"/>
      <c r="G20" s="29"/>
      <c r="H20" s="26">
        <f>'[4]Lead Sheet - 5.2'!$I$27</f>
        <v>3336530.3943000822</v>
      </c>
      <c r="I20" s="29"/>
      <c r="J20" s="87"/>
      <c r="K20" s="150"/>
      <c r="L20" s="28"/>
      <c r="M20" s="28"/>
      <c r="N20" s="29"/>
      <c r="O20" s="150"/>
      <c r="P20" s="28"/>
      <c r="Q20" s="30"/>
      <c r="R20" s="26"/>
      <c r="S20" s="30">
        <f>'[32]Lead Sheet'!$I$50</f>
        <v>-41998.329920634627</v>
      </c>
    </row>
    <row r="21" spans="1:19">
      <c r="A21" s="61" t="s">
        <v>80</v>
      </c>
      <c r="B21" s="87">
        <f t="shared" si="3"/>
        <v>91505.452370337007</v>
      </c>
      <c r="C21" s="26"/>
      <c r="D21" s="29"/>
      <c r="E21" s="26">
        <f>SUM('[7]Lead Sheet 4.3'!$I$41:$I$44)</f>
        <v>91505.452370337007</v>
      </c>
      <c r="F21" s="28"/>
      <c r="G21" s="29"/>
      <c r="H21" s="26"/>
      <c r="I21" s="29"/>
      <c r="J21" s="87"/>
      <c r="K21" s="150"/>
      <c r="L21" s="28"/>
      <c r="M21" s="28"/>
      <c r="N21" s="29"/>
      <c r="O21" s="150"/>
      <c r="P21" s="28"/>
      <c r="Q21" s="30"/>
      <c r="R21" s="26"/>
      <c r="S21" s="30"/>
    </row>
    <row r="22" spans="1:19">
      <c r="A22" s="61" t="s">
        <v>81</v>
      </c>
      <c r="B22" s="87">
        <f t="shared" si="3"/>
        <v>57733.388162278228</v>
      </c>
      <c r="C22" s="26"/>
      <c r="D22" s="29"/>
      <c r="E22" s="26">
        <f>SUM('[7]Lead Sheet 4.3'!$I$45:$I$46)</f>
        <v>57733.388162278228</v>
      </c>
      <c r="F22" s="28"/>
      <c r="G22" s="29"/>
      <c r="H22" s="26"/>
      <c r="I22" s="29"/>
      <c r="J22" s="87"/>
      <c r="K22" s="150"/>
      <c r="L22" s="28"/>
      <c r="M22" s="28"/>
      <c r="N22" s="29"/>
      <c r="O22" s="150"/>
      <c r="P22" s="28"/>
      <c r="Q22" s="30"/>
      <c r="R22" s="26"/>
      <c r="S22" s="30"/>
    </row>
    <row r="23" spans="1:19">
      <c r="A23" s="61" t="s">
        <v>82</v>
      </c>
      <c r="B23" s="87">
        <f t="shared" si="3"/>
        <v>2679.2924333421715</v>
      </c>
      <c r="C23" s="26"/>
      <c r="D23" s="29"/>
      <c r="E23" s="26">
        <f>SUM('[7]Lead Sheet 4.3'!$I$47:$I$49)</f>
        <v>2679.2924333421715</v>
      </c>
      <c r="F23" s="28"/>
      <c r="G23" s="29"/>
      <c r="H23" s="26"/>
      <c r="I23" s="29"/>
      <c r="J23" s="87"/>
      <c r="K23" s="150"/>
      <c r="L23" s="28"/>
      <c r="M23" s="28"/>
      <c r="N23" s="29"/>
      <c r="O23" s="150"/>
      <c r="P23" s="28"/>
      <c r="Q23" s="30"/>
      <c r="R23" s="26"/>
      <c r="S23" s="30"/>
    </row>
    <row r="24" spans="1:19">
      <c r="A24" s="61" t="s">
        <v>83</v>
      </c>
      <c r="B24" s="87">
        <f t="shared" si="3"/>
        <v>0</v>
      </c>
      <c r="C24" s="26"/>
      <c r="D24" s="29"/>
      <c r="E24" s="26"/>
      <c r="F24" s="28"/>
      <c r="G24" s="29"/>
      <c r="H24" s="26"/>
      <c r="I24" s="29"/>
      <c r="J24" s="87"/>
      <c r="K24" s="150"/>
      <c r="L24" s="28"/>
      <c r="M24" s="28"/>
      <c r="N24" s="29"/>
      <c r="O24" s="150"/>
      <c r="P24" s="28"/>
      <c r="Q24" s="30"/>
      <c r="R24" s="26"/>
      <c r="S24" s="30"/>
    </row>
    <row r="25" spans="1:19">
      <c r="A25" s="61" t="s">
        <v>84</v>
      </c>
      <c r="B25" s="89">
        <f t="shared" si="3"/>
        <v>-1329008.6223783894</v>
      </c>
      <c r="C25" s="37"/>
      <c r="D25" s="39"/>
      <c r="E25" s="37">
        <f>SUM('[7]Lead Sheet 4.3'!$I$50:$I$51)</f>
        <v>84611.366209398097</v>
      </c>
      <c r="F25" s="35">
        <f>'[35]Lead Sheet'!$I$14</f>
        <v>-776572.64858778729</v>
      </c>
      <c r="G25" s="39">
        <f>'[36]Lead Sheet'!$I$10</f>
        <v>-637047.3400000002</v>
      </c>
      <c r="H25" s="37"/>
      <c r="I25" s="39"/>
      <c r="J25" s="89"/>
      <c r="K25" s="152"/>
      <c r="L25" s="35"/>
      <c r="M25" s="35"/>
      <c r="N25" s="39"/>
      <c r="O25" s="152"/>
      <c r="P25" s="35"/>
      <c r="Q25" s="83"/>
      <c r="R25" s="37"/>
      <c r="S25" s="83"/>
    </row>
    <row r="26" spans="1:19">
      <c r="A26" s="61" t="s">
        <v>85</v>
      </c>
      <c r="B26" s="86">
        <f t="shared" si="3"/>
        <v>-7441991.7801985843</v>
      </c>
      <c r="C26" s="20">
        <f t="shared" ref="C26:R26" si="4">SUM(C16:C25)</f>
        <v>0</v>
      </c>
      <c r="D26" s="22">
        <f t="shared" si="4"/>
        <v>0</v>
      </c>
      <c r="E26" s="20">
        <f t="shared" si="4"/>
        <v>373894.73111577908</v>
      </c>
      <c r="F26" s="17">
        <f t="shared" si="4"/>
        <v>-776572.64858778729</v>
      </c>
      <c r="G26" s="22">
        <f t="shared" si="4"/>
        <v>-637047.3400000002</v>
      </c>
      <c r="H26" s="20">
        <v>-6056841.2728794366</v>
      </c>
      <c r="I26" s="22">
        <f t="shared" si="4"/>
        <v>0</v>
      </c>
      <c r="J26" s="86">
        <f t="shared" si="4"/>
        <v>0</v>
      </c>
      <c r="K26" s="148">
        <f t="shared" si="4"/>
        <v>0</v>
      </c>
      <c r="L26" s="17">
        <f t="shared" si="4"/>
        <v>0</v>
      </c>
      <c r="M26" s="17">
        <f t="shared" si="4"/>
        <v>0</v>
      </c>
      <c r="N26" s="22">
        <f t="shared" si="4"/>
        <v>0</v>
      </c>
      <c r="O26" s="148">
        <f t="shared" si="4"/>
        <v>0</v>
      </c>
      <c r="P26" s="17">
        <f t="shared" si="4"/>
        <v>0</v>
      </c>
      <c r="Q26" s="22">
        <f t="shared" si="4"/>
        <v>0</v>
      </c>
      <c r="R26" s="20">
        <f t="shared" si="4"/>
        <v>-48616.346184935617</v>
      </c>
      <c r="S26" s="22">
        <f t="shared" ref="S26" si="5">SUM(S16:S25)</f>
        <v>-296808.90366220404</v>
      </c>
    </row>
    <row r="27" spans="1:19">
      <c r="A27" s="61" t="s">
        <v>86</v>
      </c>
      <c r="B27" s="87">
        <f t="shared" si="3"/>
        <v>-29238.355724457651</v>
      </c>
      <c r="C27" s="26"/>
      <c r="D27" s="29"/>
      <c r="E27" s="26"/>
      <c r="F27" s="28"/>
      <c r="G27" s="29"/>
      <c r="H27" s="26"/>
      <c r="I27" s="29"/>
      <c r="J27" s="87"/>
      <c r="K27" s="150"/>
      <c r="L27" s="28"/>
      <c r="M27" s="28"/>
      <c r="N27" s="29"/>
      <c r="O27" s="150"/>
      <c r="P27" s="28"/>
      <c r="Q27" s="30"/>
      <c r="R27" s="26">
        <f>'[32]Lead Sheet'!$I$27</f>
        <v>-29238.355724457651</v>
      </c>
      <c r="S27" s="30"/>
    </row>
    <row r="28" spans="1:19">
      <c r="A28" s="61" t="s">
        <v>87</v>
      </c>
      <c r="B28" s="87">
        <f t="shared" si="3"/>
        <v>-182288.98018681514</v>
      </c>
      <c r="C28" s="26"/>
      <c r="D28" s="29"/>
      <c r="E28" s="26"/>
      <c r="F28" s="28"/>
      <c r="G28" s="29"/>
      <c r="H28" s="26"/>
      <c r="I28" s="29"/>
      <c r="J28" s="87"/>
      <c r="K28" s="150"/>
      <c r="L28" s="28"/>
      <c r="M28" s="28"/>
      <c r="N28" s="29"/>
      <c r="O28" s="150"/>
      <c r="P28" s="28">
        <f>SUM([37]Leadsheet!$I$9:$I$10)</f>
        <v>-182288.98018681514</v>
      </c>
      <c r="Q28" s="30"/>
      <c r="R28" s="26"/>
      <c r="S28" s="30"/>
    </row>
    <row r="29" spans="1:19">
      <c r="A29" s="61" t="s">
        <v>88</v>
      </c>
      <c r="B29" s="87">
        <f t="shared" si="3"/>
        <v>-428616.54000000004</v>
      </c>
      <c r="C29" s="26"/>
      <c r="D29" s="29"/>
      <c r="E29" s="26"/>
      <c r="F29" s="28"/>
      <c r="G29" s="29"/>
      <c r="H29" s="26"/>
      <c r="I29" s="29"/>
      <c r="J29" s="87"/>
      <c r="K29" s="150"/>
      <c r="L29" s="28"/>
      <c r="M29" s="28">
        <f>'[38]Lead Sheet '!$I$9</f>
        <v>-396368</v>
      </c>
      <c r="N29" s="29">
        <f>'[39]Lead Sheet '!$I$9</f>
        <v>-32248.540000000008</v>
      </c>
      <c r="O29" s="150"/>
      <c r="P29" s="28"/>
      <c r="Q29" s="30"/>
      <c r="R29" s="26"/>
      <c r="S29" s="30"/>
    </row>
    <row r="30" spans="1:19">
      <c r="A30" s="61" t="s">
        <v>89</v>
      </c>
      <c r="B30" s="90">
        <f t="shared" si="3"/>
        <v>-14058518.321996702</v>
      </c>
      <c r="C30" s="27">
        <f>C84</f>
        <v>4340754.2884999998</v>
      </c>
      <c r="D30" s="30">
        <f t="shared" ref="D30:S30" si="6">D84</f>
        <v>-5971.9345578737912</v>
      </c>
      <c r="E30" s="27">
        <f t="shared" si="6"/>
        <v>-130863.15589052267</v>
      </c>
      <c r="F30" s="25">
        <f t="shared" si="6"/>
        <v>-82999.244999999981</v>
      </c>
      <c r="G30" s="30">
        <f t="shared" si="6"/>
        <v>21778.340500024147</v>
      </c>
      <c r="H30" s="27">
        <f t="shared" si="6"/>
        <v>-13100739.844759984</v>
      </c>
      <c r="I30" s="30">
        <f t="shared" si="6"/>
        <v>412499.27837691235</v>
      </c>
      <c r="J30" s="90">
        <f t="shared" si="6"/>
        <v>0</v>
      </c>
      <c r="K30" s="149">
        <f t="shared" si="6"/>
        <v>-87153.633390938674</v>
      </c>
      <c r="L30" s="25">
        <f t="shared" si="6"/>
        <v>-5638736.2665997902</v>
      </c>
      <c r="M30" s="25">
        <f t="shared" si="6"/>
        <v>138728.79999999999</v>
      </c>
      <c r="N30" s="30">
        <f t="shared" si="6"/>
        <v>11286.989000000001</v>
      </c>
      <c r="O30" s="149"/>
      <c r="P30" s="25">
        <f t="shared" si="6"/>
        <v>-45625.120341806462</v>
      </c>
      <c r="Q30" s="30"/>
      <c r="R30" s="27">
        <f t="shared" si="6"/>
        <v>27249.145668287645</v>
      </c>
      <c r="S30" s="30">
        <f t="shared" si="6"/>
        <v>81274.036498990448</v>
      </c>
    </row>
    <row r="31" spans="1:19">
      <c r="A31" s="61" t="s">
        <v>90</v>
      </c>
      <c r="B31" s="90">
        <f t="shared" si="3"/>
        <v>0</v>
      </c>
      <c r="C31" s="27">
        <v>0</v>
      </c>
      <c r="D31" s="30">
        <v>0</v>
      </c>
      <c r="E31" s="27">
        <v>0</v>
      </c>
      <c r="F31" s="25">
        <v>0</v>
      </c>
      <c r="G31" s="30">
        <v>0</v>
      </c>
      <c r="H31" s="27">
        <v>0</v>
      </c>
      <c r="I31" s="30">
        <v>0</v>
      </c>
      <c r="J31" s="90">
        <v>0</v>
      </c>
      <c r="K31" s="149">
        <v>0</v>
      </c>
      <c r="L31" s="25">
        <v>0</v>
      </c>
      <c r="M31" s="25">
        <v>0</v>
      </c>
      <c r="N31" s="30">
        <v>0</v>
      </c>
      <c r="O31" s="149">
        <v>0</v>
      </c>
      <c r="P31" s="25">
        <v>0</v>
      </c>
      <c r="Q31" s="30">
        <v>0</v>
      </c>
      <c r="R31" s="27">
        <v>0</v>
      </c>
      <c r="S31" s="30">
        <v>0</v>
      </c>
    </row>
    <row r="32" spans="1:19">
      <c r="A32" s="61" t="s">
        <v>91</v>
      </c>
      <c r="B32" s="87">
        <f t="shared" si="3"/>
        <v>-417013.79217773164</v>
      </c>
      <c r="C32" s="26"/>
      <c r="D32" s="29"/>
      <c r="E32" s="26"/>
      <c r="F32" s="28">
        <f>'[35]Lead Sheet'!$I$20</f>
        <v>384714.35292255116</v>
      </c>
      <c r="G32" s="29">
        <f>'[36]Lead Sheet'!$I$21+'[36]Lead Sheet'!$I$25</f>
        <v>218151.59924659377</v>
      </c>
      <c r="H32" s="26"/>
      <c r="I32" s="29"/>
      <c r="J32" s="87"/>
      <c r="K32" s="150"/>
      <c r="L32" s="28"/>
      <c r="M32" s="28"/>
      <c r="N32" s="29"/>
      <c r="O32" s="150"/>
      <c r="P32" s="28">
        <f>SUM([37]Leadsheet!$I$22,[37]Leadsheet!$I$27)</f>
        <v>118650.25565312334</v>
      </c>
      <c r="Q32" s="30">
        <f>SUM('[34]Lead Sheet'!$I$20)</f>
        <v>-1138530</v>
      </c>
      <c r="R32" s="26"/>
      <c r="S32" s="30"/>
    </row>
    <row r="33" spans="1:19">
      <c r="A33" s="61" t="s">
        <v>92</v>
      </c>
      <c r="B33" s="87">
        <f t="shared" si="3"/>
        <v>0</v>
      </c>
      <c r="C33" s="26"/>
      <c r="D33" s="29"/>
      <c r="E33" s="26"/>
      <c r="F33" s="28"/>
      <c r="G33" s="29"/>
      <c r="H33" s="26"/>
      <c r="I33" s="29"/>
      <c r="J33" s="87"/>
      <c r="K33" s="150"/>
      <c r="L33" s="28"/>
      <c r="M33" s="28"/>
      <c r="N33" s="29"/>
      <c r="O33" s="150"/>
      <c r="P33" s="28"/>
      <c r="Q33" s="30"/>
      <c r="R33" s="26"/>
      <c r="S33" s="30"/>
    </row>
    <row r="34" spans="1:19">
      <c r="A34" s="61" t="s">
        <v>93</v>
      </c>
      <c r="B34" s="87">
        <f t="shared" si="3"/>
        <v>949.34683399333153</v>
      </c>
      <c r="C34" s="26"/>
      <c r="D34" s="29"/>
      <c r="E34" s="26"/>
      <c r="F34" s="28"/>
      <c r="G34" s="29"/>
      <c r="H34" s="26"/>
      <c r="I34" s="29"/>
      <c r="J34" s="87"/>
      <c r="K34" s="150"/>
      <c r="L34" s="28"/>
      <c r="M34" s="28"/>
      <c r="N34" s="29"/>
      <c r="O34" s="150"/>
      <c r="P34" s="28"/>
      <c r="Q34" s="30"/>
      <c r="R34" s="26"/>
      <c r="S34" s="30">
        <f>'[32]Lead Sheet'!$I$67</f>
        <v>949.34683399333153</v>
      </c>
    </row>
    <row r="35" spans="1:19">
      <c r="A35" s="61" t="s">
        <v>94</v>
      </c>
      <c r="B35" s="88">
        <f t="shared" si="3"/>
        <v>-22556718.423450302</v>
      </c>
      <c r="C35" s="33">
        <f t="shared" ref="C35:R35" si="7">SUM(C26:C34)</f>
        <v>4340754.2884999998</v>
      </c>
      <c r="D35" s="34">
        <f t="shared" si="7"/>
        <v>-5971.9345578737912</v>
      </c>
      <c r="E35" s="33">
        <f t="shared" si="7"/>
        <v>243031.57522525641</v>
      </c>
      <c r="F35" s="31">
        <f t="shared" si="7"/>
        <v>-474857.54066523613</v>
      </c>
      <c r="G35" s="34">
        <f t="shared" si="7"/>
        <v>-397117.40025338228</v>
      </c>
      <c r="H35" s="33">
        <f t="shared" si="7"/>
        <v>-19157581.117639422</v>
      </c>
      <c r="I35" s="34">
        <f t="shared" si="7"/>
        <v>412499.27837691235</v>
      </c>
      <c r="J35" s="88">
        <f t="shared" si="7"/>
        <v>0</v>
      </c>
      <c r="K35" s="151">
        <f t="shared" si="7"/>
        <v>-87153.633390938674</v>
      </c>
      <c r="L35" s="31">
        <f t="shared" si="7"/>
        <v>-5638736.2665997902</v>
      </c>
      <c r="M35" s="31">
        <f t="shared" si="7"/>
        <v>-257639.2</v>
      </c>
      <c r="N35" s="34">
        <f t="shared" si="7"/>
        <v>-20961.551000000007</v>
      </c>
      <c r="O35" s="151">
        <f t="shared" si="7"/>
        <v>0</v>
      </c>
      <c r="P35" s="31">
        <f t="shared" si="7"/>
        <v>-109263.84487549827</v>
      </c>
      <c r="Q35" s="34">
        <f t="shared" si="7"/>
        <v>-1138530</v>
      </c>
      <c r="R35" s="33">
        <f t="shared" si="7"/>
        <v>-50605.556241105631</v>
      </c>
      <c r="S35" s="34">
        <f t="shared" ref="S35" si="8">SUM(S26:S34)</f>
        <v>-214585.52032922028</v>
      </c>
    </row>
    <row r="36" spans="1:19">
      <c r="A36" s="61"/>
      <c r="B36" s="86"/>
      <c r="C36" s="20"/>
      <c r="D36" s="22"/>
      <c r="E36" s="20"/>
      <c r="F36" s="17"/>
      <c r="G36" s="22"/>
      <c r="H36" s="20"/>
      <c r="I36" s="22"/>
      <c r="J36" s="86"/>
      <c r="K36" s="148"/>
      <c r="L36" s="17"/>
      <c r="M36" s="17"/>
      <c r="N36" s="22"/>
      <c r="O36" s="148"/>
      <c r="P36" s="17"/>
      <c r="Q36" s="22"/>
      <c r="R36" s="20"/>
      <c r="S36" s="22"/>
    </row>
    <row r="37" spans="1:19" ht="13.5" thickBot="1">
      <c r="A37" s="61" t="s">
        <v>95</v>
      </c>
      <c r="B37" s="91">
        <f t="shared" si="3"/>
        <v>-10430794.337520076</v>
      </c>
      <c r="C37" s="43">
        <f t="shared" ref="C37:R37" si="9">C13-C35</f>
        <v>8061400.8214999996</v>
      </c>
      <c r="D37" s="44">
        <f t="shared" si="9"/>
        <v>-11090.735607479899</v>
      </c>
      <c r="E37" s="43">
        <f t="shared" si="9"/>
        <v>-243031.57522525641</v>
      </c>
      <c r="F37" s="42">
        <f t="shared" si="9"/>
        <v>474857.54066523613</v>
      </c>
      <c r="G37" s="44">
        <f t="shared" si="9"/>
        <v>397117.40025338228</v>
      </c>
      <c r="H37" s="43">
        <f t="shared" si="9"/>
        <v>-24329945.425982825</v>
      </c>
      <c r="I37" s="44">
        <f t="shared" si="9"/>
        <v>766070.08841426589</v>
      </c>
      <c r="J37" s="91">
        <f t="shared" si="9"/>
        <v>0</v>
      </c>
      <c r="K37" s="153">
        <f t="shared" si="9"/>
        <v>87153.633390938674</v>
      </c>
      <c r="L37" s="42">
        <f t="shared" si="9"/>
        <v>5638736.2665997902</v>
      </c>
      <c r="M37" s="42">
        <f t="shared" si="9"/>
        <v>257639.2</v>
      </c>
      <c r="N37" s="44">
        <f t="shared" si="9"/>
        <v>20961.551000000007</v>
      </c>
      <c r="O37" s="153">
        <f t="shared" si="9"/>
        <v>0</v>
      </c>
      <c r="P37" s="42">
        <f t="shared" si="9"/>
        <v>109263.84487549827</v>
      </c>
      <c r="Q37" s="44">
        <f t="shared" si="9"/>
        <v>-1861470</v>
      </c>
      <c r="R37" s="43">
        <f t="shared" si="9"/>
        <v>50605.556241105631</v>
      </c>
      <c r="S37" s="44">
        <f t="shared" ref="S37" si="10">S13-S35</f>
        <v>150937.496355268</v>
      </c>
    </row>
    <row r="38" spans="1:19" ht="13.5" thickTop="1">
      <c r="A38" s="61"/>
      <c r="B38" s="86"/>
      <c r="C38" s="20"/>
      <c r="D38" s="22"/>
      <c r="E38" s="20"/>
      <c r="F38" s="17"/>
      <c r="G38" s="22"/>
      <c r="H38" s="20"/>
      <c r="I38" s="22"/>
      <c r="J38" s="86"/>
      <c r="K38" s="148"/>
      <c r="L38" s="17"/>
      <c r="M38" s="17"/>
      <c r="N38" s="22"/>
      <c r="O38" s="148"/>
      <c r="P38" s="17"/>
      <c r="Q38" s="22"/>
      <c r="R38" s="20"/>
      <c r="S38" s="22"/>
    </row>
    <row r="39" spans="1:19">
      <c r="A39" s="61" t="s">
        <v>96</v>
      </c>
      <c r="B39" s="86"/>
      <c r="C39" s="20"/>
      <c r="D39" s="22"/>
      <c r="E39" s="20"/>
      <c r="F39" s="17"/>
      <c r="G39" s="22"/>
      <c r="H39" s="20"/>
      <c r="I39" s="22"/>
      <c r="J39" s="86"/>
      <c r="K39" s="148"/>
      <c r="L39" s="17"/>
      <c r="M39" s="17"/>
      <c r="N39" s="22"/>
      <c r="O39" s="148"/>
      <c r="P39" s="17"/>
      <c r="Q39" s="22"/>
      <c r="R39" s="20"/>
      <c r="S39" s="22"/>
    </row>
    <row r="40" spans="1:19">
      <c r="A40" s="61" t="s">
        <v>97</v>
      </c>
      <c r="B40" s="87">
        <f t="shared" ref="B40:B51" si="11">SUM(C40:FP40)</f>
        <v>-1161847.3348459222</v>
      </c>
      <c r="C40" s="26"/>
      <c r="D40" s="29"/>
      <c r="E40" s="26"/>
      <c r="F40" s="28"/>
      <c r="G40" s="29"/>
      <c r="H40" s="26"/>
      <c r="I40" s="29"/>
      <c r="J40" s="87"/>
      <c r="K40" s="150"/>
      <c r="L40" s="28"/>
      <c r="M40" s="28"/>
      <c r="N40" s="29"/>
      <c r="O40" s="150"/>
      <c r="P40" s="28"/>
      <c r="Q40" s="30"/>
      <c r="R40" s="26">
        <f>'[32]Lead Sheet'!$I$15</f>
        <v>-1067076.2761553444</v>
      </c>
      <c r="S40" s="30">
        <f>'[32]Lead Sheet'!$I$59</f>
        <v>-94771.058690577745</v>
      </c>
    </row>
    <row r="41" spans="1:19">
      <c r="A41" s="61" t="s">
        <v>98</v>
      </c>
      <c r="B41" s="87">
        <f t="shared" si="11"/>
        <v>0</v>
      </c>
      <c r="C41" s="26"/>
      <c r="D41" s="29"/>
      <c r="E41" s="26"/>
      <c r="F41" s="28"/>
      <c r="G41" s="29"/>
      <c r="H41" s="26"/>
      <c r="I41" s="29"/>
      <c r="J41" s="87"/>
      <c r="K41" s="150"/>
      <c r="L41" s="28"/>
      <c r="M41" s="28"/>
      <c r="N41" s="29"/>
      <c r="O41" s="150"/>
      <c r="P41" s="28"/>
      <c r="Q41" s="30"/>
      <c r="R41" s="26"/>
      <c r="S41" s="30"/>
    </row>
    <row r="42" spans="1:19">
      <c r="A42" s="61" t="s">
        <v>99</v>
      </c>
      <c r="B42" s="87">
        <f t="shared" si="11"/>
        <v>15188002.091061195</v>
      </c>
      <c r="C42" s="26"/>
      <c r="D42" s="29"/>
      <c r="E42" s="26"/>
      <c r="F42" s="28"/>
      <c r="G42" s="29">
        <f>'[36]Lead Sheet'!$I$15</f>
        <v>-637047.28166666592</v>
      </c>
      <c r="H42" s="26"/>
      <c r="I42" s="29"/>
      <c r="J42" s="87"/>
      <c r="K42" s="150"/>
      <c r="L42" s="28"/>
      <c r="M42" s="28"/>
      <c r="N42" s="29"/>
      <c r="O42" s="150"/>
      <c r="P42" s="28">
        <f>SUM([37]Leadsheet!$I$14,[37]Leadsheet!$I$17:$I$18)</f>
        <v>75958.380277030345</v>
      </c>
      <c r="Q42" s="30">
        <f>SUM('[34]Lead Sheet'!$I$14:$I$15)</f>
        <v>15750000</v>
      </c>
      <c r="R42" s="26"/>
      <c r="S42" s="30">
        <f>'[32]Lead Sheet'!$I$62</f>
        <v>-909.0075491683674</v>
      </c>
    </row>
    <row r="43" spans="1:19">
      <c r="A43" s="61" t="s">
        <v>100</v>
      </c>
      <c r="B43" s="87">
        <f t="shared" si="11"/>
        <v>0</v>
      </c>
      <c r="C43" s="26"/>
      <c r="D43" s="29"/>
      <c r="E43" s="26"/>
      <c r="F43" s="28"/>
      <c r="G43" s="29"/>
      <c r="H43" s="26"/>
      <c r="I43" s="29"/>
      <c r="J43" s="87"/>
      <c r="K43" s="150"/>
      <c r="L43" s="28"/>
      <c r="M43" s="28"/>
      <c r="N43" s="29"/>
      <c r="O43" s="150"/>
      <c r="P43" s="28"/>
      <c r="Q43" s="30"/>
      <c r="R43" s="26"/>
      <c r="S43" s="30"/>
    </row>
    <row r="44" spans="1:19">
      <c r="A44" s="61" t="s">
        <v>101</v>
      </c>
      <c r="B44" s="87">
        <f t="shared" si="11"/>
        <v>0</v>
      </c>
      <c r="C44" s="26"/>
      <c r="D44" s="29"/>
      <c r="E44" s="26"/>
      <c r="F44" s="28"/>
      <c r="G44" s="29"/>
      <c r="H44" s="26"/>
      <c r="I44" s="29"/>
      <c r="J44" s="87"/>
      <c r="K44" s="150"/>
      <c r="L44" s="28"/>
      <c r="M44" s="28"/>
      <c r="N44" s="29"/>
      <c r="O44" s="150"/>
      <c r="P44" s="28"/>
      <c r="Q44" s="30"/>
      <c r="R44" s="26"/>
      <c r="S44" s="30"/>
    </row>
    <row r="45" spans="1:19">
      <c r="A45" s="61" t="s">
        <v>102</v>
      </c>
      <c r="B45" s="87">
        <f t="shared" si="11"/>
        <v>0</v>
      </c>
      <c r="C45" s="26"/>
      <c r="D45" s="29"/>
      <c r="E45" s="26"/>
      <c r="F45" s="28"/>
      <c r="G45" s="29"/>
      <c r="H45" s="26"/>
      <c r="I45" s="29"/>
      <c r="J45" s="87"/>
      <c r="K45" s="150"/>
      <c r="L45" s="28"/>
      <c r="M45" s="28"/>
      <c r="N45" s="29"/>
      <c r="O45" s="150"/>
      <c r="P45" s="28"/>
      <c r="Q45" s="30"/>
      <c r="R45" s="26"/>
      <c r="S45" s="30"/>
    </row>
    <row r="46" spans="1:19">
      <c r="A46" s="61" t="s">
        <v>103</v>
      </c>
      <c r="B46" s="87">
        <f t="shared" si="11"/>
        <v>-3595.335989266634</v>
      </c>
      <c r="C46" s="26"/>
      <c r="D46" s="29"/>
      <c r="E46" s="26"/>
      <c r="F46" s="28"/>
      <c r="G46" s="29"/>
      <c r="H46" s="26"/>
      <c r="I46" s="29"/>
      <c r="J46" s="87"/>
      <c r="K46" s="150"/>
      <c r="L46" s="28"/>
      <c r="M46" s="28"/>
      <c r="N46" s="29"/>
      <c r="O46" s="150"/>
      <c r="P46" s="28"/>
      <c r="Q46" s="30"/>
      <c r="R46" s="26"/>
      <c r="S46" s="30">
        <f>'[32]Lead Sheet'!$I$61</f>
        <v>-3595.335989266634</v>
      </c>
    </row>
    <row r="47" spans="1:19">
      <c r="A47" s="61" t="s">
        <v>104</v>
      </c>
      <c r="B47" s="87">
        <f t="shared" si="11"/>
        <v>-3545.2505568028428</v>
      </c>
      <c r="C47" s="26"/>
      <c r="D47" s="29"/>
      <c r="E47" s="26"/>
      <c r="F47" s="28"/>
      <c r="G47" s="29"/>
      <c r="H47" s="26"/>
      <c r="I47" s="29"/>
      <c r="J47" s="87"/>
      <c r="K47" s="150"/>
      <c r="L47" s="28"/>
      <c r="M47" s="28"/>
      <c r="N47" s="29"/>
      <c r="O47" s="150"/>
      <c r="P47" s="28"/>
      <c r="Q47" s="30"/>
      <c r="R47" s="26"/>
      <c r="S47" s="30">
        <f>'[32]Lead Sheet'!$I$60</f>
        <v>-3545.2505568028428</v>
      </c>
    </row>
    <row r="48" spans="1:19">
      <c r="A48" s="61" t="s">
        <v>105</v>
      </c>
      <c r="B48" s="87">
        <f t="shared" si="11"/>
        <v>276298.99870484136</v>
      </c>
      <c r="C48" s="26"/>
      <c r="D48" s="29"/>
      <c r="E48" s="26"/>
      <c r="F48" s="28"/>
      <c r="G48" s="29"/>
      <c r="H48" s="26"/>
      <c r="I48" s="29"/>
      <c r="J48" s="87"/>
      <c r="K48" s="150"/>
      <c r="L48" s="28"/>
      <c r="M48" s="28"/>
      <c r="N48" s="29"/>
      <c r="O48" s="150">
        <f>'CWC Calc'!$E$47</f>
        <v>276298.99870484136</v>
      </c>
      <c r="P48" s="28"/>
      <c r="Q48" s="30"/>
      <c r="R48" s="26"/>
      <c r="S48" s="30"/>
    </row>
    <row r="49" spans="1:19">
      <c r="A49" s="61" t="s">
        <v>106</v>
      </c>
      <c r="B49" s="87">
        <f t="shared" si="11"/>
        <v>0</v>
      </c>
      <c r="C49" s="26"/>
      <c r="D49" s="29"/>
      <c r="E49" s="26"/>
      <c r="F49" s="28"/>
      <c r="G49" s="29"/>
      <c r="H49" s="26"/>
      <c r="I49" s="29"/>
      <c r="J49" s="87"/>
      <c r="K49" s="150"/>
      <c r="L49" s="28"/>
      <c r="M49" s="28"/>
      <c r="N49" s="29"/>
      <c r="O49" s="150"/>
      <c r="P49" s="28"/>
      <c r="Q49" s="30"/>
      <c r="R49" s="26"/>
      <c r="S49" s="30"/>
    </row>
    <row r="50" spans="1:19">
      <c r="A50" s="61" t="s">
        <v>107</v>
      </c>
      <c r="B50" s="87">
        <f t="shared" si="11"/>
        <v>0</v>
      </c>
      <c r="C50" s="26"/>
      <c r="D50" s="29"/>
      <c r="E50" s="26"/>
      <c r="F50" s="28"/>
      <c r="G50" s="29"/>
      <c r="H50" s="26"/>
      <c r="I50" s="29"/>
      <c r="J50" s="87"/>
      <c r="K50" s="150"/>
      <c r="L50" s="28"/>
      <c r="M50" s="28"/>
      <c r="N50" s="29"/>
      <c r="O50" s="150"/>
      <c r="P50" s="28"/>
      <c r="Q50" s="30"/>
      <c r="R50" s="26"/>
      <c r="S50" s="30"/>
    </row>
    <row r="51" spans="1:19">
      <c r="A51" s="61" t="s">
        <v>108</v>
      </c>
      <c r="B51" s="92">
        <f t="shared" si="11"/>
        <v>14295313.168374045</v>
      </c>
      <c r="C51" s="46">
        <f t="shared" ref="C51:N51" si="12">SUM(C40:C50)</f>
        <v>0</v>
      </c>
      <c r="D51" s="47">
        <f t="shared" si="12"/>
        <v>0</v>
      </c>
      <c r="E51" s="46">
        <f t="shared" si="12"/>
        <v>0</v>
      </c>
      <c r="F51" s="45">
        <f t="shared" si="12"/>
        <v>0</v>
      </c>
      <c r="G51" s="47">
        <f t="shared" si="12"/>
        <v>-637047.28166666592</v>
      </c>
      <c r="H51" s="46">
        <f t="shared" si="12"/>
        <v>0</v>
      </c>
      <c r="I51" s="47">
        <f t="shared" si="12"/>
        <v>0</v>
      </c>
      <c r="J51" s="92">
        <f t="shared" si="12"/>
        <v>0</v>
      </c>
      <c r="K51" s="154">
        <f t="shared" si="12"/>
        <v>0</v>
      </c>
      <c r="L51" s="45">
        <f t="shared" si="12"/>
        <v>0</v>
      </c>
      <c r="M51" s="45">
        <f t="shared" si="12"/>
        <v>0</v>
      </c>
      <c r="N51" s="47">
        <f t="shared" si="12"/>
        <v>0</v>
      </c>
      <c r="O51" s="154">
        <f>SUM(O40:O50)</f>
        <v>276298.99870484136</v>
      </c>
      <c r="P51" s="45">
        <f>SUM(P40:P50)</f>
        <v>75958.380277030345</v>
      </c>
      <c r="Q51" s="47">
        <f>SUM(Q40:Q50)</f>
        <v>15750000</v>
      </c>
      <c r="R51" s="46">
        <f>SUM(R40:R50)</f>
        <v>-1067076.2761553444</v>
      </c>
      <c r="S51" s="47">
        <f>SUM(S40:S50)</f>
        <v>-102820.65278581559</v>
      </c>
    </row>
    <row r="52" spans="1:19">
      <c r="A52" s="61"/>
      <c r="B52" s="86"/>
      <c r="C52" s="20"/>
      <c r="D52" s="22"/>
      <c r="E52" s="20"/>
      <c r="F52" s="17"/>
      <c r="G52" s="22"/>
      <c r="H52" s="20"/>
      <c r="I52" s="22"/>
      <c r="J52" s="86"/>
      <c r="K52" s="148"/>
      <c r="L52" s="17"/>
      <c r="M52" s="17"/>
      <c r="N52" s="22"/>
      <c r="O52" s="148"/>
      <c r="P52" s="17"/>
      <c r="Q52" s="22"/>
      <c r="R52" s="20"/>
      <c r="S52" s="22"/>
    </row>
    <row r="53" spans="1:19">
      <c r="A53" s="61" t="s">
        <v>109</v>
      </c>
      <c r="B53" s="86"/>
      <c r="C53" s="20"/>
      <c r="D53" s="22"/>
      <c r="E53" s="20"/>
      <c r="F53" s="17"/>
      <c r="G53" s="22"/>
      <c r="H53" s="20"/>
      <c r="I53" s="22"/>
      <c r="J53" s="86"/>
      <c r="K53" s="148"/>
      <c r="L53" s="17"/>
      <c r="M53" s="17"/>
      <c r="N53" s="22"/>
      <c r="O53" s="148"/>
      <c r="P53" s="17"/>
      <c r="Q53" s="22"/>
      <c r="R53" s="20"/>
      <c r="S53" s="22"/>
    </row>
    <row r="54" spans="1:19">
      <c r="A54" s="61" t="s">
        <v>110</v>
      </c>
      <c r="B54" s="87">
        <f t="shared" ref="B54:B62" si="13">SUM(C54:FP54)</f>
        <v>123289.41095568537</v>
      </c>
      <c r="C54" s="26"/>
      <c r="D54" s="29"/>
      <c r="E54" s="26"/>
      <c r="F54" s="28"/>
      <c r="G54" s="29"/>
      <c r="H54" s="26"/>
      <c r="I54" s="29"/>
      <c r="J54" s="87">
        <f>'[27]Lead Sheet'!$I$16</f>
        <v>-256078.4788596172</v>
      </c>
      <c r="K54" s="150"/>
      <c r="L54" s="28"/>
      <c r="M54" s="28"/>
      <c r="N54" s="29"/>
      <c r="O54" s="150"/>
      <c r="P54" s="28"/>
      <c r="Q54" s="30"/>
      <c r="R54" s="26">
        <f>'[32]Lead Sheet'!$I$21</f>
        <v>337916.75424200855</v>
      </c>
      <c r="S54" s="30">
        <f>'[32]Lead Sheet'!$I$63</f>
        <v>41451.135573294014</v>
      </c>
    </row>
    <row r="55" spans="1:19">
      <c r="A55" s="61" t="s">
        <v>111</v>
      </c>
      <c r="B55" s="87">
        <f t="shared" si="13"/>
        <v>0</v>
      </c>
      <c r="C55" s="26"/>
      <c r="D55" s="29"/>
      <c r="E55" s="26"/>
      <c r="F55" s="28"/>
      <c r="G55" s="29"/>
      <c r="H55" s="26"/>
      <c r="I55" s="29"/>
      <c r="J55" s="87"/>
      <c r="K55" s="150"/>
      <c r="L55" s="28"/>
      <c r="M55" s="28"/>
      <c r="N55" s="29"/>
      <c r="O55" s="150"/>
      <c r="P55" s="28"/>
      <c r="Q55" s="30"/>
      <c r="R55" s="26"/>
      <c r="S55" s="30"/>
    </row>
    <row r="56" spans="1:19">
      <c r="A56" s="61" t="s">
        <v>112</v>
      </c>
      <c r="B56" s="87">
        <f t="shared" si="13"/>
        <v>-5544377.6454294352</v>
      </c>
      <c r="C56" s="26"/>
      <c r="D56" s="29"/>
      <c r="E56" s="26"/>
      <c r="F56" s="28"/>
      <c r="G56" s="29">
        <f>'[36]Lead Sheet'!$I$22+'[36]Lead Sheet'!$I$26</f>
        <v>330671.29965366772</v>
      </c>
      <c r="H56" s="26"/>
      <c r="I56" s="29"/>
      <c r="J56" s="87"/>
      <c r="K56" s="150"/>
      <c r="L56" s="28"/>
      <c r="M56" s="28"/>
      <c r="N56" s="29"/>
      <c r="O56" s="150"/>
      <c r="P56" s="28">
        <f>SUM([37]Leadsheet!$I$23,[37]Leadsheet!$I$28)</f>
        <v>386866.05491689674</v>
      </c>
      <c r="Q56" s="30">
        <f>SUM('[34]Lead Sheet'!$I$21)</f>
        <v>-6261915</v>
      </c>
      <c r="R56" s="26"/>
      <c r="S56" s="30"/>
    </row>
    <row r="57" spans="1:19">
      <c r="A57" s="61" t="s">
        <v>113</v>
      </c>
      <c r="B57" s="87">
        <f t="shared" si="13"/>
        <v>0</v>
      </c>
      <c r="C57" s="26"/>
      <c r="D57" s="29"/>
      <c r="E57" s="26"/>
      <c r="F57" s="28"/>
      <c r="G57" s="29"/>
      <c r="H57" s="26"/>
      <c r="I57" s="29"/>
      <c r="J57" s="87"/>
      <c r="K57" s="150"/>
      <c r="L57" s="28"/>
      <c r="M57" s="28"/>
      <c r="N57" s="29"/>
      <c r="O57" s="150"/>
      <c r="P57" s="28"/>
      <c r="Q57" s="30"/>
      <c r="R57" s="26"/>
      <c r="S57" s="30"/>
    </row>
    <row r="58" spans="1:19">
      <c r="A58" s="61" t="s">
        <v>114</v>
      </c>
      <c r="B58" s="87">
        <f t="shared" si="13"/>
        <v>0</v>
      </c>
      <c r="C58" s="26"/>
      <c r="D58" s="29"/>
      <c r="E58" s="26"/>
      <c r="F58" s="28"/>
      <c r="G58" s="29"/>
      <c r="H58" s="26"/>
      <c r="I58" s="29"/>
      <c r="J58" s="87"/>
      <c r="K58" s="150"/>
      <c r="L58" s="28"/>
      <c r="M58" s="28"/>
      <c r="N58" s="29"/>
      <c r="O58" s="150"/>
      <c r="P58" s="28"/>
      <c r="Q58" s="30"/>
      <c r="R58" s="26"/>
      <c r="S58" s="30"/>
    </row>
    <row r="59" spans="1:19">
      <c r="A59" s="61" t="s">
        <v>115</v>
      </c>
      <c r="B59" s="87">
        <f t="shared" si="13"/>
        <v>0</v>
      </c>
      <c r="C59" s="26"/>
      <c r="D59" s="29"/>
      <c r="E59" s="26"/>
      <c r="F59" s="28"/>
      <c r="G59" s="29"/>
      <c r="H59" s="26"/>
      <c r="I59" s="29"/>
      <c r="J59" s="87"/>
      <c r="K59" s="150"/>
      <c r="L59" s="28"/>
      <c r="M59" s="28"/>
      <c r="N59" s="29"/>
      <c r="O59" s="150"/>
      <c r="P59" s="28"/>
      <c r="Q59" s="30"/>
      <c r="R59" s="26"/>
      <c r="S59" s="30"/>
    </row>
    <row r="60" spans="1:19">
      <c r="A60" s="61" t="s">
        <v>116</v>
      </c>
      <c r="B60" s="87">
        <f t="shared" si="13"/>
        <v>7456.7769102435559</v>
      </c>
      <c r="C60" s="26"/>
      <c r="D60" s="29"/>
      <c r="E60" s="26"/>
      <c r="F60" s="28"/>
      <c r="G60" s="29"/>
      <c r="H60" s="26"/>
      <c r="I60" s="29"/>
      <c r="J60" s="87"/>
      <c r="K60" s="150"/>
      <c r="L60" s="28"/>
      <c r="M60" s="28"/>
      <c r="N60" s="29"/>
      <c r="O60" s="150"/>
      <c r="P60" s="28"/>
      <c r="Q60" s="30"/>
      <c r="R60" s="26"/>
      <c r="S60" s="30">
        <f>'[32]Lead Sheet'!$I$68</f>
        <v>7456.7769102435559</v>
      </c>
    </row>
    <row r="61" spans="1:19">
      <c r="A61" s="61"/>
      <c r="B61" s="86">
        <f t="shared" si="13"/>
        <v>0</v>
      </c>
      <c r="C61" s="20"/>
      <c r="D61" s="22"/>
      <c r="E61" s="20"/>
      <c r="F61" s="17"/>
      <c r="G61" s="22"/>
      <c r="H61" s="20"/>
      <c r="I61" s="22"/>
      <c r="J61" s="86"/>
      <c r="K61" s="148"/>
      <c r="L61" s="17"/>
      <c r="M61" s="17"/>
      <c r="N61" s="22"/>
      <c r="O61" s="148"/>
      <c r="P61" s="17"/>
      <c r="Q61" s="22"/>
      <c r="R61" s="20"/>
      <c r="S61" s="22"/>
    </row>
    <row r="62" spans="1:19">
      <c r="A62" s="61" t="s">
        <v>117</v>
      </c>
      <c r="B62" s="88">
        <f t="shared" si="13"/>
        <v>-5413631.4575635064</v>
      </c>
      <c r="C62" s="33">
        <f t="shared" ref="C62:I62" si="14">SUM(C54:C61)</f>
        <v>0</v>
      </c>
      <c r="D62" s="34">
        <f t="shared" si="14"/>
        <v>0</v>
      </c>
      <c r="E62" s="33">
        <f t="shared" si="14"/>
        <v>0</v>
      </c>
      <c r="F62" s="31">
        <f t="shared" si="14"/>
        <v>0</v>
      </c>
      <c r="G62" s="34">
        <f t="shared" si="14"/>
        <v>330671.29965366772</v>
      </c>
      <c r="H62" s="33">
        <f t="shared" si="14"/>
        <v>0</v>
      </c>
      <c r="I62" s="34">
        <f t="shared" si="14"/>
        <v>0</v>
      </c>
      <c r="J62" s="88">
        <f>SUM(J54:J61)</f>
        <v>-256078.4788596172</v>
      </c>
      <c r="K62" s="151">
        <f t="shared" ref="K62:R62" si="15">SUM(K54:K61)</f>
        <v>0</v>
      </c>
      <c r="L62" s="31">
        <f t="shared" si="15"/>
        <v>0</v>
      </c>
      <c r="M62" s="31">
        <f t="shared" si="15"/>
        <v>0</v>
      </c>
      <c r="N62" s="34">
        <f t="shared" si="15"/>
        <v>0</v>
      </c>
      <c r="O62" s="151">
        <f t="shared" si="15"/>
        <v>0</v>
      </c>
      <c r="P62" s="31">
        <f t="shared" si="15"/>
        <v>386866.05491689674</v>
      </c>
      <c r="Q62" s="34">
        <f t="shared" si="15"/>
        <v>-6261915</v>
      </c>
      <c r="R62" s="33">
        <f t="shared" si="15"/>
        <v>337916.75424200855</v>
      </c>
      <c r="S62" s="34">
        <f t="shared" ref="S62" si="16">SUM(S54:S61)</f>
        <v>48907.91248353757</v>
      </c>
    </row>
    <row r="63" spans="1:19">
      <c r="A63" s="61"/>
      <c r="B63" s="86"/>
      <c r="C63" s="20"/>
      <c r="D63" s="22"/>
      <c r="E63" s="20"/>
      <c r="F63" s="17"/>
      <c r="G63" s="22"/>
      <c r="H63" s="20"/>
      <c r="I63" s="22"/>
      <c r="J63" s="86"/>
      <c r="K63" s="148"/>
      <c r="L63" s="17"/>
      <c r="M63" s="17"/>
      <c r="N63" s="22"/>
      <c r="O63" s="148"/>
      <c r="P63" s="17"/>
      <c r="Q63" s="22"/>
      <c r="R63" s="20"/>
      <c r="S63" s="22"/>
    </row>
    <row r="64" spans="1:19" ht="13.5" thickBot="1">
      <c r="A64" s="61" t="s">
        <v>118</v>
      </c>
      <c r="B64" s="113">
        <f t="shared" ref="B64" si="17">SUM(C64:FP64)</f>
        <v>8881681.7108105384</v>
      </c>
      <c r="C64" s="111">
        <f>C51+C62</f>
        <v>0</v>
      </c>
      <c r="D64" s="112">
        <f t="shared" ref="D64:R64" si="18">D51+D62</f>
        <v>0</v>
      </c>
      <c r="E64" s="111">
        <f t="shared" si="18"/>
        <v>0</v>
      </c>
      <c r="F64" s="110">
        <f t="shared" si="18"/>
        <v>0</v>
      </c>
      <c r="G64" s="112">
        <f t="shared" si="18"/>
        <v>-306375.9820129982</v>
      </c>
      <c r="H64" s="111">
        <f t="shared" si="18"/>
        <v>0</v>
      </c>
      <c r="I64" s="112">
        <f t="shared" si="18"/>
        <v>0</v>
      </c>
      <c r="J64" s="113">
        <f t="shared" si="18"/>
        <v>-256078.4788596172</v>
      </c>
      <c r="K64" s="170">
        <f t="shared" si="18"/>
        <v>0</v>
      </c>
      <c r="L64" s="110">
        <f t="shared" si="18"/>
        <v>0</v>
      </c>
      <c r="M64" s="110">
        <f t="shared" si="18"/>
        <v>0</v>
      </c>
      <c r="N64" s="112">
        <f t="shared" si="18"/>
        <v>0</v>
      </c>
      <c r="O64" s="170">
        <f t="shared" si="18"/>
        <v>276298.99870484136</v>
      </c>
      <c r="P64" s="110">
        <f t="shared" si="18"/>
        <v>462824.43519392709</v>
      </c>
      <c r="Q64" s="112">
        <f t="shared" si="18"/>
        <v>9488085</v>
      </c>
      <c r="R64" s="111">
        <f t="shared" si="18"/>
        <v>-729159.52191333589</v>
      </c>
      <c r="S64" s="112">
        <f t="shared" ref="S64" si="19">S51+S62</f>
        <v>-53912.74030227802</v>
      </c>
    </row>
    <row r="65" spans="1:19" ht="13.5" thickTop="1">
      <c r="A65" s="61"/>
      <c r="B65" s="86"/>
      <c r="C65" s="20"/>
      <c r="D65" s="22"/>
      <c r="E65" s="20"/>
      <c r="F65" s="17"/>
      <c r="G65" s="22"/>
      <c r="H65" s="20"/>
      <c r="I65" s="22"/>
      <c r="J65" s="86"/>
      <c r="K65" s="148"/>
      <c r="L65" s="17"/>
      <c r="M65" s="17"/>
      <c r="N65" s="22"/>
      <c r="O65" s="148"/>
      <c r="P65" s="17"/>
      <c r="Q65" s="22"/>
      <c r="R65" s="20"/>
      <c r="S65" s="22"/>
    </row>
    <row r="66" spans="1:19">
      <c r="A66" s="61"/>
      <c r="B66" s="86"/>
      <c r="C66" s="20"/>
      <c r="D66" s="22"/>
      <c r="E66" s="20"/>
      <c r="F66" s="17"/>
      <c r="G66" s="22"/>
      <c r="H66" s="20"/>
      <c r="I66" s="22"/>
      <c r="J66" s="86"/>
      <c r="K66" s="148"/>
      <c r="L66" s="17"/>
      <c r="M66" s="17"/>
      <c r="N66" s="22"/>
      <c r="O66" s="148"/>
      <c r="P66" s="17"/>
      <c r="Q66" s="22"/>
      <c r="R66" s="20"/>
      <c r="S66" s="22"/>
    </row>
    <row r="67" spans="1:19">
      <c r="A67" s="61" t="s">
        <v>223</v>
      </c>
      <c r="B67" s="135">
        <f t="shared" ref="B67:S67" si="20">(((B37+Restated_Op_revenue)/(B64+Restated_rate_base))-Weighted_cost_debt-Weighted_cost_pref)/Percent_common-Restated_ROE</f>
        <v>-2.698687503574209E-2</v>
      </c>
      <c r="C67" s="136">
        <f t="shared" si="20"/>
        <v>2.0203063934756772E-2</v>
      </c>
      <c r="D67" s="137">
        <f t="shared" si="20"/>
        <v>-2.7795025396057382E-5</v>
      </c>
      <c r="E67" s="136">
        <f t="shared" si="20"/>
        <v>-6.0907310790767749E-4</v>
      </c>
      <c r="F67" s="131">
        <f t="shared" si="20"/>
        <v>1.1900632987228293E-3</v>
      </c>
      <c r="G67" s="137">
        <f t="shared" si="20"/>
        <v>1.0356197292284014E-3</v>
      </c>
      <c r="H67" s="136">
        <f t="shared" si="20"/>
        <v>-6.0974445242732933E-2</v>
      </c>
      <c r="I67" s="137">
        <f t="shared" si="20"/>
        <v>1.9198850568825018E-3</v>
      </c>
      <c r="J67" s="138">
        <f t="shared" si="20"/>
        <v>3.3419704066069145E-5</v>
      </c>
      <c r="K67" s="133">
        <f t="shared" si="20"/>
        <v>2.1841990821836604E-4</v>
      </c>
      <c r="L67" s="131">
        <f t="shared" si="20"/>
        <v>1.4131507888991188E-2</v>
      </c>
      <c r="M67" s="131">
        <f t="shared" si="20"/>
        <v>6.456819782261064E-4</v>
      </c>
      <c r="N67" s="137">
        <f t="shared" si="20"/>
        <v>5.2532750126399463E-5</v>
      </c>
      <c r="O67" s="133">
        <f t="shared" si="20"/>
        <v>-3.6033541130915669E-5</v>
      </c>
      <c r="P67" s="131">
        <f t="shared" si="20"/>
        <v>2.1332142274881061E-4</v>
      </c>
      <c r="Q67" s="137">
        <f t="shared" si="20"/>
        <v>-5.830720077445832E-3</v>
      </c>
      <c r="R67" s="136">
        <f t="shared" si="20"/>
        <v>2.2216419534658305E-4</v>
      </c>
      <c r="S67" s="137">
        <f t="shared" si="20"/>
        <v>3.8533240497765769E-4</v>
      </c>
    </row>
    <row r="68" spans="1:19">
      <c r="A68" s="61" t="s">
        <v>63</v>
      </c>
      <c r="B68" s="86">
        <f t="shared" ref="B68" si="21">SUM(C68:FP68)</f>
        <v>18022079.422148932</v>
      </c>
      <c r="C68" s="20">
        <f t="shared" ref="C68:S68" si="22">-(C37-(C64*Overall_ROR))/gross_up_factor</f>
        <v>-13004776.44302123</v>
      </c>
      <c r="D68" s="22">
        <f t="shared" si="22"/>
        <v>17891.746156481739</v>
      </c>
      <c r="E68" s="20">
        <f t="shared" si="22"/>
        <v>392062.29467841587</v>
      </c>
      <c r="F68" s="17">
        <f t="shared" si="22"/>
        <v>-766047.52640065202</v>
      </c>
      <c r="G68" s="22">
        <f t="shared" si="22"/>
        <v>-681856.41923157114</v>
      </c>
      <c r="H68" s="20">
        <f t="shared" si="22"/>
        <v>39249444.127868019</v>
      </c>
      <c r="I68" s="22">
        <f t="shared" si="22"/>
        <v>-1235836.1108831805</v>
      </c>
      <c r="J68" s="86">
        <f t="shared" si="22"/>
        <v>-34453.354095779949</v>
      </c>
      <c r="K68" s="148">
        <f t="shared" si="22"/>
        <v>-140597.58887355405</v>
      </c>
      <c r="L68" s="17">
        <f t="shared" si="22"/>
        <v>-9096496.5261014886</v>
      </c>
      <c r="M68" s="17">
        <f t="shared" si="22"/>
        <v>-415627.54081435117</v>
      </c>
      <c r="N68" s="22">
        <f t="shared" si="22"/>
        <v>-33815.498160934389</v>
      </c>
      <c r="O68" s="148">
        <f t="shared" si="22"/>
        <v>37173.866703206702</v>
      </c>
      <c r="P68" s="17">
        <f t="shared" si="22"/>
        <v>-113996.72030122725</v>
      </c>
      <c r="Q68" s="22">
        <f t="shared" si="22"/>
        <v>4279499.7241401561</v>
      </c>
      <c r="R68" s="20">
        <f t="shared" si="22"/>
        <v>-179740.36969845428</v>
      </c>
      <c r="S68" s="22">
        <f t="shared" si="22"/>
        <v>-250748.23981492867</v>
      </c>
    </row>
    <row r="69" spans="1:19">
      <c r="A69" s="61"/>
      <c r="B69" s="117"/>
      <c r="C69" s="114"/>
      <c r="D69" s="116"/>
      <c r="E69" s="114"/>
      <c r="F69" s="115"/>
      <c r="G69" s="116"/>
      <c r="H69" s="114"/>
      <c r="I69" s="116"/>
      <c r="J69" s="117"/>
      <c r="K69" s="81"/>
      <c r="L69" s="115"/>
      <c r="M69" s="115"/>
      <c r="N69" s="116"/>
      <c r="O69" s="81"/>
      <c r="P69" s="115"/>
      <c r="Q69" s="116"/>
      <c r="R69" s="114"/>
      <c r="S69" s="116"/>
    </row>
    <row r="70" spans="1:19">
      <c r="A70" s="61" t="s">
        <v>120</v>
      </c>
      <c r="B70" s="86"/>
      <c r="C70" s="20"/>
      <c r="D70" s="22"/>
      <c r="E70" s="20"/>
      <c r="F70" s="17"/>
      <c r="G70" s="22"/>
      <c r="H70" s="20"/>
      <c r="I70" s="22"/>
      <c r="J70" s="86"/>
      <c r="K70" s="148"/>
      <c r="L70" s="17"/>
      <c r="M70" s="17"/>
      <c r="N70" s="22"/>
      <c r="O70" s="148"/>
      <c r="P70" s="17"/>
      <c r="Q70" s="22"/>
      <c r="R70" s="20"/>
      <c r="S70" s="22"/>
    </row>
    <row r="71" spans="1:19">
      <c r="A71" s="61" t="s">
        <v>121</v>
      </c>
      <c r="B71" s="86">
        <f t="shared" ref="B71:B79" si="23">SUM(C71:FP71)</f>
        <v>-24906326.451694511</v>
      </c>
      <c r="C71" s="20">
        <f t="shared" ref="C71:S71" si="24">C13-C26-C27-C28-C29-C34</f>
        <v>12402155.109999999</v>
      </c>
      <c r="D71" s="22">
        <f t="shared" si="24"/>
        <v>-17062.670165353691</v>
      </c>
      <c r="E71" s="20">
        <f t="shared" si="24"/>
        <v>-373894.73111577908</v>
      </c>
      <c r="F71" s="17">
        <f t="shared" si="24"/>
        <v>776572.64858778729</v>
      </c>
      <c r="G71" s="22">
        <f t="shared" si="24"/>
        <v>637047.3400000002</v>
      </c>
      <c r="H71" s="20">
        <f t="shared" si="24"/>
        <v>-37430685.270742811</v>
      </c>
      <c r="I71" s="22">
        <f t="shared" si="24"/>
        <v>1178569.3667911782</v>
      </c>
      <c r="J71" s="86">
        <f t="shared" si="24"/>
        <v>0</v>
      </c>
      <c r="K71" s="148">
        <f t="shared" si="24"/>
        <v>0</v>
      </c>
      <c r="L71" s="17">
        <f t="shared" si="24"/>
        <v>0</v>
      </c>
      <c r="M71" s="17">
        <f t="shared" si="24"/>
        <v>396368</v>
      </c>
      <c r="N71" s="22">
        <f t="shared" si="24"/>
        <v>32248.540000000008</v>
      </c>
      <c r="O71" s="148">
        <f t="shared" si="24"/>
        <v>0</v>
      </c>
      <c r="P71" s="17">
        <f t="shared" si="24"/>
        <v>182288.98018681514</v>
      </c>
      <c r="Q71" s="22">
        <f t="shared" si="24"/>
        <v>-3000000</v>
      </c>
      <c r="R71" s="20">
        <f t="shared" si="24"/>
        <v>77854.701909393276</v>
      </c>
      <c r="S71" s="22">
        <f t="shared" si="24"/>
        <v>232211.53285425843</v>
      </c>
    </row>
    <row r="72" spans="1:19">
      <c r="A72" s="61" t="s">
        <v>122</v>
      </c>
      <c r="B72" s="86">
        <f t="shared" si="23"/>
        <v>0</v>
      </c>
      <c r="C72" s="20"/>
      <c r="D72" s="22"/>
      <c r="E72" s="20"/>
      <c r="F72" s="17"/>
      <c r="G72" s="22"/>
      <c r="H72" s="20"/>
      <c r="I72" s="22"/>
      <c r="J72" s="86"/>
      <c r="K72" s="148"/>
      <c r="L72" s="17"/>
      <c r="M72" s="17"/>
      <c r="N72" s="22"/>
      <c r="O72" s="148"/>
      <c r="P72" s="17"/>
      <c r="Q72" s="22"/>
      <c r="R72" s="20"/>
      <c r="S72" s="22"/>
    </row>
    <row r="73" spans="1:19">
      <c r="A73" s="61" t="s">
        <v>123</v>
      </c>
      <c r="B73" s="90">
        <f t="shared" si="23"/>
        <v>0</v>
      </c>
      <c r="C73" s="27"/>
      <c r="D73" s="30"/>
      <c r="E73" s="27"/>
      <c r="F73" s="25"/>
      <c r="G73" s="30"/>
      <c r="H73" s="27"/>
      <c r="I73" s="30"/>
      <c r="J73" s="90"/>
      <c r="K73" s="149"/>
      <c r="L73" s="25"/>
      <c r="M73" s="25"/>
      <c r="N73" s="30"/>
      <c r="O73" s="149"/>
      <c r="P73" s="25"/>
      <c r="Q73" s="30"/>
      <c r="R73" s="27"/>
      <c r="S73" s="30"/>
    </row>
    <row r="74" spans="1:19">
      <c r="A74" s="61" t="s">
        <v>124</v>
      </c>
      <c r="B74" s="90">
        <f t="shared" si="23"/>
        <v>249010.38111696765</v>
      </c>
      <c r="C74" s="27"/>
      <c r="D74" s="30"/>
      <c r="E74" s="27"/>
      <c r="F74" s="25"/>
      <c r="G74" s="30"/>
      <c r="H74" s="27"/>
      <c r="I74" s="30"/>
      <c r="J74" s="90"/>
      <c r="K74" s="149">
        <f>'Interest Calc'!C26</f>
        <v>249010.38111696765</v>
      </c>
      <c r="L74" s="25"/>
      <c r="M74" s="25"/>
      <c r="N74" s="30"/>
      <c r="O74" s="149"/>
      <c r="P74" s="25"/>
      <c r="Q74" s="30"/>
      <c r="R74" s="27"/>
      <c r="S74" s="30"/>
    </row>
    <row r="75" spans="1:19">
      <c r="A75" s="61" t="s">
        <v>125</v>
      </c>
      <c r="B75" s="90">
        <f t="shared" si="23"/>
        <v>2050306.5331223093</v>
      </c>
      <c r="C75" s="27"/>
      <c r="D75" s="30"/>
      <c r="E75" s="27"/>
      <c r="F75" s="25"/>
      <c r="G75" s="30">
        <f>'[36]Lead Sheet'!$I$20</f>
        <v>-637047</v>
      </c>
      <c r="H75" s="27"/>
      <c r="I75" s="30"/>
      <c r="J75" s="90"/>
      <c r="K75" s="149"/>
      <c r="L75" s="25"/>
      <c r="M75" s="25"/>
      <c r="N75" s="30"/>
      <c r="O75" s="149"/>
      <c r="P75" s="25">
        <f>SUM([37]Leadsheet!$I$21,[37]Leadsheet!$I$26)</f>
        <v>-312646.46687769075</v>
      </c>
      <c r="Q75" s="30">
        <f>'[34]Lead Sheet'!$I$19</f>
        <v>3000000</v>
      </c>
      <c r="R75" s="27"/>
      <c r="S75" s="30"/>
    </row>
    <row r="76" spans="1:19">
      <c r="A76" s="61" t="s">
        <v>126</v>
      </c>
      <c r="B76" s="90">
        <f t="shared" si="23"/>
        <v>951489.85858771845</v>
      </c>
      <c r="C76" s="20"/>
      <c r="D76" s="22"/>
      <c r="E76" s="20"/>
      <c r="F76" s="25">
        <f>'[35]Lead Sheet'!$I$19</f>
        <v>1013713.3485877872</v>
      </c>
      <c r="G76" s="30">
        <f>'[36]Lead Sheet'!$I$24</f>
        <v>-62223.490000068792</v>
      </c>
      <c r="H76" s="20"/>
      <c r="I76" s="22"/>
      <c r="J76" s="86"/>
      <c r="K76" s="148"/>
      <c r="L76" s="17"/>
      <c r="M76" s="17"/>
      <c r="N76" s="22"/>
      <c r="O76" s="148"/>
      <c r="P76" s="17"/>
      <c r="Q76" s="22"/>
      <c r="R76" s="20"/>
      <c r="S76" s="22"/>
    </row>
    <row r="77" spans="1:19">
      <c r="A77" s="61" t="s">
        <v>127</v>
      </c>
      <c r="B77" s="122">
        <f t="shared" si="23"/>
        <v>-24056520.158276889</v>
      </c>
      <c r="C77" s="120">
        <f t="shared" ref="C77:R77" si="25">C71-C73-C74+C75-C76</f>
        <v>12402155.109999999</v>
      </c>
      <c r="D77" s="121">
        <f t="shared" si="25"/>
        <v>-17062.670165353691</v>
      </c>
      <c r="E77" s="120">
        <f t="shared" si="25"/>
        <v>-373894.73111577908</v>
      </c>
      <c r="F77" s="119">
        <f t="shared" si="25"/>
        <v>-237140.69999999995</v>
      </c>
      <c r="G77" s="121">
        <f t="shared" si="25"/>
        <v>62223.830000068992</v>
      </c>
      <c r="H77" s="120">
        <f t="shared" si="25"/>
        <v>-37430685.270742811</v>
      </c>
      <c r="I77" s="121">
        <f t="shared" si="25"/>
        <v>1178569.3667911782</v>
      </c>
      <c r="J77" s="122">
        <f t="shared" si="25"/>
        <v>0</v>
      </c>
      <c r="K77" s="171">
        <f t="shared" si="25"/>
        <v>-249010.38111696765</v>
      </c>
      <c r="L77" s="119"/>
      <c r="M77" s="119">
        <f t="shared" si="25"/>
        <v>396368</v>
      </c>
      <c r="N77" s="121">
        <f t="shared" si="25"/>
        <v>32248.540000000008</v>
      </c>
      <c r="O77" s="171">
        <f t="shared" si="25"/>
        <v>0</v>
      </c>
      <c r="P77" s="119">
        <f t="shared" si="25"/>
        <v>-130357.48669087561</v>
      </c>
      <c r="Q77" s="121">
        <f t="shared" si="25"/>
        <v>0</v>
      </c>
      <c r="R77" s="120">
        <f t="shared" si="25"/>
        <v>77854.701909393276</v>
      </c>
      <c r="S77" s="121">
        <f t="shared" ref="S77" si="26">S71-S73-S74+S75-S76</f>
        <v>232211.53285425843</v>
      </c>
    </row>
    <row r="78" spans="1:19">
      <c r="A78" s="61"/>
      <c r="B78" s="86"/>
      <c r="C78" s="20"/>
      <c r="D78" s="22"/>
      <c r="E78" s="20"/>
      <c r="F78" s="17"/>
      <c r="G78" s="22"/>
      <c r="H78" s="20"/>
      <c r="I78" s="22"/>
      <c r="J78" s="86"/>
      <c r="K78" s="148"/>
      <c r="L78" s="17"/>
      <c r="M78" s="17"/>
      <c r="N78" s="22"/>
      <c r="O78" s="148"/>
      <c r="P78" s="17"/>
      <c r="Q78" s="22"/>
      <c r="R78" s="20"/>
      <c r="S78" s="22"/>
    </row>
    <row r="79" spans="1:19">
      <c r="A79" s="61" t="s">
        <v>128</v>
      </c>
      <c r="B79" s="86">
        <f t="shared" si="23"/>
        <v>0</v>
      </c>
      <c r="C79" s="20">
        <v>0</v>
      </c>
      <c r="D79" s="22">
        <v>0</v>
      </c>
      <c r="E79" s="20">
        <v>0</v>
      </c>
      <c r="F79" s="17">
        <v>0</v>
      </c>
      <c r="G79" s="22">
        <v>0</v>
      </c>
      <c r="H79" s="20">
        <v>0</v>
      </c>
      <c r="I79" s="22">
        <v>0</v>
      </c>
      <c r="J79" s="86">
        <v>0</v>
      </c>
      <c r="K79" s="148">
        <v>0</v>
      </c>
      <c r="L79" s="17">
        <v>0</v>
      </c>
      <c r="M79" s="17">
        <v>0</v>
      </c>
      <c r="N79" s="22">
        <v>0</v>
      </c>
      <c r="O79" s="148">
        <v>0</v>
      </c>
      <c r="P79" s="17">
        <v>0</v>
      </c>
      <c r="Q79" s="22">
        <v>0</v>
      </c>
      <c r="R79" s="20">
        <v>0</v>
      </c>
      <c r="S79" s="22">
        <v>0</v>
      </c>
    </row>
    <row r="80" spans="1:19">
      <c r="A80" s="61" t="s">
        <v>129</v>
      </c>
      <c r="B80" s="86">
        <f t="shared" ref="B80:B84" si="27">SUM(C80:FP80)</f>
        <v>-24056520.158276889</v>
      </c>
      <c r="C80" s="20">
        <f>C77-C79</f>
        <v>12402155.109999999</v>
      </c>
      <c r="D80" s="22">
        <f t="shared" ref="D80:S80" si="28">D77-D79</f>
        <v>-17062.670165353691</v>
      </c>
      <c r="E80" s="20">
        <f t="shared" si="28"/>
        <v>-373894.73111577908</v>
      </c>
      <c r="F80" s="17">
        <f t="shared" si="28"/>
        <v>-237140.69999999995</v>
      </c>
      <c r="G80" s="22">
        <f t="shared" si="28"/>
        <v>62223.830000068992</v>
      </c>
      <c r="H80" s="20">
        <f t="shared" si="28"/>
        <v>-37430685.270742811</v>
      </c>
      <c r="I80" s="22">
        <f t="shared" si="28"/>
        <v>1178569.3667911782</v>
      </c>
      <c r="J80" s="86">
        <f t="shared" si="28"/>
        <v>0</v>
      </c>
      <c r="K80" s="148">
        <f t="shared" si="28"/>
        <v>-249010.38111696765</v>
      </c>
      <c r="L80" s="17">
        <f t="shared" si="28"/>
        <v>0</v>
      </c>
      <c r="M80" s="17">
        <f t="shared" si="28"/>
        <v>396368</v>
      </c>
      <c r="N80" s="22">
        <f t="shared" si="28"/>
        <v>32248.540000000008</v>
      </c>
      <c r="O80" s="148">
        <f t="shared" si="28"/>
        <v>0</v>
      </c>
      <c r="P80" s="17">
        <f t="shared" si="28"/>
        <v>-130357.48669087561</v>
      </c>
      <c r="Q80" s="22">
        <f t="shared" si="28"/>
        <v>0</v>
      </c>
      <c r="R80" s="20">
        <f t="shared" si="28"/>
        <v>77854.701909393276</v>
      </c>
      <c r="S80" s="22">
        <f t="shared" si="28"/>
        <v>232211.53285425843</v>
      </c>
    </row>
    <row r="81" spans="1:19">
      <c r="A81" s="61"/>
      <c r="B81" s="86"/>
      <c r="C81" s="20"/>
      <c r="D81" s="22"/>
      <c r="E81" s="20"/>
      <c r="F81" s="17"/>
      <c r="G81" s="22"/>
      <c r="H81" s="20"/>
      <c r="I81" s="22"/>
      <c r="J81" s="86"/>
      <c r="K81" s="148"/>
      <c r="L81" s="17"/>
      <c r="M81" s="17"/>
      <c r="N81" s="22"/>
      <c r="O81" s="148"/>
      <c r="P81" s="17"/>
      <c r="Q81" s="22"/>
      <c r="R81" s="20"/>
      <c r="S81" s="22"/>
    </row>
    <row r="82" spans="1:19">
      <c r="A82" s="61" t="s">
        <v>202</v>
      </c>
      <c r="B82" s="86">
        <f t="shared" si="27"/>
        <v>-8419782.0553969108</v>
      </c>
      <c r="C82" s="20">
        <f>C80*0.35</f>
        <v>4340754.2884999998</v>
      </c>
      <c r="D82" s="22">
        <f t="shared" ref="D82:S82" si="29">D80*0.35</f>
        <v>-5971.9345578737912</v>
      </c>
      <c r="E82" s="20">
        <f t="shared" si="29"/>
        <v>-130863.15589052267</v>
      </c>
      <c r="F82" s="17">
        <f t="shared" si="29"/>
        <v>-82999.244999999981</v>
      </c>
      <c r="G82" s="22">
        <f t="shared" si="29"/>
        <v>21778.340500024147</v>
      </c>
      <c r="H82" s="20">
        <f t="shared" si="29"/>
        <v>-13100739.844759984</v>
      </c>
      <c r="I82" s="22">
        <f t="shared" si="29"/>
        <v>412499.27837691235</v>
      </c>
      <c r="J82" s="86">
        <f t="shared" si="29"/>
        <v>0</v>
      </c>
      <c r="K82" s="148">
        <f t="shared" si="29"/>
        <v>-87153.633390938674</v>
      </c>
      <c r="L82" s="17">
        <f t="shared" si="29"/>
        <v>0</v>
      </c>
      <c r="M82" s="17">
        <f t="shared" si="29"/>
        <v>138728.79999999999</v>
      </c>
      <c r="N82" s="22">
        <f t="shared" si="29"/>
        <v>11286.989000000001</v>
      </c>
      <c r="O82" s="148">
        <f t="shared" si="29"/>
        <v>0</v>
      </c>
      <c r="P82" s="17">
        <f t="shared" si="29"/>
        <v>-45625.120341806462</v>
      </c>
      <c r="Q82" s="22">
        <f t="shared" si="29"/>
        <v>0</v>
      </c>
      <c r="R82" s="20">
        <f t="shared" si="29"/>
        <v>27249.145668287645</v>
      </c>
      <c r="S82" s="22">
        <f t="shared" si="29"/>
        <v>81274.036498990448</v>
      </c>
    </row>
    <row r="83" spans="1:19">
      <c r="A83" s="61" t="s">
        <v>203</v>
      </c>
      <c r="B83" s="86">
        <f t="shared" si="27"/>
        <v>-5638736.2665997902</v>
      </c>
      <c r="C83" s="20"/>
      <c r="D83" s="22"/>
      <c r="E83" s="20"/>
      <c r="F83" s="17"/>
      <c r="G83" s="22"/>
      <c r="H83" s="20"/>
      <c r="I83" s="22"/>
      <c r="J83" s="86"/>
      <c r="K83" s="148"/>
      <c r="L83" s="17">
        <f>'[40]Lead Sheet'!$I$9</f>
        <v>-5638736.2665997902</v>
      </c>
      <c r="M83" s="17"/>
      <c r="N83" s="22"/>
      <c r="O83" s="148"/>
      <c r="P83" s="17"/>
      <c r="Q83" s="22"/>
      <c r="R83" s="20"/>
      <c r="S83" s="22"/>
    </row>
    <row r="84" spans="1:19" s="57" customFormat="1" ht="13.5" thickBot="1">
      <c r="A84" s="61" t="s">
        <v>204</v>
      </c>
      <c r="B84" s="130">
        <f t="shared" si="27"/>
        <v>-14058518.321996702</v>
      </c>
      <c r="C84" s="126">
        <f>C82+C83</f>
        <v>4340754.2884999998</v>
      </c>
      <c r="D84" s="129">
        <f t="shared" ref="D84:S84" si="30">D82+D83</f>
        <v>-5971.9345578737912</v>
      </c>
      <c r="E84" s="126">
        <f t="shared" si="30"/>
        <v>-130863.15589052267</v>
      </c>
      <c r="F84" s="127">
        <f t="shared" si="30"/>
        <v>-82999.244999999981</v>
      </c>
      <c r="G84" s="129">
        <f t="shared" si="30"/>
        <v>21778.340500024147</v>
      </c>
      <c r="H84" s="126">
        <f t="shared" si="30"/>
        <v>-13100739.844759984</v>
      </c>
      <c r="I84" s="129">
        <f t="shared" si="30"/>
        <v>412499.27837691235</v>
      </c>
      <c r="J84" s="130">
        <f t="shared" si="30"/>
        <v>0</v>
      </c>
      <c r="K84" s="172">
        <f t="shared" si="30"/>
        <v>-87153.633390938674</v>
      </c>
      <c r="L84" s="127">
        <f t="shared" si="30"/>
        <v>-5638736.2665997902</v>
      </c>
      <c r="M84" s="127">
        <f t="shared" si="30"/>
        <v>138728.79999999999</v>
      </c>
      <c r="N84" s="129">
        <f t="shared" si="30"/>
        <v>11286.989000000001</v>
      </c>
      <c r="O84" s="172">
        <f t="shared" si="30"/>
        <v>0</v>
      </c>
      <c r="P84" s="127">
        <f t="shared" si="30"/>
        <v>-45625.120341806462</v>
      </c>
      <c r="Q84" s="129">
        <f t="shared" si="30"/>
        <v>0</v>
      </c>
      <c r="R84" s="126">
        <f t="shared" si="30"/>
        <v>27249.145668287645</v>
      </c>
      <c r="S84" s="129">
        <f t="shared" si="30"/>
        <v>81274.036498990448</v>
      </c>
    </row>
    <row r="85" spans="1:19" s="57" customFormat="1">
      <c r="A85" s="61"/>
      <c r="B85" s="17"/>
      <c r="C85" s="17"/>
      <c r="D85" s="17"/>
      <c r="E85" s="17"/>
      <c r="F85" s="17"/>
      <c r="G85" s="17"/>
      <c r="H85" s="17"/>
      <c r="I85" s="17"/>
      <c r="J85" s="17"/>
      <c r="K85" s="65"/>
      <c r="L85" s="17"/>
      <c r="M85" s="17"/>
      <c r="N85" s="17"/>
      <c r="O85" s="65"/>
      <c r="P85" s="17"/>
      <c r="Q85" s="17"/>
      <c r="R85" s="17"/>
      <c r="S85" s="17"/>
    </row>
    <row r="86" spans="1:19" s="57" customFormat="1">
      <c r="A86" s="61"/>
      <c r="B86" s="17"/>
      <c r="C86" s="17"/>
      <c r="D86" s="17"/>
      <c r="E86" s="17"/>
      <c r="F86" s="17"/>
      <c r="G86" s="17"/>
      <c r="H86" s="17"/>
      <c r="I86" s="17"/>
      <c r="J86" s="17"/>
      <c r="K86" s="65"/>
      <c r="L86" s="17"/>
      <c r="M86" s="17"/>
      <c r="N86" s="17"/>
      <c r="O86" s="65"/>
      <c r="P86" s="17"/>
      <c r="Q86" s="17"/>
      <c r="R86" s="17"/>
      <c r="S86" s="17"/>
    </row>
    <row r="87" spans="1:19" s="57" customFormat="1">
      <c r="A87" s="98"/>
      <c r="B87" s="17"/>
      <c r="C87" s="17"/>
      <c r="D87" s="17"/>
      <c r="E87" s="17"/>
      <c r="F87" s="17"/>
      <c r="G87" s="17"/>
      <c r="H87" s="17"/>
      <c r="I87" s="17"/>
      <c r="J87" s="17"/>
      <c r="K87" s="65"/>
      <c r="L87" s="17"/>
      <c r="M87" s="17"/>
      <c r="N87" s="17"/>
      <c r="O87" s="65"/>
      <c r="P87" s="17"/>
      <c r="Q87" s="17"/>
      <c r="R87" s="17"/>
      <c r="S87" s="17"/>
    </row>
    <row r="88" spans="1:19" s="57" customFormat="1">
      <c r="A88" s="61"/>
      <c r="B88" s="17"/>
      <c r="C88" s="17"/>
      <c r="D88" s="17"/>
      <c r="E88" s="17"/>
      <c r="F88" s="17"/>
      <c r="G88" s="17"/>
      <c r="H88" s="17"/>
      <c r="I88" s="17"/>
      <c r="J88" s="17"/>
      <c r="K88" s="65"/>
      <c r="L88" s="17"/>
      <c r="M88" s="17"/>
      <c r="N88" s="17"/>
      <c r="O88" s="65"/>
      <c r="P88" s="17"/>
      <c r="Q88" s="17"/>
      <c r="R88" s="17"/>
      <c r="S88" s="17"/>
    </row>
    <row r="89" spans="1:19" s="57" customFormat="1">
      <c r="A89" s="61"/>
      <c r="K89" s="2"/>
      <c r="O89" s="2"/>
    </row>
    <row r="90" spans="1:19" s="57" customFormat="1">
      <c r="A90" s="123"/>
      <c r="K90" s="2"/>
      <c r="O90" s="2"/>
    </row>
    <row r="91" spans="1:19" s="57" customFormat="1">
      <c r="K91" s="2"/>
      <c r="O91" s="2"/>
    </row>
  </sheetData>
  <phoneticPr fontId="2" type="noConversion"/>
  <pageMargins left="0.5" right="0.5" top="0.5" bottom="0.5" header="0.5" footer="0.5"/>
  <pageSetup scale="58" fitToWidth="6" orientation="portrait" r:id="rId1"/>
  <headerFooter alignWithMargins="0"/>
  <colBreaks count="2" manualBreakCount="2">
    <brk id="7" max="1048575" man="1"/>
    <brk id="1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48"/>
  <sheetViews>
    <sheetView zoomScale="85" zoomScaleNormal="85" workbookViewId="0">
      <selection activeCell="H33" sqref="H33"/>
    </sheetView>
  </sheetViews>
  <sheetFormatPr defaultRowHeight="12.75"/>
  <cols>
    <col min="1" max="1" width="3" style="97" customWidth="1"/>
    <col min="2" max="2" width="63.140625" style="97" customWidth="1"/>
    <col min="3" max="3" width="16.5703125" style="97" customWidth="1"/>
    <col min="4" max="4" width="24.85546875" style="97" customWidth="1"/>
    <col min="5" max="5" width="19" style="97" customWidth="1"/>
    <col min="6" max="6" width="10.5703125" style="97" bestFit="1" customWidth="1"/>
    <col min="7" max="16384" width="9.140625" style="97"/>
  </cols>
  <sheetData>
    <row r="1" spans="2:4">
      <c r="B1" s="144" t="s">
        <v>61</v>
      </c>
    </row>
    <row r="2" spans="2:4">
      <c r="B2" s="144" t="s">
        <v>220</v>
      </c>
    </row>
    <row r="3" spans="2:4">
      <c r="B3" s="144" t="s">
        <v>225</v>
      </c>
    </row>
    <row r="5" spans="2:4">
      <c r="B5" s="145" t="s">
        <v>221</v>
      </c>
      <c r="D5" s="226" t="s">
        <v>266</v>
      </c>
    </row>
    <row r="6" spans="2:4">
      <c r="B6" s="144" t="s">
        <v>175</v>
      </c>
      <c r="C6" s="5">
        <v>0</v>
      </c>
      <c r="D6" s="225" t="s">
        <v>271</v>
      </c>
    </row>
    <row r="7" spans="2:4">
      <c r="D7" s="192"/>
    </row>
    <row r="8" spans="2:4">
      <c r="B8" s="204" t="s">
        <v>235</v>
      </c>
      <c r="D8" s="192"/>
    </row>
    <row r="9" spans="2:4">
      <c r="B9" s="205" t="s">
        <v>236</v>
      </c>
      <c r="C9" s="214">
        <f>Summary!F26</f>
        <v>240506304.31024483</v>
      </c>
      <c r="D9" s="222" t="s">
        <v>267</v>
      </c>
    </row>
    <row r="10" spans="2:4">
      <c r="B10" s="206" t="s">
        <v>233</v>
      </c>
      <c r="C10" s="19"/>
      <c r="D10" s="221"/>
    </row>
    <row r="11" spans="2:4">
      <c r="B11" s="207" t="s">
        <v>234</v>
      </c>
      <c r="C11" s="19">
        <f>-[1]Report!$K$377</f>
        <v>-331425.601479618</v>
      </c>
      <c r="D11" s="221" t="s">
        <v>268</v>
      </c>
    </row>
    <row r="12" spans="2:4">
      <c r="B12" s="208" t="s">
        <v>237</v>
      </c>
      <c r="C12" s="19">
        <f>-[1]Report!$K$390</f>
        <v>-35851280.58592236</v>
      </c>
      <c r="D12" s="221" t="s">
        <v>269</v>
      </c>
    </row>
    <row r="13" spans="2:4">
      <c r="B13" s="207" t="s">
        <v>238</v>
      </c>
      <c r="C13" s="215">
        <f>-[1]Report!$K$644</f>
        <v>-40562599.875692278</v>
      </c>
      <c r="D13" s="221" t="s">
        <v>270</v>
      </c>
    </row>
    <row r="14" spans="2:4">
      <c r="B14" s="207" t="s">
        <v>239</v>
      </c>
      <c r="C14" s="19">
        <f>-[1]Report!$K$704</f>
        <v>8025121</v>
      </c>
      <c r="D14" s="221" t="s">
        <v>272</v>
      </c>
    </row>
    <row r="15" spans="2:4">
      <c r="B15" s="208" t="s">
        <v>240</v>
      </c>
      <c r="C15" s="216">
        <f>-[1]Report!$K$715</f>
        <v>-84327279.147866249</v>
      </c>
      <c r="D15" s="221" t="s">
        <v>273</v>
      </c>
    </row>
    <row r="16" spans="2:4">
      <c r="B16" s="209" t="s">
        <v>241</v>
      </c>
      <c r="C16" s="214">
        <f>SUBTOTAL(9,C11:C15)</f>
        <v>-153047464.21096051</v>
      </c>
      <c r="D16" s="221"/>
    </row>
    <row r="17" spans="2:5">
      <c r="B17" s="208"/>
      <c r="C17" s="215"/>
      <c r="D17" s="221"/>
    </row>
    <row r="18" spans="2:5">
      <c r="B18" s="206" t="s">
        <v>242</v>
      </c>
      <c r="C18" s="215"/>
      <c r="D18" s="221"/>
    </row>
    <row r="19" spans="2:5">
      <c r="B19" s="208" t="s">
        <v>243</v>
      </c>
      <c r="C19" s="215">
        <f>-'[4]Lead Sheet - 5.1'!$I$30</f>
        <v>1306516.3102050694</v>
      </c>
      <c r="D19" s="221" t="s">
        <v>274</v>
      </c>
    </row>
    <row r="20" spans="2:5">
      <c r="B20" s="208" t="s">
        <v>244</v>
      </c>
      <c r="C20" s="215">
        <f>-'[4]Lead Sheet - 5.1'!$I$31</f>
        <v>1654574.4183215983</v>
      </c>
      <c r="D20" s="221" t="s">
        <v>274</v>
      </c>
    </row>
    <row r="21" spans="2:5">
      <c r="B21" s="210" t="s">
        <v>245</v>
      </c>
      <c r="C21" s="19">
        <f>-'[4]Lead Sheet - 5.1'!$I$21</f>
        <v>4235345.8895238079</v>
      </c>
      <c r="D21" s="221" t="s">
        <v>274</v>
      </c>
    </row>
    <row r="22" spans="2:5">
      <c r="B22" s="210" t="s">
        <v>246</v>
      </c>
      <c r="C22" s="217">
        <f>-'[11]Lead Sheet'!$I$12</f>
        <v>-8025121</v>
      </c>
      <c r="D22" s="221" t="s">
        <v>275</v>
      </c>
    </row>
    <row r="23" spans="2:5">
      <c r="B23" s="210" t="s">
        <v>247</v>
      </c>
      <c r="C23" s="19">
        <f>-SUM('[7]Lead Sheet 4.2'!$I$14:$I$16)</f>
        <v>280.23387541312576</v>
      </c>
      <c r="D23" s="221" t="s">
        <v>276</v>
      </c>
    </row>
    <row r="24" spans="2:5">
      <c r="B24" s="209" t="s">
        <v>248</v>
      </c>
      <c r="C24" s="218">
        <f>SUBTOTAL(9,C19:C23)</f>
        <v>-828404.14807411132</v>
      </c>
      <c r="D24" s="223"/>
    </row>
    <row r="25" spans="2:5">
      <c r="B25" s="210"/>
      <c r="C25" s="19"/>
      <c r="D25" s="221"/>
    </row>
    <row r="26" spans="2:5" ht="13.5" thickBot="1">
      <c r="B26" s="211" t="s">
        <v>249</v>
      </c>
      <c r="C26" s="218">
        <f>SUBTOTAL(9,C9:C24)</f>
        <v>86630435.951210201</v>
      </c>
      <c r="D26" s="221"/>
    </row>
    <row r="27" spans="2:5">
      <c r="B27" s="209"/>
      <c r="C27" s="219">
        <f>1/8</f>
        <v>0.125</v>
      </c>
      <c r="D27" s="223"/>
      <c r="E27" s="202" t="s">
        <v>230</v>
      </c>
    </row>
    <row r="28" spans="2:5" ht="13.5" thickBot="1">
      <c r="B28" s="204" t="s">
        <v>250</v>
      </c>
      <c r="C28" s="214">
        <f>C26*C27</f>
        <v>10828804.493901275</v>
      </c>
      <c r="D28" s="224"/>
      <c r="E28" s="203">
        <f>C28-C6</f>
        <v>10828804.493901275</v>
      </c>
    </row>
    <row r="29" spans="2:5">
      <c r="B29" s="212"/>
      <c r="C29" s="214"/>
      <c r="D29" s="224"/>
    </row>
    <row r="30" spans="2:5">
      <c r="B30" s="204" t="s">
        <v>251</v>
      </c>
      <c r="C30" s="19"/>
      <c r="D30" s="225"/>
    </row>
    <row r="31" spans="2:5">
      <c r="B31" s="204" t="s">
        <v>252</v>
      </c>
      <c r="C31" s="214">
        <f>Summary!J26</f>
        <v>233064312.53004625</v>
      </c>
      <c r="D31" s="222" t="s">
        <v>277</v>
      </c>
    </row>
    <row r="32" spans="2:5">
      <c r="B32" s="208" t="s">
        <v>232</v>
      </c>
      <c r="C32" s="19">
        <f>C16</f>
        <v>-153047464.21096051</v>
      </c>
      <c r="D32" s="225" t="s">
        <v>265</v>
      </c>
    </row>
    <row r="33" spans="2:6">
      <c r="B33" s="208" t="s">
        <v>253</v>
      </c>
      <c r="C33" s="19">
        <f>C24</f>
        <v>-828404.14807411132</v>
      </c>
      <c r="D33" s="225" t="s">
        <v>265</v>
      </c>
    </row>
    <row r="34" spans="2:6">
      <c r="B34" s="210"/>
      <c r="C34" s="17"/>
      <c r="D34" s="225"/>
    </row>
    <row r="35" spans="2:6">
      <c r="B35" s="206" t="s">
        <v>254</v>
      </c>
      <c r="C35" s="220"/>
      <c r="D35" s="225"/>
    </row>
    <row r="36" spans="2:6">
      <c r="B36" s="208" t="s">
        <v>255</v>
      </c>
      <c r="C36" s="19">
        <f>-'[4]Lead Sheet - 5.2'!$I$30</f>
        <v>-4196528.7116824677</v>
      </c>
      <c r="D36" s="222" t="s">
        <v>278</v>
      </c>
    </row>
    <row r="37" spans="2:6">
      <c r="B37" s="208" t="s">
        <v>256</v>
      </c>
      <c r="C37" s="215">
        <f>-'[4]Lead Sheet - 5.2'!$I$31</f>
        <v>4953979.2930746647</v>
      </c>
      <c r="D37" s="222" t="s">
        <v>278</v>
      </c>
    </row>
    <row r="38" spans="2:6">
      <c r="B38" s="210" t="s">
        <v>257</v>
      </c>
      <c r="C38" s="19">
        <f>-'[4]Lead Sheet - 5.2'!$I$21</f>
        <v>8635921.0857873205</v>
      </c>
      <c r="D38" s="222" t="s">
        <v>278</v>
      </c>
    </row>
    <row r="39" spans="2:6">
      <c r="B39" s="208" t="s">
        <v>258</v>
      </c>
      <c r="C39" s="215">
        <f>-SUM('[32]Lead Sheet'!$I$29:$I$31,'[32]Lead Sheet'!$I$51)</f>
        <v>69060.381824941986</v>
      </c>
      <c r="D39" s="221" t="s">
        <v>279</v>
      </c>
    </row>
    <row r="40" spans="2:6">
      <c r="B40" s="208" t="s">
        <v>259</v>
      </c>
      <c r="C40" s="19">
        <f>-'[32]Lead Sheet'!$I$52</f>
        <v>60019.208314672112</v>
      </c>
      <c r="D40" s="225" t="s">
        <v>280</v>
      </c>
    </row>
    <row r="41" spans="2:6">
      <c r="B41" s="210" t="s">
        <v>260</v>
      </c>
      <c r="C41" s="19">
        <f>-SUM('[32]Lead Sheet'!$I$47:$I$49)</f>
        <v>126309.93252374907</v>
      </c>
      <c r="D41" s="225" t="s">
        <v>280</v>
      </c>
    </row>
    <row r="42" spans="2:6">
      <c r="B42" s="208" t="s">
        <v>261</v>
      </c>
      <c r="C42" s="19">
        <f>-SUM('[7]Lead Sheet 4.3'!$I$14:$I$16)</f>
        <v>3622.5799944048504</v>
      </c>
      <c r="D42" s="225" t="s">
        <v>281</v>
      </c>
    </row>
    <row r="43" spans="2:6">
      <c r="B43" s="204" t="s">
        <v>262</v>
      </c>
      <c r="C43" s="218">
        <f>SUBTOTAL(9,C36:C42)</f>
        <v>9652383.7698372863</v>
      </c>
      <c r="D43" s="225"/>
    </row>
    <row r="44" spans="2:6">
      <c r="B44" s="213"/>
      <c r="C44" s="221"/>
      <c r="D44" s="225"/>
    </row>
    <row r="45" spans="2:6" ht="13.5" thickBot="1">
      <c r="B45" s="211" t="s">
        <v>263</v>
      </c>
      <c r="C45" s="218">
        <f>SUBTOTAL(9,C31:C43)</f>
        <v>88840827.940848932</v>
      </c>
      <c r="D45" s="225"/>
    </row>
    <row r="46" spans="2:6">
      <c r="B46" s="209"/>
      <c r="C46" s="219">
        <f>1/8</f>
        <v>0.125</v>
      </c>
      <c r="D46" s="225"/>
      <c r="E46" s="202" t="s">
        <v>231</v>
      </c>
    </row>
    <row r="47" spans="2:6" ht="13.5" thickBot="1">
      <c r="B47" s="204" t="s">
        <v>264</v>
      </c>
      <c r="C47" s="220">
        <f>C45*C46</f>
        <v>11105103.492606116</v>
      </c>
      <c r="D47" s="225" t="s">
        <v>271</v>
      </c>
      <c r="E47" s="203">
        <f>C47-C28</f>
        <v>276298.99870484136</v>
      </c>
      <c r="F47" s="54"/>
    </row>
    <row r="48" spans="2:6">
      <c r="D48" s="192"/>
    </row>
  </sheetData>
  <pageMargins left="0.7" right="0.7" top="0.75" bottom="0.75" header="0.3" footer="0.3"/>
  <pageSetup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D26"/>
  <sheetViews>
    <sheetView zoomScale="85" zoomScaleNormal="85" workbookViewId="0">
      <selection activeCell="A26" sqref="A26"/>
    </sheetView>
  </sheetViews>
  <sheetFormatPr defaultRowHeight="12.75"/>
  <cols>
    <col min="1" max="1" width="3.140625" style="97" customWidth="1"/>
    <col min="2" max="2" width="42.28515625" style="97" customWidth="1"/>
    <col min="3" max="3" width="16.28515625" style="97" customWidth="1"/>
    <col min="4" max="4" width="26.28515625" style="97" customWidth="1"/>
    <col min="5" max="5" width="14" style="97" bestFit="1" customWidth="1"/>
    <col min="6" max="16384" width="9.140625" style="97"/>
  </cols>
  <sheetData>
    <row r="1" spans="2:4">
      <c r="B1" s="144" t="s">
        <v>61</v>
      </c>
    </row>
    <row r="2" spans="2:4">
      <c r="B2" s="144" t="s">
        <v>220</v>
      </c>
    </row>
    <row r="3" spans="2:4">
      <c r="B3" s="144" t="s">
        <v>191</v>
      </c>
    </row>
    <row r="5" spans="2:4">
      <c r="B5" s="145" t="s">
        <v>221</v>
      </c>
      <c r="D5" s="226" t="s">
        <v>266</v>
      </c>
    </row>
    <row r="6" spans="2:4">
      <c r="B6" s="97" t="s">
        <v>192</v>
      </c>
      <c r="C6" s="3">
        <f>Summary!B74</f>
        <v>25236151.190422058</v>
      </c>
      <c r="D6" s="227" t="s">
        <v>282</v>
      </c>
    </row>
    <row r="9" spans="2:4">
      <c r="B9" s="145" t="s">
        <v>197</v>
      </c>
    </row>
    <row r="10" spans="2:4">
      <c r="B10" s="97" t="s">
        <v>193</v>
      </c>
      <c r="C10" s="3">
        <f>Summary!F64</f>
        <v>765870874.190768</v>
      </c>
      <c r="D10" s="227" t="s">
        <v>285</v>
      </c>
    </row>
    <row r="11" spans="2:4">
      <c r="B11" s="97" t="s">
        <v>194</v>
      </c>
      <c r="C11" s="174">
        <f>Variables!$E$8</f>
        <v>2.80364E-2</v>
      </c>
      <c r="D11" s="97" t="s">
        <v>288</v>
      </c>
    </row>
    <row r="12" spans="2:4">
      <c r="B12" s="97" t="s">
        <v>195</v>
      </c>
      <c r="C12" s="3">
        <f>C10*C11</f>
        <v>21472262.177162047</v>
      </c>
      <c r="D12" s="227" t="s">
        <v>283</v>
      </c>
    </row>
    <row r="14" spans="2:4">
      <c r="B14" s="97" t="s">
        <v>192</v>
      </c>
      <c r="C14" s="3">
        <f>Summary!B74</f>
        <v>25236151.190422058</v>
      </c>
      <c r="D14" s="97" t="s">
        <v>265</v>
      </c>
    </row>
    <row r="16" spans="2:4">
      <c r="B16" s="97" t="s">
        <v>196</v>
      </c>
      <c r="C16" s="3">
        <f>C12-C14</f>
        <v>-3763889.0132600106</v>
      </c>
      <c r="D16" s="97" t="s">
        <v>284</v>
      </c>
    </row>
    <row r="19" spans="2:4">
      <c r="B19" s="145" t="s">
        <v>198</v>
      </c>
    </row>
    <row r="20" spans="2:4">
      <c r="B20" s="97" t="s">
        <v>199</v>
      </c>
      <c r="C20" s="3">
        <f>Summary!J64</f>
        <v>774752555.90157855</v>
      </c>
      <c r="D20" s="227" t="s">
        <v>287</v>
      </c>
    </row>
    <row r="21" spans="2:4">
      <c r="B21" s="97" t="s">
        <v>194</v>
      </c>
      <c r="C21" s="174">
        <f>Variables!$E$8</f>
        <v>2.80364E-2</v>
      </c>
      <c r="D21" s="97" t="s">
        <v>288</v>
      </c>
    </row>
    <row r="22" spans="2:4">
      <c r="B22" s="97" t="s">
        <v>200</v>
      </c>
      <c r="C22" s="3">
        <f>C20*C21</f>
        <v>21721272.558279015</v>
      </c>
      <c r="D22" s="227" t="s">
        <v>286</v>
      </c>
    </row>
    <row r="24" spans="2:4">
      <c r="B24" s="97" t="s">
        <v>195</v>
      </c>
      <c r="C24" s="3">
        <f>C12</f>
        <v>21472262.177162047</v>
      </c>
      <c r="D24" s="228" t="s">
        <v>265</v>
      </c>
    </row>
    <row r="26" spans="2:4">
      <c r="B26" s="97" t="s">
        <v>201</v>
      </c>
      <c r="C26" s="3">
        <f>C22-C24</f>
        <v>249010.38111696765</v>
      </c>
      <c r="D26" s="97" t="s">
        <v>284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35"/>
  <sheetViews>
    <sheetView showGridLines="0" zoomScale="85" zoomScaleNormal="85" workbookViewId="0">
      <selection sqref="A1:XFD1048576"/>
    </sheetView>
  </sheetViews>
  <sheetFormatPr defaultRowHeight="12.75"/>
  <cols>
    <col min="1" max="1" width="3.85546875" style="97" customWidth="1"/>
    <col min="2" max="5" width="15.7109375" style="97" customWidth="1"/>
    <col min="6" max="16384" width="9.140625" style="97"/>
  </cols>
  <sheetData>
    <row r="1" spans="2:5">
      <c r="B1" s="144" t="s">
        <v>61</v>
      </c>
    </row>
    <row r="2" spans="2:5">
      <c r="B2" s="144" t="s">
        <v>220</v>
      </c>
    </row>
    <row r="3" spans="2:5">
      <c r="B3" s="144" t="s">
        <v>224</v>
      </c>
    </row>
    <row r="6" spans="2:5">
      <c r="B6" s="181" t="s">
        <v>222</v>
      </c>
      <c r="C6" s="190"/>
      <c r="D6" s="190"/>
      <c r="E6" s="190"/>
    </row>
    <row r="7" spans="2:5" s="192" customFormat="1">
      <c r="B7" s="182"/>
      <c r="C7" s="182" t="s">
        <v>36</v>
      </c>
      <c r="D7" s="183" t="s">
        <v>37</v>
      </c>
      <c r="E7" s="182" t="s">
        <v>38</v>
      </c>
    </row>
    <row r="8" spans="2:5">
      <c r="B8" s="184" t="s">
        <v>39</v>
      </c>
      <c r="C8" s="185">
        <v>0.47599999999999998</v>
      </c>
      <c r="D8" s="175">
        <v>5.8900000000000001E-2</v>
      </c>
      <c r="E8" s="185">
        <f>C8*D8</f>
        <v>2.80364E-2</v>
      </c>
    </row>
    <row r="9" spans="2:5">
      <c r="B9" s="184" t="s">
        <v>40</v>
      </c>
      <c r="C9" s="185">
        <v>3.0000000000000001E-3</v>
      </c>
      <c r="D9" s="175">
        <v>5.4100000000000002E-2</v>
      </c>
      <c r="E9" s="185">
        <f>C9*D9</f>
        <v>1.6230000000000001E-4</v>
      </c>
    </row>
    <row r="10" spans="2:5">
      <c r="B10" s="186" t="s">
        <v>41</v>
      </c>
      <c r="C10" s="187">
        <v>0.52100000000000002</v>
      </c>
      <c r="D10" s="176">
        <v>0.106</v>
      </c>
      <c r="E10" s="187">
        <f>C10*D10</f>
        <v>5.5225999999999997E-2</v>
      </c>
    </row>
    <row r="11" spans="2:5">
      <c r="E11" s="188">
        <f>ROUND(SUM(E8:E10),4)</f>
        <v>8.3400000000000002E-2</v>
      </c>
    </row>
    <row r="16" spans="2:5">
      <c r="B16" s="145" t="s">
        <v>217</v>
      </c>
      <c r="C16" s="193"/>
    </row>
    <row r="17" spans="2:6">
      <c r="B17" s="97" t="s">
        <v>121</v>
      </c>
      <c r="D17" s="174">
        <v>1</v>
      </c>
    </row>
    <row r="18" spans="2:6">
      <c r="D18" s="174"/>
    </row>
    <row r="19" spans="2:6">
      <c r="B19" s="97" t="s">
        <v>209</v>
      </c>
      <c r="D19" s="174"/>
    </row>
    <row r="20" spans="2:6">
      <c r="B20" s="97" t="s">
        <v>210</v>
      </c>
      <c r="D20" s="174">
        <v>5.6100000000000004E-3</v>
      </c>
      <c r="F20" s="198"/>
    </row>
    <row r="21" spans="2:6">
      <c r="B21" s="97" t="s">
        <v>208</v>
      </c>
      <c r="D21" s="174">
        <v>2E-3</v>
      </c>
    </row>
    <row r="22" spans="2:6">
      <c r="B22" s="97" t="s">
        <v>211</v>
      </c>
      <c r="D22" s="174">
        <v>3.8730000000000001E-2</v>
      </c>
    </row>
    <row r="23" spans="2:6">
      <c r="B23" s="97" t="s">
        <v>212</v>
      </c>
      <c r="D23" s="175">
        <v>0</v>
      </c>
    </row>
    <row r="24" spans="2:6">
      <c r="B24" s="97" t="s">
        <v>213</v>
      </c>
      <c r="D24" s="176">
        <v>0</v>
      </c>
    </row>
    <row r="25" spans="2:6">
      <c r="D25" s="174"/>
    </row>
    <row r="26" spans="2:6">
      <c r="B26" s="97" t="s">
        <v>214</v>
      </c>
      <c r="D26" s="194">
        <f>D17-SUM(D19:D24)</f>
        <v>0.95365999999999995</v>
      </c>
    </row>
    <row r="27" spans="2:6">
      <c r="D27" s="174"/>
    </row>
    <row r="28" spans="2:6">
      <c r="B28" s="97" t="s">
        <v>218</v>
      </c>
      <c r="D28" s="176">
        <v>0</v>
      </c>
    </row>
    <row r="29" spans="2:6">
      <c r="D29" s="174"/>
    </row>
    <row r="30" spans="2:6">
      <c r="B30" s="97" t="s">
        <v>214</v>
      </c>
      <c r="D30" s="194">
        <f>D26-D28</f>
        <v>0.95365999999999995</v>
      </c>
    </row>
    <row r="31" spans="2:6">
      <c r="D31" s="174"/>
    </row>
    <row r="32" spans="2:6">
      <c r="B32" s="97" t="s">
        <v>215</v>
      </c>
      <c r="D32" s="176">
        <f>D30*0.35</f>
        <v>0.33378099999999994</v>
      </c>
    </row>
    <row r="33" spans="2:4">
      <c r="D33" s="195"/>
    </row>
    <row r="34" spans="2:4" ht="13.5" thickBot="1">
      <c r="B34" s="97" t="s">
        <v>216</v>
      </c>
      <c r="D34" s="196">
        <f>ROUND(D30-D32,5)</f>
        <v>0.61987999999999999</v>
      </c>
    </row>
    <row r="35" spans="2:4" ht="13.5" thickTop="1">
      <c r="D35" s="197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44"/>
  <sheetViews>
    <sheetView zoomScale="85" zoomScaleNormal="85" workbookViewId="0">
      <selection activeCell="AE22" sqref="AE22"/>
    </sheetView>
  </sheetViews>
  <sheetFormatPr defaultRowHeight="12.75"/>
  <cols>
    <col min="1" max="1" width="36.85546875" style="97" customWidth="1"/>
    <col min="2" max="4" width="13.85546875" style="97" customWidth="1"/>
    <col min="5" max="5" width="3.140625" style="97" customWidth="1"/>
    <col min="6" max="8" width="13.85546875" style="97" customWidth="1"/>
    <col min="9" max="9" width="3.140625" style="97" customWidth="1"/>
    <col min="10" max="12" width="13.85546875" style="97" customWidth="1"/>
    <col min="13" max="13" width="3.5703125" style="97" customWidth="1"/>
    <col min="14" max="16" width="13.85546875" style="97" customWidth="1"/>
    <col min="17" max="17" width="3.5703125" style="97" customWidth="1"/>
    <col min="18" max="20" width="13.85546875" style="97" customWidth="1"/>
    <col min="21" max="21" width="3.5703125" style="97" customWidth="1"/>
    <col min="22" max="24" width="13.85546875" style="97" customWidth="1"/>
    <col min="25" max="16384" width="9.140625" style="97"/>
  </cols>
  <sheetData>
    <row r="1" spans="1:24">
      <c r="A1" s="5" t="s">
        <v>61</v>
      </c>
    </row>
    <row r="2" spans="1:24">
      <c r="A2" s="1" t="s">
        <v>62</v>
      </c>
    </row>
    <row r="3" spans="1:24">
      <c r="A3" s="1" t="s">
        <v>229</v>
      </c>
    </row>
    <row r="4" spans="1:24">
      <c r="A4" s="1"/>
    </row>
    <row r="5" spans="1:24">
      <c r="A5" s="1"/>
    </row>
    <row r="6" spans="1:24">
      <c r="A6" s="200"/>
      <c r="B6" s="201" t="s">
        <v>221</v>
      </c>
      <c r="C6" s="142"/>
      <c r="D6" s="142"/>
      <c r="F6" s="201" t="s">
        <v>176</v>
      </c>
      <c r="G6" s="142"/>
      <c r="H6" s="142"/>
      <c r="J6" s="201" t="s">
        <v>197</v>
      </c>
      <c r="K6" s="142"/>
      <c r="L6" s="142"/>
      <c r="N6" s="201" t="s">
        <v>178</v>
      </c>
      <c r="O6" s="142"/>
      <c r="P6" s="142"/>
      <c r="R6" s="201" t="s">
        <v>198</v>
      </c>
      <c r="S6" s="142"/>
      <c r="T6" s="142"/>
      <c r="V6" s="201" t="s">
        <v>205</v>
      </c>
      <c r="W6" s="142"/>
      <c r="X6" s="142"/>
    </row>
    <row r="7" spans="1:24" ht="38.25">
      <c r="A7" s="98"/>
      <c r="B7" s="199" t="s">
        <v>227</v>
      </c>
      <c r="C7" s="199" t="s">
        <v>228</v>
      </c>
      <c r="D7" s="199" t="s">
        <v>226</v>
      </c>
      <c r="F7" s="199" t="s">
        <v>227</v>
      </c>
      <c r="G7" s="199" t="s">
        <v>228</v>
      </c>
      <c r="H7" s="199" t="s">
        <v>226</v>
      </c>
      <c r="J7" s="199" t="s">
        <v>227</v>
      </c>
      <c r="K7" s="199" t="s">
        <v>228</v>
      </c>
      <c r="L7" s="199" t="s">
        <v>226</v>
      </c>
      <c r="N7" s="199" t="s">
        <v>227</v>
      </c>
      <c r="O7" s="199" t="s">
        <v>228</v>
      </c>
      <c r="P7" s="199" t="s">
        <v>226</v>
      </c>
      <c r="R7" s="199" t="s">
        <v>227</v>
      </c>
      <c r="S7" s="199" t="s">
        <v>228</v>
      </c>
      <c r="T7" s="199" t="s">
        <v>226</v>
      </c>
      <c r="V7" s="199" t="s">
        <v>227</v>
      </c>
      <c r="W7" s="199" t="s">
        <v>228</v>
      </c>
      <c r="X7" s="199" t="s">
        <v>226</v>
      </c>
    </row>
    <row r="8" spans="1:24">
      <c r="A8" s="61" t="s">
        <v>68</v>
      </c>
      <c r="B8" s="41"/>
      <c r="C8" s="41"/>
      <c r="D8" s="41"/>
      <c r="F8" s="41"/>
      <c r="G8" s="41"/>
      <c r="H8" s="41"/>
      <c r="J8" s="41"/>
      <c r="K8" s="41"/>
      <c r="L8" s="41"/>
      <c r="N8" s="41"/>
      <c r="O8" s="41"/>
      <c r="P8" s="41"/>
      <c r="R8" s="41"/>
      <c r="S8" s="41"/>
      <c r="T8" s="41"/>
      <c r="V8" s="41"/>
      <c r="W8" s="41"/>
      <c r="X8" s="41"/>
    </row>
    <row r="9" spans="1:24">
      <c r="A9" s="61" t="s">
        <v>69</v>
      </c>
      <c r="B9" s="41">
        <f>Summary!$B$9</f>
        <v>266100834.98999998</v>
      </c>
      <c r="C9" s="41">
        <f>[2]Results!$C$11</f>
        <v>266100834.98999998</v>
      </c>
      <c r="D9" s="41">
        <f>C9-B9</f>
        <v>0</v>
      </c>
      <c r="F9" s="41">
        <f>Summary!$D$9</f>
        <v>-6737565.5899999887</v>
      </c>
      <c r="G9" s="41">
        <f>[2]Results!$D$11</f>
        <v>-6737565.5899999887</v>
      </c>
      <c r="H9" s="41">
        <f>G9-F9</f>
        <v>0</v>
      </c>
      <c r="J9" s="41">
        <f>Summary!$F$9</f>
        <v>259363269.39999998</v>
      </c>
      <c r="K9" s="41">
        <f>[2]Results!$E$11</f>
        <v>259363269.39999998</v>
      </c>
      <c r="L9" s="41">
        <f>K9-J9</f>
        <v>0</v>
      </c>
      <c r="N9" s="41">
        <f>Summary!$H$9</f>
        <v>12402155.109999999</v>
      </c>
      <c r="O9" s="41">
        <f>[2]Results!$H$11</f>
        <v>12402155.109999999</v>
      </c>
      <c r="P9" s="41">
        <f>O9-N9</f>
        <v>0</v>
      </c>
      <c r="R9" s="41">
        <f>Summary!$J$9</f>
        <v>271765424.50999999</v>
      </c>
      <c r="S9" s="41">
        <f>[2]Results!$I$11</f>
        <v>271765424.50999999</v>
      </c>
      <c r="T9" s="41">
        <f>S9-R9</f>
        <v>0</v>
      </c>
      <c r="V9" s="41">
        <f>Summary!$L$9</f>
        <v>56747051.318428427</v>
      </c>
      <c r="W9" s="41">
        <f>[2]Results!$H$100</f>
        <v>56747050.966133446</v>
      </c>
      <c r="X9" s="41">
        <f>W9-V9</f>
        <v>-0.35229498147964478</v>
      </c>
    </row>
    <row r="10" spans="1:24">
      <c r="A10" s="61" t="s">
        <v>70</v>
      </c>
      <c r="B10" s="41">
        <f>Summary!$B$10</f>
        <v>0</v>
      </c>
      <c r="C10" s="41">
        <f>[2]Results!$C$12</f>
        <v>0</v>
      </c>
      <c r="D10" s="41">
        <f t="shared" ref="D10:D13" si="0">C10-B10</f>
        <v>0</v>
      </c>
      <c r="F10" s="41">
        <f>Summary!$D$10</f>
        <v>0</v>
      </c>
      <c r="G10" s="41">
        <f>[2]Results!$D$12</f>
        <v>0</v>
      </c>
      <c r="H10" s="41">
        <f t="shared" ref="H10:H13" si="1">G10-F10</f>
        <v>0</v>
      </c>
      <c r="J10" s="41">
        <f>Summary!$F$10</f>
        <v>0</v>
      </c>
      <c r="K10" s="41">
        <f>[2]Results!$E$12</f>
        <v>0</v>
      </c>
      <c r="L10" s="41">
        <f t="shared" ref="L10:L13" si="2">K10-J10</f>
        <v>0</v>
      </c>
      <c r="N10" s="41">
        <f>Summary!$H$10</f>
        <v>0</v>
      </c>
      <c r="O10" s="41">
        <f>[2]Results!$H$12</f>
        <v>0</v>
      </c>
      <c r="P10" s="41">
        <f t="shared" ref="P10:P13" si="3">O10-N10</f>
        <v>0</v>
      </c>
      <c r="R10" s="41">
        <f>Summary!$J$10</f>
        <v>0</v>
      </c>
      <c r="S10" s="41">
        <f>[2]Results!$I$12</f>
        <v>0</v>
      </c>
      <c r="T10" s="41">
        <f t="shared" ref="T10:T13" si="4">S10-R10</f>
        <v>0</v>
      </c>
      <c r="V10" s="41">
        <f>Summary!$L$10</f>
        <v>0</v>
      </c>
      <c r="W10" s="41"/>
      <c r="X10" s="41">
        <f t="shared" ref="X10:X13" si="5">W10-V10</f>
        <v>0</v>
      </c>
    </row>
    <row r="11" spans="1:24">
      <c r="A11" s="61" t="s">
        <v>71</v>
      </c>
      <c r="B11" s="41">
        <f>Summary!$B$11</f>
        <v>78723890.002297029</v>
      </c>
      <c r="C11" s="41">
        <f>[2]Results!$C$13</f>
        <v>78723890.002297029</v>
      </c>
      <c r="D11" s="41">
        <f t="shared" si="0"/>
        <v>0</v>
      </c>
      <c r="F11" s="41">
        <f>Summary!$D$11</f>
        <v>3803644.2032988709</v>
      </c>
      <c r="G11" s="41">
        <f>[2]Results!$D$13</f>
        <v>3803644.2032988709</v>
      </c>
      <c r="H11" s="41">
        <f t="shared" si="1"/>
        <v>0</v>
      </c>
      <c r="J11" s="41">
        <f>Summary!$F$11</f>
        <v>82527534.205595896</v>
      </c>
      <c r="K11" s="41">
        <f>[2]Results!$E$13</f>
        <v>82527534.205595896</v>
      </c>
      <c r="L11" s="41">
        <f t="shared" si="2"/>
        <v>0</v>
      </c>
      <c r="N11" s="41">
        <f>Summary!$H$11</f>
        <v>-43556536.002498887</v>
      </c>
      <c r="O11" s="41">
        <f>[2]Results!$H$13</f>
        <v>-43556536.002497584</v>
      </c>
      <c r="P11" s="41">
        <f t="shared" si="3"/>
        <v>1.3038516044616699E-6</v>
      </c>
      <c r="R11" s="41">
        <f>Summary!$J$11</f>
        <v>38970998.203097008</v>
      </c>
      <c r="S11" s="41">
        <f>[2]Results!$I$13</f>
        <v>38970998.203098312</v>
      </c>
      <c r="T11" s="41">
        <f t="shared" si="4"/>
        <v>1.3038516044616699E-6</v>
      </c>
      <c r="V11" s="41">
        <f>Summary!$L$11</f>
        <v>0</v>
      </c>
      <c r="W11" s="41"/>
      <c r="X11" s="41">
        <f t="shared" si="5"/>
        <v>0</v>
      </c>
    </row>
    <row r="12" spans="1:24">
      <c r="A12" s="61" t="s">
        <v>72</v>
      </c>
      <c r="B12" s="41">
        <f>Summary!$B$12</f>
        <v>12554856.948306177</v>
      </c>
      <c r="C12" s="41">
        <f>[2]Results!$C$14</f>
        <v>12554856.948306177</v>
      </c>
      <c r="D12" s="41">
        <f t="shared" si="0"/>
        <v>0</v>
      </c>
      <c r="F12" s="41">
        <f>Summary!$D$12</f>
        <v>-4108989.02950744</v>
      </c>
      <c r="G12" s="41">
        <f>[2]Results!$D$14</f>
        <v>-4108989.02950744</v>
      </c>
      <c r="H12" s="41">
        <f t="shared" si="1"/>
        <v>0</v>
      </c>
      <c r="J12" s="41">
        <f>Summary!$F$12</f>
        <v>8445867.9187987372</v>
      </c>
      <c r="K12" s="41">
        <f>[2]Results!$E$14</f>
        <v>8445867.9187987372</v>
      </c>
      <c r="L12" s="41">
        <f t="shared" si="2"/>
        <v>0</v>
      </c>
      <c r="N12" s="41">
        <f>Summary!$H$12</f>
        <v>-1833131.8684714881</v>
      </c>
      <c r="O12" s="41">
        <f>[2]Results!$H$14</f>
        <v>-1833131.8684714884</v>
      </c>
      <c r="P12" s="41">
        <f t="shared" si="3"/>
        <v>0</v>
      </c>
      <c r="R12" s="41">
        <f>Summary!$J$12</f>
        <v>6612736.0503272489</v>
      </c>
      <c r="S12" s="41">
        <f>[2]Results!$I$14</f>
        <v>6612736.0503272489</v>
      </c>
      <c r="T12" s="41">
        <f t="shared" si="4"/>
        <v>0</v>
      </c>
      <c r="V12" s="41">
        <f>Summary!$L$12</f>
        <v>0</v>
      </c>
      <c r="W12" s="41"/>
      <c r="X12" s="41">
        <f t="shared" si="5"/>
        <v>0</v>
      </c>
    </row>
    <row r="13" spans="1:24" ht="13.5" thickBot="1">
      <c r="A13" s="61" t="s">
        <v>73</v>
      </c>
      <c r="B13" s="60">
        <f>Summary!$B$13</f>
        <v>357379581.9406032</v>
      </c>
      <c r="C13" s="60">
        <f>[2]Results!$C$15</f>
        <v>357379581.9406032</v>
      </c>
      <c r="D13" s="60">
        <f t="shared" si="0"/>
        <v>0</v>
      </c>
      <c r="F13" s="60">
        <f>Summary!$D$13</f>
        <v>-7042910.4162085578</v>
      </c>
      <c r="G13" s="60">
        <f>[2]Results!$D$15</f>
        <v>-7042910.4162085578</v>
      </c>
      <c r="H13" s="60">
        <f t="shared" si="1"/>
        <v>0</v>
      </c>
      <c r="J13" s="60">
        <f>Summary!$F$13</f>
        <v>350336671.52439463</v>
      </c>
      <c r="K13" s="60">
        <f>[2]Results!$E$15</f>
        <v>350336671.52439463</v>
      </c>
      <c r="L13" s="60">
        <f t="shared" si="2"/>
        <v>0</v>
      </c>
      <c r="N13" s="60">
        <f>Summary!$H$13</f>
        <v>-32987512.760970376</v>
      </c>
      <c r="O13" s="60">
        <f>[2]Results!$H$15</f>
        <v>-32987512.760969073</v>
      </c>
      <c r="P13" s="60">
        <f t="shared" si="3"/>
        <v>1.3038516044616699E-6</v>
      </c>
      <c r="R13" s="60">
        <f>Summary!$J$13</f>
        <v>317349158.76342422</v>
      </c>
      <c r="S13" s="60">
        <f>[2]Results!$I$15</f>
        <v>317349158.76342553</v>
      </c>
      <c r="T13" s="60">
        <f t="shared" si="4"/>
        <v>1.3113021850585938E-6</v>
      </c>
      <c r="V13" s="60">
        <f>Summary!$L$13</f>
        <v>56747051.318428427</v>
      </c>
      <c r="W13" s="60">
        <f>SUM(W9:W12)</f>
        <v>56747050.966133446</v>
      </c>
      <c r="X13" s="60">
        <f t="shared" si="5"/>
        <v>-0.35229498147964478</v>
      </c>
    </row>
    <row r="14" spans="1:24" ht="13.5" thickTop="1">
      <c r="A14" s="61"/>
      <c r="B14" s="41"/>
      <c r="C14" s="41"/>
      <c r="D14" s="41"/>
      <c r="F14" s="41"/>
      <c r="G14" s="41"/>
      <c r="H14" s="41"/>
      <c r="J14" s="41"/>
      <c r="K14" s="41"/>
      <c r="L14" s="41"/>
      <c r="N14" s="41"/>
      <c r="O14" s="41"/>
      <c r="P14" s="41"/>
      <c r="R14" s="41"/>
      <c r="S14" s="41"/>
      <c r="T14" s="41"/>
      <c r="V14" s="41"/>
      <c r="W14" s="41"/>
      <c r="X14" s="41"/>
    </row>
    <row r="15" spans="1:24">
      <c r="A15" s="61" t="s">
        <v>74</v>
      </c>
      <c r="B15" s="41"/>
      <c r="C15" s="41"/>
      <c r="D15" s="41"/>
      <c r="F15" s="41"/>
      <c r="G15" s="41"/>
      <c r="H15" s="41"/>
      <c r="J15" s="41"/>
      <c r="K15" s="41"/>
      <c r="L15" s="41"/>
      <c r="N15" s="41"/>
      <c r="O15" s="41"/>
      <c r="P15" s="41"/>
      <c r="R15" s="41"/>
      <c r="S15" s="41"/>
      <c r="T15" s="41"/>
      <c r="V15" s="41"/>
      <c r="W15" s="41"/>
      <c r="X15" s="41"/>
    </row>
    <row r="16" spans="1:24">
      <c r="A16" s="61" t="s">
        <v>75</v>
      </c>
      <c r="B16" s="41">
        <f>Summary!$B$16</f>
        <v>48371132.770529747</v>
      </c>
      <c r="C16" s="41">
        <f>[2]Results!$C$18</f>
        <v>48371132.770529747</v>
      </c>
      <c r="D16" s="41">
        <f t="shared" ref="D16:D35" si="6">C16-B16</f>
        <v>0</v>
      </c>
      <c r="F16" s="41">
        <f>Summary!$D$16</f>
        <v>-1302039.490000973</v>
      </c>
      <c r="G16" s="41">
        <f>[2]Results!$D$18</f>
        <v>-1302039.490000973</v>
      </c>
      <c r="H16" s="41">
        <f t="shared" ref="H16:H35" si="7">G16-F16</f>
        <v>0</v>
      </c>
      <c r="J16" s="41">
        <f>Summary!$F$16</f>
        <v>47069093.280528776</v>
      </c>
      <c r="K16" s="41">
        <f>[2]Results!$E$18</f>
        <v>47069093.280528776</v>
      </c>
      <c r="L16" s="41">
        <f t="shared" ref="L16:L35" si="8">K16-J16</f>
        <v>0</v>
      </c>
      <c r="N16" s="41">
        <f>Summary!$H$16</f>
        <v>4164858.837095404</v>
      </c>
      <c r="O16" s="41">
        <f>[2]Results!$H$18</f>
        <v>4164858.8370971931</v>
      </c>
      <c r="P16" s="41">
        <f t="shared" ref="P16:P35" si="9">O16-N16</f>
        <v>1.7890706658363342E-6</v>
      </c>
      <c r="R16" s="41">
        <f>Summary!$J$16</f>
        <v>51233952.117624179</v>
      </c>
      <c r="S16" s="41">
        <f>[2]Results!$I$18</f>
        <v>51233952.117625967</v>
      </c>
      <c r="T16" s="41">
        <f t="shared" ref="T16:T35" si="10">S16-R16</f>
        <v>1.7881393432617188E-6</v>
      </c>
      <c r="V16" s="41">
        <f>Summary!$L$16</f>
        <v>0</v>
      </c>
      <c r="W16" s="41"/>
      <c r="X16" s="41">
        <f t="shared" ref="X16:X35" si="11">W16-V16</f>
        <v>0</v>
      </c>
    </row>
    <row r="17" spans="1:24">
      <c r="A17" s="61" t="s">
        <v>76</v>
      </c>
      <c r="B17" s="41">
        <f>Summary!$B$17</f>
        <v>0</v>
      </c>
      <c r="C17" s="41">
        <f>[2]Results!$C$19</f>
        <v>0</v>
      </c>
      <c r="D17" s="41">
        <f t="shared" si="6"/>
        <v>0</v>
      </c>
      <c r="F17" s="41">
        <f>Summary!$D$17</f>
        <v>0</v>
      </c>
      <c r="G17" s="41">
        <f>[2]Results!$D$19</f>
        <v>0</v>
      </c>
      <c r="H17" s="41">
        <f t="shared" si="7"/>
        <v>0</v>
      </c>
      <c r="J17" s="41">
        <f>Summary!$F$17</f>
        <v>0</v>
      </c>
      <c r="K17" s="41">
        <f>[2]Results!$E$19</f>
        <v>0</v>
      </c>
      <c r="L17" s="41">
        <f t="shared" si="8"/>
        <v>0</v>
      </c>
      <c r="N17" s="41">
        <f>Summary!$H$17</f>
        <v>0</v>
      </c>
      <c r="O17" s="41">
        <f>[2]Results!$H$19</f>
        <v>0</v>
      </c>
      <c r="P17" s="41">
        <f t="shared" si="9"/>
        <v>0</v>
      </c>
      <c r="R17" s="41">
        <f>Summary!$J$17</f>
        <v>0</v>
      </c>
      <c r="S17" s="41">
        <f>[2]Results!$I$19</f>
        <v>0</v>
      </c>
      <c r="T17" s="41">
        <f t="shared" si="10"/>
        <v>0</v>
      </c>
      <c r="V17" s="41">
        <f>Summary!$L$17</f>
        <v>0</v>
      </c>
      <c r="W17" s="41"/>
      <c r="X17" s="41">
        <f t="shared" si="11"/>
        <v>0</v>
      </c>
    </row>
    <row r="18" spans="1:24">
      <c r="A18" s="61" t="s">
        <v>77</v>
      </c>
      <c r="B18" s="41">
        <f>Summary!$B$18</f>
        <v>6349037.5511267083</v>
      </c>
      <c r="C18" s="41">
        <f>[2]Results!$C$20</f>
        <v>6349037.5511267083</v>
      </c>
      <c r="D18" s="41">
        <f t="shared" si="6"/>
        <v>0</v>
      </c>
      <c r="F18" s="41">
        <f>Summary!$D$18</f>
        <v>1964.8349516471831</v>
      </c>
      <c r="G18" s="41">
        <f>[2]Results!$D$20</f>
        <v>1964.8349516471831</v>
      </c>
      <c r="H18" s="41">
        <f t="shared" si="7"/>
        <v>0</v>
      </c>
      <c r="J18" s="41">
        <f>Summary!$F$18</f>
        <v>6351002.3860783558</v>
      </c>
      <c r="K18" s="41">
        <f>[2]Results!$E$20</f>
        <v>6351002.3860783558</v>
      </c>
      <c r="L18" s="41">
        <f t="shared" si="8"/>
        <v>0</v>
      </c>
      <c r="N18" s="41">
        <f>Summary!$H$18</f>
        <v>14128.087987025239</v>
      </c>
      <c r="O18" s="41">
        <f>[2]Results!$H$20</f>
        <v>14128.087987025521</v>
      </c>
      <c r="P18" s="41">
        <f t="shared" si="9"/>
        <v>2.8194335754960775E-10</v>
      </c>
      <c r="R18" s="41">
        <f>Summary!$J$18</f>
        <v>6365130.4740653811</v>
      </c>
      <c r="S18" s="41">
        <f>[2]Results!$I$20</f>
        <v>6365130.4740653811</v>
      </c>
      <c r="T18" s="41">
        <f t="shared" si="10"/>
        <v>0</v>
      </c>
      <c r="V18" s="41">
        <f>Summary!$L$18</f>
        <v>0</v>
      </c>
      <c r="W18" s="41"/>
      <c r="X18" s="41">
        <f t="shared" si="11"/>
        <v>0</v>
      </c>
    </row>
    <row r="19" spans="1:24">
      <c r="A19" s="61" t="s">
        <v>78</v>
      </c>
      <c r="B19" s="41">
        <f>Summary!$B$19</f>
        <v>125305885.00091264</v>
      </c>
      <c r="C19" s="41">
        <f>[2]Results!$C$21</f>
        <v>125305885.00091264</v>
      </c>
      <c r="D19" s="41">
        <f t="shared" si="6"/>
        <v>0</v>
      </c>
      <c r="F19" s="41">
        <f>Summary!$D$19</f>
        <v>2206561.8332285574</v>
      </c>
      <c r="G19" s="41">
        <f>[2]Results!$D$21</f>
        <v>2206561.8332285578</v>
      </c>
      <c r="H19" s="41">
        <f t="shared" si="7"/>
        <v>0</v>
      </c>
      <c r="J19" s="41">
        <f>Summary!$F$19</f>
        <v>127512446.83414119</v>
      </c>
      <c r="K19" s="41">
        <f>[2]Results!$E$21</f>
        <v>127512446.83414119</v>
      </c>
      <c r="L19" s="41">
        <f t="shared" si="8"/>
        <v>0</v>
      </c>
      <c r="N19" s="41">
        <f>Summary!$H$19</f>
        <v>-13760382.152451843</v>
      </c>
      <c r="O19" s="41">
        <f>[2]Results!$H$21</f>
        <v>-13760382.152448796</v>
      </c>
      <c r="P19" s="41">
        <f t="shared" si="9"/>
        <v>3.0472874641418457E-6</v>
      </c>
      <c r="R19" s="41">
        <f>Summary!$J$19</f>
        <v>113752064.68168935</v>
      </c>
      <c r="S19" s="41">
        <f>[2]Results!$I$21</f>
        <v>113752064.68169239</v>
      </c>
      <c r="T19" s="41">
        <f t="shared" si="10"/>
        <v>3.0398368835449219E-6</v>
      </c>
      <c r="V19" s="41">
        <f>Summary!$L$19</f>
        <v>0</v>
      </c>
      <c r="W19" s="41"/>
      <c r="X19" s="41">
        <f t="shared" si="11"/>
        <v>0</v>
      </c>
    </row>
    <row r="20" spans="1:24">
      <c r="A20" s="61" t="s">
        <v>79</v>
      </c>
      <c r="B20" s="41">
        <f>Summary!$B$20</f>
        <v>25362553.335236829</v>
      </c>
      <c r="C20" s="41">
        <f>[2]Results!$C$22</f>
        <v>25362553.335236829</v>
      </c>
      <c r="D20" s="41">
        <f t="shared" si="6"/>
        <v>0</v>
      </c>
      <c r="F20" s="41">
        <f>Summary!$D$20</f>
        <v>-119205.98724489645</v>
      </c>
      <c r="G20" s="41">
        <f>[2]Results!$D$22</f>
        <v>-119205.98724489645</v>
      </c>
      <c r="H20" s="41">
        <f t="shared" si="7"/>
        <v>0</v>
      </c>
      <c r="J20" s="41">
        <f>Summary!$F$20</f>
        <v>25243347.347991932</v>
      </c>
      <c r="K20" s="41">
        <f>[2]Results!$E$22</f>
        <v>25243347.347991932</v>
      </c>
      <c r="L20" s="41">
        <f t="shared" si="8"/>
        <v>0</v>
      </c>
      <c r="N20" s="41">
        <f>Summary!$H$20</f>
        <v>3316493.9365832619</v>
      </c>
      <c r="O20" s="41">
        <f>[2]Results!$H$22</f>
        <v>3316493.9365832596</v>
      </c>
      <c r="P20" s="41">
        <f t="shared" si="9"/>
        <v>0</v>
      </c>
      <c r="R20" s="41">
        <f>Summary!$J$20</f>
        <v>28559841.284575194</v>
      </c>
      <c r="S20" s="41">
        <f>[2]Results!$I$22</f>
        <v>28559841.28457519</v>
      </c>
      <c r="T20" s="41">
        <f t="shared" si="10"/>
        <v>0</v>
      </c>
      <c r="V20" s="41">
        <f>Summary!$L$20</f>
        <v>0</v>
      </c>
      <c r="W20" s="41"/>
      <c r="X20" s="41">
        <f t="shared" si="11"/>
        <v>0</v>
      </c>
    </row>
    <row r="21" spans="1:24">
      <c r="A21" s="61" t="s">
        <v>80</v>
      </c>
      <c r="B21" s="41">
        <f>Summary!$B$21</f>
        <v>13621606.721800074</v>
      </c>
      <c r="C21" s="41">
        <f>[2]Results!$C$23</f>
        <v>13621606.721800074</v>
      </c>
      <c r="D21" s="41">
        <f t="shared" si="6"/>
        <v>0</v>
      </c>
      <c r="F21" s="41">
        <f>Summary!$D$21</f>
        <v>6969.4824389372116</v>
      </c>
      <c r="G21" s="41">
        <f>[2]Results!$D$23</f>
        <v>6969.4824389372116</v>
      </c>
      <c r="H21" s="41">
        <f t="shared" si="7"/>
        <v>0</v>
      </c>
      <c r="J21" s="41">
        <f>Summary!$F$21</f>
        <v>13628576.204239011</v>
      </c>
      <c r="K21" s="41">
        <f>[2]Results!$E$23</f>
        <v>13628576.204239011</v>
      </c>
      <c r="L21" s="41">
        <f t="shared" si="8"/>
        <v>0</v>
      </c>
      <c r="N21" s="41">
        <f>Summary!$H$21</f>
        <v>91505.452370337007</v>
      </c>
      <c r="O21" s="41">
        <f>[2]Results!$H$23</f>
        <v>91505.452370337007</v>
      </c>
      <c r="P21" s="41">
        <f t="shared" si="9"/>
        <v>0</v>
      </c>
      <c r="R21" s="41">
        <f>Summary!$J$21</f>
        <v>13720081.656609347</v>
      </c>
      <c r="S21" s="41">
        <f>[2]Results!$I$23</f>
        <v>13720081.656609347</v>
      </c>
      <c r="T21" s="41">
        <f t="shared" si="10"/>
        <v>0</v>
      </c>
      <c r="V21" s="41">
        <f>Summary!$L$21</f>
        <v>0</v>
      </c>
      <c r="W21" s="41"/>
      <c r="X21" s="41">
        <f t="shared" si="11"/>
        <v>0</v>
      </c>
    </row>
    <row r="22" spans="1:24">
      <c r="A22" s="61" t="s">
        <v>81</v>
      </c>
      <c r="B22" s="41">
        <f>Summary!$B$22</f>
        <v>8025975.3729733964</v>
      </c>
      <c r="C22" s="41">
        <f>[2]Results!$C$24</f>
        <v>8025975.3729733964</v>
      </c>
      <c r="D22" s="41">
        <f t="shared" si="6"/>
        <v>0</v>
      </c>
      <c r="F22" s="41">
        <f>Summary!$D$22</f>
        <v>4466.1128616715359</v>
      </c>
      <c r="G22" s="41">
        <f>[2]Results!$D$24</f>
        <v>4466.1128616715359</v>
      </c>
      <c r="H22" s="41">
        <f t="shared" si="7"/>
        <v>0</v>
      </c>
      <c r="J22" s="41">
        <f>Summary!$F$22</f>
        <v>8030441.4858350679</v>
      </c>
      <c r="K22" s="41">
        <f>[2]Results!$E$24</f>
        <v>8030441.4858350679</v>
      </c>
      <c r="L22" s="41">
        <f t="shared" si="8"/>
        <v>0</v>
      </c>
      <c r="N22" s="41">
        <f>Summary!$H$22</f>
        <v>57733.388162278228</v>
      </c>
      <c r="O22" s="41">
        <f>[2]Results!$H$24</f>
        <v>57733.388162278228</v>
      </c>
      <c r="P22" s="41">
        <f t="shared" si="9"/>
        <v>0</v>
      </c>
      <c r="R22" s="41">
        <f>Summary!$J$22</f>
        <v>8088174.8739973465</v>
      </c>
      <c r="S22" s="41">
        <f>[2]Results!$I$24</f>
        <v>8088174.8739973465</v>
      </c>
      <c r="T22" s="41">
        <f t="shared" si="10"/>
        <v>0</v>
      </c>
      <c r="V22" s="41">
        <f>Summary!$L$22</f>
        <v>318350.95789638348</v>
      </c>
      <c r="W22" s="41">
        <f>[2]Results!$H$113</f>
        <v>318350.95592000865</v>
      </c>
      <c r="X22" s="41">
        <f t="shared" si="11"/>
        <v>-1.9763748277910054E-3</v>
      </c>
    </row>
    <row r="23" spans="1:24">
      <c r="A23" s="61" t="s">
        <v>82</v>
      </c>
      <c r="B23" s="41">
        <f>Summary!$B$23</f>
        <v>5423426.4819710292</v>
      </c>
      <c r="C23" s="41">
        <f>[2]Results!$C$25</f>
        <v>5423426.4819710292</v>
      </c>
      <c r="D23" s="41">
        <f t="shared" si="6"/>
        <v>0</v>
      </c>
      <c r="F23" s="41">
        <f>Summary!$D$23</f>
        <v>-4858857.1696259631</v>
      </c>
      <c r="G23" s="41">
        <f>[2]Results!$D$25</f>
        <v>-4858857.1696259631</v>
      </c>
      <c r="H23" s="41">
        <f t="shared" si="7"/>
        <v>0</v>
      </c>
      <c r="J23" s="41">
        <f>Summary!$F$23</f>
        <v>564569.31234506611</v>
      </c>
      <c r="K23" s="41">
        <f>[2]Results!$E$25</f>
        <v>564569.31234506611</v>
      </c>
      <c r="L23" s="41">
        <f t="shared" si="8"/>
        <v>0</v>
      </c>
      <c r="N23" s="41">
        <f>Summary!$H$23</f>
        <v>2679.2924333421715</v>
      </c>
      <c r="O23" s="41">
        <f>[2]Results!$H$25</f>
        <v>2679.2924333421715</v>
      </c>
      <c r="P23" s="41">
        <f t="shared" si="9"/>
        <v>0</v>
      </c>
      <c r="R23" s="41">
        <f>Summary!$J$23</f>
        <v>567248.60477840831</v>
      </c>
      <c r="S23" s="41">
        <f>[2]Results!$I$25</f>
        <v>567248.60477840831</v>
      </c>
      <c r="T23" s="41">
        <f t="shared" si="10"/>
        <v>0</v>
      </c>
      <c r="V23" s="41">
        <f>Summary!$L$23</f>
        <v>0</v>
      </c>
      <c r="W23" s="41"/>
      <c r="X23" s="41">
        <f t="shared" si="11"/>
        <v>0</v>
      </c>
    </row>
    <row r="24" spans="1:24">
      <c r="A24" s="61" t="s">
        <v>83</v>
      </c>
      <c r="B24" s="41">
        <f>Summary!$B$24</f>
        <v>0</v>
      </c>
      <c r="C24" s="41">
        <f>[2]Results!$C$26</f>
        <v>0</v>
      </c>
      <c r="D24" s="41">
        <f t="shared" si="6"/>
        <v>0</v>
      </c>
      <c r="F24" s="41">
        <f>Summary!$D$24</f>
        <v>0</v>
      </c>
      <c r="G24" s="41">
        <f>[2]Results!$D$26</f>
        <v>0</v>
      </c>
      <c r="H24" s="41">
        <f t="shared" si="7"/>
        <v>0</v>
      </c>
      <c r="J24" s="41">
        <f>Summary!$F$24</f>
        <v>0</v>
      </c>
      <c r="K24" s="41">
        <f>[2]Results!$E$26</f>
        <v>0</v>
      </c>
      <c r="L24" s="41">
        <f t="shared" si="8"/>
        <v>0</v>
      </c>
      <c r="N24" s="41">
        <f>Summary!$H$24</f>
        <v>0</v>
      </c>
      <c r="O24" s="41">
        <f>[2]Results!$H$26</f>
        <v>0</v>
      </c>
      <c r="P24" s="41">
        <f t="shared" si="9"/>
        <v>0</v>
      </c>
      <c r="R24" s="41">
        <f>Summary!$J$24</f>
        <v>0</v>
      </c>
      <c r="S24" s="41">
        <f>[2]Results!$I$26</f>
        <v>0</v>
      </c>
      <c r="T24" s="41">
        <f t="shared" si="10"/>
        <v>0</v>
      </c>
      <c r="V24" s="41">
        <f>Summary!$L$24</f>
        <v>0</v>
      </c>
      <c r="W24" s="41"/>
      <c r="X24" s="41">
        <f t="shared" si="11"/>
        <v>0</v>
      </c>
    </row>
    <row r="25" spans="1:24">
      <c r="A25" s="61" t="s">
        <v>84</v>
      </c>
      <c r="B25" s="41">
        <f>Summary!$B$25</f>
        <v>12167262.867714064</v>
      </c>
      <c r="C25" s="41">
        <f>[2]Results!$C$27</f>
        <v>12167262.867714064</v>
      </c>
      <c r="D25" s="41">
        <f t="shared" si="6"/>
        <v>0</v>
      </c>
      <c r="F25" s="41">
        <f>Summary!$D$25</f>
        <v>-60435.408628654244</v>
      </c>
      <c r="G25" s="41">
        <f>[2]Results!$D$27</f>
        <v>-60435.408628654244</v>
      </c>
      <c r="H25" s="41">
        <f t="shared" si="7"/>
        <v>0</v>
      </c>
      <c r="J25" s="41">
        <f>Summary!$F$25</f>
        <v>12106827.45908541</v>
      </c>
      <c r="K25" s="41">
        <f>[2]Results!$E$27</f>
        <v>12106827.45908541</v>
      </c>
      <c r="L25" s="41">
        <f t="shared" si="8"/>
        <v>0</v>
      </c>
      <c r="N25" s="41">
        <f>Summary!$H$25</f>
        <v>-1329008.6223783894</v>
      </c>
      <c r="O25" s="41">
        <f>[2]Results!$H$27</f>
        <v>-1329008.6223783894</v>
      </c>
      <c r="P25" s="41">
        <f t="shared" si="9"/>
        <v>0</v>
      </c>
      <c r="R25" s="41">
        <f>Summary!$J$25</f>
        <v>10777818.836707022</v>
      </c>
      <c r="S25" s="41">
        <f>[2]Results!$I$27</f>
        <v>10777818.836707022</v>
      </c>
      <c r="T25" s="41">
        <f t="shared" si="10"/>
        <v>0</v>
      </c>
      <c r="V25" s="41">
        <f>Summary!$L$25</f>
        <v>0</v>
      </c>
      <c r="W25" s="41"/>
      <c r="X25" s="41">
        <f t="shared" si="11"/>
        <v>0</v>
      </c>
    </row>
    <row r="26" spans="1:24">
      <c r="A26" s="61" t="s">
        <v>85</v>
      </c>
      <c r="B26" s="32">
        <f>Summary!$B$26</f>
        <v>244626880.10226449</v>
      </c>
      <c r="C26" s="32">
        <f>[2]Results!$C$28</f>
        <v>244626880.10226449</v>
      </c>
      <c r="D26" s="32">
        <f t="shared" si="6"/>
        <v>0</v>
      </c>
      <c r="F26" s="32">
        <f>Summary!$D$26</f>
        <v>-4120575.7920196736</v>
      </c>
      <c r="G26" s="32">
        <f>[2]Results!$D$28</f>
        <v>-4120575.7920196732</v>
      </c>
      <c r="H26" s="32">
        <f t="shared" si="7"/>
        <v>0</v>
      </c>
      <c r="J26" s="32">
        <f>Summary!$F$26</f>
        <v>240506304.31024483</v>
      </c>
      <c r="K26" s="32">
        <f>[2]Results!$E$28</f>
        <v>240506304.31024483</v>
      </c>
      <c r="L26" s="32">
        <f t="shared" si="8"/>
        <v>0</v>
      </c>
      <c r="N26" s="32">
        <f>Summary!$H$26</f>
        <v>-7441991.7801985824</v>
      </c>
      <c r="O26" s="32">
        <f>[2]Results!$H$28</f>
        <v>-7441991.7801937489</v>
      </c>
      <c r="P26" s="32">
        <f t="shared" si="9"/>
        <v>4.8335641622543335E-6</v>
      </c>
      <c r="R26" s="32">
        <f>Summary!$J$26</f>
        <v>233064312.53004625</v>
      </c>
      <c r="S26" s="32">
        <f>[2]Results!$I$28</f>
        <v>233064312.53005108</v>
      </c>
      <c r="T26" s="32">
        <f t="shared" si="10"/>
        <v>4.8279762268066406E-6</v>
      </c>
      <c r="V26" s="32">
        <f>Summary!$L$26</f>
        <v>318350.95789638348</v>
      </c>
      <c r="W26" s="32">
        <f>SUM(W16:W25)</f>
        <v>318350.95592000865</v>
      </c>
      <c r="X26" s="32">
        <f t="shared" si="11"/>
        <v>-1.9763748277910054E-3</v>
      </c>
    </row>
    <row r="27" spans="1:24">
      <c r="A27" s="61" t="s">
        <v>86</v>
      </c>
      <c r="B27" s="41">
        <f>Summary!$B$27</f>
        <v>36705844.209221087</v>
      </c>
      <c r="C27" s="41">
        <f>[2]Results!$C$29</f>
        <v>36705844.209221087</v>
      </c>
      <c r="D27" s="41">
        <f t="shared" si="6"/>
        <v>0</v>
      </c>
      <c r="F27" s="41">
        <f>Summary!$D$27</f>
        <v>-415222.55433080252</v>
      </c>
      <c r="G27" s="41">
        <f>[2]Results!$D$29</f>
        <v>-415222.55433080252</v>
      </c>
      <c r="H27" s="41">
        <f t="shared" si="7"/>
        <v>0</v>
      </c>
      <c r="J27" s="41">
        <f>Summary!$F$27</f>
        <v>36290621.654890284</v>
      </c>
      <c r="K27" s="41">
        <f>[2]Results!$E$29</f>
        <v>36290621.654890284</v>
      </c>
      <c r="L27" s="41">
        <f t="shared" si="8"/>
        <v>0</v>
      </c>
      <c r="N27" s="41">
        <f>Summary!$H$27</f>
        <v>-29238.355724457651</v>
      </c>
      <c r="O27" s="41">
        <f>[2]Results!$H$29</f>
        <v>-29238.355724457091</v>
      </c>
      <c r="P27" s="41">
        <f t="shared" si="9"/>
        <v>5.6024873629212379E-10</v>
      </c>
      <c r="R27" s="41">
        <f>Summary!$J$27</f>
        <v>36261383.29916583</v>
      </c>
      <c r="S27" s="41">
        <f>[2]Results!$I$29</f>
        <v>36261383.29916583</v>
      </c>
      <c r="T27" s="41">
        <f t="shared" si="10"/>
        <v>0</v>
      </c>
      <c r="V27" s="41">
        <f>Summary!$L$27</f>
        <v>0</v>
      </c>
      <c r="W27" s="41"/>
      <c r="X27" s="41">
        <f t="shared" si="11"/>
        <v>0</v>
      </c>
    </row>
    <row r="28" spans="1:24">
      <c r="A28" s="61" t="s">
        <v>87</v>
      </c>
      <c r="B28" s="41">
        <f>Summary!$B$28</f>
        <v>4017010.1383138788</v>
      </c>
      <c r="C28" s="41">
        <f>[2]Results!$C$30</f>
        <v>4017010.1383138788</v>
      </c>
      <c r="D28" s="41">
        <f t="shared" si="6"/>
        <v>0</v>
      </c>
      <c r="F28" s="41">
        <f>Summary!$D$28</f>
        <v>-169568.97296169098</v>
      </c>
      <c r="G28" s="41">
        <f>[2]Results!$D$30</f>
        <v>-169568.97296169098</v>
      </c>
      <c r="H28" s="41">
        <f t="shared" si="7"/>
        <v>0</v>
      </c>
      <c r="J28" s="41">
        <f>Summary!$F$28</f>
        <v>3847441.1653521881</v>
      </c>
      <c r="K28" s="41">
        <f>[2]Results!$E$30</f>
        <v>3847441.1653521881</v>
      </c>
      <c r="L28" s="41">
        <f t="shared" si="8"/>
        <v>0</v>
      </c>
      <c r="N28" s="41">
        <f>Summary!$H$28</f>
        <v>-182288.98018681514</v>
      </c>
      <c r="O28" s="41">
        <f>[2]Results!$H$30</f>
        <v>-182288.98018681514</v>
      </c>
      <c r="P28" s="41">
        <f t="shared" si="9"/>
        <v>0</v>
      </c>
      <c r="R28" s="41">
        <f>Summary!$J$28</f>
        <v>3665152.1851653727</v>
      </c>
      <c r="S28" s="41">
        <f>[2]Results!$I$30</f>
        <v>3665152.1851653727</v>
      </c>
      <c r="T28" s="41">
        <f t="shared" si="10"/>
        <v>0</v>
      </c>
      <c r="V28" s="41">
        <f>Summary!$L$28</f>
        <v>0</v>
      </c>
      <c r="W28" s="41"/>
      <c r="X28" s="41">
        <f t="shared" si="11"/>
        <v>0</v>
      </c>
    </row>
    <row r="29" spans="1:24">
      <c r="A29" s="61" t="s">
        <v>88</v>
      </c>
      <c r="B29" s="41">
        <f>Summary!$B$29</f>
        <v>17744812.254208628</v>
      </c>
      <c r="C29" s="41">
        <f>[2]Results!$C$31</f>
        <v>17744812.254208628</v>
      </c>
      <c r="D29" s="41">
        <f t="shared" si="6"/>
        <v>0</v>
      </c>
      <c r="F29" s="41">
        <f>Summary!$D$29</f>
        <v>-42124.459304340671</v>
      </c>
      <c r="G29" s="41">
        <f>[2]Results!$D$31</f>
        <v>-42124.459304340671</v>
      </c>
      <c r="H29" s="41">
        <f t="shared" si="7"/>
        <v>0</v>
      </c>
      <c r="J29" s="41">
        <f>Summary!$F$29</f>
        <v>17702687.794904288</v>
      </c>
      <c r="K29" s="41">
        <f>[2]Results!$E$31</f>
        <v>17702687.794904288</v>
      </c>
      <c r="L29" s="41">
        <f t="shared" si="8"/>
        <v>0</v>
      </c>
      <c r="N29" s="41">
        <f>Summary!$H$29</f>
        <v>-428616.54000000004</v>
      </c>
      <c r="O29" s="41">
        <f>[2]Results!$H$31</f>
        <v>-428616.54</v>
      </c>
      <c r="P29" s="41">
        <f t="shared" si="9"/>
        <v>0</v>
      </c>
      <c r="R29" s="41">
        <f>Summary!$J$29</f>
        <v>17274071.254904289</v>
      </c>
      <c r="S29" s="41">
        <f>[2]Results!$I$31</f>
        <v>17274071.254904289</v>
      </c>
      <c r="T29" s="41">
        <f t="shared" si="10"/>
        <v>0</v>
      </c>
      <c r="V29" s="41">
        <f>Summary!$L$29</f>
        <v>2311307.4001995898</v>
      </c>
      <c r="W29" s="41">
        <f>[2]Results!H120</f>
        <v>2311307.3858506153</v>
      </c>
      <c r="X29" s="41">
        <f t="shared" si="11"/>
        <v>-1.4348974451422691E-2</v>
      </c>
    </row>
    <row r="30" spans="1:24">
      <c r="A30" s="61" t="s">
        <v>89</v>
      </c>
      <c r="B30" s="41">
        <f>Summary!$B$30</f>
        <v>-13966180.340332307</v>
      </c>
      <c r="C30" s="41">
        <f>[2]Results!$C$32</f>
        <v>-13966180.340332296</v>
      </c>
      <c r="D30" s="41">
        <f t="shared" si="6"/>
        <v>0</v>
      </c>
      <c r="F30" s="41">
        <f>Summary!$D$30</f>
        <v>131482.4065884024</v>
      </c>
      <c r="G30" s="41">
        <f>[2]Results!$D$32</f>
        <v>131482.40610216436</v>
      </c>
      <c r="H30" s="41">
        <f t="shared" si="7"/>
        <v>-4.8623804468661547E-4</v>
      </c>
      <c r="J30" s="41">
        <f>Summary!$F$30</f>
        <v>-13834697.933743902</v>
      </c>
      <c r="K30" s="41">
        <f>[2]Results!$E$32</f>
        <v>-13834697.934230132</v>
      </c>
      <c r="L30" s="41">
        <f t="shared" si="8"/>
        <v>-4.8623047769069672E-4</v>
      </c>
      <c r="N30" s="41">
        <f>Summary!$H$30</f>
        <v>-14058518.321996704</v>
      </c>
      <c r="O30" s="41">
        <f>[2]Results!$H$32</f>
        <v>-14058518.201169636</v>
      </c>
      <c r="P30" s="41">
        <f t="shared" si="9"/>
        <v>0.12082706764340401</v>
      </c>
      <c r="R30" s="41">
        <f>Summary!$J$30</f>
        <v>-27893216.25574062</v>
      </c>
      <c r="S30" s="41">
        <f>[2]Results!$I$32</f>
        <v>-27893216.135399766</v>
      </c>
      <c r="T30" s="41">
        <f t="shared" si="10"/>
        <v>0.12034085392951965</v>
      </c>
      <c r="V30" s="41">
        <f>Summary!$L$30</f>
        <v>18941087.536116358</v>
      </c>
      <c r="W30" s="41">
        <f>[2]Results!H121</f>
        <v>18941087.418526985</v>
      </c>
      <c r="X30" s="41">
        <f t="shared" si="11"/>
        <v>-0.11758937314152718</v>
      </c>
    </row>
    <row r="31" spans="1:24">
      <c r="A31" s="61" t="s">
        <v>90</v>
      </c>
      <c r="B31" s="41">
        <f>Summary!$B$31</f>
        <v>0</v>
      </c>
      <c r="C31" s="41">
        <f>[2]Results!$C$33</f>
        <v>0</v>
      </c>
      <c r="D31" s="41">
        <f t="shared" si="6"/>
        <v>0</v>
      </c>
      <c r="F31" s="41">
        <f>Summary!$D$31</f>
        <v>0</v>
      </c>
      <c r="G31" s="41">
        <f>[2]Results!$D$33</f>
        <v>0</v>
      </c>
      <c r="H31" s="41">
        <f t="shared" si="7"/>
        <v>0</v>
      </c>
      <c r="J31" s="41">
        <f>Summary!$F$31</f>
        <v>0</v>
      </c>
      <c r="K31" s="41">
        <f>[2]Results!$E$33</f>
        <v>0</v>
      </c>
      <c r="L31" s="41">
        <f t="shared" si="8"/>
        <v>0</v>
      </c>
      <c r="N31" s="41">
        <f>Summary!$H$31</f>
        <v>0</v>
      </c>
      <c r="O31" s="41">
        <f>[2]Results!$H$33</f>
        <v>0</v>
      </c>
      <c r="P31" s="41">
        <f t="shared" si="9"/>
        <v>0</v>
      </c>
      <c r="R31" s="41">
        <f>Summary!$J$31</f>
        <v>0</v>
      </c>
      <c r="S31" s="41">
        <f>[2]Results!$I$33</f>
        <v>0</v>
      </c>
      <c r="T31" s="41">
        <f t="shared" si="10"/>
        <v>0</v>
      </c>
      <c r="V31" s="41">
        <f>Summary!$L$31</f>
        <v>0</v>
      </c>
      <c r="W31" s="41"/>
      <c r="X31" s="41">
        <f t="shared" si="11"/>
        <v>0</v>
      </c>
    </row>
    <row r="32" spans="1:24">
      <c r="A32" s="61" t="s">
        <v>91</v>
      </c>
      <c r="B32" s="41">
        <f>Summary!$B$32</f>
        <v>22359798.153024439</v>
      </c>
      <c r="C32" s="41">
        <f>[2]Results!$C$34</f>
        <v>22359798.153024439</v>
      </c>
      <c r="D32" s="41">
        <f t="shared" si="6"/>
        <v>0</v>
      </c>
      <c r="F32" s="41">
        <f>Summary!$D$32</f>
        <v>4140911.3285285961</v>
      </c>
      <c r="G32" s="41">
        <f>[2]Results!$D$34</f>
        <v>4140911.3285285961</v>
      </c>
      <c r="H32" s="41">
        <f t="shared" si="7"/>
        <v>0</v>
      </c>
      <c r="J32" s="41">
        <f>Summary!$F$32</f>
        <v>26500709.481553033</v>
      </c>
      <c r="K32" s="41">
        <f>[2]Results!$E$34</f>
        <v>26500709.481553033</v>
      </c>
      <c r="L32" s="41">
        <f t="shared" si="8"/>
        <v>0</v>
      </c>
      <c r="N32" s="41">
        <f>Summary!$H$32</f>
        <v>-417013.79217773164</v>
      </c>
      <c r="O32" s="41">
        <f>[2]Results!$H$34</f>
        <v>-417014.14510028285</v>
      </c>
      <c r="P32" s="41">
        <f t="shared" si="9"/>
        <v>-0.35292255121748894</v>
      </c>
      <c r="R32" s="41">
        <f>Summary!$J$32</f>
        <v>26083695.6893753</v>
      </c>
      <c r="S32" s="41">
        <f>[2]Results!$I$34</f>
        <v>26083695.336452749</v>
      </c>
      <c r="T32" s="41">
        <f t="shared" si="10"/>
        <v>-0.35292255133390427</v>
      </c>
      <c r="V32" s="41">
        <f>Summary!$L$32</f>
        <v>0</v>
      </c>
      <c r="W32" s="41"/>
      <c r="X32" s="41">
        <f t="shared" si="11"/>
        <v>0</v>
      </c>
    </row>
    <row r="33" spans="1:24">
      <c r="A33" s="61" t="s">
        <v>92</v>
      </c>
      <c r="B33" s="41">
        <f>Summary!$B$33</f>
        <v>0</v>
      </c>
      <c r="C33" s="41">
        <f>[2]Results!$C$35</f>
        <v>0</v>
      </c>
      <c r="D33" s="41">
        <f t="shared" si="6"/>
        <v>0</v>
      </c>
      <c r="F33" s="41">
        <f>Summary!$D$33</f>
        <v>0</v>
      </c>
      <c r="G33" s="41">
        <f>[2]Results!$D$35</f>
        <v>0</v>
      </c>
      <c r="H33" s="41">
        <f t="shared" si="7"/>
        <v>0</v>
      </c>
      <c r="J33" s="41">
        <f>Summary!$F$33</f>
        <v>0</v>
      </c>
      <c r="K33" s="41">
        <f>[2]Results!$E$35</f>
        <v>0</v>
      </c>
      <c r="L33" s="41">
        <f t="shared" si="8"/>
        <v>0</v>
      </c>
      <c r="N33" s="41">
        <f>Summary!$H$33</f>
        <v>0</v>
      </c>
      <c r="O33" s="41">
        <f>[2]Results!$H$35</f>
        <v>0</v>
      </c>
      <c r="P33" s="41">
        <f t="shared" si="9"/>
        <v>0</v>
      </c>
      <c r="R33" s="41">
        <f>Summary!$J$33</f>
        <v>0</v>
      </c>
      <c r="S33" s="41">
        <f>[2]Results!$I$35</f>
        <v>0</v>
      </c>
      <c r="T33" s="41">
        <f t="shared" si="10"/>
        <v>0</v>
      </c>
      <c r="V33" s="41">
        <f>Summary!$L$33</f>
        <v>0</v>
      </c>
      <c r="W33" s="41"/>
      <c r="X33" s="41">
        <f t="shared" si="11"/>
        <v>0</v>
      </c>
    </row>
    <row r="34" spans="1:24">
      <c r="A34" s="61" t="s">
        <v>93</v>
      </c>
      <c r="B34" s="41">
        <f>Summary!$B$34</f>
        <v>-341244.31117613171</v>
      </c>
      <c r="C34" s="41">
        <f>[2]Results!$C$36</f>
        <v>-341244.31117613171</v>
      </c>
      <c r="D34" s="41">
        <f t="shared" si="6"/>
        <v>0</v>
      </c>
      <c r="F34" s="41">
        <f>Summary!$D$34</f>
        <v>-203945.96607426828</v>
      </c>
      <c r="G34" s="41">
        <f>[2]Results!$D$36</f>
        <v>-203945.96607426828</v>
      </c>
      <c r="H34" s="41">
        <f t="shared" si="7"/>
        <v>0</v>
      </c>
      <c r="J34" s="41">
        <f>Summary!$F$34</f>
        <v>-545190.27725040005</v>
      </c>
      <c r="K34" s="41">
        <f>[2]Results!$E$36</f>
        <v>-545190.27725040005</v>
      </c>
      <c r="L34" s="41">
        <f t="shared" si="8"/>
        <v>0</v>
      </c>
      <c r="N34" s="41">
        <f>Summary!$H$34</f>
        <v>949.34683399333153</v>
      </c>
      <c r="O34" s="41">
        <f>[2]Results!$H$36</f>
        <v>949.34680470370222</v>
      </c>
      <c r="P34" s="41">
        <f t="shared" si="9"/>
        <v>-2.9289629310369492E-5</v>
      </c>
      <c r="R34" s="41">
        <f>Summary!$J$34</f>
        <v>-544240.93041640671</v>
      </c>
      <c r="S34" s="41">
        <f>[2]Results!$I$36</f>
        <v>-544240.93044569634</v>
      </c>
      <c r="T34" s="41">
        <f t="shared" si="10"/>
        <v>-2.9289629310369492E-5</v>
      </c>
      <c r="V34" s="41">
        <f>Summary!$L$34</f>
        <v>0</v>
      </c>
      <c r="W34" s="41"/>
      <c r="X34" s="41">
        <f t="shared" si="11"/>
        <v>0</v>
      </c>
    </row>
    <row r="35" spans="1:24">
      <c r="A35" s="61" t="s">
        <v>94</v>
      </c>
      <c r="B35" s="32">
        <f>Summary!$B$35</f>
        <v>311146920.20552409</v>
      </c>
      <c r="C35" s="32">
        <f>[2]Results!$C$37</f>
        <v>311146920.20552415</v>
      </c>
      <c r="D35" s="32">
        <f t="shared" si="6"/>
        <v>0</v>
      </c>
      <c r="F35" s="32">
        <f>Summary!$D$35</f>
        <v>-679044.00957377814</v>
      </c>
      <c r="G35" s="32">
        <f>[2]Results!$D$37</f>
        <v>-679044.01006001607</v>
      </c>
      <c r="H35" s="32">
        <f t="shared" si="7"/>
        <v>-4.8623792827129364E-4</v>
      </c>
      <c r="J35" s="32">
        <f>Summary!$F$35</f>
        <v>310467876.19595027</v>
      </c>
      <c r="K35" s="32">
        <f>[2]Results!$E$37</f>
        <v>310467876.19546402</v>
      </c>
      <c r="L35" s="32">
        <f t="shared" si="8"/>
        <v>-4.8625469207763672E-4</v>
      </c>
      <c r="N35" s="32">
        <f>Summary!$H$35</f>
        <v>-22556718.423450299</v>
      </c>
      <c r="O35" s="32">
        <f>[2]Results!$H$37</f>
        <v>-22556718.655570239</v>
      </c>
      <c r="P35" s="32">
        <f t="shared" si="9"/>
        <v>-0.23211994022130966</v>
      </c>
      <c r="R35" s="32">
        <f>Summary!$J$35</f>
        <v>287911157.77249998</v>
      </c>
      <c r="S35" s="32">
        <f>[2]Results!$I$37</f>
        <v>287911157.53989381</v>
      </c>
      <c r="T35" s="32">
        <f t="shared" si="10"/>
        <v>-0.23260617256164551</v>
      </c>
      <c r="V35" s="32">
        <f>Summary!$L$35</f>
        <v>21570745.894212332</v>
      </c>
      <c r="W35" s="32">
        <f>SUM(W26:W34)</f>
        <v>21570745.760297608</v>
      </c>
      <c r="X35" s="32">
        <f t="shared" si="11"/>
        <v>-0.13391472399234772</v>
      </c>
    </row>
    <row r="36" spans="1:24">
      <c r="A36" s="61"/>
      <c r="B36" s="41"/>
      <c r="C36" s="41"/>
      <c r="D36" s="41"/>
      <c r="F36" s="41"/>
      <c r="G36" s="41"/>
      <c r="H36" s="41"/>
      <c r="J36" s="41"/>
      <c r="K36" s="41"/>
      <c r="L36" s="41"/>
      <c r="N36" s="41"/>
      <c r="O36" s="41"/>
      <c r="P36" s="41"/>
      <c r="R36" s="41"/>
      <c r="S36" s="41"/>
      <c r="T36" s="41"/>
      <c r="V36" s="41"/>
      <c r="W36" s="41"/>
      <c r="X36" s="41"/>
    </row>
    <row r="37" spans="1:24" ht="13.5" thickBot="1">
      <c r="A37" s="61" t="s">
        <v>95</v>
      </c>
      <c r="B37" s="60">
        <f>Summary!$B$37</f>
        <v>46232661.73507911</v>
      </c>
      <c r="C37" s="60">
        <f>[2]Results!$C$39</f>
        <v>46232661.73507905</v>
      </c>
      <c r="D37" s="60">
        <f>C37-B37</f>
        <v>-5.9604644775390625E-8</v>
      </c>
      <c r="F37" s="60">
        <f>Summary!$D$37</f>
        <v>-6363866.4066347796</v>
      </c>
      <c r="G37" s="60">
        <f>[2]Results!$D$39</f>
        <v>-6363866.4061485417</v>
      </c>
      <c r="H37" s="60">
        <f>G37-F37</f>
        <v>4.8623792827129364E-4</v>
      </c>
      <c r="J37" s="60">
        <f>Summary!$F$37</f>
        <v>39868795.328444362</v>
      </c>
      <c r="K37" s="60">
        <f>[2]Results!$E$39</f>
        <v>39868795.328930616</v>
      </c>
      <c r="L37" s="60">
        <f>K37-J37</f>
        <v>4.8625469207763672E-4</v>
      </c>
      <c r="N37" s="60">
        <f>Summary!$H$37</f>
        <v>-10430794.337520078</v>
      </c>
      <c r="O37" s="60">
        <f>[2]Results!$H$39</f>
        <v>-10430794.105398834</v>
      </c>
      <c r="P37" s="60">
        <f>O37-N37</f>
        <v>0.23212124407291412</v>
      </c>
      <c r="R37" s="60">
        <f>Summary!$J$37</f>
        <v>29438000.990924239</v>
      </c>
      <c r="S37" s="60">
        <f>[2]Results!$I$39</f>
        <v>29438001.223531723</v>
      </c>
      <c r="T37" s="60">
        <f>S37-R37</f>
        <v>0.23260748386383057</v>
      </c>
      <c r="V37" s="60">
        <f>Summary!$L$37</f>
        <v>35176305.424216092</v>
      </c>
      <c r="W37" s="60">
        <f>W13-W35</f>
        <v>35176305.205835834</v>
      </c>
      <c r="X37" s="60">
        <f>W37-V37</f>
        <v>-0.21838025748729706</v>
      </c>
    </row>
    <row r="38" spans="1:24" ht="13.5" thickTop="1">
      <c r="A38" s="61"/>
      <c r="B38" s="41"/>
      <c r="C38" s="41"/>
      <c r="D38" s="41"/>
      <c r="F38" s="41"/>
      <c r="G38" s="41"/>
      <c r="H38" s="41"/>
      <c r="J38" s="41"/>
      <c r="K38" s="41"/>
      <c r="L38" s="41"/>
      <c r="N38" s="41"/>
      <c r="O38" s="41"/>
      <c r="P38" s="41"/>
      <c r="R38" s="41"/>
      <c r="S38" s="41"/>
      <c r="T38" s="41"/>
      <c r="V38" s="41"/>
      <c r="W38" s="41"/>
      <c r="X38" s="41"/>
    </row>
    <row r="39" spans="1:24">
      <c r="A39" s="61" t="s">
        <v>96</v>
      </c>
      <c r="B39" s="41"/>
      <c r="C39" s="41"/>
      <c r="D39" s="41"/>
      <c r="F39" s="41"/>
      <c r="G39" s="41"/>
      <c r="H39" s="41"/>
      <c r="J39" s="41"/>
      <c r="K39" s="41"/>
      <c r="L39" s="41"/>
      <c r="N39" s="41"/>
      <c r="O39" s="41"/>
      <c r="P39" s="41"/>
      <c r="R39" s="41"/>
      <c r="S39" s="41"/>
      <c r="T39" s="41"/>
      <c r="V39" s="41"/>
      <c r="W39" s="41"/>
      <c r="X39" s="41"/>
    </row>
    <row r="40" spans="1:24">
      <c r="A40" s="61" t="s">
        <v>97</v>
      </c>
      <c r="B40" s="41">
        <f>Summary!$B$40</f>
        <v>1398743840.7185168</v>
      </c>
      <c r="C40" s="41">
        <f>[2]Results!$C$42</f>
        <v>1398743840.7185168</v>
      </c>
      <c r="D40" s="41">
        <f t="shared" ref="D40:D51" si="12">C40-B40</f>
        <v>0</v>
      </c>
      <c r="F40" s="41">
        <f>Summary!$D$40</f>
        <v>27046917.071776655</v>
      </c>
      <c r="G40" s="41">
        <f>[2]Results!$D$42</f>
        <v>27046917.071776658</v>
      </c>
      <c r="H40" s="41">
        <f t="shared" ref="H40:H51" si="13">G40-F40</f>
        <v>0</v>
      </c>
      <c r="J40" s="41">
        <f>Summary!$F$40</f>
        <v>1425790757.7902935</v>
      </c>
      <c r="K40" s="41">
        <f>[2]Results!$E$42</f>
        <v>1425790757.7902935</v>
      </c>
      <c r="L40" s="41">
        <f t="shared" ref="L40:L51" si="14">K40-J40</f>
        <v>0</v>
      </c>
      <c r="N40" s="41">
        <f>Summary!$H$40</f>
        <v>-1161847.3348459222</v>
      </c>
      <c r="O40" s="41">
        <f>[2]Results!$H$42</f>
        <v>-1161846.8837236031</v>
      </c>
      <c r="P40" s="41">
        <f t="shared" ref="P40:P51" si="15">O40-N40</f>
        <v>0.45112231909297407</v>
      </c>
      <c r="R40" s="41">
        <f>Summary!$J$40</f>
        <v>1424628910.4554474</v>
      </c>
      <c r="S40" s="41">
        <f>[2]Results!$I$42</f>
        <v>1424628910.90657</v>
      </c>
      <c r="T40" s="41">
        <f t="shared" ref="T40:T51" si="16">S40-R40</f>
        <v>0.45112252235412598</v>
      </c>
      <c r="V40" s="41">
        <f>Summary!$L$40</f>
        <v>0</v>
      </c>
      <c r="W40" s="41"/>
      <c r="X40" s="41">
        <f t="shared" ref="X40:X51" si="17">W40-V40</f>
        <v>0</v>
      </c>
    </row>
    <row r="41" spans="1:24">
      <c r="A41" s="61" t="s">
        <v>98</v>
      </c>
      <c r="B41" s="41">
        <f>Summary!$B$41</f>
        <v>37310.24459140328</v>
      </c>
      <c r="C41" s="41">
        <f>[2]Results!$C$43</f>
        <v>37310.24459140328</v>
      </c>
      <c r="D41" s="41">
        <f t="shared" si="12"/>
        <v>0</v>
      </c>
      <c r="F41" s="41">
        <f>Summary!$D$41</f>
        <v>0</v>
      </c>
      <c r="G41" s="41">
        <f>[2]Results!$D$43</f>
        <v>0</v>
      </c>
      <c r="H41" s="41">
        <f t="shared" si="13"/>
        <v>0</v>
      </c>
      <c r="J41" s="41">
        <f>Summary!$F$41</f>
        <v>37310.24459140328</v>
      </c>
      <c r="K41" s="41">
        <f>[2]Results!$E$43</f>
        <v>37310.24459140328</v>
      </c>
      <c r="L41" s="41">
        <f t="shared" si="14"/>
        <v>0</v>
      </c>
      <c r="N41" s="41">
        <f>Summary!$H$41</f>
        <v>0</v>
      </c>
      <c r="O41" s="41">
        <f>[2]Results!$H$43</f>
        <v>0</v>
      </c>
      <c r="P41" s="41">
        <f t="shared" si="15"/>
        <v>0</v>
      </c>
      <c r="R41" s="41">
        <f>Summary!$J$41</f>
        <v>37310.24459140328</v>
      </c>
      <c r="S41" s="41">
        <f>[2]Results!$I$43</f>
        <v>37310.24459140328</v>
      </c>
      <c r="T41" s="41">
        <f t="shared" si="16"/>
        <v>0</v>
      </c>
      <c r="V41" s="41">
        <f>Summary!$L$41</f>
        <v>0</v>
      </c>
      <c r="W41" s="41"/>
      <c r="X41" s="41">
        <f t="shared" si="17"/>
        <v>0</v>
      </c>
    </row>
    <row r="42" spans="1:24">
      <c r="A42" s="61" t="s">
        <v>99</v>
      </c>
      <c r="B42" s="41">
        <f>Summary!$B$42</f>
        <v>6671729.2360731997</v>
      </c>
      <c r="C42" s="41">
        <f>[2]Results!$C$44</f>
        <v>6671729.2360731997</v>
      </c>
      <c r="D42" s="41">
        <f t="shared" si="12"/>
        <v>0</v>
      </c>
      <c r="F42" s="41">
        <f>Summary!$D$42</f>
        <v>-2197306.0259155687</v>
      </c>
      <c r="G42" s="41">
        <f>[2]Results!$D$44</f>
        <v>-2197306.0259155687</v>
      </c>
      <c r="H42" s="41">
        <f t="shared" si="13"/>
        <v>0</v>
      </c>
      <c r="J42" s="41">
        <f>Summary!$F$42</f>
        <v>4474423.210157631</v>
      </c>
      <c r="K42" s="41">
        <f>[2]Results!$E$44</f>
        <v>4474423.210157631</v>
      </c>
      <c r="L42" s="41">
        <f t="shared" si="14"/>
        <v>0</v>
      </c>
      <c r="N42" s="41">
        <f>Summary!$H$42</f>
        <v>15188002.091061195</v>
      </c>
      <c r="O42" s="41">
        <f>[2]Results!$H$44</f>
        <v>15188002.091061195</v>
      </c>
      <c r="P42" s="41">
        <f t="shared" si="15"/>
        <v>0</v>
      </c>
      <c r="R42" s="41">
        <f>Summary!$J$42</f>
        <v>19662425.301218826</v>
      </c>
      <c r="S42" s="41">
        <f>[2]Results!$I$44</f>
        <v>19662425.301218826</v>
      </c>
      <c r="T42" s="41">
        <f t="shared" si="16"/>
        <v>0</v>
      </c>
      <c r="V42" s="41">
        <f>Summary!$L$42</f>
        <v>0</v>
      </c>
      <c r="W42" s="41"/>
      <c r="X42" s="41">
        <f t="shared" si="17"/>
        <v>0</v>
      </c>
    </row>
    <row r="43" spans="1:24">
      <c r="A43" s="61" t="s">
        <v>100</v>
      </c>
      <c r="B43" s="41">
        <f>Summary!$B$43</f>
        <v>0</v>
      </c>
      <c r="C43" s="41">
        <f>[2]Results!$C$45</f>
        <v>0</v>
      </c>
      <c r="D43" s="41">
        <f t="shared" si="12"/>
        <v>0</v>
      </c>
      <c r="F43" s="41">
        <f>Summary!$D$43</f>
        <v>0</v>
      </c>
      <c r="G43" s="41">
        <f>[2]Results!$D$45</f>
        <v>0</v>
      </c>
      <c r="H43" s="41">
        <f t="shared" si="13"/>
        <v>0</v>
      </c>
      <c r="J43" s="41">
        <f>Summary!$F$43</f>
        <v>0</v>
      </c>
      <c r="K43" s="41">
        <f>[2]Results!$E$45</f>
        <v>0</v>
      </c>
      <c r="L43" s="41">
        <f t="shared" si="14"/>
        <v>0</v>
      </c>
      <c r="N43" s="41">
        <f>Summary!$H$43</f>
        <v>0</v>
      </c>
      <c r="O43" s="41">
        <f>[2]Results!$H$45</f>
        <v>0</v>
      </c>
      <c r="P43" s="41">
        <f t="shared" si="15"/>
        <v>0</v>
      </c>
      <c r="R43" s="41">
        <f>Summary!$J$43</f>
        <v>0</v>
      </c>
      <c r="S43" s="41">
        <f>[2]Results!$I$45</f>
        <v>0</v>
      </c>
      <c r="T43" s="41">
        <f t="shared" si="16"/>
        <v>0</v>
      </c>
      <c r="V43" s="41">
        <f>Summary!$L$43</f>
        <v>0</v>
      </c>
      <c r="W43" s="41"/>
      <c r="X43" s="41">
        <f t="shared" si="17"/>
        <v>0</v>
      </c>
    </row>
    <row r="44" spans="1:24">
      <c r="A44" s="61" t="s">
        <v>101</v>
      </c>
      <c r="B44" s="41">
        <f>Summary!$B$44</f>
        <v>0</v>
      </c>
      <c r="C44" s="41">
        <f>[2]Results!$C$46</f>
        <v>0</v>
      </c>
      <c r="D44" s="41">
        <f t="shared" si="12"/>
        <v>0</v>
      </c>
      <c r="F44" s="41">
        <f>Summary!$D$44</f>
        <v>0</v>
      </c>
      <c r="G44" s="41">
        <f>[2]Results!$D$46</f>
        <v>0</v>
      </c>
      <c r="H44" s="41">
        <f t="shared" si="13"/>
        <v>0</v>
      </c>
      <c r="J44" s="41">
        <f>Summary!$F$44</f>
        <v>0</v>
      </c>
      <c r="K44" s="41">
        <f>[2]Results!$E$46</f>
        <v>0</v>
      </c>
      <c r="L44" s="41">
        <f t="shared" si="14"/>
        <v>0</v>
      </c>
      <c r="N44" s="41">
        <f>Summary!$H$44</f>
        <v>0</v>
      </c>
      <c r="O44" s="41">
        <f>[2]Results!$H$46</f>
        <v>0</v>
      </c>
      <c r="P44" s="41">
        <f t="shared" si="15"/>
        <v>0</v>
      </c>
      <c r="R44" s="41">
        <f>Summary!$J$44</f>
        <v>0</v>
      </c>
      <c r="S44" s="41">
        <f>[2]Results!$I$46</f>
        <v>0</v>
      </c>
      <c r="T44" s="41">
        <f t="shared" si="16"/>
        <v>0</v>
      </c>
      <c r="V44" s="41">
        <f>Summary!$L$44</f>
        <v>0</v>
      </c>
      <c r="W44" s="41"/>
      <c r="X44" s="41">
        <f t="shared" si="17"/>
        <v>0</v>
      </c>
    </row>
    <row r="45" spans="1:24">
      <c r="A45" s="61" t="s">
        <v>102</v>
      </c>
      <c r="B45" s="41">
        <f>Summary!$B$45</f>
        <v>2850427.943054324</v>
      </c>
      <c r="C45" s="41">
        <f>[2]Results!$C$47</f>
        <v>2850427.943054324</v>
      </c>
      <c r="D45" s="41">
        <f t="shared" si="12"/>
        <v>0</v>
      </c>
      <c r="F45" s="41">
        <f>Summary!$D$45</f>
        <v>-2850427.9619466118</v>
      </c>
      <c r="G45" s="41">
        <f>[2]Results!$D$47</f>
        <v>-2850427.9619466118</v>
      </c>
      <c r="H45" s="41">
        <f t="shared" si="13"/>
        <v>0</v>
      </c>
      <c r="J45" s="41">
        <f>Summary!$F$45</f>
        <v>-1.8892287742346525E-2</v>
      </c>
      <c r="K45" s="41">
        <f>[2]Results!$E$47</f>
        <v>-1.8892287742346525E-2</v>
      </c>
      <c r="L45" s="41">
        <f t="shared" si="14"/>
        <v>0</v>
      </c>
      <c r="N45" s="41">
        <f>Summary!$H$45</f>
        <v>0</v>
      </c>
      <c r="O45" s="41">
        <f>[2]Results!$H$47</f>
        <v>0</v>
      </c>
      <c r="P45" s="41">
        <f t="shared" si="15"/>
        <v>0</v>
      </c>
      <c r="R45" s="41">
        <f>Summary!$J$45</f>
        <v>-1.8892287742346525E-2</v>
      </c>
      <c r="S45" s="41">
        <f>[2]Results!$I$47</f>
        <v>-1.8892287742346525E-2</v>
      </c>
      <c r="T45" s="41">
        <f t="shared" si="16"/>
        <v>0</v>
      </c>
      <c r="V45" s="41">
        <f>Summary!$L$45</f>
        <v>0</v>
      </c>
      <c r="W45" s="41"/>
      <c r="X45" s="41">
        <f t="shared" si="17"/>
        <v>0</v>
      </c>
    </row>
    <row r="46" spans="1:24">
      <c r="A46" s="61" t="s">
        <v>103</v>
      </c>
      <c r="B46" s="41">
        <f>Summary!$B$46</f>
        <v>3524551.0469494397</v>
      </c>
      <c r="C46" s="41">
        <f>[2]Results!$C$48</f>
        <v>3524551.0469494397</v>
      </c>
      <c r="D46" s="41">
        <f t="shared" si="12"/>
        <v>0</v>
      </c>
      <c r="F46" s="41">
        <f>Summary!$D$46</f>
        <v>2033952.2560125524</v>
      </c>
      <c r="G46" s="41">
        <f>[2]Results!$D$48</f>
        <v>2033952.2560125524</v>
      </c>
      <c r="H46" s="41">
        <f t="shared" si="13"/>
        <v>0</v>
      </c>
      <c r="J46" s="41">
        <f>Summary!$F$46</f>
        <v>5558503.3029619921</v>
      </c>
      <c r="K46" s="41">
        <f>[2]Results!$E$48</f>
        <v>5558503.3029619921</v>
      </c>
      <c r="L46" s="41">
        <f t="shared" si="14"/>
        <v>0</v>
      </c>
      <c r="N46" s="41">
        <f>Summary!$H$46</f>
        <v>-3595.335989266634</v>
      </c>
      <c r="O46" s="41">
        <f>[2]Results!$H$48</f>
        <v>-3595.335989266634</v>
      </c>
      <c r="P46" s="41">
        <f t="shared" si="15"/>
        <v>0</v>
      </c>
      <c r="R46" s="41">
        <f>Summary!$J$46</f>
        <v>5554907.9669727255</v>
      </c>
      <c r="S46" s="41">
        <f>[2]Results!$I$48</f>
        <v>5554907.9669727255</v>
      </c>
      <c r="T46" s="41">
        <f t="shared" si="16"/>
        <v>0</v>
      </c>
      <c r="V46" s="41">
        <f>Summary!$L$46</f>
        <v>0</v>
      </c>
      <c r="W46" s="41"/>
      <c r="X46" s="41">
        <f t="shared" si="17"/>
        <v>0</v>
      </c>
    </row>
    <row r="47" spans="1:24">
      <c r="A47" s="61" t="s">
        <v>104</v>
      </c>
      <c r="B47" s="41">
        <f>Summary!$B$47</f>
        <v>7763142.7157643503</v>
      </c>
      <c r="C47" s="41">
        <f>[2]Results!$C$49</f>
        <v>7763142.7157643503</v>
      </c>
      <c r="D47" s="41">
        <f t="shared" si="12"/>
        <v>0</v>
      </c>
      <c r="F47" s="41">
        <f>Summary!$D$47</f>
        <v>2018177.8990736436</v>
      </c>
      <c r="G47" s="41">
        <f>[2]Results!$D$49</f>
        <v>2018177.8990736436</v>
      </c>
      <c r="H47" s="41">
        <f t="shared" si="13"/>
        <v>0</v>
      </c>
      <c r="J47" s="41">
        <f>Summary!$F$47</f>
        <v>9781320.6148379929</v>
      </c>
      <c r="K47" s="41">
        <f>[2]Results!$E$49</f>
        <v>9781320.6148379929</v>
      </c>
      <c r="L47" s="41">
        <f t="shared" si="14"/>
        <v>0</v>
      </c>
      <c r="N47" s="41">
        <f>Summary!$H$47</f>
        <v>-3545.2505568028428</v>
      </c>
      <c r="O47" s="41">
        <f>[2]Results!$H$49</f>
        <v>-3545.2505568028428</v>
      </c>
      <c r="P47" s="41">
        <f t="shared" si="15"/>
        <v>0</v>
      </c>
      <c r="R47" s="41">
        <f>Summary!$J$47</f>
        <v>9777775.3642811906</v>
      </c>
      <c r="S47" s="41">
        <f>[2]Results!$I$49</f>
        <v>9777775.3642811906</v>
      </c>
      <c r="T47" s="41">
        <f t="shared" si="16"/>
        <v>0</v>
      </c>
      <c r="V47" s="41">
        <f>Summary!$L$47</f>
        <v>0</v>
      </c>
      <c r="W47" s="41"/>
      <c r="X47" s="41">
        <f t="shared" si="17"/>
        <v>0</v>
      </c>
    </row>
    <row r="48" spans="1:24">
      <c r="A48" s="61" t="s">
        <v>105</v>
      </c>
      <c r="B48" s="41">
        <f>Summary!$B$48</f>
        <v>2159291.1506739343</v>
      </c>
      <c r="C48" s="41">
        <f>[2]Results!$C$50</f>
        <v>2159291.1506739343</v>
      </c>
      <c r="D48" s="41">
        <f t="shared" si="12"/>
        <v>0</v>
      </c>
      <c r="F48" s="41">
        <f>Summary!$D$48</f>
        <v>8669513.3432273418</v>
      </c>
      <c r="G48" s="41">
        <f>[2]Results!$D$50</f>
        <v>8669513.3432273418</v>
      </c>
      <c r="H48" s="41">
        <f t="shared" si="13"/>
        <v>0</v>
      </c>
      <c r="J48" s="41">
        <f>Summary!$F$48</f>
        <v>10828804.493901275</v>
      </c>
      <c r="K48" s="41">
        <f>[2]Results!$E$50</f>
        <v>10828804.493901275</v>
      </c>
      <c r="L48" s="41">
        <f t="shared" si="14"/>
        <v>0</v>
      </c>
      <c r="N48" s="41">
        <f>Summary!$H$48</f>
        <v>276298.99870484136</v>
      </c>
      <c r="O48" s="41">
        <f>[2]Results!$H$50</f>
        <v>276298.99870484322</v>
      </c>
      <c r="P48" s="41">
        <f t="shared" si="15"/>
        <v>1.862645149230957E-9</v>
      </c>
      <c r="R48" s="41">
        <f>Summary!$J$48</f>
        <v>11105103.492606116</v>
      </c>
      <c r="S48" s="41">
        <f>[2]Results!$I$50</f>
        <v>11105103.492606118</v>
      </c>
      <c r="T48" s="41">
        <f t="shared" si="16"/>
        <v>0</v>
      </c>
      <c r="V48" s="41">
        <f>Summary!$L$48</f>
        <v>0</v>
      </c>
      <c r="W48" s="41"/>
      <c r="X48" s="41">
        <f t="shared" si="17"/>
        <v>0</v>
      </c>
    </row>
    <row r="49" spans="1:24">
      <c r="A49" s="61" t="s">
        <v>106</v>
      </c>
      <c r="B49" s="41">
        <f>Summary!$B$49</f>
        <v>2046740.5986772478</v>
      </c>
      <c r="C49" s="41">
        <f>[2]Results!$C$51</f>
        <v>2046740.5986772478</v>
      </c>
      <c r="D49" s="41">
        <f t="shared" si="12"/>
        <v>0</v>
      </c>
      <c r="F49" s="41">
        <f>Summary!$D$49</f>
        <v>0</v>
      </c>
      <c r="G49" s="41">
        <f>[2]Results!$D$51</f>
        <v>0</v>
      </c>
      <c r="H49" s="41">
        <f t="shared" si="13"/>
        <v>0</v>
      </c>
      <c r="J49" s="41">
        <f>Summary!$F$49</f>
        <v>2046740.5986772478</v>
      </c>
      <c r="K49" s="41">
        <f>[2]Results!$E$51</f>
        <v>2046740.5986772478</v>
      </c>
      <c r="L49" s="41">
        <f t="shared" si="14"/>
        <v>0</v>
      </c>
      <c r="N49" s="41">
        <f>Summary!$H$49</f>
        <v>0</v>
      </c>
      <c r="O49" s="41">
        <f>[2]Results!$H$51</f>
        <v>0</v>
      </c>
      <c r="P49" s="41">
        <f t="shared" si="15"/>
        <v>0</v>
      </c>
      <c r="R49" s="41">
        <f>Summary!$J$49</f>
        <v>2046740.5986772478</v>
      </c>
      <c r="S49" s="41">
        <f>[2]Results!$I$51</f>
        <v>2046740.5986772478</v>
      </c>
      <c r="T49" s="41">
        <f t="shared" si="16"/>
        <v>0</v>
      </c>
      <c r="V49" s="41">
        <f>Summary!$L$49</f>
        <v>0</v>
      </c>
      <c r="W49" s="41"/>
      <c r="X49" s="41">
        <f t="shared" si="17"/>
        <v>0</v>
      </c>
    </row>
    <row r="50" spans="1:24">
      <c r="A50" s="61" t="s">
        <v>107</v>
      </c>
      <c r="B50" s="41">
        <f>Summary!$B$50</f>
        <v>268576.60807565699</v>
      </c>
      <c r="C50" s="41">
        <f>[2]Results!$C$52</f>
        <v>268576.60807565699</v>
      </c>
      <c r="D50" s="41">
        <f t="shared" si="12"/>
        <v>0</v>
      </c>
      <c r="F50" s="41">
        <f>Summary!$D$50</f>
        <v>-268576.60836182453</v>
      </c>
      <c r="G50" s="41">
        <f>[2]Results!$D$52</f>
        <v>-268576.60836182453</v>
      </c>
      <c r="H50" s="41">
        <f t="shared" si="13"/>
        <v>0</v>
      </c>
      <c r="J50" s="41">
        <f>Summary!$F$50</f>
        <v>-2.86167545709759E-4</v>
      </c>
      <c r="K50" s="41">
        <f>[2]Results!$E$52</f>
        <v>-2.86167545709759E-4</v>
      </c>
      <c r="L50" s="41">
        <f t="shared" si="14"/>
        <v>0</v>
      </c>
      <c r="N50" s="41">
        <f>Summary!$H$50</f>
        <v>0</v>
      </c>
      <c r="O50" s="41">
        <f>[2]Results!$H$52</f>
        <v>0</v>
      </c>
      <c r="P50" s="41">
        <f t="shared" si="15"/>
        <v>0</v>
      </c>
      <c r="R50" s="41">
        <f>Summary!$J$50</f>
        <v>-2.86167545709759E-4</v>
      </c>
      <c r="S50" s="41">
        <f>[2]Results!$I$52</f>
        <v>-2.86167545709759E-4</v>
      </c>
      <c r="T50" s="41">
        <f t="shared" si="16"/>
        <v>0</v>
      </c>
      <c r="V50" s="41">
        <f>Summary!$L$50</f>
        <v>0</v>
      </c>
      <c r="W50" s="41"/>
      <c r="X50" s="41">
        <f t="shared" si="17"/>
        <v>0</v>
      </c>
    </row>
    <row r="51" spans="1:24" ht="13.5" thickBot="1">
      <c r="A51" s="61" t="s">
        <v>108</v>
      </c>
      <c r="B51" s="60">
        <f>Summary!$B$51</f>
        <v>1424065610.2623763</v>
      </c>
      <c r="C51" s="60">
        <f>[2]Results!$C$53</f>
        <v>1424065610.2623763</v>
      </c>
      <c r="D51" s="60">
        <f t="shared" si="12"/>
        <v>0</v>
      </c>
      <c r="F51" s="60">
        <f>Summary!$D$51</f>
        <v>34452249.973866187</v>
      </c>
      <c r="G51" s="60">
        <f>[2]Results!$D$53</f>
        <v>34452249.973866187</v>
      </c>
      <c r="H51" s="60">
        <f t="shared" si="13"/>
        <v>0</v>
      </c>
      <c r="J51" s="60">
        <f>Summary!$F$51</f>
        <v>1458517860.2362425</v>
      </c>
      <c r="K51" s="60">
        <f>[2]Results!$E$53</f>
        <v>1458517860.2362425</v>
      </c>
      <c r="L51" s="60">
        <f t="shared" si="14"/>
        <v>0</v>
      </c>
      <c r="N51" s="60">
        <f>Summary!$H$51</f>
        <v>14295313.168374045</v>
      </c>
      <c r="O51" s="60">
        <f>[2]Results!$H$53</f>
        <v>14295313.619496366</v>
      </c>
      <c r="P51" s="60">
        <f t="shared" si="15"/>
        <v>0.45112232118844986</v>
      </c>
      <c r="R51" s="60">
        <f>Summary!$J$51</f>
        <v>1472813173.4046166</v>
      </c>
      <c r="S51" s="60">
        <f>[2]Results!$I$53</f>
        <v>1472813173.8557391</v>
      </c>
      <c r="T51" s="60">
        <f t="shared" si="16"/>
        <v>0.45112252235412598</v>
      </c>
      <c r="V51" s="60">
        <f>Summary!$L$51</f>
        <v>0</v>
      </c>
      <c r="W51" s="60"/>
      <c r="X51" s="60">
        <f t="shared" si="17"/>
        <v>0</v>
      </c>
    </row>
    <row r="52" spans="1:24" ht="13.5" thickTop="1">
      <c r="A52" s="61"/>
      <c r="B52" s="41"/>
      <c r="C52" s="41"/>
      <c r="D52" s="41"/>
      <c r="F52" s="41"/>
      <c r="G52" s="41"/>
      <c r="H52" s="41"/>
      <c r="J52" s="41"/>
      <c r="K52" s="41"/>
      <c r="L52" s="41"/>
      <c r="N52" s="41"/>
      <c r="O52" s="41"/>
      <c r="P52" s="41"/>
      <c r="R52" s="41"/>
      <c r="S52" s="41"/>
      <c r="T52" s="41"/>
      <c r="V52" s="41"/>
      <c r="W52" s="41"/>
      <c r="X52" s="41"/>
    </row>
    <row r="53" spans="1:24">
      <c r="A53" s="61" t="s">
        <v>109</v>
      </c>
      <c r="B53" s="41"/>
      <c r="C53" s="41"/>
      <c r="D53" s="41"/>
      <c r="F53" s="41"/>
      <c r="G53" s="41"/>
      <c r="H53" s="41"/>
      <c r="J53" s="41"/>
      <c r="K53" s="41"/>
      <c r="L53" s="41"/>
      <c r="N53" s="41"/>
      <c r="O53" s="41"/>
      <c r="P53" s="41"/>
      <c r="R53" s="41"/>
      <c r="S53" s="41"/>
      <c r="T53" s="41"/>
      <c r="V53" s="41"/>
      <c r="W53" s="41"/>
      <c r="X53" s="41"/>
    </row>
    <row r="54" spans="1:24">
      <c r="A54" s="61" t="s">
        <v>110</v>
      </c>
      <c r="B54" s="41">
        <f>Summary!$B$54</f>
        <v>-503192583.84775847</v>
      </c>
      <c r="C54" s="41">
        <f>[2]Results!$C$56</f>
        <v>-503192583.84775847</v>
      </c>
      <c r="D54" s="41">
        <f t="shared" ref="D54:D62" si="18">C54-B54</f>
        <v>0</v>
      </c>
      <c r="F54" s="41">
        <f>Summary!$D$54</f>
        <v>-7446965.4092337936</v>
      </c>
      <c r="G54" s="41">
        <f>[2]Results!$D$56</f>
        <v>-7446965.4092337936</v>
      </c>
      <c r="H54" s="41">
        <f t="shared" ref="H54:H62" si="19">G54-F54</f>
        <v>0</v>
      </c>
      <c r="J54" s="41">
        <f>Summary!$F$54</f>
        <v>-510639549.25699228</v>
      </c>
      <c r="K54" s="41">
        <f>[2]Results!$E$56</f>
        <v>-510639549.25699228</v>
      </c>
      <c r="L54" s="41">
        <f t="shared" ref="L54:L62" si="20">K54-J54</f>
        <v>0</v>
      </c>
      <c r="N54" s="41">
        <f>Summary!$H$54</f>
        <v>123289.41095568537</v>
      </c>
      <c r="O54" s="41">
        <f>[2]Results!$H$56</f>
        <v>123289.41095567844</v>
      </c>
      <c r="P54" s="41">
        <f t="shared" ref="P54:P62" si="21">O54-N54</f>
        <v>-6.9267116487026215E-9</v>
      </c>
      <c r="R54" s="41">
        <f>Summary!$J$54</f>
        <v>-510516259.84603661</v>
      </c>
      <c r="S54" s="41">
        <f>[2]Results!$I$56</f>
        <v>-510516259.84603661</v>
      </c>
      <c r="T54" s="41">
        <f t="shared" ref="T54:T62" si="22">S54-R54</f>
        <v>0</v>
      </c>
      <c r="V54" s="41">
        <f>Summary!$L$54</f>
        <v>0</v>
      </c>
      <c r="W54" s="41"/>
      <c r="X54" s="41">
        <f t="shared" ref="X54:X62" si="23">W54-V54</f>
        <v>0</v>
      </c>
    </row>
    <row r="55" spans="1:24">
      <c r="A55" s="61" t="s">
        <v>111</v>
      </c>
      <c r="B55" s="41">
        <f>Summary!$B$55</f>
        <v>-34606345.321051545</v>
      </c>
      <c r="C55" s="41">
        <f>[2]Results!$C$57</f>
        <v>-34606345.321051545</v>
      </c>
      <c r="D55" s="41">
        <f t="shared" si="18"/>
        <v>0</v>
      </c>
      <c r="F55" s="41">
        <f>Summary!$D$55</f>
        <v>0</v>
      </c>
      <c r="G55" s="41">
        <f>[2]Results!$D$57</f>
        <v>0</v>
      </c>
      <c r="H55" s="41">
        <f t="shared" si="19"/>
        <v>0</v>
      </c>
      <c r="J55" s="41">
        <f>Summary!$F$55</f>
        <v>-34606345.321051545</v>
      </c>
      <c r="K55" s="41">
        <f>[2]Results!$E$57</f>
        <v>-34606345.321051545</v>
      </c>
      <c r="L55" s="41">
        <f t="shared" si="20"/>
        <v>0</v>
      </c>
      <c r="N55" s="41">
        <f>Summary!$H$55</f>
        <v>0</v>
      </c>
      <c r="O55" s="41">
        <f>[2]Results!$H$57</f>
        <v>0</v>
      </c>
      <c r="P55" s="41">
        <f t="shared" si="21"/>
        <v>0</v>
      </c>
      <c r="R55" s="41">
        <f>Summary!$J$55</f>
        <v>-34606345.321051545</v>
      </c>
      <c r="S55" s="41">
        <f>[2]Results!$I$57</f>
        <v>-34606345.321051545</v>
      </c>
      <c r="T55" s="41">
        <f t="shared" si="22"/>
        <v>0</v>
      </c>
      <c r="V55" s="41">
        <f>Summary!$L$55</f>
        <v>0</v>
      </c>
      <c r="W55" s="41"/>
      <c r="X55" s="41">
        <f t="shared" si="23"/>
        <v>0</v>
      </c>
    </row>
    <row r="56" spans="1:24">
      <c r="A56" s="61" t="s">
        <v>112</v>
      </c>
      <c r="B56" s="41">
        <f>Summary!$B$56</f>
        <v>-128569574.10448816</v>
      </c>
      <c r="C56" s="41">
        <f>[2]Results!$C$58</f>
        <v>-128569574.10448816</v>
      </c>
      <c r="D56" s="41">
        <f t="shared" si="18"/>
        <v>0</v>
      </c>
      <c r="F56" s="41">
        <f>Summary!$D$56</f>
        <v>-6475410.4180893609</v>
      </c>
      <c r="G56" s="41">
        <f>[2]Results!$D$58</f>
        <v>-6475410.3685375536</v>
      </c>
      <c r="H56" s="41">
        <f t="shared" si="19"/>
        <v>4.9551807343959808E-2</v>
      </c>
      <c r="J56" s="41">
        <f>Summary!$F$56</f>
        <v>-135044984.52257752</v>
      </c>
      <c r="K56" s="41">
        <f>[2]Results!$E$58</f>
        <v>-135044984.47302571</v>
      </c>
      <c r="L56" s="41">
        <f t="shared" si="20"/>
        <v>4.9551814794540405E-2</v>
      </c>
      <c r="N56" s="41">
        <f>Summary!$H$56</f>
        <v>-5544377.6454294352</v>
      </c>
      <c r="O56" s="41">
        <f>[2]Results!$H$58</f>
        <v>-5544377.9755178178</v>
      </c>
      <c r="P56" s="41">
        <f t="shared" si="21"/>
        <v>-0.33008838258683681</v>
      </c>
      <c r="R56" s="41">
        <f>Summary!$J$56</f>
        <v>-140589362.16800696</v>
      </c>
      <c r="S56" s="41">
        <f>[2]Results!$I$58</f>
        <v>-140589362.44854352</v>
      </c>
      <c r="T56" s="41">
        <f t="shared" si="22"/>
        <v>-0.28053656220436096</v>
      </c>
      <c r="V56" s="41">
        <f>Summary!$L$56</f>
        <v>0</v>
      </c>
      <c r="W56" s="41"/>
      <c r="X56" s="41">
        <f t="shared" si="23"/>
        <v>0</v>
      </c>
    </row>
    <row r="57" spans="1:24">
      <c r="A57" s="61" t="s">
        <v>113</v>
      </c>
      <c r="B57" s="41">
        <f>Summary!$B$57</f>
        <v>-1096753.183804</v>
      </c>
      <c r="C57" s="41">
        <f>[2]Results!$C$59</f>
        <v>-1096753.183804</v>
      </c>
      <c r="D57" s="41">
        <f t="shared" si="18"/>
        <v>0</v>
      </c>
      <c r="F57" s="41">
        <f>Summary!$D$57</f>
        <v>144385.82344165733</v>
      </c>
      <c r="G57" s="41">
        <f>[2]Results!$D$59</f>
        <v>144385.82344165733</v>
      </c>
      <c r="H57" s="41">
        <f t="shared" si="19"/>
        <v>0</v>
      </c>
      <c r="J57" s="41">
        <f>Summary!$F$57</f>
        <v>-952367.36036234268</v>
      </c>
      <c r="K57" s="41">
        <f>[2]Results!$E$59</f>
        <v>-952367.36036234268</v>
      </c>
      <c r="L57" s="41">
        <f t="shared" si="20"/>
        <v>0</v>
      </c>
      <c r="N57" s="41">
        <f>Summary!$H$57</f>
        <v>0</v>
      </c>
      <c r="O57" s="41">
        <f>[2]Results!$H$59</f>
        <v>0</v>
      </c>
      <c r="P57" s="41">
        <f t="shared" si="21"/>
        <v>0</v>
      </c>
      <c r="R57" s="41">
        <f>Summary!$J$57</f>
        <v>-952367.36036234268</v>
      </c>
      <c r="S57" s="41">
        <f>[2]Results!$I$59</f>
        <v>-952367.36036234268</v>
      </c>
      <c r="T57" s="41">
        <f t="shared" si="22"/>
        <v>0</v>
      </c>
      <c r="V57" s="41">
        <f>Summary!$L$57</f>
        <v>0</v>
      </c>
      <c r="W57" s="41"/>
      <c r="X57" s="41">
        <f t="shared" si="23"/>
        <v>0</v>
      </c>
    </row>
    <row r="58" spans="1:24">
      <c r="A58" s="61" t="s">
        <v>114</v>
      </c>
      <c r="B58" s="41">
        <f>Summary!$B$58</f>
        <v>-334499.98611589998</v>
      </c>
      <c r="C58" s="41">
        <f>[2]Results!$C$60</f>
        <v>-334499.98611589998</v>
      </c>
      <c r="D58" s="41">
        <f t="shared" si="18"/>
        <v>0</v>
      </c>
      <c r="F58" s="41">
        <f>Summary!$D$58</f>
        <v>23142.536575635779</v>
      </c>
      <c r="G58" s="41">
        <f>[2]Results!$D$60</f>
        <v>23142.536575635779</v>
      </c>
      <c r="H58" s="41">
        <f t="shared" si="19"/>
        <v>0</v>
      </c>
      <c r="J58" s="41">
        <f>Summary!$F$58</f>
        <v>-311357.44954026421</v>
      </c>
      <c r="K58" s="41">
        <f>[2]Results!$E$60</f>
        <v>-311357.44954026421</v>
      </c>
      <c r="L58" s="41">
        <f t="shared" si="20"/>
        <v>0</v>
      </c>
      <c r="N58" s="41">
        <f>Summary!$H$58</f>
        <v>0</v>
      </c>
      <c r="O58" s="41">
        <f>[2]Results!$H$60</f>
        <v>0</v>
      </c>
      <c r="P58" s="41">
        <f t="shared" si="21"/>
        <v>0</v>
      </c>
      <c r="R58" s="41">
        <f>Summary!$J$58</f>
        <v>-311357.44954026421</v>
      </c>
      <c r="S58" s="41">
        <f>[2]Results!$I$60</f>
        <v>-311357.44954026421</v>
      </c>
      <c r="T58" s="41">
        <f t="shared" si="22"/>
        <v>0</v>
      </c>
      <c r="V58" s="41">
        <f>Summary!$L$58</f>
        <v>0</v>
      </c>
      <c r="W58" s="41"/>
      <c r="X58" s="41">
        <f t="shared" si="23"/>
        <v>0</v>
      </c>
    </row>
    <row r="59" spans="1:24">
      <c r="A59" s="61" t="s">
        <v>115</v>
      </c>
      <c r="B59" s="41">
        <f>Summary!$B$59</f>
        <v>0</v>
      </c>
      <c r="C59" s="41">
        <f>[2]Results!$C$61</f>
        <v>0</v>
      </c>
      <c r="D59" s="41">
        <f t="shared" si="18"/>
        <v>0</v>
      </c>
      <c r="F59" s="41">
        <f>Summary!$D$59</f>
        <v>-2980495.6783333328</v>
      </c>
      <c r="G59" s="41">
        <f>[2]Results!$D$61</f>
        <v>-2980495.6783333328</v>
      </c>
      <c r="H59" s="41">
        <f t="shared" si="19"/>
        <v>0</v>
      </c>
      <c r="J59" s="41">
        <f>Summary!$F$59</f>
        <v>-2980495.6783333328</v>
      </c>
      <c r="K59" s="41">
        <f>[2]Results!$E$61</f>
        <v>-2980495.6783333328</v>
      </c>
      <c r="L59" s="41">
        <f t="shared" si="20"/>
        <v>0</v>
      </c>
      <c r="N59" s="41">
        <f>Summary!$H$59</f>
        <v>0</v>
      </c>
      <c r="O59" s="41">
        <f>[2]Results!$H$61</f>
        <v>0</v>
      </c>
      <c r="P59" s="41">
        <f t="shared" si="21"/>
        <v>0</v>
      </c>
      <c r="R59" s="41">
        <f>Summary!$J$59</f>
        <v>-2980495.6783333328</v>
      </c>
      <c r="S59" s="41">
        <f>[2]Results!$I$61</f>
        <v>-2980495.6783333328</v>
      </c>
      <c r="T59" s="41">
        <f t="shared" si="22"/>
        <v>0</v>
      </c>
      <c r="V59" s="41">
        <f>Summary!$L$59</f>
        <v>0</v>
      </c>
      <c r="W59" s="41"/>
      <c r="X59" s="41">
        <f t="shared" si="23"/>
        <v>0</v>
      </c>
    </row>
    <row r="60" spans="1:24">
      <c r="A60" s="61" t="s">
        <v>116</v>
      </c>
      <c r="B60" s="41">
        <f>Summary!$B$60</f>
        <v>-4865967.0740704359</v>
      </c>
      <c r="C60" s="41">
        <f>[2]Results!$C$62</f>
        <v>-4865967.0740704359</v>
      </c>
      <c r="D60" s="41">
        <f t="shared" si="18"/>
        <v>0</v>
      </c>
      <c r="F60" s="41">
        <f>Summary!$D$60</f>
        <v>-3245919.382546897</v>
      </c>
      <c r="G60" s="41">
        <f>[2]Results!$D$62</f>
        <v>-3245919.382546897</v>
      </c>
      <c r="H60" s="41">
        <f t="shared" si="19"/>
        <v>0</v>
      </c>
      <c r="J60" s="41">
        <f>Summary!$F$60</f>
        <v>-8111886.456617333</v>
      </c>
      <c r="K60" s="41">
        <f>[2]Results!$E$62</f>
        <v>-8111886.456617333</v>
      </c>
      <c r="L60" s="41">
        <f t="shared" si="20"/>
        <v>0</v>
      </c>
      <c r="N60" s="41">
        <f>Summary!$H$60</f>
        <v>7456.7769102435559</v>
      </c>
      <c r="O60" s="41">
        <f>[2]Results!$H$62</f>
        <v>7456.7769102435559</v>
      </c>
      <c r="P60" s="41">
        <f t="shared" si="21"/>
        <v>0</v>
      </c>
      <c r="R60" s="41">
        <f>Summary!$J$60</f>
        <v>-8104429.6797070894</v>
      </c>
      <c r="S60" s="41">
        <f>[2]Results!$I$62</f>
        <v>-8104429.6797070894</v>
      </c>
      <c r="T60" s="41">
        <f t="shared" si="22"/>
        <v>0</v>
      </c>
      <c r="V60" s="41">
        <f>Summary!$L$60</f>
        <v>0</v>
      </c>
      <c r="W60" s="41"/>
      <c r="X60" s="41">
        <f t="shared" si="23"/>
        <v>0</v>
      </c>
    </row>
    <row r="61" spans="1:24">
      <c r="A61" s="61"/>
      <c r="B61" s="41">
        <f>Summary!$B$61</f>
        <v>0</v>
      </c>
      <c r="C61" s="41">
        <f>[2]Results!$C$63</f>
        <v>0</v>
      </c>
      <c r="D61" s="41">
        <f t="shared" si="18"/>
        <v>0</v>
      </c>
      <c r="F61" s="41">
        <f>Summary!$D$61</f>
        <v>0</v>
      </c>
      <c r="G61" s="41">
        <f>[2]Results!$D$63</f>
        <v>0</v>
      </c>
      <c r="H61" s="41">
        <f t="shared" si="19"/>
        <v>0</v>
      </c>
      <c r="J61" s="41">
        <f>Summary!$F$61</f>
        <v>0</v>
      </c>
      <c r="K61" s="41">
        <f>[2]Results!$E$63</f>
        <v>0</v>
      </c>
      <c r="L61" s="41">
        <f t="shared" si="20"/>
        <v>0</v>
      </c>
      <c r="N61" s="41">
        <f>Summary!$H$61</f>
        <v>0</v>
      </c>
      <c r="O61" s="41">
        <f>[2]Results!$H$63</f>
        <v>0</v>
      </c>
      <c r="P61" s="41">
        <f t="shared" si="21"/>
        <v>0</v>
      </c>
      <c r="R61" s="41">
        <f>Summary!$J$61</f>
        <v>0</v>
      </c>
      <c r="S61" s="41">
        <f>[2]Results!$I$63</f>
        <v>0</v>
      </c>
      <c r="T61" s="41">
        <f t="shared" si="22"/>
        <v>0</v>
      </c>
      <c r="V61" s="41">
        <f>Summary!$L$61</f>
        <v>0</v>
      </c>
      <c r="W61" s="41"/>
      <c r="X61" s="41">
        <f t="shared" si="23"/>
        <v>0</v>
      </c>
    </row>
    <row r="62" spans="1:24" ht="13.5" thickBot="1">
      <c r="A62" s="61" t="s">
        <v>117</v>
      </c>
      <c r="B62" s="60">
        <f>Summary!$B$62</f>
        <v>-672665723.51728857</v>
      </c>
      <c r="C62" s="60">
        <f>[2]Results!$C$64</f>
        <v>-672665723.51728857</v>
      </c>
      <c r="D62" s="60">
        <f t="shared" si="18"/>
        <v>0</v>
      </c>
      <c r="F62" s="60">
        <f>Summary!$D$62</f>
        <v>-19981262.52818609</v>
      </c>
      <c r="G62" s="60">
        <f>[2]Results!$D$64</f>
        <v>-19981262.478634283</v>
      </c>
      <c r="H62" s="60">
        <f t="shared" si="19"/>
        <v>4.9551807343959808E-2</v>
      </c>
      <c r="J62" s="60">
        <f>Summary!$F$62</f>
        <v>-692646986.04547453</v>
      </c>
      <c r="K62" s="60">
        <f>[2]Results!$E$64</f>
        <v>-692646985.99592268</v>
      </c>
      <c r="L62" s="60">
        <f t="shared" si="20"/>
        <v>4.9551844596862793E-2</v>
      </c>
      <c r="N62" s="60">
        <f>Summary!$H$62</f>
        <v>-5413631.4575635064</v>
      </c>
      <c r="O62" s="60">
        <f>[2]Results!$H$64</f>
        <v>-5413631.7876518955</v>
      </c>
      <c r="P62" s="60">
        <f t="shared" si="21"/>
        <v>-0.33008838910609484</v>
      </c>
      <c r="R62" s="60">
        <f>Summary!$J$62</f>
        <v>-698060617.50303805</v>
      </c>
      <c r="S62" s="60">
        <f>[2]Results!$I$64</f>
        <v>-698060617.78357458</v>
      </c>
      <c r="T62" s="60">
        <f t="shared" si="22"/>
        <v>-0.28053653240203857</v>
      </c>
      <c r="V62" s="60">
        <f>Summary!$L$62</f>
        <v>0</v>
      </c>
      <c r="W62" s="60"/>
      <c r="X62" s="60">
        <f t="shared" si="23"/>
        <v>0</v>
      </c>
    </row>
    <row r="63" spans="1:24" ht="13.5" thickTop="1">
      <c r="A63" s="61"/>
      <c r="B63" s="41"/>
      <c r="C63" s="41"/>
      <c r="D63" s="41"/>
      <c r="F63" s="41"/>
      <c r="G63" s="41"/>
      <c r="H63" s="41"/>
      <c r="J63" s="41"/>
      <c r="K63" s="41"/>
      <c r="L63" s="41"/>
      <c r="N63" s="41"/>
      <c r="O63" s="41"/>
      <c r="P63" s="41"/>
      <c r="R63" s="41"/>
      <c r="S63" s="41"/>
      <c r="T63" s="41"/>
      <c r="V63" s="41"/>
      <c r="W63" s="41"/>
      <c r="X63" s="41"/>
    </row>
    <row r="64" spans="1:24" ht="13.5" thickBot="1">
      <c r="A64" s="61" t="s">
        <v>118</v>
      </c>
      <c r="B64" s="60">
        <f>Summary!$B$64</f>
        <v>751399886.74508774</v>
      </c>
      <c r="C64" s="60">
        <f>[2]Results!$C$66</f>
        <v>751399886.74508774</v>
      </c>
      <c r="D64" s="60">
        <f>C64-B64</f>
        <v>0</v>
      </c>
      <c r="F64" s="60">
        <f>Summary!$D$64</f>
        <v>14470987.445680097</v>
      </c>
      <c r="G64" s="60">
        <f>[2]Results!$D$66</f>
        <v>14470987.495231904</v>
      </c>
      <c r="H64" s="60">
        <f>G64-F64</f>
        <v>4.9551807343959808E-2</v>
      </c>
      <c r="J64" s="60">
        <f>Summary!$F$64</f>
        <v>765870874.190768</v>
      </c>
      <c r="K64" s="60">
        <f>[2]Results!$E$66</f>
        <v>765870874.24031985</v>
      </c>
      <c r="L64" s="60">
        <f>K64-J64</f>
        <v>4.9551844596862793E-2</v>
      </c>
      <c r="N64" s="60">
        <f>Summary!$H$64</f>
        <v>8881681.7108105384</v>
      </c>
      <c r="O64" s="60">
        <f>[2]Results!$H$66</f>
        <v>8881681.8318444714</v>
      </c>
      <c r="P64" s="60">
        <f>O64-N64</f>
        <v>0.1210339330136776</v>
      </c>
      <c r="R64" s="60">
        <f>Summary!$J$64</f>
        <v>774752555.90157855</v>
      </c>
      <c r="S64" s="60">
        <f>[2]Results!$I$66</f>
        <v>774752556.07216454</v>
      </c>
      <c r="T64" s="60">
        <f>S64-R64</f>
        <v>0.1705859899520874</v>
      </c>
      <c r="V64" s="60">
        <f>Summary!$L$64</f>
        <v>0</v>
      </c>
      <c r="W64" s="60"/>
      <c r="X64" s="60">
        <f>W64-V64</f>
        <v>0</v>
      </c>
    </row>
    <row r="65" spans="1:24" ht="13.5" thickTop="1">
      <c r="A65" s="61"/>
      <c r="B65" s="41"/>
      <c r="C65" s="41"/>
      <c r="D65" s="41"/>
      <c r="F65" s="41"/>
      <c r="G65" s="41"/>
      <c r="H65" s="41"/>
      <c r="J65" s="41"/>
      <c r="K65" s="41"/>
      <c r="L65" s="41"/>
      <c r="N65" s="41"/>
      <c r="O65" s="41"/>
      <c r="P65" s="41"/>
      <c r="R65" s="41"/>
      <c r="S65" s="41"/>
      <c r="T65" s="41"/>
      <c r="V65" s="41"/>
      <c r="W65" s="41"/>
      <c r="X65" s="41"/>
    </row>
    <row r="66" spans="1:24">
      <c r="A66" s="61" t="s">
        <v>67</v>
      </c>
      <c r="B66" s="131"/>
      <c r="C66" s="131"/>
      <c r="D66" s="131"/>
      <c r="F66" s="131"/>
      <c r="G66" s="131"/>
      <c r="H66" s="131"/>
      <c r="J66" s="131"/>
      <c r="K66" s="131"/>
      <c r="L66" s="131"/>
      <c r="N66" s="131"/>
      <c r="O66" s="131"/>
      <c r="P66" s="131"/>
      <c r="R66" s="131"/>
      <c r="S66" s="131"/>
      <c r="T66" s="131"/>
      <c r="V66" s="131"/>
      <c r="W66" s="131"/>
      <c r="X66" s="131"/>
    </row>
    <row r="67" spans="1:24">
      <c r="A67" s="61" t="s">
        <v>119</v>
      </c>
      <c r="B67" s="131">
        <f>Summary!$B$67</f>
        <v>6.3973137599340243E-2</v>
      </c>
      <c r="C67" s="131">
        <f>[2]Results!$C$69</f>
        <v>6.3973137599340105E-2</v>
      </c>
      <c r="D67" s="131">
        <f t="shared" ref="D67" si="24">C67-B67</f>
        <v>-1.3877787807814457E-16</v>
      </c>
      <c r="F67" s="131">
        <f>Summary!$D$67</f>
        <v>-1.818021826293794E-2</v>
      </c>
      <c r="G67" s="131">
        <f>[2]Results!$D$69</f>
        <v>-1.8180218268184042E-2</v>
      </c>
      <c r="H67" s="131">
        <f t="shared" ref="H67" si="25">G67-F67</f>
        <v>-5.2461021637917327E-12</v>
      </c>
      <c r="J67" s="131">
        <f>Summary!$F$67</f>
        <v>4.5792919336402303E-2</v>
      </c>
      <c r="K67" s="131">
        <f>[2]Results!$E$69</f>
        <v>4.5792919331156298E-2</v>
      </c>
      <c r="L67" s="131">
        <f t="shared" ref="L67" si="26">K67-J67</f>
        <v>-5.246005019277078E-12</v>
      </c>
      <c r="N67" s="131">
        <f>Summary!$H$67</f>
        <v>-2.6986875035742198E-2</v>
      </c>
      <c r="O67" s="131">
        <f>[2]Results!$H$69</f>
        <v>-2.6986874470287962E-2</v>
      </c>
      <c r="P67" s="131">
        <f t="shared" ref="P67" si="27">O67-N67</f>
        <v>5.6545423551823681E-10</v>
      </c>
      <c r="R67" s="131">
        <f>Summary!$J$67</f>
        <v>1.8806044300660105E-2</v>
      </c>
      <c r="S67" s="131">
        <f>[2]Results!$I$69</f>
        <v>1.8806044860868162E-2</v>
      </c>
      <c r="T67" s="131">
        <f t="shared" ref="T67" si="28">S67-R67</f>
        <v>5.6020805702661214E-10</v>
      </c>
      <c r="V67" s="131"/>
      <c r="W67" s="131"/>
      <c r="X67" s="131"/>
    </row>
    <row r="68" spans="1:24">
      <c r="A68" s="61"/>
      <c r="B68" s="115"/>
      <c r="C68" s="115"/>
      <c r="D68" s="115"/>
      <c r="F68" s="115"/>
      <c r="G68" s="115"/>
      <c r="H68" s="115"/>
      <c r="J68" s="115"/>
      <c r="K68" s="115"/>
      <c r="L68" s="115"/>
      <c r="N68" s="115"/>
      <c r="O68" s="115"/>
      <c r="P68" s="115"/>
      <c r="R68" s="115"/>
      <c r="S68" s="115"/>
      <c r="T68" s="115"/>
      <c r="V68" s="115"/>
      <c r="W68" s="115"/>
      <c r="X68" s="115"/>
    </row>
    <row r="69" spans="1:24">
      <c r="A69" s="61" t="s">
        <v>120</v>
      </c>
      <c r="B69" s="41"/>
      <c r="C69" s="41"/>
      <c r="D69" s="41"/>
      <c r="F69" s="41"/>
      <c r="G69" s="41"/>
      <c r="H69" s="41"/>
      <c r="J69" s="41"/>
      <c r="K69" s="41"/>
      <c r="L69" s="41"/>
      <c r="N69" s="41"/>
      <c r="O69" s="41"/>
      <c r="P69" s="41"/>
      <c r="R69" s="41"/>
      <c r="S69" s="41"/>
      <c r="T69" s="41"/>
      <c r="V69" s="41"/>
      <c r="W69" s="41"/>
      <c r="X69" s="41"/>
    </row>
    <row r="70" spans="1:24">
      <c r="A70" s="61" t="s">
        <v>121</v>
      </c>
      <c r="B70" s="41">
        <f>Summary!$B$71</f>
        <v>54626279.547771238</v>
      </c>
      <c r="C70" s="41">
        <f>[2]Results!$C$72</f>
        <v>54626279.547771238</v>
      </c>
      <c r="D70" s="41">
        <f t="shared" ref="D70:D79" si="29">C70-B70</f>
        <v>0</v>
      </c>
      <c r="F70" s="41">
        <f>Summary!$D$71</f>
        <v>-2091472.6715177814</v>
      </c>
      <c r="G70" s="41">
        <f>[2]Results!$D$72</f>
        <v>-2091472.6715177819</v>
      </c>
      <c r="H70" s="41">
        <f t="shared" ref="H70:H76" si="30">G70-F70</f>
        <v>0</v>
      </c>
      <c r="J70" s="41">
        <f>Summary!$F$71</f>
        <v>52534806.876253448</v>
      </c>
      <c r="K70" s="41">
        <f>[2]Results!$E$72</f>
        <v>52534806.876253448</v>
      </c>
      <c r="L70" s="41">
        <f t="shared" ref="L70:L76" si="31">K70-J70</f>
        <v>0</v>
      </c>
      <c r="N70" s="41">
        <f>Summary!$H$71</f>
        <v>-24906326.451694515</v>
      </c>
      <c r="O70" s="41">
        <f>[2]Results!$H$72</f>
        <v>-24906326.45166875</v>
      </c>
      <c r="P70" s="41">
        <f t="shared" ref="P70:P76" si="32">O70-N70</f>
        <v>2.5764107704162598E-5</v>
      </c>
      <c r="R70" s="41">
        <f>Summary!$J$71</f>
        <v>27628480.424558874</v>
      </c>
      <c r="S70" s="41">
        <f>[2]Results!$I$72</f>
        <v>27628480.42458465</v>
      </c>
      <c r="T70" s="41">
        <f t="shared" ref="T70:T76" si="33">S70-R70</f>
        <v>2.5775283575057983E-5</v>
      </c>
      <c r="V70" s="41">
        <f>Summary!$L$71</f>
        <v>54117392.960332453</v>
      </c>
      <c r="W70" s="41">
        <f>[2]Results!$H$161</f>
        <v>54117392.624362819</v>
      </c>
      <c r="X70" s="41">
        <f t="shared" ref="X70:X76" si="34">W70-V70</f>
        <v>-0.33596963435411453</v>
      </c>
    </row>
    <row r="71" spans="1:24">
      <c r="A71" s="61" t="s">
        <v>122</v>
      </c>
      <c r="B71" s="41">
        <f>Summary!$B$72</f>
        <v>0</v>
      </c>
      <c r="C71" s="41">
        <f>[2]Results!$C$73</f>
        <v>0</v>
      </c>
      <c r="D71" s="41">
        <f t="shared" si="29"/>
        <v>0</v>
      </c>
      <c r="F71" s="41">
        <f>Summary!$D$72</f>
        <v>0</v>
      </c>
      <c r="G71" s="41">
        <f>[2]Results!$D$73</f>
        <v>0</v>
      </c>
      <c r="H71" s="41">
        <f t="shared" si="30"/>
        <v>0</v>
      </c>
      <c r="J71" s="41">
        <f>Summary!$F$72</f>
        <v>0</v>
      </c>
      <c r="K71" s="41">
        <f>[2]Results!$E$73</f>
        <v>0</v>
      </c>
      <c r="L71" s="41">
        <f t="shared" si="31"/>
        <v>0</v>
      </c>
      <c r="N71" s="41">
        <f>Summary!$H$72</f>
        <v>0</v>
      </c>
      <c r="O71" s="41">
        <f>[2]Results!$H$73</f>
        <v>0</v>
      </c>
      <c r="P71" s="41">
        <f t="shared" si="32"/>
        <v>0</v>
      </c>
      <c r="R71" s="41">
        <f>Summary!$J$72</f>
        <v>0</v>
      </c>
      <c r="S71" s="41">
        <f>[2]Results!$I$73</f>
        <v>0</v>
      </c>
      <c r="T71" s="41">
        <f t="shared" si="33"/>
        <v>0</v>
      </c>
      <c r="V71" s="41">
        <f>Summary!$L$72</f>
        <v>0</v>
      </c>
      <c r="W71" s="41"/>
      <c r="X71" s="41">
        <f t="shared" si="34"/>
        <v>0</v>
      </c>
    </row>
    <row r="72" spans="1:24">
      <c r="A72" s="61" t="s">
        <v>123</v>
      </c>
      <c r="B72" s="41">
        <f>Summary!$B$73</f>
        <v>-4599793.2770370385</v>
      </c>
      <c r="C72" s="41">
        <f>[2]Results!$C$74</f>
        <v>-4599793.2770370385</v>
      </c>
      <c r="D72" s="41">
        <f t="shared" si="29"/>
        <v>0</v>
      </c>
      <c r="F72" s="41">
        <f>Summary!$D$73</f>
        <v>217013.20626896209</v>
      </c>
      <c r="G72" s="41">
        <f>[2]Results!$D$74</f>
        <v>217013.20626896209</v>
      </c>
      <c r="H72" s="41">
        <f t="shared" si="30"/>
        <v>0</v>
      </c>
      <c r="J72" s="41">
        <f>Summary!$F$73</f>
        <v>-4382780.070768076</v>
      </c>
      <c r="K72" s="41">
        <f>[2]Results!$E$74</f>
        <v>-4382780.070768076</v>
      </c>
      <c r="L72" s="41">
        <f t="shared" si="31"/>
        <v>0</v>
      </c>
      <c r="N72" s="41">
        <f>Summary!$H$73</f>
        <v>0</v>
      </c>
      <c r="O72" s="41">
        <f>[2]Results!$H$74</f>
        <v>0</v>
      </c>
      <c r="P72" s="41">
        <f t="shared" si="32"/>
        <v>0</v>
      </c>
      <c r="R72" s="41">
        <f>Summary!$J$73</f>
        <v>-4382780.070768076</v>
      </c>
      <c r="S72" s="41">
        <f>[2]Results!$I$74</f>
        <v>-4382780.070768076</v>
      </c>
      <c r="T72" s="41">
        <f t="shared" si="33"/>
        <v>0</v>
      </c>
      <c r="V72" s="41">
        <f>Summary!$L$73</f>
        <v>0</v>
      </c>
      <c r="W72" s="41"/>
      <c r="X72" s="41">
        <f t="shared" si="34"/>
        <v>0</v>
      </c>
    </row>
    <row r="73" spans="1:24">
      <c r="A73" s="61" t="s">
        <v>124</v>
      </c>
      <c r="B73" s="41">
        <f>Summary!$B$74</f>
        <v>25236151.190422058</v>
      </c>
      <c r="C73" s="41">
        <f>[2]Results!$C$75</f>
        <v>25236151.190422058</v>
      </c>
      <c r="D73" s="41">
        <f t="shared" si="29"/>
        <v>0</v>
      </c>
      <c r="F73" s="41">
        <f>Summary!$D$74</f>
        <v>-3763889.0132600106</v>
      </c>
      <c r="G73" s="41">
        <f>[2]Results!$D$75</f>
        <v>-3763889.0118707567</v>
      </c>
      <c r="H73" s="41">
        <f t="shared" si="30"/>
        <v>1.3892538845539093E-3</v>
      </c>
      <c r="J73" s="41">
        <f>Summary!$F$74</f>
        <v>21472262.177162047</v>
      </c>
      <c r="K73" s="41">
        <f>[2]Results!$E$75</f>
        <v>21472262.178551301</v>
      </c>
      <c r="L73" s="41">
        <f t="shared" si="31"/>
        <v>1.3892538845539093E-3</v>
      </c>
      <c r="N73" s="41">
        <f>Summary!$H$74</f>
        <v>249010.38111696765</v>
      </c>
      <c r="O73" s="41">
        <f>[2]Results!$H$75</f>
        <v>249010.38451033086</v>
      </c>
      <c r="P73" s="41">
        <f t="shared" si="32"/>
        <v>3.3933632075786591E-3</v>
      </c>
      <c r="R73" s="41">
        <f>Summary!$J$74</f>
        <v>21721272.558279015</v>
      </c>
      <c r="S73" s="41">
        <f>[2]Results!$I$75</f>
        <v>21721272.563061632</v>
      </c>
      <c r="T73" s="41">
        <f t="shared" si="33"/>
        <v>4.7826170921325684E-3</v>
      </c>
      <c r="V73" s="41">
        <f>Summary!$L$74</f>
        <v>0</v>
      </c>
      <c r="W73" s="41"/>
      <c r="X73" s="41">
        <f t="shared" si="34"/>
        <v>0</v>
      </c>
    </row>
    <row r="74" spans="1:24">
      <c r="A74" s="61" t="s">
        <v>125</v>
      </c>
      <c r="B74" s="41">
        <f>Summary!$B$75</f>
        <v>64493174.138834439</v>
      </c>
      <c r="C74" s="41">
        <f>[2]Results!$C$76</f>
        <v>64493174.138834439</v>
      </c>
      <c r="D74" s="41">
        <f t="shared" si="29"/>
        <v>0</v>
      </c>
      <c r="F74" s="41">
        <f>Summary!$D$75</f>
        <v>-2567816.9315885995</v>
      </c>
      <c r="G74" s="41">
        <f>[2]Results!$D$76</f>
        <v>-2567816.9315885995</v>
      </c>
      <c r="H74" s="41">
        <f t="shared" si="30"/>
        <v>0</v>
      </c>
      <c r="J74" s="41">
        <f>Summary!$F$75</f>
        <v>61925357.207245842</v>
      </c>
      <c r="K74" s="41">
        <f>[2]Results!$E$76</f>
        <v>61925357.207245842</v>
      </c>
      <c r="L74" s="41">
        <f t="shared" si="31"/>
        <v>0</v>
      </c>
      <c r="N74" s="41">
        <f>Summary!$H$75</f>
        <v>2050306.5331223093</v>
      </c>
      <c r="O74" s="41">
        <f>[2]Results!$H$76</f>
        <v>2050306.5331223095</v>
      </c>
      <c r="P74" s="41">
        <f t="shared" si="32"/>
        <v>0</v>
      </c>
      <c r="R74" s="41">
        <f>Summary!$J$75</f>
        <v>63975663.74036815</v>
      </c>
      <c r="S74" s="41">
        <f>[2]Results!$I$76</f>
        <v>63975663.74036815</v>
      </c>
      <c r="T74" s="41">
        <f t="shared" si="33"/>
        <v>0</v>
      </c>
      <c r="V74" s="41">
        <f>Summary!$L$75</f>
        <v>0</v>
      </c>
      <c r="W74" s="41"/>
      <c r="X74" s="41">
        <f t="shared" si="34"/>
        <v>0</v>
      </c>
    </row>
    <row r="75" spans="1:24">
      <c r="A75" s="61" t="s">
        <v>126</v>
      </c>
      <c r="B75" s="36">
        <f>Summary!$B$76</f>
        <v>138386468.17417011</v>
      </c>
      <c r="C75" s="36">
        <f>[2]Results!$C$77</f>
        <v>138386468.17417011</v>
      </c>
      <c r="D75" s="36">
        <f t="shared" si="29"/>
        <v>0</v>
      </c>
      <c r="F75" s="36">
        <f>Summary!$D$76</f>
        <v>-1488077.8149393392</v>
      </c>
      <c r="G75" s="36">
        <f>[2]Results!$D$77</f>
        <v>-1488077.8149393392</v>
      </c>
      <c r="H75" s="36">
        <f t="shared" si="30"/>
        <v>0</v>
      </c>
      <c r="J75" s="36">
        <f>Summary!$F$76</f>
        <v>136898390.35923076</v>
      </c>
      <c r="K75" s="36">
        <f>[2]Results!$E$77</f>
        <v>136898390.35923076</v>
      </c>
      <c r="L75" s="36">
        <f t="shared" si="31"/>
        <v>0</v>
      </c>
      <c r="N75" s="36">
        <f>Summary!$H$76</f>
        <v>951489.85858771845</v>
      </c>
      <c r="O75" s="36">
        <f>[2]Results!$H$77</f>
        <v>951489.50999993121</v>
      </c>
      <c r="P75" s="36">
        <f t="shared" si="32"/>
        <v>-0.34858778724446893</v>
      </c>
      <c r="R75" s="36">
        <f>Summary!$J$76</f>
        <v>137849880.21781847</v>
      </c>
      <c r="S75" s="36">
        <f>[2]Results!$I$77</f>
        <v>137849879.86923069</v>
      </c>
      <c r="T75" s="36">
        <f t="shared" si="33"/>
        <v>-0.34858778119087219</v>
      </c>
      <c r="V75" s="36">
        <f>Summary!$L$76</f>
        <v>0</v>
      </c>
      <c r="W75" s="36"/>
      <c r="X75" s="36">
        <f t="shared" si="34"/>
        <v>0</v>
      </c>
    </row>
    <row r="76" spans="1:24">
      <c r="A76" s="61" t="s">
        <v>127</v>
      </c>
      <c r="B76" s="41">
        <f>Summary!$B$77</f>
        <v>-39903372.400949448</v>
      </c>
      <c r="C76" s="41">
        <f>[2]Results!$C$78</f>
        <v>-39903372.400949448</v>
      </c>
      <c r="D76" s="41">
        <f t="shared" si="29"/>
        <v>0</v>
      </c>
      <c r="F76" s="41">
        <f>Summary!$D$77</f>
        <v>375664.0188240069</v>
      </c>
      <c r="G76" s="41">
        <f>[2]Results!$D$78</f>
        <v>375664.01743475255</v>
      </c>
      <c r="H76" s="41">
        <f t="shared" si="30"/>
        <v>-1.3892543502151966E-3</v>
      </c>
      <c r="J76" s="41">
        <f>Summary!$F$77</f>
        <v>-39527708.382125437</v>
      </c>
      <c r="K76" s="41">
        <f>[2]Results!$E$78</f>
        <v>-39527708.383514695</v>
      </c>
      <c r="L76" s="41">
        <f t="shared" si="31"/>
        <v>-1.3892576098442078E-3</v>
      </c>
      <c r="N76" s="41">
        <f>Summary!$H$77</f>
        <v>-24056520.158276893</v>
      </c>
      <c r="O76" s="41">
        <f>[2]Results!$H$78</f>
        <v>-24056519.813056704</v>
      </c>
      <c r="P76" s="41">
        <f t="shared" si="32"/>
        <v>0.34522018954157829</v>
      </c>
      <c r="R76" s="41">
        <f>Summary!$J$77</f>
        <v>-63584228.540402383</v>
      </c>
      <c r="S76" s="41">
        <f>[2]Results!$I$78</f>
        <v>-63584228.196571395</v>
      </c>
      <c r="T76" s="41">
        <f t="shared" si="33"/>
        <v>0.34383098781108856</v>
      </c>
      <c r="V76" s="41">
        <f>Summary!$L$77</f>
        <v>54117392.960332453</v>
      </c>
      <c r="W76" s="41">
        <f>W70</f>
        <v>54117392.624362819</v>
      </c>
      <c r="X76" s="41">
        <f t="shared" si="34"/>
        <v>-0.33596963435411453</v>
      </c>
    </row>
    <row r="77" spans="1:24">
      <c r="A77" s="61"/>
      <c r="B77" s="41"/>
      <c r="C77" s="41"/>
      <c r="D77" s="41"/>
      <c r="F77" s="41"/>
      <c r="G77" s="41"/>
      <c r="H77" s="41"/>
      <c r="J77" s="41"/>
      <c r="K77" s="41"/>
      <c r="L77" s="41"/>
      <c r="N77" s="41"/>
      <c r="O77" s="41"/>
      <c r="P77" s="41"/>
      <c r="R77" s="41"/>
      <c r="S77" s="41"/>
      <c r="T77" s="41"/>
      <c r="V77" s="41"/>
      <c r="W77" s="41"/>
      <c r="X77" s="41"/>
    </row>
    <row r="78" spans="1:24">
      <c r="A78" s="61" t="s">
        <v>128</v>
      </c>
      <c r="B78" s="41">
        <f>Summary!$B$79</f>
        <v>0</v>
      </c>
      <c r="C78" s="41">
        <f>[2]Results!$C$80</f>
        <v>0</v>
      </c>
      <c r="D78" s="41">
        <f t="shared" si="29"/>
        <v>0</v>
      </c>
      <c r="F78" s="41">
        <f>Summary!$D$79</f>
        <v>0</v>
      </c>
      <c r="G78" s="41">
        <f>[2]Results!$D$80</f>
        <v>0</v>
      </c>
      <c r="H78" s="41">
        <f t="shared" ref="H78:H79" si="35">G78-F78</f>
        <v>0</v>
      </c>
      <c r="J78" s="41">
        <f>Summary!$F$79</f>
        <v>0</v>
      </c>
      <c r="K78" s="41">
        <f>[2]Results!$E$80</f>
        <v>0</v>
      </c>
      <c r="L78" s="41">
        <f t="shared" ref="L78:L79" si="36">K78-J78</f>
        <v>0</v>
      </c>
      <c r="N78" s="41">
        <f>Summary!$H$79</f>
        <v>0</v>
      </c>
      <c r="O78" s="41">
        <f>[2]Results!$H$80</f>
        <v>0</v>
      </c>
      <c r="P78" s="41">
        <f t="shared" ref="P78:P79" si="37">O78-N78</f>
        <v>0</v>
      </c>
      <c r="R78" s="41">
        <f>Summary!$J$79</f>
        <v>0</v>
      </c>
      <c r="S78" s="41">
        <f>[2]Results!$I$80</f>
        <v>0</v>
      </c>
      <c r="T78" s="41">
        <f t="shared" ref="T78:T79" si="38">S78-R78</f>
        <v>0</v>
      </c>
      <c r="V78" s="41">
        <f>Summary!$L$79</f>
        <v>0</v>
      </c>
      <c r="W78" s="41"/>
      <c r="X78" s="41">
        <f t="shared" ref="X78:X79" si="39">W78-V78</f>
        <v>0</v>
      </c>
    </row>
    <row r="79" spans="1:24">
      <c r="A79" s="61" t="s">
        <v>129</v>
      </c>
      <c r="B79" s="41">
        <f>Summary!$B$80</f>
        <v>-39903372.400949448</v>
      </c>
      <c r="C79" s="41">
        <f>[2]Results!$C$81</f>
        <v>-39903372.400949448</v>
      </c>
      <c r="D79" s="41">
        <f t="shared" si="29"/>
        <v>0</v>
      </c>
      <c r="F79" s="41">
        <f>Summary!$D$80</f>
        <v>375664.0188240069</v>
      </c>
      <c r="G79" s="41">
        <f>[2]Results!$D$81</f>
        <v>375664.01743475255</v>
      </c>
      <c r="H79" s="41">
        <f t="shared" si="35"/>
        <v>-1.3892543502151966E-3</v>
      </c>
      <c r="J79" s="41">
        <f>Summary!$F$80</f>
        <v>-39527708.382125437</v>
      </c>
      <c r="K79" s="41">
        <f>[2]Results!$E$81</f>
        <v>-39527708.383514695</v>
      </c>
      <c r="L79" s="41">
        <f t="shared" si="36"/>
        <v>-1.3892576098442078E-3</v>
      </c>
      <c r="N79" s="41">
        <f>Summary!$H$80</f>
        <v>-24056520.158276893</v>
      </c>
      <c r="O79" s="41">
        <f>[2]Results!$H$81</f>
        <v>-24056519.813056704</v>
      </c>
      <c r="P79" s="41">
        <f t="shared" si="37"/>
        <v>0.34522018954157829</v>
      </c>
      <c r="R79" s="41">
        <f>Summary!$J$80</f>
        <v>-63584228.540402383</v>
      </c>
      <c r="S79" s="41">
        <f>[2]Results!$I$81</f>
        <v>-63584228.196571395</v>
      </c>
      <c r="T79" s="41">
        <f t="shared" si="38"/>
        <v>0.34383098781108856</v>
      </c>
      <c r="V79" s="41">
        <f>Summary!$L$80</f>
        <v>54117392.960332453</v>
      </c>
      <c r="W79" s="41">
        <f>[2]Results!$H$161</f>
        <v>54117392.624362819</v>
      </c>
      <c r="X79" s="41">
        <f t="shared" si="39"/>
        <v>-0.33596963435411453</v>
      </c>
    </row>
    <row r="80" spans="1:24">
      <c r="A80" s="61"/>
      <c r="B80" s="41"/>
      <c r="C80" s="41"/>
      <c r="D80" s="41"/>
      <c r="F80" s="41"/>
      <c r="G80" s="41"/>
      <c r="H80" s="41"/>
      <c r="J80" s="41"/>
      <c r="K80" s="41"/>
      <c r="L80" s="41"/>
      <c r="N80" s="41"/>
      <c r="O80" s="41"/>
      <c r="P80" s="41"/>
      <c r="R80" s="41"/>
      <c r="S80" s="41"/>
      <c r="T80" s="41"/>
      <c r="V80" s="41"/>
      <c r="W80" s="41"/>
      <c r="X80" s="41"/>
    </row>
    <row r="81" spans="1:24">
      <c r="A81" s="61" t="s">
        <v>202</v>
      </c>
      <c r="B81" s="41">
        <f>Summary!$B$82</f>
        <v>-13966180.340332307</v>
      </c>
      <c r="C81" s="41"/>
      <c r="D81" s="41"/>
      <c r="F81" s="41">
        <f>Summary!$D$82</f>
        <v>131482.4065884024</v>
      </c>
      <c r="G81" s="41"/>
      <c r="H81" s="41"/>
      <c r="J81" s="41">
        <f>Summary!$F$82</f>
        <v>-13834697.933743902</v>
      </c>
      <c r="K81" s="41"/>
      <c r="L81" s="41"/>
      <c r="N81" s="41">
        <f>Summary!$H$82</f>
        <v>-8419782.0553969126</v>
      </c>
      <c r="O81" s="41"/>
      <c r="P81" s="41"/>
      <c r="R81" s="41">
        <f>Summary!$J$82</f>
        <v>-22254479.989140831</v>
      </c>
      <c r="S81" s="41"/>
      <c r="T81" s="41"/>
      <c r="V81" s="41">
        <f>Summary!$L$82</f>
        <v>18941087.536116358</v>
      </c>
      <c r="W81" s="41"/>
      <c r="X81" s="41"/>
    </row>
    <row r="82" spans="1:24">
      <c r="A82" s="61" t="s">
        <v>203</v>
      </c>
      <c r="B82" s="41">
        <f>Summary!$B$83</f>
        <v>0</v>
      </c>
      <c r="C82" s="41"/>
      <c r="D82" s="41"/>
      <c r="F82" s="41">
        <f>Summary!$D$83</f>
        <v>0</v>
      </c>
      <c r="G82" s="41"/>
      <c r="H82" s="41"/>
      <c r="J82" s="41">
        <f>Summary!$F$83</f>
        <v>0</v>
      </c>
      <c r="K82" s="41"/>
      <c r="L82" s="41"/>
      <c r="N82" s="41">
        <f>Summary!$H$83</f>
        <v>-5638736.2665997902</v>
      </c>
      <c r="O82" s="41"/>
      <c r="P82" s="41"/>
      <c r="R82" s="41">
        <f>Summary!$J$83</f>
        <v>-5638736.2665997902</v>
      </c>
      <c r="S82" s="41"/>
      <c r="T82" s="41"/>
      <c r="V82" s="41">
        <f>Summary!$L$83</f>
        <v>0</v>
      </c>
      <c r="W82" s="41"/>
      <c r="X82" s="41"/>
    </row>
    <row r="83" spans="1:24">
      <c r="A83" s="61" t="s">
        <v>204</v>
      </c>
      <c r="B83" s="41">
        <f>Summary!$B$84</f>
        <v>-13966180.340332307</v>
      </c>
      <c r="C83" s="41">
        <f>[2]Results!$C$83</f>
        <v>-13966180.340332296</v>
      </c>
      <c r="D83" s="41">
        <f t="shared" ref="D83" si="40">C83-B83</f>
        <v>0</v>
      </c>
      <c r="F83" s="41">
        <f>Summary!$D$84</f>
        <v>131482.4065884024</v>
      </c>
      <c r="G83" s="41">
        <f>[2]Results!$D$83</f>
        <v>131482.40610216436</v>
      </c>
      <c r="H83" s="41">
        <f t="shared" ref="H83" si="41">G83-F83</f>
        <v>-4.8623804468661547E-4</v>
      </c>
      <c r="J83" s="41">
        <f>Summary!$F$84</f>
        <v>-13834697.933743902</v>
      </c>
      <c r="K83" s="41">
        <f>[2]Results!$E$83</f>
        <v>-13834697.934230132</v>
      </c>
      <c r="L83" s="41">
        <f t="shared" ref="L83" si="42">K83-J83</f>
        <v>-4.8623047769069672E-4</v>
      </c>
      <c r="N83" s="41">
        <f>Summary!$H$84</f>
        <v>-14058518.321996704</v>
      </c>
      <c r="O83" s="41">
        <f>[2]Results!$H$83</f>
        <v>-14058518.201169636</v>
      </c>
      <c r="P83" s="41">
        <f t="shared" ref="P83" si="43">O83-N83</f>
        <v>0.12082706764340401</v>
      </c>
      <c r="R83" s="41">
        <f>Summary!$J$84</f>
        <v>-27893216.25574062</v>
      </c>
      <c r="S83" s="41">
        <f>[2]Results!$I$83</f>
        <v>-27893216.135399766</v>
      </c>
      <c r="T83" s="41">
        <f t="shared" ref="T83" si="44">S83-R83</f>
        <v>0.12034085392951965</v>
      </c>
      <c r="V83" s="41">
        <f>Summary!$L$84</f>
        <v>18941087.536116358</v>
      </c>
      <c r="W83" s="41">
        <f>[2]Results!$H$171</f>
        <v>18941087.418526985</v>
      </c>
      <c r="X83" s="41">
        <f t="shared" ref="X83" si="45">W83-V83</f>
        <v>-0.11758937314152718</v>
      </c>
    </row>
    <row r="84" spans="1:24">
      <c r="A84" s="61"/>
      <c r="B84" s="41"/>
      <c r="C84" s="41"/>
      <c r="D84" s="41"/>
    </row>
    <row r="85" spans="1:24">
      <c r="A85" s="61"/>
      <c r="B85" s="41"/>
      <c r="C85" s="41"/>
      <c r="D85" s="41"/>
    </row>
    <row r="86" spans="1:24">
      <c r="A86" s="61"/>
      <c r="B86" s="41"/>
      <c r="C86" s="41"/>
      <c r="D86" s="41"/>
    </row>
    <row r="87" spans="1:24">
      <c r="A87" s="123"/>
      <c r="B87" s="41"/>
      <c r="C87" s="41"/>
      <c r="D87" s="41"/>
    </row>
    <row r="88" spans="1:24">
      <c r="A88" s="98"/>
      <c r="B88" s="24"/>
      <c r="C88" s="24"/>
      <c r="D88" s="24"/>
    </row>
    <row r="89" spans="1:24">
      <c r="A89" s="98"/>
    </row>
    <row r="90" spans="1:24">
      <c r="A90" s="98"/>
    </row>
    <row r="91" spans="1:24">
      <c r="A91" s="98"/>
    </row>
    <row r="92" spans="1:24">
      <c r="A92" s="98"/>
    </row>
    <row r="93" spans="1:24">
      <c r="A93" s="98"/>
    </row>
    <row r="94" spans="1:24">
      <c r="A94" s="98"/>
    </row>
    <row r="95" spans="1:24">
      <c r="A95" s="98"/>
    </row>
    <row r="96" spans="1:24">
      <c r="A96" s="98"/>
    </row>
    <row r="97" spans="1:1">
      <c r="A97" s="98"/>
    </row>
    <row r="98" spans="1:1">
      <c r="A98" s="98"/>
    </row>
    <row r="99" spans="1:1">
      <c r="A99" s="98"/>
    </row>
    <row r="100" spans="1:1">
      <c r="A100" s="98"/>
    </row>
    <row r="101" spans="1:1">
      <c r="A101" s="98"/>
    </row>
    <row r="102" spans="1:1">
      <c r="A102" s="98"/>
    </row>
    <row r="103" spans="1:1">
      <c r="A103" s="98"/>
    </row>
    <row r="104" spans="1:1">
      <c r="A104" s="98"/>
    </row>
    <row r="105" spans="1:1">
      <c r="A105" s="98"/>
    </row>
    <row r="106" spans="1:1">
      <c r="A106" s="98"/>
    </row>
    <row r="107" spans="1:1">
      <c r="A107" s="98"/>
    </row>
    <row r="108" spans="1:1">
      <c r="A108" s="98"/>
    </row>
    <row r="109" spans="1:1">
      <c r="A109" s="98"/>
    </row>
    <row r="110" spans="1:1">
      <c r="A110" s="98"/>
    </row>
    <row r="111" spans="1:1">
      <c r="A111" s="98"/>
    </row>
    <row r="112" spans="1:1">
      <c r="A112" s="98"/>
    </row>
    <row r="113" spans="1:1">
      <c r="A113" s="98"/>
    </row>
    <row r="114" spans="1:1">
      <c r="A114" s="98"/>
    </row>
    <row r="115" spans="1:1">
      <c r="A115" s="98"/>
    </row>
    <row r="116" spans="1:1">
      <c r="A116" s="98"/>
    </row>
    <row r="117" spans="1:1">
      <c r="A117" s="98"/>
    </row>
    <row r="118" spans="1:1">
      <c r="A118" s="98"/>
    </row>
    <row r="119" spans="1:1">
      <c r="A119" s="98"/>
    </row>
    <row r="120" spans="1:1">
      <c r="A120" s="98"/>
    </row>
    <row r="121" spans="1:1">
      <c r="A121" s="98"/>
    </row>
    <row r="122" spans="1:1">
      <c r="A122" s="98"/>
    </row>
    <row r="123" spans="1:1">
      <c r="A123" s="98"/>
    </row>
    <row r="124" spans="1:1">
      <c r="A124" s="98"/>
    </row>
    <row r="125" spans="1:1">
      <c r="A125" s="98"/>
    </row>
    <row r="126" spans="1:1">
      <c r="A126" s="98"/>
    </row>
    <row r="127" spans="1:1">
      <c r="A127" s="98"/>
    </row>
    <row r="128" spans="1:1">
      <c r="A128" s="98"/>
    </row>
    <row r="129" spans="1:1">
      <c r="A129" s="98"/>
    </row>
    <row r="130" spans="1:1">
      <c r="A130" s="98"/>
    </row>
    <row r="131" spans="1:1">
      <c r="A131" s="98"/>
    </row>
    <row r="132" spans="1:1">
      <c r="A132" s="98"/>
    </row>
    <row r="133" spans="1:1">
      <c r="A133" s="98"/>
    </row>
    <row r="134" spans="1:1">
      <c r="A134" s="98"/>
    </row>
    <row r="135" spans="1:1">
      <c r="A135" s="98"/>
    </row>
    <row r="136" spans="1:1">
      <c r="A136" s="98"/>
    </row>
    <row r="137" spans="1:1">
      <c r="A137" s="98"/>
    </row>
    <row r="138" spans="1:1">
      <c r="A138" s="98"/>
    </row>
    <row r="139" spans="1:1">
      <c r="A139" s="98"/>
    </row>
    <row r="140" spans="1:1">
      <c r="A140" s="98"/>
    </row>
    <row r="141" spans="1:1">
      <c r="A141" s="98"/>
    </row>
    <row r="142" spans="1:1">
      <c r="A142" s="98"/>
    </row>
    <row r="143" spans="1:1">
      <c r="A143" s="98"/>
    </row>
    <row r="144" spans="1:1">
      <c r="A144" s="98"/>
    </row>
  </sheetData>
  <pageMargins left="1.03" right="0.5" top="0.5" bottom="0.5" header="0.5" footer="0.5"/>
  <pageSetup scale="6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6E45178E737B2439E5D7C497507581C" ma:contentTypeVersion="131" ma:contentTypeDescription="" ma:contentTypeScope="" ma:versionID="c7ae4816fe8ea69c70f4b1a0bddb2ce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2010-05-04T07:00:00+00:00</OpenedDate>
    <Date1 xmlns="dc463f71-b30c-4ab2-9473-d307f9d35888">2010-11-30T08:00:00+00:00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100749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C1B48B7C-6442-4AE9-94FC-772DEC1D85AE}"/>
</file>

<file path=customXml/itemProps2.xml><?xml version="1.0" encoding="utf-8"?>
<ds:datastoreItem xmlns:ds="http://schemas.openxmlformats.org/officeDocument/2006/customXml" ds:itemID="{C4D69176-F69A-470F-8BF1-1B158A823CC1}"/>
</file>

<file path=customXml/itemProps3.xml><?xml version="1.0" encoding="utf-8"?>
<ds:datastoreItem xmlns:ds="http://schemas.openxmlformats.org/officeDocument/2006/customXml" ds:itemID="{1C60A3ED-E69E-424B-A70C-9CC772E87DE6}"/>
</file>

<file path=customXml/itemProps4.xml><?xml version="1.0" encoding="utf-8"?>
<ds:datastoreItem xmlns:ds="http://schemas.openxmlformats.org/officeDocument/2006/customXml" ds:itemID="{3E2BC814-40CE-4248-9DFC-B7B3CCADFA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23</vt:i4>
      </vt:variant>
    </vt:vector>
  </HeadingPairs>
  <TitlesOfParts>
    <vt:vector size="30" baseType="lpstr">
      <vt:lpstr>Summary</vt:lpstr>
      <vt:lpstr>Restating Adj</vt:lpstr>
      <vt:lpstr>Pro Forma Adj</vt:lpstr>
      <vt:lpstr>CWC Calc</vt:lpstr>
      <vt:lpstr>Interest Calc</vt:lpstr>
      <vt:lpstr>Variables</vt:lpstr>
      <vt:lpstr>Check Sheet</vt:lpstr>
      <vt:lpstr>Cost_Debt</vt:lpstr>
      <vt:lpstr>Cost_equity</vt:lpstr>
      <vt:lpstr>Cost_pref</vt:lpstr>
      <vt:lpstr>gross_up_factor</vt:lpstr>
      <vt:lpstr>Overall_ROR</vt:lpstr>
      <vt:lpstr>Percent_common</vt:lpstr>
      <vt:lpstr>Percent_debt</vt:lpstr>
      <vt:lpstr>Percent_pref</vt:lpstr>
      <vt:lpstr>'Restating Adj'!Print_Area</vt:lpstr>
      <vt:lpstr>'Pro Forma Adj'!Print_Titles</vt:lpstr>
      <vt:lpstr>'Restating Adj'!Print_Titles</vt:lpstr>
      <vt:lpstr>Restated_Op_revenue</vt:lpstr>
      <vt:lpstr>Restated_rate_base</vt:lpstr>
      <vt:lpstr>Restated_ROE</vt:lpstr>
      <vt:lpstr>Unadj_Op_revenue</vt:lpstr>
      <vt:lpstr>Unadj_rate_base</vt:lpstr>
      <vt:lpstr>Unadj_ROE</vt:lpstr>
      <vt:lpstr>uncollectible_perc</vt:lpstr>
      <vt:lpstr>WA_rev_tax_perc</vt:lpstr>
      <vt:lpstr>Weighted_cost_debt</vt:lpstr>
      <vt:lpstr>Weighted_cost_equity</vt:lpstr>
      <vt:lpstr>Weighted_cost_pref</vt:lpstr>
      <vt:lpstr>WUTC_reg_fee_perc</vt:lpstr>
    </vt:vector>
  </TitlesOfParts>
  <Company>PacifiCorp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SOWMYA SUNDARAM</dc:creator>
  <cp:lastModifiedBy>R. Bryce Dalley</cp:lastModifiedBy>
  <cp:lastPrinted>2010-11-20T03:08:16Z</cp:lastPrinted>
  <dcterms:created xsi:type="dcterms:W3CDTF">2009-02-17T19:17:29Z</dcterms:created>
  <dcterms:modified xsi:type="dcterms:W3CDTF">2010-11-23T18:55:31Z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0x0101006E56B4D1795A2E4DB2F0B01679ED314A0096E45178E737B2439E5D7C497507581C</vt:lpwstr>
  </property>
  <property fmtid="{D5CDD505-2E9C-101B-9397-08002B2CF9AE}" pid="3" name="_docset_NoMedatataSyncRequired">
    <vt:lpwstr>False</vt:lpwstr>
  </property>
</Properties>
</file>