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NPC\PCAM\WA\WA UE-xxxxxx (Cal Year 2022)\Testimony &amp; Exhibits\"/>
    </mc:Choice>
  </mc:AlternateContent>
  <xr:revisionPtr revIDLastSave="0" documentId="8_{60C855B9-764B-4154-8B3D-11803C995E9F}" xr6:coauthVersionLast="47" xr6:coauthVersionMax="47" xr10:uidLastSave="{00000000-0000-0000-0000-000000000000}"/>
  <bookViews>
    <workbookView xWindow="-120" yWindow="-120" windowWidth="29040" windowHeight="15840" firstSheet="1" activeTab="1" xr2:uid="{A9CF4EC1-972A-4A2D-B28D-739F93656A89}"/>
  </bookViews>
  <sheets>
    <sheet name="Summary" sheetId="1" r:id="rId1"/>
    <sheet name="Exhibit JP-2 PCAM Calcul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Cost">#REF!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 localSheetId="1">'Exhibit JP-2 PCAM Calculation'!$A$1:$P$45</definedName>
    <definedName name="_xlnm.Print_Area">#REF!</definedName>
    <definedName name="PSATable">[25]Hermiston!$A$32:$E$57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[26]Transm2!$A$1:$M$461:'[26]10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[27]Inputs!#REF!</definedName>
    <definedName name="WinterPeak">'[28]Load Data'!$D$9:$H$12,'[28]Load Data'!$D$20:$H$22</definedName>
    <definedName name="Workforce_Data">OFFSET([29]Workforce!$A$1,0,0,COUNTA([29]Workforce!$A$1:$A$65536),COUNTA([29]Workforce!$A$1:$IV$1))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'[30]DSM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localSheetId="0" hidden="1">'[30]DSM Output'!$G$21:$G$23</definedName>
    <definedName name="z" hidden="1">'[4]DSM Output'!$G$21:$G$23</definedName>
    <definedName name="Z_01844156_6462_4A28_9785_1A86F4D0C834_.wvu.PrintTitles" hidden="1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2" l="1"/>
  <c r="N36" i="2"/>
  <c r="L36" i="2"/>
  <c r="K36" i="2"/>
  <c r="I36" i="2"/>
  <c r="H36" i="2"/>
  <c r="G36" i="2"/>
  <c r="F36" i="2"/>
  <c r="E36" i="2"/>
  <c r="P18" i="2"/>
  <c r="C5" i="1" s="1"/>
  <c r="A18" i="2"/>
  <c r="C9" i="1"/>
  <c r="C14" i="2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H9" i="2"/>
  <c r="J14" i="2" s="1"/>
  <c r="J16" i="2" s="1"/>
  <c r="C9" i="2"/>
  <c r="D9" i="2"/>
  <c r="H20" i="2" l="1"/>
  <c r="J20" i="2"/>
  <c r="F14" i="2"/>
  <c r="F16" i="2" s="1"/>
  <c r="F20" i="2" s="1"/>
  <c r="G14" i="2"/>
  <c r="G16" i="2" s="1"/>
  <c r="G20" i="2" s="1"/>
  <c r="D11" i="2"/>
  <c r="D14" i="2"/>
  <c r="D16" i="2" s="1"/>
  <c r="E14" i="2"/>
  <c r="E16" i="2" s="1"/>
  <c r="E20" i="2" s="1"/>
  <c r="C6" i="1"/>
  <c r="C7" i="1" s="1"/>
  <c r="K14" i="2"/>
  <c r="K16" i="2" s="1"/>
  <c r="K20" i="2" s="1"/>
  <c r="L14" i="2"/>
  <c r="L16" i="2" s="1"/>
  <c r="L20" i="2" s="1"/>
  <c r="M14" i="2"/>
  <c r="M16" i="2" s="1"/>
  <c r="M20" i="2" s="1"/>
  <c r="N14" i="2"/>
  <c r="N16" i="2" s="1"/>
  <c r="N20" i="2" s="1"/>
  <c r="O14" i="2"/>
  <c r="O16" i="2" s="1"/>
  <c r="O20" i="2" s="1"/>
  <c r="A21" i="2"/>
  <c r="I14" i="2"/>
  <c r="I16" i="2" s="1"/>
  <c r="I20" i="2" s="1"/>
  <c r="A20" i="2"/>
  <c r="H14" i="2"/>
  <c r="H16" i="2" s="1"/>
  <c r="C20" i="2"/>
  <c r="E21" i="2" l="1"/>
  <c r="P16" i="2"/>
  <c r="D20" i="2"/>
  <c r="D21" i="2" s="1"/>
  <c r="C21" i="2"/>
  <c r="A24" i="2"/>
  <c r="G39" i="2"/>
  <c r="F39" i="2"/>
  <c r="E39" i="2"/>
  <c r="D39" i="2"/>
  <c r="C17" i="1" s="1"/>
  <c r="F21" i="2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I26" i="2" l="1"/>
  <c r="O26" i="2"/>
  <c r="H26" i="2"/>
  <c r="G26" i="2"/>
  <c r="N26" i="2"/>
  <c r="F26" i="2"/>
  <c r="M26" i="2"/>
  <c r="E26" i="2"/>
  <c r="L26" i="2"/>
  <c r="D26" i="2"/>
  <c r="K26" i="2"/>
  <c r="C11" i="1"/>
  <c r="J26" i="2"/>
  <c r="A25" i="2"/>
  <c r="A26" i="2" s="1"/>
  <c r="A29" i="2" l="1"/>
  <c r="A30" i="2"/>
  <c r="I31" i="2"/>
  <c r="I32" i="2"/>
  <c r="I25" i="2"/>
  <c r="E30" i="2"/>
  <c r="E25" i="2"/>
  <c r="E29" i="2" s="1"/>
  <c r="E33" i="2" s="1"/>
  <c r="E38" i="2" s="1"/>
  <c r="E40" i="2" s="1"/>
  <c r="E31" i="2"/>
  <c r="E32" i="2"/>
  <c r="M25" i="2"/>
  <c r="M31" i="2"/>
  <c r="M32" i="2"/>
  <c r="L32" i="2"/>
  <c r="L25" i="2"/>
  <c r="L31" i="2"/>
  <c r="F30" i="2"/>
  <c r="F25" i="2"/>
  <c r="F31" i="2"/>
  <c r="F29" i="2"/>
  <c r="F32" i="2"/>
  <c r="N25" i="2"/>
  <c r="N31" i="2"/>
  <c r="N32" i="2"/>
  <c r="G31" i="2"/>
  <c r="G32" i="2"/>
  <c r="G25" i="2"/>
  <c r="J32" i="2"/>
  <c r="J25" i="2"/>
  <c r="J31" i="2"/>
  <c r="K32" i="2"/>
  <c r="K25" i="2"/>
  <c r="K31" i="2"/>
  <c r="H31" i="2"/>
  <c r="H32" i="2"/>
  <c r="H25" i="2"/>
  <c r="D32" i="2"/>
  <c r="D30" i="2"/>
  <c r="D25" i="2"/>
  <c r="D31" i="2"/>
  <c r="D29" i="2"/>
  <c r="D33" i="2" s="1"/>
  <c r="P26" i="2"/>
  <c r="C14" i="1" s="1"/>
  <c r="O31" i="2"/>
  <c r="O32" i="2"/>
  <c r="O25" i="2"/>
  <c r="G30" i="2" l="1"/>
  <c r="A31" i="2"/>
  <c r="G29" i="2"/>
  <c r="F33" i="2"/>
  <c r="F38" i="2" s="1"/>
  <c r="F40" i="2" s="1"/>
  <c r="D38" i="2"/>
  <c r="D40" i="2" s="1"/>
  <c r="H29" i="2"/>
  <c r="H30" i="2" l="1"/>
  <c r="H33" i="2" s="1"/>
  <c r="H38" i="2" s="1"/>
  <c r="H40" i="2" s="1"/>
  <c r="D42" i="2"/>
  <c r="D44" i="2"/>
  <c r="G33" i="2"/>
  <c r="A32" i="2"/>
  <c r="I29" i="2"/>
  <c r="J29" i="2" l="1"/>
  <c r="I30" i="2"/>
  <c r="I33" i="2" s="1"/>
  <c r="G38" i="2"/>
  <c r="G40" i="2" s="1"/>
  <c r="D45" i="2"/>
  <c r="E37" i="2" s="1"/>
  <c r="A33" i="2"/>
  <c r="K29" i="2"/>
  <c r="I38" i="2" l="1"/>
  <c r="I40" i="2" s="1"/>
  <c r="A36" i="2"/>
  <c r="A37" i="2" s="1"/>
  <c r="K30" i="2"/>
  <c r="K33" i="2" s="1"/>
  <c r="K38" i="2" s="1"/>
  <c r="K40" i="2" s="1"/>
  <c r="J30" i="2"/>
  <c r="J33" i="2" s="1"/>
  <c r="L29" i="2"/>
  <c r="E42" i="2"/>
  <c r="E44" i="2"/>
  <c r="J38" i="2" l="1"/>
  <c r="J40" i="2" s="1"/>
  <c r="L30" i="2"/>
  <c r="L33" i="2" s="1"/>
  <c r="M29" i="2"/>
  <c r="C44" i="2"/>
  <c r="A38" i="2"/>
  <c r="A44" i="2" s="1"/>
  <c r="A45" i="2" s="1"/>
  <c r="E45" i="2"/>
  <c r="F37" i="2" s="1"/>
  <c r="L38" i="2" l="1"/>
  <c r="L40" i="2" s="1"/>
  <c r="C47" i="2"/>
  <c r="A47" i="2"/>
  <c r="A48" i="2" s="1"/>
  <c r="A49" i="2" s="1"/>
  <c r="A51" i="2" s="1"/>
  <c r="F42" i="2"/>
  <c r="F45" i="2" s="1"/>
  <c r="G37" i="2" s="1"/>
  <c r="F44" i="2"/>
  <c r="M30" i="2"/>
  <c r="M33" i="2" s="1"/>
  <c r="M38" i="2" s="1"/>
  <c r="M40" i="2" s="1"/>
  <c r="N29" i="2"/>
  <c r="C48" i="2" l="1"/>
  <c r="C49" i="2"/>
  <c r="G42" i="2"/>
  <c r="G44" i="2"/>
  <c r="N30" i="2"/>
  <c r="N33" i="2" s="1"/>
  <c r="N38" i="2" s="1"/>
  <c r="N40" i="2" s="1"/>
  <c r="O29" i="2"/>
  <c r="C51" i="2"/>
  <c r="O30" i="2" l="1"/>
  <c r="O33" i="2" s="1"/>
  <c r="G45" i="2"/>
  <c r="H37" i="2" s="1"/>
  <c r="O38" i="2" l="1"/>
  <c r="O40" i="2" s="1"/>
  <c r="P33" i="2"/>
  <c r="C16" i="1" s="1"/>
  <c r="H42" i="2"/>
  <c r="H44" i="2"/>
  <c r="H45" i="2" l="1"/>
  <c r="I37" i="2" s="1"/>
  <c r="I42" i="2" l="1"/>
  <c r="I44" i="2"/>
  <c r="I45" i="2" l="1"/>
  <c r="J37" i="2" s="1"/>
  <c r="J42" i="2" l="1"/>
  <c r="J44" i="2"/>
  <c r="J45" i="2" l="1"/>
  <c r="K37" i="2" s="1"/>
  <c r="K42" i="2" l="1"/>
  <c r="K44" i="2"/>
  <c r="K45" i="2" l="1"/>
  <c r="L37" i="2" s="1"/>
  <c r="L42" i="2" l="1"/>
  <c r="L44" i="2"/>
  <c r="L45" i="2" l="1"/>
  <c r="M37" i="2" s="1"/>
  <c r="M42" i="2" l="1"/>
  <c r="M44" i="2"/>
  <c r="M45" i="2" l="1"/>
  <c r="N37" i="2" s="1"/>
  <c r="N42" i="2" l="1"/>
  <c r="N44" i="2"/>
  <c r="N45" i="2" l="1"/>
  <c r="O37" i="2" s="1"/>
  <c r="O42" i="2" l="1"/>
  <c r="O44" i="2"/>
  <c r="C18" i="1" s="1"/>
  <c r="O45" i="2" l="1"/>
  <c r="P45" i="2" s="1"/>
  <c r="P47" i="2" l="1"/>
  <c r="C20" i="1" s="1"/>
  <c r="P48" i="2" l="1"/>
  <c r="C21" i="1" s="1"/>
  <c r="P49" i="2"/>
  <c r="C22" i="1" s="1"/>
  <c r="C24" i="1"/>
  <c r="C29" i="1" s="1"/>
  <c r="P51" i="2"/>
</calcChain>
</file>

<file path=xl/sharedStrings.xml><?xml version="1.0" encoding="utf-8"?>
<sst xmlns="http://schemas.openxmlformats.org/spreadsheetml/2006/main" count="85" uniqueCount="78">
  <si>
    <t>Calendar Year 2022 PCAM Deferral</t>
  </si>
  <si>
    <t>Actual PCAM Costs ($/MWh)</t>
  </si>
  <si>
    <t>Base PCAM Costs ($/MWh)</t>
  </si>
  <si>
    <t>PCAM Cost Differential ($/MWh)</t>
  </si>
  <si>
    <t>Washington Sales (MWh)</t>
  </si>
  <si>
    <t>Total PCAM Differential*</t>
  </si>
  <si>
    <t>Total Deferrable ABOVE Deadband</t>
  </si>
  <si>
    <t>Total Deferrable BELOW Deadband</t>
  </si>
  <si>
    <t>Washington Deferral after Sharing</t>
  </si>
  <si>
    <t>DNBA Adjustment</t>
  </si>
  <si>
    <t>Interest Accrued through December 31, 2022</t>
  </si>
  <si>
    <t>Interest Accrued January 1, 2023 through March 31, 2023</t>
  </si>
  <si>
    <t>Interest Accrued April 1, 2023 through June 30, 2023</t>
  </si>
  <si>
    <t>Interest Accrued July 1, 2023 through December 31, 2023</t>
  </si>
  <si>
    <t>Requested PCAM Recovery</t>
  </si>
  <si>
    <t>* Calculated monthly</t>
  </si>
  <si>
    <t>Washington Power Cost Adjustment Mechanism</t>
  </si>
  <si>
    <t>Deferral Period: January 1, 2022 - December 31, 2022</t>
  </si>
  <si>
    <t>Exhibit No. JP-2: Power Cost Adjustment Mechanism Calculation</t>
  </si>
  <si>
    <t>Line No.</t>
  </si>
  <si>
    <t>Base NPC in Rates:</t>
  </si>
  <si>
    <t>UE-191024</t>
  </si>
  <si>
    <t>UE-210402</t>
  </si>
  <si>
    <t>Total Annual NPC in Rates</t>
  </si>
  <si>
    <t>(4.1)</t>
  </si>
  <si>
    <t>Retail Sales @ Meter in Rates</t>
  </si>
  <si>
    <t>(7.1)</t>
  </si>
  <si>
    <t>NPC $/MWh - Final NPC October Update</t>
  </si>
  <si>
    <t>NPC $/MWh In Rates</t>
  </si>
  <si>
    <t>3a</t>
  </si>
  <si>
    <t>NPC $/MWh - Settlement NPC in Rates</t>
  </si>
  <si>
    <t>Settlement / Line 2</t>
  </si>
  <si>
    <t>3b</t>
  </si>
  <si>
    <t>Difference Between Final NPC and Settlement NPC</t>
  </si>
  <si>
    <t>Line 3 - Line 3a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</si>
  <si>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</si>
  <si>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</si>
  <si>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</si>
  <si>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</si>
  <si>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</si>
  <si>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</si>
  <si>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</si>
  <si>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(3.1)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</si>
  <si>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</si>
  <si>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</si>
  <si>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</si>
  <si>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</si>
  <si>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</si>
  <si>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</si>
  <si>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</si>
  <si>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</si>
  <si>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</si>
  <si>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</si>
  <si>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</si>
  <si>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</si>
  <si>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</si>
  <si>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</si>
  <si>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</si>
  <si>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</si>
  <si>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</si>
  <si>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</si>
  <si>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</si>
  <si>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</si>
  <si>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</si>
  <si>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</si>
  <si>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Line 17</t>
  </si>
  <si>
    <t>20a</t>
  </si>
  <si>
    <t>Line 3b x Line 5</t>
  </si>
  <si>
    <t>20b</t>
  </si>
  <si>
    <t>Total Adjustment</t>
  </si>
  <si>
    <t>Line 20 + Line 20a</t>
  </si>
  <si>
    <t>20c</t>
  </si>
  <si>
    <t>Incremental Deferral After Sharing and DNBA Adjustment</t>
  </si>
  <si>
    <t>Line 19 + Line 20b</t>
  </si>
  <si>
    <t>Carrying Charge</t>
  </si>
  <si>
    <t>Ending PCAM Balance</t>
  </si>
  <si>
    <t>Line 20c + Line 21</t>
  </si>
  <si>
    <t>Total PCAM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</si>
</sst>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* \(#,##0.00\);_(&quot;$&quot;* &quot;-&quot;??_);_(@_)"/>
    <numFmt numFmtId="165" formatCode="_(* #,##0_);_(* \(#,##0\);_(* &quot;-&quot;??_);_(@_)"/>
    <numFmt numFmtId="166" formatCode="_(&quot;$&quot;\ #,##0_);_(&quot;$&quot;* \(#,##0\);_(&quot;$&quot;* &quot;-&quot;_);_(@_)"/>
    <numFmt numFmtId="167" formatCode="[$-409]mmm\-yy;@"/>
    <numFmt numFmtId="168" formatCode="_(&quot;$&quot;* #,##0_);_(&quot;$&quot;* \(#,##0\);_(&quot;$&quot;* &quot;-&quot;??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1" fillId="2" borderId="1" xfId="4" applyFill="1" applyBorder="1"/>
    <xf numFmtId="0" fontId="1" fillId="2" borderId="2" xfId="4" applyFill="1" applyBorder="1"/>
    <xf numFmtId="0" fontId="1" fillId="2" borderId="3" xfId="4" applyFill="1" applyBorder="1"/>
    <xf numFmtId="0" fontId="1" fillId="0" borderId="0" xfId="4"/>
    <xf numFmtId="0" fontId="2" fillId="2" borderId="4" xfId="4" applyFont="1" applyFill="1" applyBorder="1"/>
    <xf numFmtId="0" fontId="1" fillId="2" borderId="0" xfId="4" applyFill="1"/>
    <xf numFmtId="0" fontId="1" fillId="2" borderId="5" xfId="4" applyFill="1" applyBorder="1"/>
    <xf numFmtId="0" fontId="1" fillId="2" borderId="4" xfId="4" applyFill="1" applyBorder="1"/>
    <xf numFmtId="0" fontId="0" fillId="2" borderId="4" xfId="0" applyFill="1" applyBorder="1" applyAlignment="1">
      <alignment horizontal="left" indent="1"/>
    </xf>
    <xf numFmtId="44" fontId="1" fillId="2" borderId="0" xfId="5" applyFont="1" applyFill="1" applyBorder="1" applyAlignment="1">
      <alignment horizontal="right" vertical="center"/>
    </xf>
    <xf numFmtId="43" fontId="1" fillId="2" borderId="6" xfId="5" applyNumberFormat="1" applyFont="1" applyFill="1" applyBorder="1" applyAlignment="1">
      <alignment horizontal="right" vertical="center"/>
    </xf>
    <xf numFmtId="43" fontId="1" fillId="2" borderId="0" xfId="5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/>
    <xf numFmtId="0" fontId="1" fillId="2" borderId="4" xfId="4" applyFill="1" applyBorder="1" applyAlignment="1">
      <alignment horizontal="left" indent="1"/>
    </xf>
    <xf numFmtId="166" fontId="1" fillId="2" borderId="0" xfId="4" applyNumberFormat="1" applyFill="1"/>
    <xf numFmtId="41" fontId="1" fillId="2" borderId="0" xfId="4" applyNumberFormat="1" applyFill="1"/>
    <xf numFmtId="41" fontId="1" fillId="2" borderId="0" xfId="1" applyNumberFormat="1" applyFont="1" applyFill="1" applyBorder="1"/>
    <xf numFmtId="0" fontId="4" fillId="2" borderId="4" xfId="4" applyFont="1" applyFill="1" applyBorder="1" applyAlignment="1">
      <alignment horizontal="left" indent="1"/>
    </xf>
    <xf numFmtId="41" fontId="4" fillId="2" borderId="0" xfId="4" applyNumberFormat="1" applyFont="1" applyFill="1"/>
    <xf numFmtId="166" fontId="4" fillId="2" borderId="7" xfId="4" applyNumberFormat="1" applyFont="1" applyFill="1" applyBorder="1"/>
    <xf numFmtId="0" fontId="4" fillId="2" borderId="4" xfId="4" applyFont="1" applyFill="1" applyBorder="1"/>
    <xf numFmtId="166" fontId="4" fillId="2" borderId="0" xfId="4" applyNumberFormat="1" applyFont="1" applyFill="1"/>
    <xf numFmtId="0" fontId="5" fillId="2" borderId="4" xfId="4" applyFont="1" applyFill="1" applyBorder="1"/>
    <xf numFmtId="0" fontId="1" fillId="2" borderId="8" xfId="4" applyFill="1" applyBorder="1"/>
    <xf numFmtId="0" fontId="1" fillId="2" borderId="6" xfId="4" applyFill="1" applyBorder="1"/>
    <xf numFmtId="0" fontId="1" fillId="2" borderId="9" xfId="4" applyFill="1" applyBorder="1"/>
    <xf numFmtId="165" fontId="0" fillId="0" borderId="0" xfId="1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8" fontId="0" fillId="0" borderId="0" xfId="2" applyNumberFormat="1" applyFont="1"/>
    <xf numFmtId="0" fontId="1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0" fillId="0" borderId="6" xfId="1" applyNumberFormat="1" applyFont="1" applyBorder="1"/>
    <xf numFmtId="44" fontId="1" fillId="0" borderId="2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44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0" fillId="0" borderId="0" xfId="6" applyFont="1" applyFill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1" fontId="1" fillId="0" borderId="0" xfId="6" applyNumberFormat="1" applyFont="1" applyFill="1" applyAlignment="1">
      <alignment horizontal="right" vertical="center"/>
    </xf>
    <xf numFmtId="41" fontId="0" fillId="0" borderId="2" xfId="0" applyNumberForma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left" vertical="center" wrapText="1"/>
    </xf>
    <xf numFmtId="41" fontId="3" fillId="0" borderId="2" xfId="6" applyNumberFormat="1" applyFont="1" applyFill="1" applyBorder="1" applyAlignment="1">
      <alignment horizontal="center" vertical="center"/>
    </xf>
    <xf numFmtId="41" fontId="3" fillId="0" borderId="0" xfId="6" applyNumberFormat="1" applyFont="1" applyFill="1" applyBorder="1" applyAlignment="1">
      <alignment horizontal="center" vertical="center"/>
    </xf>
    <xf numFmtId="41" fontId="6" fillId="0" borderId="0" xfId="0" applyNumberFormat="1" applyFont="1"/>
    <xf numFmtId="0" fontId="1" fillId="0" borderId="0" xfId="0" applyFont="1" applyAlignment="1">
      <alignment horizontal="center" vertical="center" wrapText="1"/>
    </xf>
    <xf numFmtId="168" fontId="1" fillId="0" borderId="2" xfId="6" applyNumberFormat="1" applyFont="1" applyFill="1" applyBorder="1" applyAlignment="1">
      <alignment horizontal="right" vertical="center"/>
    </xf>
    <xf numFmtId="168" fontId="0" fillId="0" borderId="2" xfId="0" applyNumberFormat="1" applyBorder="1" applyAlignment="1">
      <alignment vertical="center"/>
    </xf>
    <xf numFmtId="168" fontId="1" fillId="0" borderId="0" xfId="6" applyNumberFormat="1" applyFont="1" applyFill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0" xfId="0" applyNumberForma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1" fontId="1" fillId="0" borderId="0" xfId="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 vertical="center"/>
    </xf>
    <xf numFmtId="9" fontId="0" fillId="0" borderId="0" xfId="3" applyFont="1"/>
    <xf numFmtId="165" fontId="1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6" fillId="0" borderId="0" xfId="0" applyFont="1" applyAlignment="1">
      <alignment wrapText="1"/>
    </xf>
    <xf numFmtId="168" fontId="1" fillId="0" borderId="0" xfId="6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0" fontId="0" fillId="0" borderId="0" xfId="3" applyNumberFormat="1" applyFont="1" applyFill="1"/>
    <xf numFmtId="168" fontId="0" fillId="0" borderId="0" xfId="2" applyNumberFormat="1" applyFont="1" applyFill="1" applyAlignment="1">
      <alignment horizont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68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1" fillId="0" borderId="0" xfId="0" applyNumberFormat="1" applyFont="1" applyAlignment="1">
      <alignment horizontal="right" vertical="center"/>
    </xf>
    <xf numFmtId="168" fontId="6" fillId="0" borderId="7" xfId="0" applyNumberFormat="1" applyFont="1" applyBorder="1"/>
    <xf numFmtId="4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7">
    <cellStyle name="Comma" xfId="1" builtinId="3"/>
    <cellStyle name="Currency" xfId="2" builtinId="4"/>
    <cellStyle name="Currency 10" xfId="5" xr:uid="{EB8988D8-31DF-4671-AA4A-15418CB121BD}"/>
    <cellStyle name="Currency 2 2" xfId="6" xr:uid="{B48676D4-9DDB-4843-8A0E-1DBEC6331F69}"/>
    <cellStyle name="Normal" xfId="0" builtinId="0"/>
    <cellStyle name="Normal 10 2 2" xfId="4" xr:uid="{8491E99A-9391-462B-8AD9-D44266DD6BF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4BAB-5194-4E7A-AF5D-CA1EE9417E57}">
  <dimension ref="B2:D29"/>
  <sheetViews>
    <sheetView zoomScaleNormal="100" workbookViewId="0"/>
  </sheetViews>
  <sheetFormatPr defaultRowHeight="12.75"/>
  <cols>
    <col min="1" max="1" width="9.140625" style="4"/>
    <col min="2" max="2" width="51.7109375" style="4" bestFit="1" customWidth="1"/>
    <col min="3" max="3" width="20.7109375" style="4" customWidth="1"/>
    <col min="4" max="4" width="1.85546875" style="4" customWidth="1"/>
    <col min="5" max="16384" width="9.140625" style="4"/>
  </cols>
  <sheetData>
    <row r="2" spans="2:4">
      <c r="B2" s="1"/>
      <c r="C2" s="2"/>
      <c r="D2" s="3"/>
    </row>
    <row r="3" spans="2:4">
      <c r="B3" s="5" t="s">
        <v>0</v>
      </c>
      <c r="C3" s="6"/>
      <c r="D3" s="7"/>
    </row>
    <row r="4" spans="2:4">
      <c r="B4" s="8"/>
      <c r="C4" s="6"/>
      <c r="D4" s="7"/>
    </row>
    <row r="5" spans="2:4">
      <c r="B5" s="9" t="s">
        <v>1</v>
      </c>
      <c r="C5" s="10">
        <f>'Exhibit JP-2 PCAM Calculation'!P18/SUM('Exhibit JP-2 PCAM Calculation'!D15:O15)</f>
        <v>50.810383405074909</v>
      </c>
      <c r="D5" s="7"/>
    </row>
    <row r="6" spans="2:4">
      <c r="B6" s="9" t="s">
        <v>2</v>
      </c>
      <c r="C6" s="11">
        <f>('Exhibit JP-2 PCAM Calculation'!D9*(4/12))+('Exhibit JP-2 PCAM Calculation'!H9*(8/12))</f>
        <v>33.475890569777924</v>
      </c>
      <c r="D6" s="7"/>
    </row>
    <row r="7" spans="2:4">
      <c r="B7" s="9" t="s">
        <v>3</v>
      </c>
      <c r="C7" s="12">
        <f>+C5-C6</f>
        <v>17.334492835296984</v>
      </c>
      <c r="D7" s="7"/>
    </row>
    <row r="8" spans="2:4">
      <c r="B8" s="9"/>
      <c r="C8" s="13"/>
      <c r="D8" s="7"/>
    </row>
    <row r="9" spans="2:4">
      <c r="B9" s="9" t="s">
        <v>4</v>
      </c>
      <c r="C9" s="14">
        <f>SUM('Exhibit JP-2 PCAM Calculation'!D15:O15)</f>
        <v>4181079.2789999992</v>
      </c>
      <c r="D9" s="7"/>
    </row>
    <row r="10" spans="2:4">
      <c r="B10" s="15"/>
      <c r="C10" s="16"/>
      <c r="D10" s="7"/>
    </row>
    <row r="11" spans="2:4">
      <c r="B11" s="15" t="s">
        <v>5</v>
      </c>
      <c r="C11" s="16">
        <f>'Exhibit JP-2 PCAM Calculation'!P21</f>
        <v>72671800.687930256</v>
      </c>
      <c r="D11" s="7"/>
    </row>
    <row r="12" spans="2:4">
      <c r="B12" s="15"/>
      <c r="C12" s="16"/>
      <c r="D12" s="7"/>
    </row>
    <row r="13" spans="2:4">
      <c r="B13" s="9" t="s">
        <v>6</v>
      </c>
      <c r="C13" s="17">
        <v>0</v>
      </c>
      <c r="D13" s="7"/>
    </row>
    <row r="14" spans="2:4">
      <c r="B14" s="9" t="s">
        <v>7</v>
      </c>
      <c r="C14" s="18">
        <f>'Exhibit JP-2 PCAM Calculation'!P26</f>
        <v>68671800.687930256</v>
      </c>
      <c r="D14" s="7"/>
    </row>
    <row r="15" spans="2:4">
      <c r="B15" s="19"/>
      <c r="C15" s="20"/>
      <c r="D15" s="7"/>
    </row>
    <row r="16" spans="2:4">
      <c r="B16" s="15" t="s">
        <v>8</v>
      </c>
      <c r="C16" s="17">
        <f>'Exhibit JP-2 PCAM Calculation'!P33</f>
        <v>59404620.619137242</v>
      </c>
      <c r="D16" s="7"/>
    </row>
    <row r="17" spans="2:4">
      <c r="B17" s="15" t="s">
        <v>9</v>
      </c>
      <c r="C17" s="17">
        <f>SUM('Exhibit JP-2 PCAM Calculation'!D39:O39)</f>
        <v>6235305.4448600169</v>
      </c>
      <c r="D17" s="7"/>
    </row>
    <row r="18" spans="2:4">
      <c r="B18" s="15" t="s">
        <v>10</v>
      </c>
      <c r="C18" s="17">
        <f>SUM('Exhibit JP-2 PCAM Calculation'!D44:O44)</f>
        <v>703703.97514470248</v>
      </c>
      <c r="D18" s="7"/>
    </row>
    <row r="19" spans="2:4">
      <c r="B19" s="15"/>
      <c r="C19" s="17"/>
      <c r="D19" s="7"/>
    </row>
    <row r="20" spans="2:4">
      <c r="B20" s="15" t="s">
        <v>11</v>
      </c>
      <c r="C20" s="17">
        <f>'Exhibit JP-2 PCAM Calculation'!P47</f>
        <v>1052083.6277189106</v>
      </c>
      <c r="D20" s="7"/>
    </row>
    <row r="21" spans="2:4">
      <c r="B21" s="15" t="s">
        <v>12</v>
      </c>
      <c r="C21" s="17">
        <f>'Exhibit JP-2 PCAM Calculation'!P48</f>
        <v>1271584.0204806477</v>
      </c>
      <c r="D21" s="7"/>
    </row>
    <row r="22" spans="2:4">
      <c r="B22" s="15" t="s">
        <v>13</v>
      </c>
      <c r="C22" s="17">
        <f>'Exhibit JP-2 PCAM Calculation'!P49</f>
        <v>2799978.0501709878</v>
      </c>
      <c r="D22" s="7"/>
    </row>
    <row r="23" spans="2:4">
      <c r="B23" s="15"/>
      <c r="C23" s="6"/>
      <c r="D23" s="7"/>
    </row>
    <row r="24" spans="2:4" ht="13.5" thickBot="1">
      <c r="B24" s="19" t="s">
        <v>14</v>
      </c>
      <c r="C24" s="21">
        <f>C16+C17+C18+C20+C21+C22</f>
        <v>71467275.737512514</v>
      </c>
      <c r="D24" s="7"/>
    </row>
    <row r="25" spans="2:4" ht="13.5" thickTop="1">
      <c r="B25" s="22"/>
      <c r="C25" s="23"/>
      <c r="D25" s="7"/>
    </row>
    <row r="26" spans="2:4">
      <c r="B26" s="24" t="s">
        <v>15</v>
      </c>
      <c r="C26" s="6"/>
      <c r="D26" s="7"/>
    </row>
    <row r="27" spans="2:4">
      <c r="B27" s="25"/>
      <c r="C27" s="26"/>
      <c r="D27" s="27"/>
    </row>
    <row r="29" spans="2:4">
      <c r="C29" s="28">
        <f>C24-(SUM('Exhibit JP-2 PCAM Calculation'!D38:O39)+SUM('Exhibit JP-2 PCAM Calculation'!D44:O44)+'Exhibit JP-2 PCAM Calculation'!P47+'Exhibit JP-2 PCAM Calculation'!P48+'Exhibit JP-2 PCAM Calculation'!P49)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FF2F-B380-41C3-84D2-65FD56E3BD15}">
  <sheetPr>
    <pageSetUpPr fitToPage="1"/>
  </sheetPr>
  <dimension ref="A1:X55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2.75"/>
  <cols>
    <col min="1" max="1" width="5.5703125" customWidth="1"/>
    <col min="2" max="2" width="51.42578125" bestFit="1" customWidth="1"/>
    <col min="3" max="3" width="32" style="30" customWidth="1"/>
    <col min="4" max="16" width="14.710937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29" t="s">
        <v>16</v>
      </c>
    </row>
    <row r="2" spans="1:16">
      <c r="A2" s="29" t="s">
        <v>17</v>
      </c>
    </row>
    <row r="3" spans="1:16">
      <c r="A3" s="29" t="s">
        <v>18</v>
      </c>
    </row>
    <row r="5" spans="1:16" ht="25.5">
      <c r="A5" s="31" t="s">
        <v>19</v>
      </c>
      <c r="B5" s="32"/>
      <c r="E5" s="33"/>
      <c r="F5" s="33"/>
      <c r="G5" s="33"/>
      <c r="H5" s="33"/>
    </row>
    <row r="6" spans="1:16">
      <c r="A6" s="34" t="s">
        <v>20</v>
      </c>
      <c r="B6" s="32"/>
      <c r="C6" s="35"/>
      <c r="D6" s="33" t="s">
        <v>21</v>
      </c>
      <c r="E6" s="36"/>
      <c r="F6" s="36"/>
      <c r="G6" s="36"/>
      <c r="H6" s="33" t="s">
        <v>22</v>
      </c>
    </row>
    <row r="7" spans="1:16">
      <c r="A7" s="37">
        <v>1</v>
      </c>
      <c r="B7" s="38" t="s">
        <v>23</v>
      </c>
      <c r="C7" s="30" t="s">
        <v>24</v>
      </c>
      <c r="D7" s="39">
        <v>119524079.43418483</v>
      </c>
      <c r="E7" s="39"/>
      <c r="F7" s="97" t="s">
        <v>23</v>
      </c>
      <c r="G7" s="97"/>
      <c r="H7" s="39">
        <v>145191095.09510398</v>
      </c>
    </row>
    <row r="8" spans="1:16">
      <c r="A8" s="40">
        <v>2</v>
      </c>
      <c r="B8" t="s">
        <v>25</v>
      </c>
      <c r="C8" s="30" t="s">
        <v>26</v>
      </c>
      <c r="D8" s="41">
        <v>4081606.818594561</v>
      </c>
      <c r="E8" s="41"/>
      <c r="F8" s="98" t="s">
        <v>25</v>
      </c>
      <c r="G8" s="98"/>
      <c r="H8" s="42">
        <v>4081606.818594561</v>
      </c>
    </row>
    <row r="9" spans="1:16">
      <c r="A9" s="40">
        <v>3</v>
      </c>
      <c r="B9" t="s">
        <v>27</v>
      </c>
      <c r="C9" s="30" t="str">
        <f>"Line "&amp;A7&amp;" / Line "&amp;A8</f>
        <v>Line 1 / Line 2</v>
      </c>
      <c r="D9" s="43">
        <f>+D7/D8</f>
        <v>29.283584810195197</v>
      </c>
      <c r="E9" s="44"/>
      <c r="F9" s="98" t="s">
        <v>28</v>
      </c>
      <c r="G9" s="98"/>
      <c r="H9" s="45">
        <f>H7/H8</f>
        <v>35.572043449569286</v>
      </c>
      <c r="I9" s="46"/>
    </row>
    <row r="10" spans="1:16">
      <c r="A10" s="40" t="s">
        <v>29</v>
      </c>
      <c r="B10" t="s">
        <v>30</v>
      </c>
      <c r="C10" s="30" t="s">
        <v>31</v>
      </c>
      <c r="D10" s="45">
        <v>24.906974445292967</v>
      </c>
      <c r="E10" s="44"/>
      <c r="F10" s="44"/>
      <c r="G10" s="44"/>
      <c r="H10" s="44"/>
      <c r="I10" s="46"/>
    </row>
    <row r="11" spans="1:16">
      <c r="A11" s="40" t="s">
        <v>32</v>
      </c>
      <c r="B11" t="s">
        <v>33</v>
      </c>
      <c r="C11" s="30" t="s">
        <v>34</v>
      </c>
      <c r="D11" s="45">
        <f>D9-D10</f>
        <v>4.3766103649022305</v>
      </c>
      <c r="E11" s="44"/>
      <c r="F11" s="44"/>
      <c r="G11" s="44"/>
      <c r="H11" s="44"/>
      <c r="I11" s="46"/>
    </row>
    <row r="12" spans="1:16">
      <c r="A12" s="47"/>
      <c r="B12" s="32"/>
      <c r="D12" s="36"/>
      <c r="E12" s="36"/>
      <c r="F12" s="36"/>
      <c r="G12" s="36"/>
    </row>
    <row r="13" spans="1:16">
      <c r="A13" s="48" t="s">
        <v>35</v>
      </c>
      <c r="B13" s="49"/>
      <c r="D13" s="50">
        <v>44562</v>
      </c>
      <c r="E13" s="50">
        <f>EDATE(D13,1)</f>
        <v>44593</v>
      </c>
      <c r="F13" s="50">
        <f t="shared" ref="F13:O13" si="0">EDATE(E13,1)</f>
        <v>44621</v>
      </c>
      <c r="G13" s="50">
        <f t="shared" si="0"/>
        <v>44652</v>
      </c>
      <c r="H13" s="50">
        <f t="shared" si="0"/>
        <v>44682</v>
      </c>
      <c r="I13" s="50">
        <f t="shared" si="0"/>
        <v>44713</v>
      </c>
      <c r="J13" s="50">
        <f t="shared" si="0"/>
        <v>44743</v>
      </c>
      <c r="K13" s="50">
        <f t="shared" si="0"/>
        <v>44774</v>
      </c>
      <c r="L13" s="50">
        <f t="shared" si="0"/>
        <v>44805</v>
      </c>
      <c r="M13" s="50">
        <f t="shared" si="0"/>
        <v>44835</v>
      </c>
      <c r="N13" s="50">
        <f t="shared" si="0"/>
        <v>44866</v>
      </c>
      <c r="O13" s="50">
        <f t="shared" si="0"/>
        <v>44896</v>
      </c>
      <c r="P13" s="51" t="s">
        <v>36</v>
      </c>
    </row>
    <row r="14" spans="1:16">
      <c r="A14" s="37">
        <v>4</v>
      </c>
      <c r="B14" s="49" t="s">
        <v>37</v>
      </c>
      <c r="C14" s="30" t="str">
        <f>"Line "&amp;A9</f>
        <v>Line 3</v>
      </c>
      <c r="D14" s="52">
        <f>$D$9</f>
        <v>29.283584810195197</v>
      </c>
      <c r="E14" s="52">
        <f t="shared" ref="E14:G14" si="1">$D$9</f>
        <v>29.283584810195197</v>
      </c>
      <c r="F14" s="52">
        <f t="shared" si="1"/>
        <v>29.283584810195197</v>
      </c>
      <c r="G14" s="52">
        <f t="shared" si="1"/>
        <v>29.283584810195197</v>
      </c>
      <c r="H14" s="52">
        <f>$H$9</f>
        <v>35.572043449569286</v>
      </c>
      <c r="I14" s="52">
        <f t="shared" ref="I14:O14" si="2">$H$9</f>
        <v>35.572043449569286</v>
      </c>
      <c r="J14" s="52">
        <f t="shared" si="2"/>
        <v>35.572043449569286</v>
      </c>
      <c r="K14" s="52">
        <f t="shared" si="2"/>
        <v>35.572043449569286</v>
      </c>
      <c r="L14" s="52">
        <f t="shared" si="2"/>
        <v>35.572043449569286</v>
      </c>
      <c r="M14" s="52">
        <f t="shared" si="2"/>
        <v>35.572043449569286</v>
      </c>
      <c r="N14" s="52">
        <f t="shared" si="2"/>
        <v>35.572043449569286</v>
      </c>
      <c r="O14" s="52">
        <f t="shared" si="2"/>
        <v>35.572043449569286</v>
      </c>
    </row>
    <row r="15" spans="1:16">
      <c r="A15" s="37">
        <v>5</v>
      </c>
      <c r="B15" s="49" t="s">
        <v>38</v>
      </c>
      <c r="C15" s="30" t="s">
        <v>26</v>
      </c>
      <c r="D15" s="53">
        <v>435632.30099999998</v>
      </c>
      <c r="E15" s="53">
        <v>345609.62400000001</v>
      </c>
      <c r="F15" s="53">
        <v>322249.19</v>
      </c>
      <c r="G15" s="53">
        <v>321197.15399999998</v>
      </c>
      <c r="H15" s="53">
        <v>286307.02300000004</v>
      </c>
      <c r="I15" s="53">
        <v>291422.326</v>
      </c>
      <c r="J15" s="53">
        <v>383373.005</v>
      </c>
      <c r="K15" s="53">
        <v>387859.12199999997</v>
      </c>
      <c r="L15" s="53">
        <v>301832.24600000004</v>
      </c>
      <c r="M15" s="53">
        <v>278671.33299999998</v>
      </c>
      <c r="N15" s="53">
        <v>388113.49599999998</v>
      </c>
      <c r="O15" s="53">
        <v>438812.45900000003</v>
      </c>
    </row>
    <row r="16" spans="1:16">
      <c r="A16" s="37">
        <v>6</v>
      </c>
      <c r="B16" s="54" t="s">
        <v>39</v>
      </c>
      <c r="C16" s="55" t="s">
        <v>40</v>
      </c>
      <c r="D16" s="56">
        <f>D14*D15</f>
        <v>12756875.432393981</v>
      </c>
      <c r="E16" s="56">
        <f t="shared" ref="E16:O16" si="3">E14*E15</f>
        <v>10120688.735623674</v>
      </c>
      <c r="F16" s="56">
        <f t="shared" si="3"/>
        <v>9436611.4853817057</v>
      </c>
      <c r="G16" s="56">
        <f t="shared" si="3"/>
        <v>9405804.0999523271</v>
      </c>
      <c r="H16" s="56">
        <f t="shared" si="3"/>
        <v>10184525.862072835</v>
      </c>
      <c r="I16" s="56">
        <f t="shared" si="3"/>
        <v>10366487.642646546</v>
      </c>
      <c r="J16" s="56">
        <f t="shared" si="3"/>
        <v>13637361.191251943</v>
      </c>
      <c r="K16" s="56">
        <f t="shared" si="3"/>
        <v>13796941.540095793</v>
      </c>
      <c r="L16" s="56">
        <f t="shared" si="3"/>
        <v>10736789.769193087</v>
      </c>
      <c r="M16" s="56">
        <f t="shared" si="3"/>
        <v>9912908.7656253912</v>
      </c>
      <c r="N16" s="56">
        <f t="shared" si="3"/>
        <v>13805990.143076235</v>
      </c>
      <c r="O16" s="56">
        <f t="shared" si="3"/>
        <v>15609455.857760342</v>
      </c>
      <c r="P16" s="57">
        <f>SUM(D16:O16)</f>
        <v>139770440.52507386</v>
      </c>
    </row>
    <row r="17" spans="1:24">
      <c r="A17" s="37"/>
      <c r="B17" s="58"/>
      <c r="C17" s="59"/>
      <c r="D17" s="60"/>
      <c r="E17" s="60"/>
      <c r="F17" s="60"/>
      <c r="G17" s="60"/>
      <c r="H17" s="61"/>
      <c r="I17" s="61"/>
      <c r="J17" s="61"/>
      <c r="K17" s="61"/>
      <c r="L17" s="61"/>
      <c r="M17" s="61"/>
      <c r="N17" s="61"/>
      <c r="O17" s="61"/>
      <c r="P17" s="61"/>
    </row>
    <row r="18" spans="1:24">
      <c r="A18" s="37">
        <f>MAX($A$13:A17)+1</f>
        <v>7</v>
      </c>
      <c r="B18" s="62" t="s">
        <v>41</v>
      </c>
      <c r="C18" s="30" t="s">
        <v>42</v>
      </c>
      <c r="D18" s="63">
        <v>18931287.781357683</v>
      </c>
      <c r="E18" s="63">
        <v>12536033.639572872</v>
      </c>
      <c r="F18" s="63">
        <v>9763843.5252451506</v>
      </c>
      <c r="G18" s="63">
        <v>11709037.415657381</v>
      </c>
      <c r="H18" s="63">
        <v>11567819.389110036</v>
      </c>
      <c r="I18" s="63">
        <v>9031791.7476960272</v>
      </c>
      <c r="J18" s="63">
        <v>18769502.123916987</v>
      </c>
      <c r="K18" s="63">
        <v>20832792.704315666</v>
      </c>
      <c r="L18" s="63">
        <v>14980446.806568744</v>
      </c>
      <c r="M18" s="63">
        <v>10647665.564246854</v>
      </c>
      <c r="N18" s="63">
        <v>19509338.367267311</v>
      </c>
      <c r="O18" s="63">
        <v>54162682.148049399</v>
      </c>
      <c r="P18" s="57">
        <f>SUM(D18:O18)</f>
        <v>212442241.21300411</v>
      </c>
    </row>
    <row r="19" spans="1:24">
      <c r="A19" s="37"/>
      <c r="B19" s="62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24">
      <c r="A20" s="37">
        <f>MAX($A$13:A19)+1</f>
        <v>8</v>
      </c>
      <c r="B20" s="54" t="s">
        <v>43</v>
      </c>
      <c r="C20" s="30" t="str">
        <f>"Line "&amp;A18&amp;" - Line "&amp;A16</f>
        <v>Line 7 - Line 6</v>
      </c>
      <c r="D20" s="56">
        <f t="shared" ref="D20:O20" si="4">+D18-D16</f>
        <v>6174412.3489637021</v>
      </c>
      <c r="E20" s="56">
        <f t="shared" si="4"/>
        <v>2415344.9039491974</v>
      </c>
      <c r="F20" s="56">
        <f t="shared" si="4"/>
        <v>327232.03986344486</v>
      </c>
      <c r="G20" s="56">
        <f t="shared" si="4"/>
        <v>2303233.3157050535</v>
      </c>
      <c r="H20" s="56">
        <f t="shared" si="4"/>
        <v>1383293.5270372014</v>
      </c>
      <c r="I20" s="56">
        <f t="shared" si="4"/>
        <v>-1334695.8949505184</v>
      </c>
      <c r="J20" s="56">
        <f t="shared" si="4"/>
        <v>5132140.9326650444</v>
      </c>
      <c r="K20" s="56">
        <f t="shared" si="4"/>
        <v>7035851.164219873</v>
      </c>
      <c r="L20" s="56">
        <f t="shared" si="4"/>
        <v>4243657.0373756569</v>
      </c>
      <c r="M20" s="56">
        <f t="shared" si="4"/>
        <v>734756.79862146266</v>
      </c>
      <c r="N20" s="56">
        <f t="shared" si="4"/>
        <v>5703348.2241910752</v>
      </c>
      <c r="O20" s="56">
        <f t="shared" si="4"/>
        <v>38553226.290289059</v>
      </c>
      <c r="P20" s="65"/>
    </row>
    <row r="21" spans="1:24">
      <c r="A21" s="37">
        <f>MAX($A$13:A20)+1</f>
        <v>9</v>
      </c>
      <c r="B21" s="54" t="s">
        <v>44</v>
      </c>
      <c r="C21" s="66" t="str">
        <f>"Line "&amp;A20&amp;" + Prior Month Line "&amp;A21</f>
        <v>Line 8 + Prior Month Line 9</v>
      </c>
      <c r="D21" s="67">
        <f>+D20</f>
        <v>6174412.3489637021</v>
      </c>
      <c r="E21" s="67">
        <f t="shared" ref="E21:J21" si="5">+E20+D21</f>
        <v>8589757.2529128995</v>
      </c>
      <c r="F21" s="67">
        <f t="shared" si="5"/>
        <v>8916989.2927763443</v>
      </c>
      <c r="G21" s="67">
        <f t="shared" si="5"/>
        <v>11220222.608481398</v>
      </c>
      <c r="H21" s="67">
        <f t="shared" si="5"/>
        <v>12603516.135518599</v>
      </c>
      <c r="I21" s="67">
        <f t="shared" si="5"/>
        <v>11268820.240568081</v>
      </c>
      <c r="J21" s="67">
        <f t="shared" si="5"/>
        <v>16400961.173233125</v>
      </c>
      <c r="K21" s="67">
        <f>+K20+J21</f>
        <v>23436812.337453</v>
      </c>
      <c r="L21" s="67">
        <f>+L20+K21</f>
        <v>27680469.374828659</v>
      </c>
      <c r="M21" s="67">
        <f>+M20+L21</f>
        <v>28415226.17345012</v>
      </c>
      <c r="N21" s="67">
        <f>+N20+M21</f>
        <v>34118574.397641197</v>
      </c>
      <c r="O21" s="67">
        <f>+O20+N21</f>
        <v>72671800.687930256</v>
      </c>
      <c r="P21" s="68">
        <f>+O21</f>
        <v>72671800.687930256</v>
      </c>
    </row>
    <row r="22" spans="1:24">
      <c r="A22" s="37"/>
      <c r="B22" s="54"/>
      <c r="C22" s="66"/>
      <c r="D22" s="69"/>
      <c r="E22" s="69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1"/>
    </row>
    <row r="23" spans="1:24">
      <c r="A23" s="72" t="s">
        <v>45</v>
      </c>
      <c r="B23" s="54"/>
      <c r="C23" s="73"/>
      <c r="D23" s="69"/>
      <c r="E23" s="69"/>
      <c r="F23" s="69"/>
      <c r="G23" s="69"/>
      <c r="H23" s="71"/>
      <c r="I23" s="71"/>
      <c r="J23" s="71"/>
      <c r="K23" s="71"/>
      <c r="L23" s="71"/>
      <c r="M23" s="71"/>
      <c r="N23" s="71"/>
      <c r="O23" s="71"/>
    </row>
    <row r="24" spans="1:24">
      <c r="A24" s="37">
        <f>MAX($A$13:A23)+1</f>
        <v>10</v>
      </c>
      <c r="B24" s="62" t="s">
        <v>46</v>
      </c>
      <c r="C24" s="73"/>
      <c r="D24" s="69"/>
      <c r="E24" s="69"/>
      <c r="F24" s="69"/>
      <c r="G24" s="69"/>
      <c r="H24" s="71"/>
      <c r="I24" s="71"/>
      <c r="J24" s="71"/>
      <c r="K24" s="71"/>
      <c r="L24" s="71"/>
      <c r="M24" s="71"/>
      <c r="N24" s="71"/>
      <c r="O24" s="71"/>
      <c r="P24" s="61">
        <v>4000000</v>
      </c>
      <c r="Q24" s="71"/>
      <c r="R24" s="28"/>
      <c r="S24" s="28"/>
      <c r="T24" s="28"/>
    </row>
    <row r="25" spans="1:24">
      <c r="A25" s="37">
        <f>MAX($A$13:A24)+1</f>
        <v>11</v>
      </c>
      <c r="B25" s="62" t="s">
        <v>47</v>
      </c>
      <c r="C25" s="73"/>
      <c r="D25" s="74">
        <f>D26</f>
        <v>2174412.3489637021</v>
      </c>
      <c r="E25" s="74">
        <f>E26-D26</f>
        <v>2415344.9039491974</v>
      </c>
      <c r="F25" s="74">
        <f>F26-E26</f>
        <v>327232.03986344486</v>
      </c>
      <c r="G25" s="74">
        <f>G26-F26</f>
        <v>2303233.3157050535</v>
      </c>
      <c r="H25" s="74">
        <f>H26-G26</f>
        <v>1383293.5270372014</v>
      </c>
      <c r="I25" s="74">
        <f t="shared" ref="I25:O25" si="6">I26-H26</f>
        <v>-1334695.8949505184</v>
      </c>
      <c r="J25" s="74">
        <f t="shared" si="6"/>
        <v>5132140.9326650444</v>
      </c>
      <c r="K25" s="74">
        <f t="shared" si="6"/>
        <v>7035851.1642198749</v>
      </c>
      <c r="L25" s="74">
        <f t="shared" si="6"/>
        <v>4243657.0373756588</v>
      </c>
      <c r="M25" s="74">
        <f t="shared" si="6"/>
        <v>734756.7986214608</v>
      </c>
      <c r="N25" s="74">
        <f t="shared" si="6"/>
        <v>5703348.2241910771</v>
      </c>
      <c r="O25" s="74">
        <f t="shared" si="6"/>
        <v>38553226.290289059</v>
      </c>
      <c r="P25" s="71"/>
      <c r="R25" s="28"/>
      <c r="S25" s="28"/>
      <c r="T25" s="28"/>
    </row>
    <row r="26" spans="1:24" ht="12.75" customHeight="1">
      <c r="A26" s="37">
        <f>MAX($A$13:A25)+1</f>
        <v>12</v>
      </c>
      <c r="B26" s="62" t="s">
        <v>48</v>
      </c>
      <c r="C26" s="73"/>
      <c r="D26" s="67">
        <f t="shared" ref="D26:O26" si="7">IF(OR($P$21&gt;$P$24,$P$21&lt;-$P$24),IF(AND($P$21&gt;$P$24,D21&gt;$P$24),D21-$P$24,IF(AND($P$21&lt;-$P$24,D21&lt;-$P$24),D21+$P$24,0)),0)</f>
        <v>2174412.3489637021</v>
      </c>
      <c r="E26" s="67">
        <f t="shared" si="7"/>
        <v>4589757.2529128995</v>
      </c>
      <c r="F26" s="67">
        <f t="shared" si="7"/>
        <v>4916989.2927763443</v>
      </c>
      <c r="G26" s="67">
        <f t="shared" si="7"/>
        <v>7220222.6084813979</v>
      </c>
      <c r="H26" s="67">
        <f t="shared" si="7"/>
        <v>8603516.1355185993</v>
      </c>
      <c r="I26" s="67">
        <f t="shared" si="7"/>
        <v>7268820.2405680809</v>
      </c>
      <c r="J26" s="67">
        <f t="shared" si="7"/>
        <v>12400961.173233125</v>
      </c>
      <c r="K26" s="67">
        <f t="shared" si="7"/>
        <v>19436812.337453</v>
      </c>
      <c r="L26" s="67">
        <f t="shared" si="7"/>
        <v>23680469.374828659</v>
      </c>
      <c r="M26" s="67">
        <f t="shared" si="7"/>
        <v>24415226.17345012</v>
      </c>
      <c r="N26" s="67">
        <f t="shared" si="7"/>
        <v>30118574.397641197</v>
      </c>
      <c r="O26" s="67">
        <f t="shared" si="7"/>
        <v>68671800.687930256</v>
      </c>
      <c r="P26" s="67">
        <f>+O26</f>
        <v>68671800.687930256</v>
      </c>
      <c r="R26" s="28"/>
      <c r="S26" s="28"/>
      <c r="T26" s="28"/>
    </row>
    <row r="27" spans="1:24">
      <c r="A27" s="37"/>
      <c r="B27" s="62"/>
      <c r="C27" s="73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1"/>
      <c r="R27" s="99" t="s">
        <v>49</v>
      </c>
      <c r="S27" s="99"/>
      <c r="T27" s="99"/>
      <c r="U27" s="99"/>
    </row>
    <row r="28" spans="1:24">
      <c r="A28" s="58" t="s">
        <v>50</v>
      </c>
      <c r="B28" s="62"/>
      <c r="C28" s="73"/>
      <c r="D28" s="69"/>
      <c r="E28" s="69"/>
      <c r="F28" s="69"/>
      <c r="G28" s="69"/>
      <c r="H28" s="71"/>
      <c r="I28" s="71"/>
      <c r="J28" s="71"/>
      <c r="K28" s="71"/>
      <c r="L28" s="71"/>
      <c r="M28" s="71"/>
      <c r="N28" s="71"/>
      <c r="O28" s="71"/>
      <c r="R28" t="s">
        <v>51</v>
      </c>
      <c r="S28" s="75" t="s">
        <v>52</v>
      </c>
      <c r="T28" t="s">
        <v>53</v>
      </c>
      <c r="U28" t="s">
        <v>54</v>
      </c>
    </row>
    <row r="29" spans="1:24" ht="25.5">
      <c r="A29" s="37">
        <f>MAX($A$13:A28)+1</f>
        <v>13</v>
      </c>
      <c r="B29" s="76" t="s">
        <v>55</v>
      </c>
      <c r="C29" s="73"/>
      <c r="D29" s="69">
        <f>IF(D26=0,0,IF(AND($P$21&gt;$P$24,$P$21&lt;$S$29),D25*$T$29,IF(AND($P$21&gt;$S$29,D26&lt;($S$29-$R$29)),D25*$T$29,IF(AND($P$21&gt;$S$29,D26&gt;($S$29-$R$29)),($S$29-$R$29)*$T$29,0))))</f>
        <v>1087206.174481851</v>
      </c>
      <c r="E29" s="69">
        <f>IF(E26=0,SUM($D$29:D29),IF(AND($P$21&gt;$P$24,$P$21&lt;$S$29),E25*$T$29,IF(AND($P$21&gt;$S$29,E26&lt;($S$29-$R$29)),E25*$T$29,IF(AND($P$21&gt;$S$29,E26&gt;($S$29-$R$29)),(($S$29-$R$29)*$T$29)-SUM($D$29:D29),0))))</f>
        <v>1207672.4519745987</v>
      </c>
      <c r="F29" s="69">
        <f>IF(F26=0,SUM($D$29:E29),IF(AND($P$21&gt;$P$24,$P$21&lt;$S$29),F25*$T$29,IF(AND($P$21&gt;$S$29,F26&lt;($S$29-$R$29)),F25*$T$29,IF(AND($P$21&gt;$S$29,F26&gt;($S$29-$R$29)),(($S$29-$R$29)*$T$29)-SUM($D$29:E29),0))))</f>
        <v>163616.01993172243</v>
      </c>
      <c r="G29" s="69">
        <f>IF(G26=0,SUM($D$29:F29),IF(AND($P$21&gt;$P$24,$P$21&lt;$S$29),G25*$T$29,IF(AND($P$21&gt;$S$29,G26&lt;($S$29-$R$29)),G25*$T$29,IF(AND($P$21&gt;$S$29,G26&gt;($S$29-$R$29)),(($S$29-$R$29)*$T$29)-SUM($D$29:F29),0))))</f>
        <v>541505.35361182783</v>
      </c>
      <c r="H29" s="69">
        <f>IF(H26=0,SUM($D$29:G29),IF(AND($P$21&gt;$P$24,$P$21&lt;$S$29),H25*$T$29,IF(AND($P$21&gt;$S$29,H26&lt;($S$29-$R$29)),H25*$T$29,IF(AND($P$21&gt;$S$29,H26&gt;($S$29-$R$29)),(($S$29-$R$29)*$T$29)-SUM($D$29:G29),0))))</f>
        <v>0</v>
      </c>
      <c r="I29" s="69">
        <f>IF(I26=0,SUM($D$29:H29),IF(AND($P$21&gt;$P$24,$P$21&lt;$S$29),I25*$T$29,IF(AND($P$21&gt;$S$29,I26&lt;($S$29-$R$29)),I25*$T$29,IF(AND($P$21&gt;$S$29,I26&gt;($S$29-$R$29)),(($S$29-$R$29)*$T$29)-SUM($D$29:H29),0))))</f>
        <v>0</v>
      </c>
      <c r="J29" s="69">
        <f>IF(J26=0,SUM($D$29:I29),IF(AND($P$21&gt;$P$24,$P$21&lt;$S$29),J25*$T$29,IF(AND($P$21&gt;$S$29,J26&lt;($S$29-$R$29)),J25*$T$29,IF(AND($P$21&gt;$S$29,J26&gt;($S$29-$R$29)),(($S$29-$R$29)*$T$29)-SUM($D$29:I29),0))))</f>
        <v>0</v>
      </c>
      <c r="K29" s="69">
        <f>IF(K26=0,SUM($D$29:J29),IF(AND($P$21&gt;$P$24,$P$21&lt;$S$29),K25*$T$29,IF(AND($P$21&gt;$S$29,K26&lt;($S$29-$R$29)),K25*$T$29,IF(AND($P$21&gt;$S$29,K26&gt;($S$29-$R$29)),(($S$29-$R$29)*$T$29)-SUM($D$29:J29),0))))</f>
        <v>0</v>
      </c>
      <c r="L29" s="69">
        <f>IF(L26=0,SUM($D$29:K29),IF(AND($P$21&gt;$P$24,$P$21&lt;$S$29),L25*$T$29,IF(AND($P$21&gt;$S$29,L26&lt;($S$29-$R$29)),L25*$T$29,IF(AND($P$21&gt;$S$29,L26&gt;($S$29-$R$29)),(($S$29-$R$29)*$T$29)-SUM($D$29:K29),0))))</f>
        <v>0</v>
      </c>
      <c r="M29" s="69">
        <f>IF(M26=0,SUM($D$29:L29),IF(AND($P$21&gt;$P$24,$P$21&lt;$S$29),M25*$T$29,IF(AND($P$21&gt;$S$29,M26&lt;($S$29-$R$29)),M25*$T$29,IF(AND($P$21&gt;$S$29,M26&gt;($S$29-$R$29)),(($S$29-$R$29)*$T$29)-SUM($D$29:L29),0))))</f>
        <v>0</v>
      </c>
      <c r="N29" s="69">
        <f>IF(N26=0,SUM($D$29:M29),IF(AND($P$21&gt;$P$24,$P$21&lt;$S$29),N25*$T$29,IF(AND($P$21&gt;$S$29,N26&lt;($S$29-$R$29)),N25*$T$29,IF(AND($P$21&gt;$S$29,N26&gt;($S$29-$R$29)),(($S$29-$R$29)*$T$29)-SUM($D$29:M29),0))))</f>
        <v>0</v>
      </c>
      <c r="O29" s="69">
        <f>IF(O26=0,SUM($D$29:N29),IF(AND($P$21&gt;$P$24,$P$21&lt;$S$29),O25*$T$29,IF(AND($P$21&gt;$S$29,O26&lt;($S$29-$R$29)),O25*$T$29,IF(AND($P$21&gt;$S$29,O26&gt;($S$29-$R$29)),(($S$29-$R$29)*$T$29)-SUM($D$29:N29),0))))</f>
        <v>0</v>
      </c>
      <c r="P29" s="77"/>
      <c r="R29" s="39">
        <v>4000000</v>
      </c>
      <c r="S29" s="39">
        <v>10000000</v>
      </c>
      <c r="T29" s="78">
        <v>0.5</v>
      </c>
      <c r="U29" s="78">
        <v>0.5</v>
      </c>
    </row>
    <row r="30" spans="1:24">
      <c r="A30" s="37">
        <f>MAX($A$13:A29)+1</f>
        <v>14</v>
      </c>
      <c r="B30" s="76" t="s">
        <v>56</v>
      </c>
      <c r="C30" s="73"/>
      <c r="D30" s="79">
        <f>IF(D26=0,0,IF(AND($P$21&gt;$R$30,D26&gt;($S$29-$R$29)),(D25-(D29/$T$29))*$T$30,0))</f>
        <v>0</v>
      </c>
      <c r="E30" s="79">
        <f>IF(E26=0,SUM($D$30:D30),IF(AND($P$21&gt;$R$30,E26&gt;($S$29-$R$29)),(E25-(E29/$T$29))*$T$30,0))</f>
        <v>0</v>
      </c>
      <c r="F30" s="79">
        <f>IF(F26=0,SUM($D$30:E30),IF(AND($P$21&gt;$R$30,F26&gt;($S$29-$R$29)),(F25-(F29/$T$29))*$T$30,0))</f>
        <v>0</v>
      </c>
      <c r="G30" s="79">
        <f>IF(G26=0,SUM($D$30:F30),IF(AND($P$21&gt;$R$30,G26&gt;($S$29-$R$29)),(G25-(G29/$T$29))*$T$30,0))</f>
        <v>1098200.3476332582</v>
      </c>
      <c r="H30" s="79">
        <f>IF(H26=0,SUM($D$30:G30),IF(AND($P$21&gt;$R$30,H26&gt;($S$29-$R$29)),(H25-(H29/$T$29))*$T$30,0))</f>
        <v>1244964.1743334814</v>
      </c>
      <c r="I30" s="79">
        <f>IF(I26=0,SUM($D$30:H30),IF(AND($P$21&gt;$R$30,I26&gt;($S$29-$R$29)),(I25-(I29/$T$29))*$T$30,0))</f>
        <v>-1201226.3054554665</v>
      </c>
      <c r="J30" s="79">
        <f>IF(J26=0,SUM($D$30:I30),IF(AND($P$21&gt;$R$30,J26&gt;($S$29-$R$29)),(J25-(J29/$T$29))*$T$30,0))</f>
        <v>4618926.8393985406</v>
      </c>
      <c r="K30" s="79">
        <f>IF(K26=0,SUM($D$30:J30),IF(AND($P$21&gt;$R$30,K26&gt;($S$29-$R$29)),(K25-(K29/$T$29))*$T$30,0))</f>
        <v>6332266.0477978876</v>
      </c>
      <c r="L30" s="79">
        <f>IF(L26=0,SUM($D$30:K30),IF(AND($P$21&gt;$R$30,L26&gt;($S$29-$R$29)),(L25-(L29/$T$29))*$T$30,0))</f>
        <v>3819291.333638093</v>
      </c>
      <c r="M30" s="79">
        <f>IF(M26=0,SUM($D$30:L30),IF(AND($P$21&gt;$R$30,M26&gt;($S$29-$R$29)),(M25-(M29/$T$29))*$T$30,0))</f>
        <v>661281.11875931476</v>
      </c>
      <c r="N30" s="79">
        <f>IF(N26=0,SUM($D$30:M30),IF(AND($P$21&gt;$R$30,N26&gt;($S$29-$R$29)),(N25-(N29/$T$29))*$T$30,0))</f>
        <v>5133013.4017719692</v>
      </c>
      <c r="O30" s="79">
        <f>IF(O26=0,SUM($D$30:N30),IF(AND($P$21&gt;$R$30,O26&gt;($S$29-$R$29)),(O25-(O29/$T$29))*$T$30,0))</f>
        <v>34697903.661260158</v>
      </c>
      <c r="P30" s="77"/>
      <c r="R30" s="80">
        <v>10000000</v>
      </c>
      <c r="S30" s="61"/>
      <c r="T30" s="78">
        <v>0.9</v>
      </c>
      <c r="U30" s="78">
        <v>0.1</v>
      </c>
    </row>
    <row r="31" spans="1:24" ht="25.5">
      <c r="A31" s="37">
        <f>MAX($A$13:A30)+1</f>
        <v>15</v>
      </c>
      <c r="B31" s="76" t="s">
        <v>57</v>
      </c>
      <c r="C31" s="73"/>
      <c r="D31" s="79">
        <f>IF(D26=0,0,IF(AND($P$21&lt;$R$31,$P$21&gt;$S$31),D25*$T$31,IF(AND($P$21&lt;$S$31,D26&gt;($S$31-$R$31)),D25*$T$31,IF(AND($P$21&lt;$S$31,D26&lt;($S$31-$R$31)),($S$31-$R$31),0))))</f>
        <v>0</v>
      </c>
      <c r="E31" s="79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79">
        <f>IF(F26=0,-SUM($D$31:E31),IF(AND($P$21&lt;$R$31,$P$21&gt;$S$31),F25*$T$31,IF(AND($P$21&lt;$S$31,F26&gt;($S$31-$R$31)),F25*$T$31,IF(AND($P$21&lt;$S$31,F26&lt;($S$31-$R$31)),(($S$31-$R$31)*$T$31)-SUM($D$31:E31),0))))</f>
        <v>0</v>
      </c>
      <c r="G31" s="79">
        <f>IF(G26=0,-SUM($D$31:F31),IF(AND($P$21&lt;$R$31,$P$21&gt;$S$31),G25*$T$31,IF(AND($P$21&lt;$S$31,G26&gt;($S$31-$R$31)),G25*$T$31,IF(AND($P$21&lt;$S$31,G26&lt;($S$31-$R$31)),(($S$31-$R$31)*$T$31)-SUM($D$31:F31),0))))</f>
        <v>0</v>
      </c>
      <c r="H31" s="79">
        <f>IF(H26=0,-SUM($D$31:G31),IF(AND($P$21&lt;$R$31,$P$21&gt;$S$31),H25*$T$31,IF(AND($P$21&lt;$S$31,H26&gt;($S$31-$R$31)),H25*$T$31,IF(AND($P$21&lt;$S$31,H26&lt;($S$31-$R$31)),(($S$31-$R$31)*$T$31)-SUM($D$31:G31),0))))</f>
        <v>0</v>
      </c>
      <c r="I31" s="79">
        <f>IF(I26=0,-SUM($D$31:H31),IF(AND($P$21&lt;$R$31,$P$21&gt;$S$31),I25*$T$31,IF(AND($P$21&lt;$S$31,I26&gt;($S$31-$R$31)),I25*$T$31,IF(AND($P$21&lt;$S$31,I26&lt;($S$31-$R$31)),(($S$31-$R$31)*$T$31)-SUM($D$31:H31),0))))</f>
        <v>0</v>
      </c>
      <c r="J31" s="79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79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79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79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79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79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77"/>
      <c r="R31" s="80">
        <v>-4000000</v>
      </c>
      <c r="S31" s="80">
        <v>-10000000</v>
      </c>
      <c r="T31" s="78">
        <v>0.75</v>
      </c>
      <c r="U31" s="78">
        <v>0.25</v>
      </c>
      <c r="X31" s="71"/>
    </row>
    <row r="32" spans="1:24">
      <c r="A32" s="37">
        <f>MAX($A$13:A31)+1</f>
        <v>16</v>
      </c>
      <c r="B32" s="76" t="s">
        <v>58</v>
      </c>
      <c r="C32" s="73"/>
      <c r="D32" s="79">
        <f>IF(D26=0,0,IF(AND($P$21&lt;$R$32,D26&lt;($S$31-$R$31)),(D25-(D31/$T$31))*$T$32,0))</f>
        <v>0</v>
      </c>
      <c r="E32" s="79">
        <f>IF(E26=0,-SUM($D$32:D32),IF(AND($P$21&lt;$R$32,E26&lt;($S$31-$R$31)),(E25-(E31/$T$31))*$T$32,0))</f>
        <v>0</v>
      </c>
      <c r="F32" s="79">
        <f>IF(F26=0,-SUM($D$32:E32),IF(AND($P$21&lt;$R$32,F26&lt;($S$31-$R$31)),(F25-(F31/$T$31))*$T$32,0))</f>
        <v>0</v>
      </c>
      <c r="G32" s="79">
        <f>IF(G26=0,-SUM($D$32:F32),IF(AND($P$21&lt;$R$32,G26&lt;($S$31-$R$31)),(G25-(G31/$T$31))*$T$32,0))</f>
        <v>0</v>
      </c>
      <c r="H32" s="79">
        <f>IF(H26=0,-SUM($D$32:G32),IF(AND($P$21&lt;$R$32,H26&lt;($S$31-$R$31)),(H25-(H31/$T$31))*$T$32,0))</f>
        <v>0</v>
      </c>
      <c r="I32" s="79">
        <f>IF(I26=0,-SUM($D$32:H32),IF(AND($P$21&lt;$R$32,I26&lt;($S$31-$R$31)),(I25-(I31/$T$31))*$T$32,0))</f>
        <v>0</v>
      </c>
      <c r="J32" s="79">
        <f>IF(J26=0,-SUM($D$32:I32),IF(AND($P$21&lt;$R$32,J26&lt;($S$31-$R$31)),(J25-(J31/$T$31))*$T$32,0))</f>
        <v>0</v>
      </c>
      <c r="K32" s="79">
        <f>IF(K26=0,-SUM($D$32:J32),IF(AND($P$21&lt;$R$32,K26&lt;($S$31-$R$31)),(K25-(K31/$T$31))*$T$32,0))</f>
        <v>0</v>
      </c>
      <c r="L32" s="79">
        <f>IF(L26=0,-SUM($D$32:K32),IF(AND($P$21&lt;$R$32,L26&lt;($S$31-$R$31)),(L25-(L31/$T$31))*$T$32,0))</f>
        <v>0</v>
      </c>
      <c r="M32" s="79">
        <f>IF(M26=0,-SUM($D$32:L32),IF(AND($P$21&lt;$R$32,M26&lt;($S$31-$R$31)),(M25-(M31/$T$31))*$T$32,0))</f>
        <v>0</v>
      </c>
      <c r="N32" s="79">
        <f>IF(N26=0,-SUM($D$32:M32),IF(AND($P$21&lt;$R$32,N26&lt;($S$31-$R$31)),(N25-(N31/$T$31))*$T$32,0))</f>
        <v>0</v>
      </c>
      <c r="O32" s="79">
        <f>IF(O26=0,-SUM($D$32:N32),IF(AND($P$21&lt;$R$32,O26&lt;($S$31-$R$31)),(O25-(O31/$T$31))*$T$32,0))</f>
        <v>0</v>
      </c>
      <c r="P32" s="77"/>
      <c r="R32" s="80">
        <v>-10000000</v>
      </c>
      <c r="S32" s="61"/>
      <c r="T32" s="78">
        <v>0.9</v>
      </c>
      <c r="U32" s="78">
        <v>0.1</v>
      </c>
    </row>
    <row r="33" spans="1:17">
      <c r="A33" s="37">
        <f>MAX($A$13:A32)+1</f>
        <v>17</v>
      </c>
      <c r="B33" s="76" t="s">
        <v>59</v>
      </c>
      <c r="C33" s="73"/>
      <c r="D33" s="67">
        <f t="shared" ref="D33:O33" si="8">SUM(D29:D32)</f>
        <v>1087206.174481851</v>
      </c>
      <c r="E33" s="67">
        <f t="shared" si="8"/>
        <v>1207672.4519745987</v>
      </c>
      <c r="F33" s="67">
        <f t="shared" si="8"/>
        <v>163616.01993172243</v>
      </c>
      <c r="G33" s="67">
        <f t="shared" si="8"/>
        <v>1639705.701245086</v>
      </c>
      <c r="H33" s="67">
        <f t="shared" si="8"/>
        <v>1244964.1743334814</v>
      </c>
      <c r="I33" s="67">
        <f t="shared" si="8"/>
        <v>-1201226.3054554665</v>
      </c>
      <c r="J33" s="67">
        <f t="shared" si="8"/>
        <v>4618926.8393985406</v>
      </c>
      <c r="K33" s="67">
        <f t="shared" si="8"/>
        <v>6332266.0477978876</v>
      </c>
      <c r="L33" s="67">
        <f t="shared" si="8"/>
        <v>3819291.333638093</v>
      </c>
      <c r="M33" s="67">
        <f t="shared" si="8"/>
        <v>661281.11875931476</v>
      </c>
      <c r="N33" s="67">
        <f t="shared" si="8"/>
        <v>5133013.4017719692</v>
      </c>
      <c r="O33" s="67">
        <f t="shared" si="8"/>
        <v>34697903.661260158</v>
      </c>
      <c r="P33" s="67">
        <f>SUM(D33:O33)</f>
        <v>59404620.619137242</v>
      </c>
    </row>
    <row r="34" spans="1:17">
      <c r="A34" s="37"/>
      <c r="B34" s="81"/>
      <c r="C34" s="73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7">
      <c r="A35" s="58" t="s">
        <v>60</v>
      </c>
      <c r="B35" s="76"/>
      <c r="C35" s="73"/>
      <c r="D35" s="83"/>
      <c r="E35" s="83"/>
      <c r="F35" s="83"/>
      <c r="G35" s="83"/>
      <c r="N35" s="71"/>
      <c r="O35" s="28"/>
    </row>
    <row r="36" spans="1:17">
      <c r="A36" s="37">
        <f>MAX($A$13:A35)+1</f>
        <v>18</v>
      </c>
      <c r="B36" s="76" t="s">
        <v>61</v>
      </c>
      <c r="C36" s="30" t="s">
        <v>62</v>
      </c>
      <c r="D36" s="84">
        <v>3.2500000000000001E-2</v>
      </c>
      <c r="E36" s="84">
        <f>$D$36</f>
        <v>3.2500000000000001E-2</v>
      </c>
      <c r="F36" s="84">
        <f t="shared" ref="F36:I36" si="9">$D$36</f>
        <v>3.2500000000000001E-2</v>
      </c>
      <c r="G36" s="84">
        <f t="shared" si="9"/>
        <v>3.2500000000000001E-2</v>
      </c>
      <c r="H36" s="84">
        <f t="shared" si="9"/>
        <v>3.2500000000000001E-2</v>
      </c>
      <c r="I36" s="84">
        <f t="shared" si="9"/>
        <v>3.2500000000000001E-2</v>
      </c>
      <c r="J36" s="84">
        <v>3.5999999999999997E-2</v>
      </c>
      <c r="K36" s="84">
        <f>$J$36</f>
        <v>3.5999999999999997E-2</v>
      </c>
      <c r="L36" s="84">
        <f>$J$36</f>
        <v>3.5999999999999997E-2</v>
      </c>
      <c r="M36" s="84">
        <v>4.9099999999999998E-2</v>
      </c>
      <c r="N36" s="84">
        <f>$M$36</f>
        <v>4.9099999999999998E-2</v>
      </c>
      <c r="O36" s="84">
        <f>$M$36</f>
        <v>4.9099999999999998E-2</v>
      </c>
    </row>
    <row r="37" spans="1:17">
      <c r="A37" s="37">
        <f>MAX($A$13:A36)+1</f>
        <v>19</v>
      </c>
      <c r="B37" s="54" t="s">
        <v>63</v>
      </c>
      <c r="D37" s="85">
        <v>0</v>
      </c>
      <c r="E37" s="39">
        <f t="shared" ref="E37:O37" si="10">+D45</f>
        <v>2997853.121161974</v>
      </c>
      <c r="F37" s="39">
        <f t="shared" si="10"/>
        <v>5729927.1217490798</v>
      </c>
      <c r="G37" s="39">
        <f t="shared" si="10"/>
        <v>7321552.2640401134</v>
      </c>
      <c r="H37" s="39">
        <f t="shared" si="10"/>
        <v>10390966.023793602</v>
      </c>
      <c r="I37" s="39">
        <f t="shared" si="10"/>
        <v>11665758.286760934</v>
      </c>
      <c r="J37" s="39">
        <f t="shared" si="10"/>
        <v>10494500.082710139</v>
      </c>
      <c r="K37" s="39">
        <f t="shared" si="10"/>
        <v>15151838.812615909</v>
      </c>
      <c r="L37" s="39">
        <f t="shared" si="10"/>
        <v>21539058.775923342</v>
      </c>
      <c r="M37" s="39">
        <f t="shared" si="10"/>
        <v>25428696.222889662</v>
      </c>
      <c r="N37" s="39">
        <f t="shared" si="10"/>
        <v>26195375.961316429</v>
      </c>
      <c r="O37" s="39">
        <f t="shared" si="10"/>
        <v>31446073.39964791</v>
      </c>
      <c r="Q37" s="86"/>
    </row>
    <row r="38" spans="1:17">
      <c r="A38" s="37">
        <f>MAX($A$13:A37)+1</f>
        <v>20</v>
      </c>
      <c r="B38" s="54" t="s">
        <v>64</v>
      </c>
      <c r="C38" s="30" t="s">
        <v>65</v>
      </c>
      <c r="D38" s="87">
        <f t="shared" ref="D38:O38" si="11">+D33</f>
        <v>1087206.174481851</v>
      </c>
      <c r="E38" s="87">
        <f t="shared" si="11"/>
        <v>1207672.4519745987</v>
      </c>
      <c r="F38" s="87">
        <f t="shared" si="11"/>
        <v>163616.01993172243</v>
      </c>
      <c r="G38" s="87">
        <f t="shared" si="11"/>
        <v>1639705.701245086</v>
      </c>
      <c r="H38" s="87">
        <f t="shared" si="11"/>
        <v>1244964.1743334814</v>
      </c>
      <c r="I38" s="87">
        <f t="shared" si="11"/>
        <v>-1201226.3054554665</v>
      </c>
      <c r="J38" s="87">
        <f t="shared" si="11"/>
        <v>4618926.8393985406</v>
      </c>
      <c r="K38" s="87">
        <f t="shared" si="11"/>
        <v>6332266.0477978876</v>
      </c>
      <c r="L38" s="87">
        <f t="shared" si="11"/>
        <v>3819291.333638093</v>
      </c>
      <c r="M38" s="87">
        <f t="shared" si="11"/>
        <v>661281.11875931476</v>
      </c>
      <c r="N38" s="87">
        <f t="shared" si="11"/>
        <v>5133013.4017719692</v>
      </c>
      <c r="O38" s="87">
        <f t="shared" si="11"/>
        <v>34697903.661260158</v>
      </c>
      <c r="Q38" s="87"/>
    </row>
    <row r="39" spans="1:17">
      <c r="A39" s="37" t="s">
        <v>66</v>
      </c>
      <c r="B39" s="54" t="s">
        <v>9</v>
      </c>
      <c r="C39" s="30" t="s">
        <v>67</v>
      </c>
      <c r="D39" s="88">
        <f t="shared" ref="D39:G39" si="12">$D$11*D15</f>
        <v>1906592.8438428082</v>
      </c>
      <c r="E39" s="88">
        <f t="shared" si="12"/>
        <v>1512598.6626083627</v>
      </c>
      <c r="F39" s="88">
        <f t="shared" si="12"/>
        <v>1410359.1450353481</v>
      </c>
      <c r="G39" s="88">
        <f t="shared" si="12"/>
        <v>1405754.7933734979</v>
      </c>
      <c r="H39" s="88"/>
      <c r="I39" s="88"/>
      <c r="J39" s="88"/>
      <c r="K39" s="88"/>
      <c r="L39" s="88"/>
      <c r="M39" s="88"/>
      <c r="N39" s="88"/>
      <c r="O39" s="88"/>
      <c r="Q39" s="87"/>
    </row>
    <row r="40" spans="1:17">
      <c r="A40" s="37" t="s">
        <v>68</v>
      </c>
      <c r="B40" s="54" t="s">
        <v>69</v>
      </c>
      <c r="C40" s="30" t="s">
        <v>70</v>
      </c>
      <c r="D40" s="87">
        <f>D38+D39</f>
        <v>2993799.0183246592</v>
      </c>
      <c r="E40" s="87">
        <f t="shared" ref="E40:O40" si="13">E38+E39</f>
        <v>2720271.1145829614</v>
      </c>
      <c r="F40" s="87">
        <f t="shared" si="13"/>
        <v>1573975.1649670706</v>
      </c>
      <c r="G40" s="87">
        <f t="shared" si="13"/>
        <v>3045460.4946185839</v>
      </c>
      <c r="H40" s="87">
        <f t="shared" si="13"/>
        <v>1244964.1743334814</v>
      </c>
      <c r="I40" s="87">
        <f t="shared" si="13"/>
        <v>-1201226.3054554665</v>
      </c>
      <c r="J40" s="87">
        <f t="shared" si="13"/>
        <v>4618926.8393985406</v>
      </c>
      <c r="K40" s="87">
        <f t="shared" si="13"/>
        <v>6332266.0477978876</v>
      </c>
      <c r="L40" s="87">
        <f t="shared" si="13"/>
        <v>3819291.333638093</v>
      </c>
      <c r="M40" s="87">
        <f t="shared" si="13"/>
        <v>661281.11875931476</v>
      </c>
      <c r="N40" s="87">
        <f t="shared" si="13"/>
        <v>5133013.4017719692</v>
      </c>
      <c r="O40" s="87">
        <f t="shared" si="13"/>
        <v>34697903.661260158</v>
      </c>
      <c r="Q40" s="87"/>
    </row>
    <row r="41" spans="1:17">
      <c r="A41" s="37"/>
      <c r="B41" s="54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Q41" s="87"/>
    </row>
    <row r="42" spans="1:17">
      <c r="A42" s="37" t="s">
        <v>71</v>
      </c>
      <c r="B42" s="54" t="s">
        <v>72</v>
      </c>
      <c r="C42" s="30" t="s">
        <v>73</v>
      </c>
      <c r="D42" s="87">
        <f>D37+D40</f>
        <v>2993799.0183246592</v>
      </c>
      <c r="E42" s="87">
        <f t="shared" ref="E42:O42" si="14">E37+E40</f>
        <v>5718124.2357449355</v>
      </c>
      <c r="F42" s="87">
        <f t="shared" si="14"/>
        <v>7303902.2867161501</v>
      </c>
      <c r="G42" s="87">
        <f t="shared" si="14"/>
        <v>10367012.758658698</v>
      </c>
      <c r="H42" s="87">
        <f t="shared" si="14"/>
        <v>11635930.198127083</v>
      </c>
      <c r="I42" s="87">
        <f t="shared" si="14"/>
        <v>10464531.981305467</v>
      </c>
      <c r="J42" s="87">
        <f t="shared" si="14"/>
        <v>15113426.92210868</v>
      </c>
      <c r="K42" s="87">
        <f t="shared" si="14"/>
        <v>21484104.860413797</v>
      </c>
      <c r="L42" s="87">
        <f t="shared" si="14"/>
        <v>25358350.109561436</v>
      </c>
      <c r="M42" s="87">
        <f t="shared" si="14"/>
        <v>26089977.341648977</v>
      </c>
      <c r="N42" s="87">
        <f t="shared" si="14"/>
        <v>31328389.363088399</v>
      </c>
      <c r="O42" s="87">
        <f t="shared" si="14"/>
        <v>66143977.060908064</v>
      </c>
      <c r="Q42" s="87"/>
    </row>
    <row r="43" spans="1:17">
      <c r="A43" s="37"/>
      <c r="B43" s="54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Q43" s="87"/>
    </row>
    <row r="44" spans="1:17" ht="25.5">
      <c r="A44" s="37">
        <f>MAX($A$13:A38)+1</f>
        <v>21</v>
      </c>
      <c r="B44" s="49" t="s">
        <v>74</v>
      </c>
      <c r="C44" s="89" t="str">
        <f>"Line "&amp;$A$37&amp;" * ( Line "&amp;$A$40&amp;" + 50%) x Line "&amp;$A$36&amp;"/12"</f>
        <v>Line 19 * ( Line 20b + 50%) x Line 18/12</v>
      </c>
      <c r="D44" s="90">
        <f>+((D40*0.5)+D37)*D36/12</f>
        <v>4054.1028373146432</v>
      </c>
      <c r="E44" s="90">
        <f t="shared" ref="E44:O44" si="15">+((E40*0.5)+E37)*E36/12</f>
        <v>11802.886004144775</v>
      </c>
      <c r="F44" s="90">
        <f t="shared" si="15"/>
        <v>17649.977323963332</v>
      </c>
      <c r="G44" s="90">
        <f t="shared" si="15"/>
        <v>23953.265134904639</v>
      </c>
      <c r="H44" s="90">
        <f t="shared" si="15"/>
        <v>29828.08863385093</v>
      </c>
      <c r="I44" s="90">
        <f t="shared" si="15"/>
        <v>29968.101404673256</v>
      </c>
      <c r="J44" s="90">
        <f t="shared" si="15"/>
        <v>38411.890507228229</v>
      </c>
      <c r="K44" s="90">
        <f t="shared" si="15"/>
        <v>54953.915509544553</v>
      </c>
      <c r="L44" s="90">
        <f t="shared" si="15"/>
        <v>70346.113328227162</v>
      </c>
      <c r="M44" s="90">
        <f t="shared" si="15"/>
        <v>105398.61966745195</v>
      </c>
      <c r="N44" s="90">
        <f t="shared" si="15"/>
        <v>117684.03655951154</v>
      </c>
      <c r="O44" s="90">
        <f t="shared" si="15"/>
        <v>199652.97823388744</v>
      </c>
    </row>
    <row r="45" spans="1:17" ht="13.5" thickBot="1">
      <c r="A45" s="37">
        <f>MAX($A$13:A44)+1</f>
        <v>22</v>
      </c>
      <c r="B45" s="91" t="s">
        <v>75</v>
      </c>
      <c r="C45" s="89" t="s">
        <v>76</v>
      </c>
      <c r="D45" s="92">
        <f>D42+D44</f>
        <v>2997853.121161974</v>
      </c>
      <c r="E45" s="92">
        <f t="shared" ref="E45:O45" si="16">E42+E44</f>
        <v>5729927.1217490798</v>
      </c>
      <c r="F45" s="92">
        <f t="shared" si="16"/>
        <v>7321552.2640401134</v>
      </c>
      <c r="G45" s="92">
        <f t="shared" si="16"/>
        <v>10390966.023793602</v>
      </c>
      <c r="H45" s="92">
        <f t="shared" si="16"/>
        <v>11665758.286760934</v>
      </c>
      <c r="I45" s="92">
        <f t="shared" si="16"/>
        <v>10494500.082710139</v>
      </c>
      <c r="J45" s="92">
        <f t="shared" si="16"/>
        <v>15151838.812615909</v>
      </c>
      <c r="K45" s="92">
        <f t="shared" si="16"/>
        <v>21539058.775923342</v>
      </c>
      <c r="L45" s="92">
        <f t="shared" si="16"/>
        <v>25428696.222889662</v>
      </c>
      <c r="M45" s="92">
        <f t="shared" si="16"/>
        <v>26195375.961316429</v>
      </c>
      <c r="N45" s="92">
        <f t="shared" si="16"/>
        <v>31446073.39964791</v>
      </c>
      <c r="O45" s="92">
        <f t="shared" si="16"/>
        <v>66343630.039141953</v>
      </c>
      <c r="P45" s="92">
        <f>O45</f>
        <v>66343630.039141953</v>
      </c>
    </row>
    <row r="46" spans="1:17" ht="13.5" thickTop="1">
      <c r="A46" s="37"/>
    </row>
    <row r="47" spans="1:17" ht="25.5" customHeight="1">
      <c r="A47" s="37">
        <f>MAX($A$13:A46)+1</f>
        <v>23</v>
      </c>
      <c r="B47" s="62" t="s">
        <v>11</v>
      </c>
      <c r="C47" s="93" t="str">
        <f>"Line "&amp;$A$45&amp;" * (1 + 1.0631% / 12) ^ 3 - Line "&amp;$A$45&amp;""</f>
        <v>Line 22 * (1 + 1.0631% / 12) ^ 3 - Line 22</v>
      </c>
      <c r="P47" s="94">
        <f>(P45)*(1+0.0631/12)^3-(P45)</f>
        <v>1052083.6277189106</v>
      </c>
    </row>
    <row r="48" spans="1:17" ht="25.5" customHeight="1">
      <c r="A48" s="37">
        <f>MAX($A$13:A47)+1</f>
        <v>24</v>
      </c>
      <c r="B48" s="62" t="s">
        <v>12</v>
      </c>
      <c r="C48" s="93" t="str">
        <f>"(Line "&amp;$A$45&amp;" + "&amp;$A$47&amp;") * (1 + 1.075% / 12) ^ 3 - (Line "&amp;$A$45&amp;" + "&amp;$A$47&amp;")"</f>
        <v>(Line 22 + 23) * (1 + 1.075% / 12) ^ 3 - (Line 22 + 23)</v>
      </c>
      <c r="P48" s="94">
        <f>(P45+P47)*(1+0.075/12)^3-(P45+P47)</f>
        <v>1271584.0204806477</v>
      </c>
    </row>
    <row r="49" spans="1:16" ht="25.5" customHeight="1">
      <c r="A49" s="37">
        <f>MAX($A$13:A48)+1</f>
        <v>25</v>
      </c>
      <c r="B49" s="62" t="s">
        <v>13</v>
      </c>
      <c r="C49" s="93" t="str">
        <f>"(Line "&amp;$A$45&amp;" + "&amp;$A$47&amp;" + "&amp;$A$48&amp;") * (1 + 1.0802% / 12) ^ 6 - (Line "&amp;$A$45&amp;" + "&amp;$A$47&amp;" + "&amp;$A$48&amp;")"</f>
        <v>(Line 22 + 23 + 24) * (1 + 1.0802% / 12) ^ 6 - (Line 22 + 23 + 24)</v>
      </c>
      <c r="P49" s="94">
        <f>(P45+P47+P48)*(1+0.0802/12)^6-(P45+P47+P48)</f>
        <v>2799978.0501709878</v>
      </c>
    </row>
    <row r="50" spans="1:16">
      <c r="A50" s="37"/>
    </row>
    <row r="51" spans="1:16" ht="13.5" thickBot="1">
      <c r="A51" s="37">
        <f>MAX($A$13:A50)+1</f>
        <v>26</v>
      </c>
      <c r="B51" s="29" t="s">
        <v>77</v>
      </c>
      <c r="C51" s="30" t="str">
        <f>"∑ Lines "&amp;$A$45&amp;":"&amp;A49&amp;""</f>
        <v>∑ Lines 22:25</v>
      </c>
      <c r="P51" s="95">
        <f>P45+P47+P48+P49</f>
        <v>71467275.737512499</v>
      </c>
    </row>
    <row r="52" spans="1:16" ht="13.5" thickTop="1"/>
    <row r="55" spans="1:16">
      <c r="H55" s="96"/>
    </row>
  </sheetData>
  <mergeCells count="4">
    <mergeCell ref="F7:G7"/>
    <mergeCell ref="F8:G8"/>
    <mergeCell ref="F9:G9"/>
    <mergeCell ref="R27:U27"/>
  </mergeCells>
  <pageMargins left="0.7" right="0.7" top="0.75" bottom="0.75" header="0.3" footer="0.3"/>
  <pageSetup scale="42" orientation="landscape" r:id="rId1"/>
  <ignoredErrors>
    <ignoredError sqref="C7:C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205563-1946-4319-B1BA-B44580DDED0E}"/>
</file>

<file path=customXml/itemProps2.xml><?xml version="1.0" encoding="utf-8"?>
<ds:datastoreItem xmlns:ds="http://schemas.openxmlformats.org/officeDocument/2006/customXml" ds:itemID="{9AE913E5-86F2-46E2-A415-4F6F598E1C31}"/>
</file>

<file path=customXml/itemProps3.xml><?xml version="1.0" encoding="utf-8"?>
<ds:datastoreItem xmlns:ds="http://schemas.openxmlformats.org/officeDocument/2006/customXml" ds:itemID="{83F860E3-DBE5-40CB-B090-C4E95B7DC448}"/>
</file>

<file path=customXml/itemProps4.xml><?xml version="1.0" encoding="utf-8"?>
<ds:datastoreItem xmlns:ds="http://schemas.openxmlformats.org/officeDocument/2006/customXml" ds:itemID="{0783241E-28BD-406B-B070-B22E56995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Jack (PacifiCorp)</dc:creator>
  <cp:keywords/>
  <dc:description/>
  <cp:lastModifiedBy>McVee, Matthew (PacifiCorp)</cp:lastModifiedBy>
  <cp:revision/>
  <dcterms:created xsi:type="dcterms:W3CDTF">2023-06-08T21:08:40Z</dcterms:created>
  <dcterms:modified xsi:type="dcterms:W3CDTF">2023-06-09T16:09:11Z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