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66925"/>
  <xr:revisionPtr revIDLastSave="68" documentId="13_ncr:1_{AC4F0C20-9DDA-4274-A0DC-FE04F3C527D8}" xr6:coauthVersionLast="47" xr6:coauthVersionMax="47" xr10:uidLastSave="{D05FED7E-51D7-47CE-A247-DB6233A975BE}"/>
  <bookViews>
    <workbookView xWindow="28680" yWindow="-120" windowWidth="29040" windowHeight="15840" xr2:uid="{00000000-000D-0000-FFFF-FFFF00000000}"/>
  </bookViews>
  <sheets>
    <sheet name="Total First Year" sheetId="1" r:id="rId1"/>
    <sheet name="APP 2885" sheetId="2" r:id="rId2"/>
  </sheets>
  <definedNames>
    <definedName name="_xlnm._FilterDatabase" localSheetId="0" hidden="1">'Total First Year'!$A$4:$V$89</definedName>
    <definedName name="JR_PAGE_ANCHOR_0_1">'Total First Year'!$A$1</definedName>
    <definedName name="JR_PAGE_ANCHOR_0_2">'APP 2885'!$A$1</definedName>
    <definedName name="JR_PAGE_ANCHOR_0_3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9" i="1" l="1"/>
  <c r="P89" i="1"/>
  <c r="K89" i="1"/>
  <c r="J89" i="1"/>
  <c r="K91" i="1"/>
  <c r="P87" i="1"/>
  <c r="P85" i="1"/>
  <c r="P84" i="1"/>
  <c r="P82" i="1"/>
  <c r="P81" i="1"/>
  <c r="P79" i="1"/>
  <c r="P78" i="1"/>
  <c r="P77" i="1"/>
  <c r="P72" i="1"/>
  <c r="P29" i="1"/>
  <c r="G5" i="1"/>
  <c r="M5" i="1" s="1"/>
  <c r="I5" i="1"/>
  <c r="H89" i="1"/>
  <c r="J5" i="1"/>
  <c r="N89" i="1"/>
  <c r="E89" i="1"/>
  <c r="P88" i="1"/>
  <c r="J88" i="1"/>
  <c r="I88" i="1"/>
  <c r="G88" i="1"/>
  <c r="M88" i="1" s="1"/>
  <c r="J87" i="1"/>
  <c r="I87" i="1"/>
  <c r="G87" i="1"/>
  <c r="M87" i="1" s="1"/>
  <c r="P86" i="1"/>
  <c r="J86" i="1"/>
  <c r="I86" i="1"/>
  <c r="G86" i="1"/>
  <c r="M86" i="1" s="1"/>
  <c r="J85" i="1"/>
  <c r="I85" i="1"/>
  <c r="G85" i="1"/>
  <c r="M85" i="1" s="1"/>
  <c r="J84" i="1"/>
  <c r="I84" i="1"/>
  <c r="G84" i="1"/>
  <c r="M84" i="1" s="1"/>
  <c r="P83" i="1"/>
  <c r="J83" i="1"/>
  <c r="I83" i="1"/>
  <c r="G83" i="1"/>
  <c r="J82" i="1"/>
  <c r="I82" i="1"/>
  <c r="G82" i="1"/>
  <c r="J81" i="1"/>
  <c r="I81" i="1"/>
  <c r="G81" i="1"/>
  <c r="P80" i="1"/>
  <c r="J80" i="1"/>
  <c r="I80" i="1"/>
  <c r="G80" i="1"/>
  <c r="M80" i="1" s="1"/>
  <c r="J79" i="1"/>
  <c r="I79" i="1"/>
  <c r="G79" i="1"/>
  <c r="M79" i="1" s="1"/>
  <c r="J78" i="1"/>
  <c r="I78" i="1"/>
  <c r="G78" i="1"/>
  <c r="M78" i="1" s="1"/>
  <c r="J77" i="1"/>
  <c r="I77" i="1"/>
  <c r="G77" i="1"/>
  <c r="M77" i="1" s="1"/>
  <c r="P76" i="1"/>
  <c r="J76" i="1"/>
  <c r="I76" i="1"/>
  <c r="G76" i="1"/>
  <c r="M76" i="1" s="1"/>
  <c r="P75" i="1"/>
  <c r="J75" i="1"/>
  <c r="I75" i="1"/>
  <c r="G75" i="1"/>
  <c r="M75" i="1" s="1"/>
  <c r="P74" i="1"/>
  <c r="J74" i="1"/>
  <c r="I74" i="1"/>
  <c r="G74" i="1"/>
  <c r="M74" i="1" s="1"/>
  <c r="P73" i="1"/>
  <c r="J73" i="1"/>
  <c r="I73" i="1"/>
  <c r="G73" i="1"/>
  <c r="M73" i="1" s="1"/>
  <c r="J72" i="1"/>
  <c r="I72" i="1"/>
  <c r="G72" i="1"/>
  <c r="M72" i="1" s="1"/>
  <c r="P71" i="1"/>
  <c r="J71" i="1"/>
  <c r="I71" i="1"/>
  <c r="G71" i="1"/>
  <c r="P70" i="1"/>
  <c r="J70" i="1"/>
  <c r="I70" i="1"/>
  <c r="G70" i="1"/>
  <c r="P69" i="1"/>
  <c r="J69" i="1"/>
  <c r="I69" i="1"/>
  <c r="G69" i="1"/>
  <c r="P68" i="1"/>
  <c r="J68" i="1"/>
  <c r="I68" i="1"/>
  <c r="G68" i="1"/>
  <c r="M68" i="1" s="1"/>
  <c r="P67" i="1"/>
  <c r="J67" i="1"/>
  <c r="I67" i="1"/>
  <c r="G67" i="1"/>
  <c r="M67" i="1" s="1"/>
  <c r="P66" i="1"/>
  <c r="J66" i="1"/>
  <c r="I66" i="1"/>
  <c r="G66" i="1"/>
  <c r="M66" i="1" s="1"/>
  <c r="P65" i="1"/>
  <c r="J65" i="1"/>
  <c r="I65" i="1"/>
  <c r="G65" i="1"/>
  <c r="M65" i="1" s="1"/>
  <c r="P64" i="1"/>
  <c r="J64" i="1"/>
  <c r="I64" i="1"/>
  <c r="G64" i="1"/>
  <c r="M64" i="1" s="1"/>
  <c r="P63" i="1"/>
  <c r="J63" i="1"/>
  <c r="I63" i="1"/>
  <c r="G63" i="1"/>
  <c r="M63" i="1" s="1"/>
  <c r="P62" i="1"/>
  <c r="J62" i="1"/>
  <c r="I62" i="1"/>
  <c r="G62" i="1"/>
  <c r="M62" i="1" s="1"/>
  <c r="P61" i="1"/>
  <c r="J61" i="1"/>
  <c r="I61" i="1"/>
  <c r="G61" i="1"/>
  <c r="M61" i="1" s="1"/>
  <c r="P60" i="1"/>
  <c r="J60" i="1"/>
  <c r="I60" i="1"/>
  <c r="G60" i="1"/>
  <c r="M60" i="1" s="1"/>
  <c r="P59" i="1"/>
  <c r="J59" i="1"/>
  <c r="I59" i="1"/>
  <c r="G59" i="1"/>
  <c r="P58" i="1"/>
  <c r="J58" i="1"/>
  <c r="I58" i="1"/>
  <c r="G58" i="1"/>
  <c r="P57" i="1"/>
  <c r="J57" i="1"/>
  <c r="I57" i="1"/>
  <c r="G57" i="1"/>
  <c r="P56" i="1"/>
  <c r="J56" i="1"/>
  <c r="I56" i="1"/>
  <c r="G56" i="1"/>
  <c r="M56" i="1" s="1"/>
  <c r="P55" i="1"/>
  <c r="J55" i="1"/>
  <c r="I55" i="1"/>
  <c r="G55" i="1"/>
  <c r="M55" i="1" s="1"/>
  <c r="P54" i="1"/>
  <c r="J54" i="1"/>
  <c r="I54" i="1"/>
  <c r="G54" i="1"/>
  <c r="M54" i="1" s="1"/>
  <c r="P53" i="1"/>
  <c r="J53" i="1"/>
  <c r="I53" i="1"/>
  <c r="G53" i="1"/>
  <c r="M53" i="1" s="1"/>
  <c r="P52" i="1"/>
  <c r="J52" i="1"/>
  <c r="I52" i="1"/>
  <c r="G52" i="1"/>
  <c r="M52" i="1" s="1"/>
  <c r="P51" i="1"/>
  <c r="J51" i="1"/>
  <c r="I51" i="1"/>
  <c r="G51" i="1"/>
  <c r="M51" i="1" s="1"/>
  <c r="P50" i="1"/>
  <c r="J50" i="1"/>
  <c r="I50" i="1"/>
  <c r="G50" i="1"/>
  <c r="M50" i="1" s="1"/>
  <c r="P49" i="1"/>
  <c r="J49" i="1"/>
  <c r="I49" i="1"/>
  <c r="G49" i="1"/>
  <c r="M49" i="1" s="1"/>
  <c r="P48" i="1"/>
  <c r="J48" i="1"/>
  <c r="I48" i="1"/>
  <c r="G48" i="1"/>
  <c r="M48" i="1" s="1"/>
  <c r="P47" i="1"/>
  <c r="J47" i="1"/>
  <c r="I47" i="1"/>
  <c r="G47" i="1"/>
  <c r="P46" i="1"/>
  <c r="J46" i="1"/>
  <c r="I46" i="1"/>
  <c r="G46" i="1"/>
  <c r="P45" i="1"/>
  <c r="J45" i="1"/>
  <c r="I45" i="1"/>
  <c r="G45" i="1"/>
  <c r="P44" i="1"/>
  <c r="J44" i="1"/>
  <c r="I44" i="1"/>
  <c r="G44" i="1"/>
  <c r="M44" i="1" s="1"/>
  <c r="P43" i="1"/>
  <c r="J43" i="1"/>
  <c r="I43" i="1"/>
  <c r="G43" i="1"/>
  <c r="M43" i="1" s="1"/>
  <c r="P42" i="1"/>
  <c r="J42" i="1"/>
  <c r="I42" i="1"/>
  <c r="G42" i="1"/>
  <c r="M42" i="1" s="1"/>
  <c r="P41" i="1"/>
  <c r="J41" i="1"/>
  <c r="I41" i="1"/>
  <c r="G41" i="1"/>
  <c r="M41" i="1" s="1"/>
  <c r="P40" i="1"/>
  <c r="J40" i="1"/>
  <c r="I40" i="1"/>
  <c r="G40" i="1"/>
  <c r="M40" i="1" s="1"/>
  <c r="P39" i="1"/>
  <c r="J39" i="1"/>
  <c r="I39" i="1"/>
  <c r="G39" i="1"/>
  <c r="M39" i="1" s="1"/>
  <c r="P38" i="1"/>
  <c r="J38" i="1"/>
  <c r="I38" i="1"/>
  <c r="G38" i="1"/>
  <c r="M38" i="1" s="1"/>
  <c r="P37" i="1"/>
  <c r="J37" i="1"/>
  <c r="I37" i="1"/>
  <c r="G37" i="1"/>
  <c r="M37" i="1" s="1"/>
  <c r="P36" i="1"/>
  <c r="J36" i="1"/>
  <c r="I36" i="1"/>
  <c r="G36" i="1"/>
  <c r="M36" i="1" s="1"/>
  <c r="P35" i="1"/>
  <c r="J35" i="1"/>
  <c r="I35" i="1"/>
  <c r="G35" i="1"/>
  <c r="P34" i="1"/>
  <c r="J34" i="1"/>
  <c r="I34" i="1"/>
  <c r="G34" i="1"/>
  <c r="P33" i="1"/>
  <c r="J33" i="1"/>
  <c r="I33" i="1"/>
  <c r="G33" i="1"/>
  <c r="P32" i="1"/>
  <c r="J32" i="1"/>
  <c r="I32" i="1"/>
  <c r="G32" i="1"/>
  <c r="M32" i="1" s="1"/>
  <c r="P31" i="1"/>
  <c r="J31" i="1"/>
  <c r="I31" i="1"/>
  <c r="G31" i="1"/>
  <c r="M31" i="1" s="1"/>
  <c r="P30" i="1"/>
  <c r="J30" i="1"/>
  <c r="I30" i="1"/>
  <c r="G30" i="1"/>
  <c r="M30" i="1" s="1"/>
  <c r="J29" i="1"/>
  <c r="I29" i="1"/>
  <c r="G29" i="1"/>
  <c r="M29" i="1" s="1"/>
  <c r="P28" i="1"/>
  <c r="J28" i="1"/>
  <c r="I28" i="1"/>
  <c r="G28" i="1"/>
  <c r="M28" i="1" s="1"/>
  <c r="P27" i="1"/>
  <c r="J27" i="1"/>
  <c r="I27" i="1"/>
  <c r="G27" i="1"/>
  <c r="M27" i="1" s="1"/>
  <c r="P26" i="1"/>
  <c r="J26" i="1"/>
  <c r="I26" i="1"/>
  <c r="G26" i="1"/>
  <c r="M26" i="1" s="1"/>
  <c r="P25" i="1"/>
  <c r="J25" i="1"/>
  <c r="I25" i="1"/>
  <c r="G25" i="1"/>
  <c r="M25" i="1" s="1"/>
  <c r="P24" i="1"/>
  <c r="J24" i="1"/>
  <c r="I24" i="1"/>
  <c r="G24" i="1"/>
  <c r="M24" i="1" s="1"/>
  <c r="P23" i="1"/>
  <c r="J23" i="1"/>
  <c r="I23" i="1"/>
  <c r="G23" i="1"/>
  <c r="P22" i="1"/>
  <c r="J22" i="1"/>
  <c r="I22" i="1"/>
  <c r="G22" i="1"/>
  <c r="P21" i="1"/>
  <c r="J21" i="1"/>
  <c r="I21" i="1"/>
  <c r="G21" i="1"/>
  <c r="P20" i="1"/>
  <c r="J20" i="1"/>
  <c r="I20" i="1"/>
  <c r="G20" i="1"/>
  <c r="M20" i="1" s="1"/>
  <c r="T20" i="1" s="1"/>
  <c r="P19" i="1"/>
  <c r="J19" i="1"/>
  <c r="I19" i="1"/>
  <c r="G19" i="1"/>
  <c r="M19" i="1" s="1"/>
  <c r="P18" i="1"/>
  <c r="J18" i="1"/>
  <c r="I18" i="1"/>
  <c r="G18" i="1"/>
  <c r="M18" i="1" s="1"/>
  <c r="P17" i="1"/>
  <c r="J17" i="1"/>
  <c r="I17" i="1"/>
  <c r="G17" i="1"/>
  <c r="M17" i="1" s="1"/>
  <c r="P16" i="1"/>
  <c r="J16" i="1"/>
  <c r="I16" i="1"/>
  <c r="G16" i="1"/>
  <c r="M16" i="1" s="1"/>
  <c r="P15" i="1"/>
  <c r="J15" i="1"/>
  <c r="I15" i="1"/>
  <c r="G15" i="1"/>
  <c r="M15" i="1" s="1"/>
  <c r="P14" i="1"/>
  <c r="J14" i="1"/>
  <c r="I14" i="1"/>
  <c r="G14" i="1"/>
  <c r="M14" i="1" s="1"/>
  <c r="P13" i="1"/>
  <c r="J13" i="1"/>
  <c r="I13" i="1"/>
  <c r="G13" i="1"/>
  <c r="M13" i="1" s="1"/>
  <c r="P12" i="1"/>
  <c r="J12" i="1"/>
  <c r="I12" i="1"/>
  <c r="G12" i="1"/>
  <c r="M12" i="1" s="1"/>
  <c r="P11" i="1"/>
  <c r="J11" i="1"/>
  <c r="I11" i="1"/>
  <c r="G11" i="1"/>
  <c r="P10" i="1"/>
  <c r="J10" i="1"/>
  <c r="I10" i="1"/>
  <c r="G10" i="1"/>
  <c r="P9" i="1"/>
  <c r="J9" i="1"/>
  <c r="I9" i="1"/>
  <c r="G9" i="1"/>
  <c r="P8" i="1"/>
  <c r="J8" i="1"/>
  <c r="I8" i="1"/>
  <c r="G8" i="1"/>
  <c r="M8" i="1" s="1"/>
  <c r="P7" i="1"/>
  <c r="J7" i="1"/>
  <c r="I7" i="1"/>
  <c r="G7" i="1"/>
  <c r="M7" i="1" s="1"/>
  <c r="P6" i="1"/>
  <c r="J6" i="1"/>
  <c r="I6" i="1"/>
  <c r="G6" i="1"/>
  <c r="M6" i="1" s="1"/>
  <c r="P5" i="1"/>
  <c r="K10" i="1" l="1"/>
  <c r="K58" i="1"/>
  <c r="K5" i="1"/>
  <c r="T5" i="1" s="1"/>
  <c r="K60" i="1"/>
  <c r="K78" i="1"/>
  <c r="T78" i="1" s="1"/>
  <c r="Q14" i="1"/>
  <c r="K26" i="1"/>
  <c r="T26" i="1" s="1"/>
  <c r="K18" i="1"/>
  <c r="T18" i="1" s="1"/>
  <c r="K62" i="1"/>
  <c r="T62" i="1" s="1"/>
  <c r="K54" i="1"/>
  <c r="T54" i="1" s="1"/>
  <c r="K29" i="1"/>
  <c r="T29" i="1" s="1"/>
  <c r="K30" i="1"/>
  <c r="T30" i="1" s="1"/>
  <c r="K27" i="1"/>
  <c r="T27" i="1" s="1"/>
  <c r="K42" i="1"/>
  <c r="T42" i="1" s="1"/>
  <c r="K68" i="1"/>
  <c r="T68" i="1" s="1"/>
  <c r="K71" i="1"/>
  <c r="Q68" i="1"/>
  <c r="K80" i="1"/>
  <c r="T80" i="1" s="1"/>
  <c r="K83" i="1"/>
  <c r="K6" i="1"/>
  <c r="T6" i="1" s="1"/>
  <c r="Q50" i="1"/>
  <c r="K84" i="1"/>
  <c r="T84" i="1" s="1"/>
  <c r="Q37" i="1"/>
  <c r="K82" i="1"/>
  <c r="K28" i="1"/>
  <c r="T28" i="1" s="1"/>
  <c r="Q62" i="1"/>
  <c r="K74" i="1"/>
  <c r="T74" i="1" s="1"/>
  <c r="K24" i="1"/>
  <c r="T24" i="1" s="1"/>
  <c r="K38" i="1"/>
  <c r="T38" i="1" s="1"/>
  <c r="K88" i="1"/>
  <c r="T88" i="1" s="1"/>
  <c r="K66" i="1"/>
  <c r="T66" i="1" s="1"/>
  <c r="K72" i="1"/>
  <c r="T72" i="1" s="1"/>
  <c r="Q74" i="1"/>
  <c r="Q85" i="1"/>
  <c r="K36" i="1"/>
  <c r="T36" i="1" s="1"/>
  <c r="K8" i="1"/>
  <c r="T8" i="1" s="1"/>
  <c r="K11" i="1"/>
  <c r="K14" i="1"/>
  <c r="T14" i="1" s="1"/>
  <c r="K25" i="1"/>
  <c r="T25" i="1" s="1"/>
  <c r="K50" i="1"/>
  <c r="T50" i="1" s="1"/>
  <c r="K86" i="1"/>
  <c r="T86" i="1" s="1"/>
  <c r="K64" i="1"/>
  <c r="T64" i="1" s="1"/>
  <c r="K70" i="1"/>
  <c r="K17" i="1"/>
  <c r="T17" i="1" s="1"/>
  <c r="K12" i="1"/>
  <c r="T12" i="1" s="1"/>
  <c r="Q86" i="1"/>
  <c r="Q26" i="1"/>
  <c r="Q38" i="1"/>
  <c r="Q75" i="1"/>
  <c r="Q25" i="1"/>
  <c r="K23" i="1"/>
  <c r="Q72" i="1"/>
  <c r="Q13" i="1"/>
  <c r="K55" i="1"/>
  <c r="T55" i="1" s="1"/>
  <c r="K79" i="1"/>
  <c r="T79" i="1" s="1"/>
  <c r="K67" i="1"/>
  <c r="T67" i="1" s="1"/>
  <c r="K20" i="1"/>
  <c r="U20" i="1" s="1"/>
  <c r="Q48" i="1"/>
  <c r="K53" i="1"/>
  <c r="T53" i="1" s="1"/>
  <c r="K77" i="1"/>
  <c r="T77" i="1" s="1"/>
  <c r="K32" i="1"/>
  <c r="T32" i="1" s="1"/>
  <c r="K13" i="1"/>
  <c r="T13" i="1" s="1"/>
  <c r="K81" i="1"/>
  <c r="K43" i="1"/>
  <c r="T43" i="1" s="1"/>
  <c r="K46" i="1"/>
  <c r="K61" i="1"/>
  <c r="T61" i="1" s="1"/>
  <c r="K63" i="1"/>
  <c r="T63" i="1" s="1"/>
  <c r="Q84" i="1"/>
  <c r="K69" i="1"/>
  <c r="K16" i="1"/>
  <c r="T16" i="1" s="1"/>
  <c r="Q36" i="1"/>
  <c r="K41" i="1"/>
  <c r="T41" i="1" s="1"/>
  <c r="K73" i="1"/>
  <c r="T73" i="1" s="1"/>
  <c r="K75" i="1"/>
  <c r="T75" i="1" s="1"/>
  <c r="K35" i="1"/>
  <c r="K15" i="1"/>
  <c r="T15" i="1" s="1"/>
  <c r="K40" i="1"/>
  <c r="T40" i="1" s="1"/>
  <c r="K65" i="1"/>
  <c r="T65" i="1" s="1"/>
  <c r="K31" i="1"/>
  <c r="T31" i="1" s="1"/>
  <c r="K34" i="1"/>
  <c r="K49" i="1"/>
  <c r="T49" i="1" s="1"/>
  <c r="K51" i="1"/>
  <c r="T51" i="1" s="1"/>
  <c r="Q61" i="1"/>
  <c r="K48" i="1"/>
  <c r="T48" i="1" s="1"/>
  <c r="Q24" i="1"/>
  <c r="K56" i="1"/>
  <c r="T56" i="1" s="1"/>
  <c r="K59" i="1"/>
  <c r="Q73" i="1"/>
  <c r="K52" i="1"/>
  <c r="T52" i="1" s="1"/>
  <c r="K76" i="1"/>
  <c r="T76" i="1" s="1"/>
  <c r="K19" i="1"/>
  <c r="T19" i="1" s="1"/>
  <c r="K22" i="1"/>
  <c r="K37" i="1"/>
  <c r="T37" i="1" s="1"/>
  <c r="K39" i="1"/>
  <c r="T39" i="1" s="1"/>
  <c r="Q49" i="1"/>
  <c r="K85" i="1"/>
  <c r="T85" i="1" s="1"/>
  <c r="K87" i="1"/>
  <c r="T87" i="1" s="1"/>
  <c r="Q60" i="1"/>
  <c r="Q12" i="1"/>
  <c r="K44" i="1"/>
  <c r="T44" i="1" s="1"/>
  <c r="K47" i="1"/>
  <c r="Q80" i="1"/>
  <c r="M69" i="1"/>
  <c r="Q78" i="1"/>
  <c r="Q87" i="1"/>
  <c r="Q42" i="1"/>
  <c r="Q54" i="1"/>
  <c r="M57" i="1"/>
  <c r="Q16" i="1"/>
  <c r="K33" i="1"/>
  <c r="K45" i="1"/>
  <c r="K57" i="1"/>
  <c r="I89" i="1"/>
  <c r="Q76" i="1"/>
  <c r="M9" i="1"/>
  <c r="Q28" i="1"/>
  <c r="K21" i="1"/>
  <c r="M81" i="1"/>
  <c r="K7" i="1"/>
  <c r="M10" i="1"/>
  <c r="M22" i="1"/>
  <c r="M34" i="1"/>
  <c r="M46" i="1"/>
  <c r="M58" i="1"/>
  <c r="Q30" i="1"/>
  <c r="Q66" i="1"/>
  <c r="Q52" i="1"/>
  <c r="Q18" i="1"/>
  <c r="M33" i="1"/>
  <c r="Q33" i="1" s="1"/>
  <c r="K9" i="1"/>
  <c r="M70" i="1"/>
  <c r="Q27" i="1"/>
  <c r="Q39" i="1"/>
  <c r="Q51" i="1"/>
  <c r="Q56" i="1"/>
  <c r="Q63" i="1"/>
  <c r="Q15" i="1"/>
  <c r="M82" i="1"/>
  <c r="Q6" i="1"/>
  <c r="M21" i="1"/>
  <c r="T21" i="1" s="1"/>
  <c r="Q40" i="1"/>
  <c r="Q64" i="1"/>
  <c r="M45" i="1"/>
  <c r="Q45" i="1" s="1"/>
  <c r="T60" i="1"/>
  <c r="Q5" i="1"/>
  <c r="Q17" i="1"/>
  <c r="Q29" i="1"/>
  <c r="Q41" i="1"/>
  <c r="Q53" i="1"/>
  <c r="Q65" i="1"/>
  <c r="Q77" i="1"/>
  <c r="Q7" i="1"/>
  <c r="Q19" i="1"/>
  <c r="Q31" i="1"/>
  <c r="Q43" i="1"/>
  <c r="Q55" i="1"/>
  <c r="Q67" i="1"/>
  <c r="Q79" i="1"/>
  <c r="Q88" i="1"/>
  <c r="Q8" i="1"/>
  <c r="M23" i="1"/>
  <c r="T23" i="1" s="1"/>
  <c r="Q32" i="1"/>
  <c r="M35" i="1"/>
  <c r="Q44" i="1"/>
  <c r="M47" i="1"/>
  <c r="M59" i="1"/>
  <c r="M71" i="1"/>
  <c r="M83" i="1"/>
  <c r="M11" i="1"/>
  <c r="Q20" i="1"/>
  <c r="G89" i="1"/>
  <c r="N83" i="1" s="1"/>
  <c r="T69" i="1" l="1"/>
  <c r="N46" i="1"/>
  <c r="R46" i="1" s="1"/>
  <c r="T59" i="1"/>
  <c r="N79" i="1"/>
  <c r="R79" i="1" s="1"/>
  <c r="N55" i="1"/>
  <c r="R55" i="1" s="1"/>
  <c r="T57" i="1"/>
  <c r="Q57" i="1"/>
  <c r="T47" i="1"/>
  <c r="T35" i="1"/>
  <c r="T45" i="1"/>
  <c r="Q59" i="1"/>
  <c r="T11" i="1"/>
  <c r="N39" i="1"/>
  <c r="R39" i="1" s="1"/>
  <c r="V89" i="1"/>
  <c r="N57" i="1"/>
  <c r="S57" i="1" s="1"/>
  <c r="N19" i="1"/>
  <c r="R19" i="1" s="1"/>
  <c r="T81" i="1"/>
  <c r="N7" i="1"/>
  <c r="R7" i="1" s="1"/>
  <c r="N45" i="1"/>
  <c r="R45" i="1" s="1"/>
  <c r="N47" i="1"/>
  <c r="R47" i="1" s="1"/>
  <c r="N81" i="1"/>
  <c r="V81" i="1" s="1"/>
  <c r="N87" i="1"/>
  <c r="R87" i="1" s="1"/>
  <c r="T9" i="1"/>
  <c r="N67" i="1"/>
  <c r="R67" i="1" s="1"/>
  <c r="N9" i="1"/>
  <c r="S9" i="1" s="1"/>
  <c r="N22" i="1"/>
  <c r="S22" i="1" s="1"/>
  <c r="N70" i="1"/>
  <c r="S70" i="1" s="1"/>
  <c r="N23" i="1"/>
  <c r="R23" i="1" s="1"/>
  <c r="N51" i="1"/>
  <c r="R51" i="1" s="1"/>
  <c r="N69" i="1"/>
  <c r="S69" i="1" s="1"/>
  <c r="R83" i="1"/>
  <c r="V83" i="1"/>
  <c r="S83" i="1"/>
  <c r="Q81" i="1"/>
  <c r="T22" i="1"/>
  <c r="Q22" i="1"/>
  <c r="T70" i="1"/>
  <c r="Q70" i="1"/>
  <c r="T46" i="1"/>
  <c r="Q46" i="1"/>
  <c r="Q23" i="1"/>
  <c r="T71" i="1"/>
  <c r="N27" i="1"/>
  <c r="U23" i="1"/>
  <c r="U83" i="1"/>
  <c r="T83" i="1"/>
  <c r="Q11" i="1"/>
  <c r="N43" i="1"/>
  <c r="N11" i="1"/>
  <c r="T82" i="1"/>
  <c r="Q82" i="1"/>
  <c r="N75" i="1"/>
  <c r="T10" i="1"/>
  <c r="Q10" i="1"/>
  <c r="U21" i="1"/>
  <c r="Q21" i="1"/>
  <c r="N50" i="1"/>
  <c r="N38" i="1"/>
  <c r="N26" i="1"/>
  <c r="N13" i="1"/>
  <c r="N86" i="1"/>
  <c r="N74" i="1"/>
  <c r="N62" i="1"/>
  <c r="N14" i="1"/>
  <c r="N12" i="1"/>
  <c r="N85" i="1"/>
  <c r="N73" i="1"/>
  <c r="N61" i="1"/>
  <c r="N49" i="1"/>
  <c r="N37" i="1"/>
  <c r="N25" i="1"/>
  <c r="N84" i="1"/>
  <c r="N72" i="1"/>
  <c r="N60" i="1"/>
  <c r="N48" i="1"/>
  <c r="N36" i="1"/>
  <c r="N24" i="1"/>
  <c r="N30" i="1"/>
  <c r="N78" i="1"/>
  <c r="N54" i="1"/>
  <c r="N18" i="1"/>
  <c r="N8" i="1"/>
  <c r="N80" i="1"/>
  <c r="N68" i="1"/>
  <c r="N56" i="1"/>
  <c r="N44" i="1"/>
  <c r="N32" i="1"/>
  <c r="N20" i="1"/>
  <c r="N42" i="1"/>
  <c r="N66" i="1"/>
  <c r="N6" i="1"/>
  <c r="N5" i="1"/>
  <c r="N16" i="1"/>
  <c r="N17" i="1"/>
  <c r="N65" i="1"/>
  <c r="N40" i="1"/>
  <c r="N77" i="1"/>
  <c r="N29" i="1"/>
  <c r="N52" i="1"/>
  <c r="N41" i="1"/>
  <c r="N88" i="1"/>
  <c r="N53" i="1"/>
  <c r="N64" i="1"/>
  <c r="N28" i="1"/>
  <c r="N76" i="1"/>
  <c r="N82" i="1"/>
  <c r="U82" i="1" s="1"/>
  <c r="Q69" i="1"/>
  <c r="N10" i="1"/>
  <c r="N15" i="1"/>
  <c r="Q83" i="1"/>
  <c r="N35" i="1"/>
  <c r="U35" i="1" s="1"/>
  <c r="N71" i="1"/>
  <c r="U71" i="1" s="1"/>
  <c r="T34" i="1"/>
  <c r="Q34" i="1"/>
  <c r="Q71" i="1"/>
  <c r="S89" i="1"/>
  <c r="N31" i="1"/>
  <c r="U22" i="1"/>
  <c r="T33" i="1"/>
  <c r="N34" i="1"/>
  <c r="T7" i="1"/>
  <c r="Q9" i="1"/>
  <c r="N59" i="1"/>
  <c r="U59" i="1" s="1"/>
  <c r="N33" i="1"/>
  <c r="V33" i="1" s="1"/>
  <c r="T58" i="1"/>
  <c r="Q58" i="1"/>
  <c r="M89" i="1"/>
  <c r="Q35" i="1"/>
  <c r="Q47" i="1"/>
  <c r="N21" i="1"/>
  <c r="V21" i="1" s="1"/>
  <c r="N58" i="1"/>
  <c r="N63" i="1"/>
  <c r="V46" i="1" l="1"/>
  <c r="U45" i="1"/>
  <c r="S45" i="1"/>
  <c r="V45" i="1"/>
  <c r="S46" i="1"/>
  <c r="U46" i="1"/>
  <c r="V7" i="1"/>
  <c r="U79" i="1"/>
  <c r="S79" i="1"/>
  <c r="S47" i="1"/>
  <c r="V79" i="1"/>
  <c r="S55" i="1"/>
  <c r="V55" i="1"/>
  <c r="T89" i="1"/>
  <c r="U69" i="1"/>
  <c r="S7" i="1"/>
  <c r="U55" i="1"/>
  <c r="R22" i="1"/>
  <c r="U7" i="1"/>
  <c r="S87" i="1"/>
  <c r="V47" i="1"/>
  <c r="V22" i="1"/>
  <c r="V39" i="1"/>
  <c r="S19" i="1"/>
  <c r="V19" i="1"/>
  <c r="R70" i="1"/>
  <c r="U51" i="1"/>
  <c r="V70" i="1"/>
  <c r="V69" i="1"/>
  <c r="R69" i="1"/>
  <c r="U57" i="1"/>
  <c r="U19" i="1"/>
  <c r="U70" i="1"/>
  <c r="R57" i="1"/>
  <c r="U47" i="1"/>
  <c r="S51" i="1"/>
  <c r="U87" i="1"/>
  <c r="U81" i="1"/>
  <c r="V51" i="1"/>
  <c r="S23" i="1"/>
  <c r="V57" i="1"/>
  <c r="S39" i="1"/>
  <c r="V9" i="1"/>
  <c r="U39" i="1"/>
  <c r="V87" i="1"/>
  <c r="U9" i="1"/>
  <c r="R81" i="1"/>
  <c r="S67" i="1"/>
  <c r="S81" i="1"/>
  <c r="R9" i="1"/>
  <c r="V67" i="1"/>
  <c r="V23" i="1"/>
  <c r="U67" i="1"/>
  <c r="U33" i="1"/>
  <c r="S50" i="1"/>
  <c r="R50" i="1"/>
  <c r="V50" i="1"/>
  <c r="U50" i="1"/>
  <c r="R64" i="1"/>
  <c r="V64" i="1"/>
  <c r="U64" i="1"/>
  <c r="S64" i="1"/>
  <c r="R6" i="1"/>
  <c r="U6" i="1"/>
  <c r="S6" i="1"/>
  <c r="V6" i="1"/>
  <c r="R78" i="1"/>
  <c r="S78" i="1"/>
  <c r="U78" i="1"/>
  <c r="V78" i="1"/>
  <c r="R73" i="1"/>
  <c r="S73" i="1"/>
  <c r="V73" i="1"/>
  <c r="U73" i="1"/>
  <c r="S49" i="1"/>
  <c r="R49" i="1"/>
  <c r="U49" i="1"/>
  <c r="V49" i="1"/>
  <c r="R53" i="1"/>
  <c r="U53" i="1"/>
  <c r="V53" i="1"/>
  <c r="S53" i="1"/>
  <c r="R66" i="1"/>
  <c r="V66" i="1"/>
  <c r="U66" i="1"/>
  <c r="S66" i="1"/>
  <c r="R30" i="1"/>
  <c r="U30" i="1"/>
  <c r="S30" i="1"/>
  <c r="V30" i="1"/>
  <c r="S85" i="1"/>
  <c r="R85" i="1"/>
  <c r="U85" i="1"/>
  <c r="V85" i="1"/>
  <c r="R11" i="1"/>
  <c r="S11" i="1"/>
  <c r="V11" i="1"/>
  <c r="R54" i="1"/>
  <c r="U54" i="1"/>
  <c r="V54" i="1"/>
  <c r="S54" i="1"/>
  <c r="R31" i="1"/>
  <c r="V31" i="1"/>
  <c r="S31" i="1"/>
  <c r="U31" i="1"/>
  <c r="R88" i="1"/>
  <c r="V88" i="1"/>
  <c r="U88" i="1"/>
  <c r="S88" i="1"/>
  <c r="R42" i="1"/>
  <c r="V42" i="1"/>
  <c r="S42" i="1"/>
  <c r="U42" i="1"/>
  <c r="R24" i="1"/>
  <c r="S24" i="1"/>
  <c r="V24" i="1"/>
  <c r="U24" i="1"/>
  <c r="R12" i="1"/>
  <c r="S12" i="1"/>
  <c r="V12" i="1"/>
  <c r="U12" i="1"/>
  <c r="R18" i="1"/>
  <c r="V18" i="1"/>
  <c r="U18" i="1"/>
  <c r="S18" i="1"/>
  <c r="Q89" i="1"/>
  <c r="R15" i="1"/>
  <c r="V15" i="1"/>
  <c r="S15" i="1"/>
  <c r="U15" i="1"/>
  <c r="R41" i="1"/>
  <c r="V41" i="1"/>
  <c r="U41" i="1"/>
  <c r="S41" i="1"/>
  <c r="S20" i="1"/>
  <c r="R20" i="1"/>
  <c r="V20" i="1"/>
  <c r="R36" i="1"/>
  <c r="S36" i="1"/>
  <c r="U36" i="1"/>
  <c r="V36" i="1"/>
  <c r="S14" i="1"/>
  <c r="R14" i="1"/>
  <c r="U14" i="1"/>
  <c r="V14" i="1"/>
  <c r="R43" i="1"/>
  <c r="V43" i="1"/>
  <c r="S43" i="1"/>
  <c r="U43" i="1"/>
  <c r="R52" i="1"/>
  <c r="S52" i="1"/>
  <c r="U52" i="1"/>
  <c r="V52" i="1"/>
  <c r="S32" i="1"/>
  <c r="R32" i="1"/>
  <c r="U32" i="1"/>
  <c r="V32" i="1"/>
  <c r="R48" i="1"/>
  <c r="S48" i="1"/>
  <c r="U48" i="1"/>
  <c r="V48" i="1"/>
  <c r="S62" i="1"/>
  <c r="R62" i="1"/>
  <c r="V62" i="1"/>
  <c r="U62" i="1"/>
  <c r="R21" i="1"/>
  <c r="S21" i="1"/>
  <c r="R28" i="1"/>
  <c r="U28" i="1"/>
  <c r="V28" i="1"/>
  <c r="S28" i="1"/>
  <c r="R10" i="1"/>
  <c r="U10" i="1"/>
  <c r="V10" i="1"/>
  <c r="S10" i="1"/>
  <c r="S44" i="1"/>
  <c r="R44" i="1"/>
  <c r="U44" i="1"/>
  <c r="V44" i="1"/>
  <c r="R60" i="1"/>
  <c r="S60" i="1"/>
  <c r="U60" i="1"/>
  <c r="V60" i="1"/>
  <c r="S74" i="1"/>
  <c r="R74" i="1"/>
  <c r="U74" i="1"/>
  <c r="V74" i="1"/>
  <c r="R75" i="1"/>
  <c r="S75" i="1"/>
  <c r="U75" i="1"/>
  <c r="V75" i="1"/>
  <c r="U89" i="1"/>
  <c r="R16" i="1"/>
  <c r="V16" i="1"/>
  <c r="S16" i="1"/>
  <c r="U16" i="1"/>
  <c r="R5" i="1"/>
  <c r="U5" i="1"/>
  <c r="V5" i="1"/>
  <c r="S5" i="1"/>
  <c r="U11" i="1"/>
  <c r="R63" i="1"/>
  <c r="U63" i="1"/>
  <c r="V63" i="1"/>
  <c r="S63" i="1"/>
  <c r="R77" i="1"/>
  <c r="S77" i="1"/>
  <c r="V77" i="1"/>
  <c r="U77" i="1"/>
  <c r="S56" i="1"/>
  <c r="R56" i="1"/>
  <c r="V56" i="1"/>
  <c r="U56" i="1"/>
  <c r="S86" i="1"/>
  <c r="R86" i="1"/>
  <c r="V86" i="1"/>
  <c r="U86" i="1"/>
  <c r="R29" i="1"/>
  <c r="S29" i="1"/>
  <c r="V29" i="1"/>
  <c r="U29" i="1"/>
  <c r="R71" i="1"/>
  <c r="V71" i="1"/>
  <c r="S71" i="1"/>
  <c r="R72" i="1"/>
  <c r="S72" i="1"/>
  <c r="V72" i="1"/>
  <c r="U72" i="1"/>
  <c r="R35" i="1"/>
  <c r="S35" i="1"/>
  <c r="V35" i="1"/>
  <c r="R40" i="1"/>
  <c r="V40" i="1"/>
  <c r="S40" i="1"/>
  <c r="U40" i="1"/>
  <c r="S68" i="1"/>
  <c r="R68" i="1"/>
  <c r="V68" i="1"/>
  <c r="U68" i="1"/>
  <c r="R84" i="1"/>
  <c r="U84" i="1"/>
  <c r="S84" i="1"/>
  <c r="V84" i="1"/>
  <c r="S13" i="1"/>
  <c r="R13" i="1"/>
  <c r="V13" i="1"/>
  <c r="U13" i="1"/>
  <c r="R76" i="1"/>
  <c r="V76" i="1"/>
  <c r="S76" i="1"/>
  <c r="U76" i="1"/>
  <c r="S61" i="1"/>
  <c r="R61" i="1"/>
  <c r="U61" i="1"/>
  <c r="V61" i="1"/>
  <c r="R33" i="1"/>
  <c r="S33" i="1"/>
  <c r="R34" i="1"/>
  <c r="S34" i="1"/>
  <c r="V34" i="1"/>
  <c r="U34" i="1"/>
  <c r="R65" i="1"/>
  <c r="V65" i="1"/>
  <c r="U65" i="1"/>
  <c r="S65" i="1"/>
  <c r="S80" i="1"/>
  <c r="R80" i="1"/>
  <c r="V80" i="1"/>
  <c r="U80" i="1"/>
  <c r="S25" i="1"/>
  <c r="R25" i="1"/>
  <c r="U25" i="1"/>
  <c r="V25" i="1"/>
  <c r="S26" i="1"/>
  <c r="R26" i="1"/>
  <c r="V26" i="1"/>
  <c r="U26" i="1"/>
  <c r="R59" i="1"/>
  <c r="S59" i="1"/>
  <c r="V59" i="1"/>
  <c r="R58" i="1"/>
  <c r="U58" i="1"/>
  <c r="S58" i="1"/>
  <c r="V58" i="1"/>
  <c r="R82" i="1"/>
  <c r="V82" i="1"/>
  <c r="S82" i="1"/>
  <c r="R17" i="1"/>
  <c r="V17" i="1"/>
  <c r="S17" i="1"/>
  <c r="U17" i="1"/>
  <c r="S8" i="1"/>
  <c r="R8" i="1"/>
  <c r="U8" i="1"/>
  <c r="V8" i="1"/>
  <c r="S37" i="1"/>
  <c r="R37" i="1"/>
  <c r="U37" i="1"/>
  <c r="V37" i="1"/>
  <c r="S38" i="1"/>
  <c r="R38" i="1"/>
  <c r="U38" i="1"/>
  <c r="V38" i="1"/>
  <c r="R27" i="1"/>
  <c r="S27" i="1"/>
  <c r="V27" i="1"/>
  <c r="U27" i="1"/>
  <c r="R89" i="1"/>
</calcChain>
</file>

<file path=xl/sharedStrings.xml><?xml version="1.0" encoding="utf-8"?>
<sst xmlns="http://schemas.openxmlformats.org/spreadsheetml/2006/main" count="345" uniqueCount="102">
  <si>
    <t xml:space="preserve">PROGRAM YEAR </t>
  </si>
  <si>
    <t xml:space="preserve"> CASCADE NATURAL GAS CORPORATION</t>
  </si>
  <si>
    <t xml:space="preserve"> RESIDENTIAL Program Participant Cost Effectiveness</t>
  </si>
  <si>
    <t>MEASURE</t>
  </si>
  <si>
    <t>ZONE</t>
  </si>
  <si>
    <t>EFFICIENCY  RATING</t>
  </si>
  <si>
    <t>PARTICIPANTS</t>
  </si>
  <si>
    <t>MEASURES  INSTALLED</t>
  </si>
  <si>
    <t>ANNUAL  THERM  SAVINGS</t>
  </si>
  <si>
    <t>TOTAL  ANNUAL  THERM  SAVINGS</t>
  </si>
  <si>
    <t>MEASURE  INCREMENTAL  COST</t>
  </si>
  <si>
    <t>PARTICIPANT  NEIS</t>
  </si>
  <si>
    <t>TOTAL  INCREMENTAL  COST</t>
  </si>
  <si>
    <t>TOTAL  NET  INCREMENTAL  COST  WITH  NEBS</t>
  </si>
  <si>
    <t>MEASURE  LIFE</t>
  </si>
  <si>
    <t>DISCOUNTED  THERM  SAVINGS</t>
  </si>
  <si>
    <t>PROGRAM  DELIVERY  &amp;  ADMIN</t>
  </si>
  <si>
    <t>PROGRAM  REBATE</t>
  </si>
  <si>
    <t>*TOTAL  REBATES  COST</t>
  </si>
  <si>
    <t>UTILITY  COST</t>
  </si>
  <si>
    <t>UC  W/DELIVERY  &amp;  ADMIN</t>
  </si>
  <si>
    <t>UTILITY COST TEST RATIO</t>
  </si>
  <si>
    <t>TOTAL  RESOURCE  COST</t>
  </si>
  <si>
    <t>TRC  W/DELIVERY  &amp;  ADMIN</t>
  </si>
  <si>
    <t>TOTAL RESOURCE COST TEST RATIO</t>
  </si>
  <si>
    <t>0.91 UEF Tankless Water Heater</t>
  </si>
  <si>
    <t>Zone 1</t>
  </si>
  <si>
    <t>0.91+ UEF</t>
  </si>
  <si>
    <t>Zone 2</t>
  </si>
  <si>
    <t>Zone 3</t>
  </si>
  <si>
    <t>95% AFUE New Gas Furnace (New &amp; Existing)</t>
  </si>
  <si>
    <t>95+% Annual Fuel Utilization Efficiency (AFUE)</t>
  </si>
  <si>
    <t>High-Efficiency Natural Gas Furnace</t>
  </si>
  <si>
    <t>98% AFUE New Gas Furnace (New &amp; Existing)</t>
  </si>
  <si>
    <t>98+% Annual Fuel Utilization Efficiency (AFUE)</t>
  </si>
  <si>
    <t>Built Green Certified Home</t>
  </si>
  <si>
    <t>Certified from one to five stars</t>
  </si>
  <si>
    <t>Bundle A</t>
  </si>
  <si>
    <t>Bundle B</t>
  </si>
  <si>
    <t>Ceiling</t>
  </si>
  <si>
    <t>Post R-49+</t>
  </si>
  <si>
    <t>Ceiling Tier II</t>
  </si>
  <si>
    <t>Tier 2: Post R-49+</t>
  </si>
  <si>
    <t>Condensing Boiler</t>
  </si>
  <si>
    <t>Duct Insulation</t>
  </si>
  <si>
    <t>Post R ? 8, prior condition must not exceed R-0</t>
  </si>
  <si>
    <t>Duct Sealing</t>
  </si>
  <si>
    <t>30% or more of supply ducts in unconditioned space</t>
  </si>
  <si>
    <t>ENERGY STAR Certified Homes + U.30 Window Glazing</t>
  </si>
  <si>
    <t>Certified HERS 75</t>
  </si>
  <si>
    <t>ENERGY STAR Clothes Washer</t>
  </si>
  <si>
    <t>ENERGY STAR Clothes Washers</t>
  </si>
  <si>
    <t>ENERGY STAR Smart Thermostat</t>
  </si>
  <si>
    <t>Floor Insulation</t>
  </si>
  <si>
    <t>Post R 30+, or to fill cavity</t>
  </si>
  <si>
    <t>High-Efficiency Combination Domestic Hot Water and Hydronic Space Heating System using pre-approved Tankless Water Heater</t>
  </si>
  <si>
    <t>95+% Annual Fuel Utilization Efficiency (AFUE) Hydronic Space Heating &amp; DHW</t>
  </si>
  <si>
    <t>High-Efficiency Exterior Entry (not sliding) Door</t>
  </si>
  <si>
    <t>U-Factor &lt;0.21, Energy Star Door</t>
  </si>
  <si>
    <t>High-Efficiency Natural Gas Hearth (Fireplace)</t>
  </si>
  <si>
    <t>Natural Gas Hearth (Fireplace) - 70% FE Hearth</t>
  </si>
  <si>
    <t>High-Efficiency Natural Gas Fireplace</t>
  </si>
  <si>
    <t>Prescriptive Air Sealing with Insulation Install</t>
  </si>
  <si>
    <t>BPA Weatherization Specifications section 4.4 &amp; 6.2</t>
  </si>
  <si>
    <t>Programmable Thermostat</t>
  </si>
  <si>
    <t>5-2 Programmable</t>
  </si>
  <si>
    <t>Programmable</t>
  </si>
  <si>
    <t>Wall Insulation</t>
  </si>
  <si>
    <t>Post R-11+, or to fill cavity</t>
  </si>
  <si>
    <t>Whole House Residential Air Sealing</t>
  </si>
  <si>
    <t>Min. 400 CFM50 reduction</t>
  </si>
  <si>
    <t>Windows 0.22 U-factor</t>
  </si>
  <si>
    <t>U Factor&lt;= 0.22</t>
  </si>
  <si>
    <t>Windows 0.27 U-factor</t>
  </si>
  <si>
    <t>U Factor&lt;= 0.27</t>
  </si>
  <si>
    <t>Windows 0.30 U-factor</t>
  </si>
  <si>
    <t>U Factor&lt;= 0.30</t>
  </si>
  <si>
    <t>TOTAL PROGRAM</t>
  </si>
  <si>
    <t xml:space="preserve"> </t>
  </si>
  <si>
    <t>IRP Discount Rate</t>
  </si>
  <si>
    <t>NEI:</t>
  </si>
  <si>
    <t>Inflation Rate</t>
  </si>
  <si>
    <t>*Totals per 2023 DSMC to GL Recon</t>
  </si>
  <si>
    <t>Long Term Discount Rate</t>
  </si>
  <si>
    <t>Total Res Program Admin</t>
  </si>
  <si>
    <t>CASCADE NATURAL GAS CORPORATION</t>
  </si>
  <si>
    <t>INTEGRATED RESOURCE PLAN</t>
  </si>
  <si>
    <t>BASECASE - MEDIUM FORECAST - AVERAGE WEATHER</t>
  </si>
  <si>
    <t>45 YEAR RESOURCE SUMMARY COSTS - MELDED COST PER THERM</t>
  </si>
  <si>
    <t>YEAR</t>
  </si>
  <si>
    <t>IRP ANNUAL 
 PORTFOLIO 
 COST PER 
 THERM (PV)*</t>
  </si>
  <si>
    <t>NOMINAL 
 COST 
 PER 
 THERM</t>
  </si>
  <si>
    <t>PV OF 
 RESOURCE 
 PORTFOLIO 
 COST/THERM</t>
  </si>
  <si>
    <t>NON 
 ENERGY 
 BENEFIT</t>
  </si>
  <si>
    <t>PORTFOLIO 
 COSTS  WITH 
 CONSERVATION 
 CREDIT</t>
  </si>
  <si>
    <t>COST- 
 EFFECTIVENESS 
 LIMIT</t>
  </si>
  <si>
    <t>10%</t>
  </si>
  <si>
    <t>Cascade's Long Term Real Discount Rate:</t>
  </si>
  <si>
    <t>IRP Discount Rate :</t>
  </si>
  <si>
    <t>Revised Discount Rate:</t>
  </si>
  <si>
    <t>Years 21-45 Escalation:</t>
  </si>
  <si>
    <t>(EIA Inflation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</si>
</sst>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.00%"/>
    <numFmt numFmtId="165" formatCode="\$#,##0.00;\$\-#,##0.00"/>
    <numFmt numFmtId="166" formatCode="#,##0.000"/>
    <numFmt numFmtId="167" formatCode="\$#,##0.00"/>
    <numFmt numFmtId="168" formatCode="\$#,##0.00;\$\(#,##0.00\)\ "/>
    <numFmt numFmtId="169" formatCode="\$#,##0.000"/>
    <numFmt numFmtId="170" formatCode="#,##0.000;\(#,##0.000\)\ "/>
    <numFmt numFmtId="171" formatCode="\$#,##0.000;\$\(#,##0.000\)\ "/>
    <numFmt numFmtId="172" formatCode="\$#,##0.000;\$\(#,##0.000\)"/>
    <numFmt numFmtId="173" formatCode="\$#,##0.00;\$\(#,##0.00\)"/>
    <numFmt numFmtId="174" formatCode="\$#,##0.0000;\$\-#,##0.0000"/>
    <numFmt numFmtId="175" formatCode="\$#,##0.##;\$\-#,##0.##"/>
  </numFmts>
  <fonts count="16" x14ac:knownFonts="1">
    <font>
      <sz val="11"/>
      <color theme="1"/>
      <name val="Calibri"/>
      <family val="2"/>
      <scheme val="minor"/>
    </font>
    <font>
      <b/>
      <sz val="15"/>
      <color rgb="FF3634E0"/>
      <name val="Arial"/>
      <family val="2"/>
    </font>
    <font>
      <b/>
      <sz val="21"/>
      <color rgb="FF058FFF"/>
      <name val="Arial"/>
      <family val="2"/>
    </font>
    <font>
      <b/>
      <sz val="11"/>
      <color rgb="FF3634E0"/>
      <name val="Arial"/>
      <family val="2"/>
    </font>
    <font>
      <b/>
      <sz val="11"/>
      <color rgb="FFA61712"/>
      <name val="Arial"/>
      <family val="2"/>
    </font>
    <font>
      <b/>
      <sz val="17"/>
      <color rgb="FF058FFF"/>
      <name val="Arial"/>
      <family val="2"/>
    </font>
    <font>
      <b/>
      <sz val="23"/>
      <color rgb="FF058FFF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8"/>
      <color rgb="FF000000"/>
      <name val="Arial"/>
      <family val="2"/>
    </font>
    <font>
      <sz val="7.5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rgb="FF3634E0"/>
      <name val="Arial"/>
      <family val="2"/>
    </font>
    <font>
      <b/>
      <sz val="16"/>
      <color rgb="FFA617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5AA6DB"/>
      </patternFill>
    </fill>
    <fill>
      <patternFill patternType="solid">
        <fgColor rgb="FFE8E6E6"/>
      </patternFill>
    </fill>
    <fill>
      <patternFill patternType="solid">
        <fgColor rgb="FFF89842"/>
      </patternFill>
    </fill>
    <fill>
      <patternFill patternType="none"/>
    </fill>
  </fills>
  <borders count="7">
    <border>
      <left/>
      <right/>
      <top/>
      <bottom/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thick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/>
      <bottom/>
      <diagonal/>
    </border>
    <border>
      <left style="thin">
        <color rgb="FFC2BABA"/>
      </left>
      <right style="thin">
        <color rgb="FFC2BABA"/>
      </right>
      <top style="thin">
        <color rgb="FFC2BABA"/>
      </top>
      <bottom style="thin">
        <color rgb="FFC2BABA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62">
    <xf numFmtId="0" fontId="0" fillId="0" borderId="0" xfId="0"/>
    <xf numFmtId="0" fontId="7" fillId="2" borderId="2" xfId="0" applyFont="1" applyFill="1" applyBorder="1" applyAlignment="1">
      <alignment horizontal="center" vertical="center" wrapText="1"/>
    </xf>
    <xf numFmtId="172" fontId="8" fillId="3" borderId="1" xfId="0" applyNumberFormat="1" applyFont="1" applyFill="1" applyBorder="1" applyAlignment="1">
      <alignment horizontal="center" vertical="center" wrapText="1"/>
    </xf>
    <xf numFmtId="170" fontId="9" fillId="4" borderId="3" xfId="0" applyNumberFormat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0" xfId="0" applyAlignment="1">
      <alignment horizontal="right"/>
    </xf>
    <xf numFmtId="0" fontId="1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166" fontId="8" fillId="5" borderId="1" xfId="0" applyNumberFormat="1" applyFont="1" applyFill="1" applyBorder="1" applyAlignment="1">
      <alignment horizontal="center" vertical="center" wrapText="1"/>
    </xf>
    <xf numFmtId="165" fontId="8" fillId="5" borderId="1" xfId="0" applyNumberFormat="1" applyFont="1" applyFill="1" applyBorder="1" applyAlignment="1">
      <alignment horizontal="center" vertical="center" wrapText="1"/>
    </xf>
    <xf numFmtId="167" fontId="8" fillId="5" borderId="1" xfId="0" applyNumberFormat="1" applyFont="1" applyFill="1" applyBorder="1" applyAlignment="1">
      <alignment horizontal="center" vertical="center" wrapText="1"/>
    </xf>
    <xf numFmtId="168" fontId="8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center" vertical="center" wrapText="1"/>
    </xf>
    <xf numFmtId="169" fontId="8" fillId="5" borderId="1" xfId="0" applyNumberFormat="1" applyFont="1" applyFill="1" applyBorder="1" applyAlignment="1">
      <alignment horizontal="center" vertical="center" wrapText="1"/>
    </xf>
    <xf numFmtId="170" fontId="8" fillId="5" borderId="1" xfId="0" applyNumberFormat="1" applyFont="1" applyFill="1" applyBorder="1" applyAlignment="1">
      <alignment horizontal="center" vertical="center" wrapText="1"/>
    </xf>
    <xf numFmtId="171" fontId="8" fillId="5" borderId="1" xfId="0" applyNumberFormat="1" applyFont="1" applyFill="1" applyBorder="1" applyAlignment="1">
      <alignment horizontal="center" vertical="center" wrapText="1"/>
    </xf>
    <xf numFmtId="172" fontId="8" fillId="5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 applyProtection="1">
      <alignment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168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169" fontId="8" fillId="3" borderId="1" xfId="0" applyNumberFormat="1" applyFont="1" applyFill="1" applyBorder="1" applyAlignment="1">
      <alignment horizontal="center" vertical="center" wrapText="1"/>
    </xf>
    <xf numFmtId="170" fontId="8" fillId="3" borderId="1" xfId="0" applyNumberFormat="1" applyFont="1" applyFill="1" applyBorder="1" applyAlignment="1">
      <alignment horizontal="center" vertical="center" wrapText="1"/>
    </xf>
    <xf numFmtId="171" fontId="8" fillId="3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4" fontId="9" fillId="4" borderId="3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173" fontId="9" fillId="4" borderId="3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173" fontId="7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165" fontId="12" fillId="5" borderId="6" xfId="0" applyNumberFormat="1" applyFont="1" applyFill="1" applyBorder="1" applyAlignment="1">
      <alignment horizontal="center" vertical="center" wrapText="1"/>
    </xf>
    <xf numFmtId="174" fontId="12" fillId="5" borderId="6" xfId="0" applyNumberFormat="1" applyFont="1" applyFill="1" applyBorder="1" applyAlignment="1">
      <alignment horizontal="center" vertical="center" wrapText="1"/>
    </xf>
    <xf numFmtId="175" fontId="12" fillId="5" borderId="6" xfId="0" applyNumberFormat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164" fontId="12" fillId="5" borderId="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2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3" fontId="0" fillId="0" borderId="0" xfId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X95"/>
  <sheetViews>
    <sheetView tabSelected="1" workbookViewId="0">
      <pane ySplit="4" topLeftCell="A52" activePane="bottomLeft" state="frozen"/>
      <selection pane="bottomLeft" activeCell="P89" sqref="P89"/>
    </sheetView>
  </sheetViews>
  <sheetFormatPr defaultRowHeight="15" x14ac:dyDescent="0.25"/>
  <cols>
    <col min="1" max="1" width="55.42578125" customWidth="1"/>
    <col min="2" max="2" width="20" customWidth="1"/>
    <col min="3" max="3" width="85" customWidth="1"/>
    <col min="4" max="4" width="26.7109375" customWidth="1"/>
    <col min="5" max="5" width="35" customWidth="1"/>
    <col min="6" max="6" width="38.28515625" customWidth="1"/>
    <col min="7" max="8" width="45" customWidth="1"/>
    <col min="9" max="9" width="38.28515625" customWidth="1"/>
    <col min="10" max="10" width="41.42578125" customWidth="1"/>
    <col min="11" max="11" width="58.28515625" customWidth="1"/>
    <col min="12" max="12" width="28.28515625" customWidth="1"/>
    <col min="13" max="13" width="46.7109375" customWidth="1"/>
    <col min="14" max="14" width="43.28515625" customWidth="1"/>
    <col min="15" max="15" width="33.28515625" customWidth="1"/>
    <col min="16" max="16" width="36.7109375" customWidth="1"/>
    <col min="17" max="17" width="26.7109375" customWidth="1"/>
    <col min="18" max="18" width="38.28515625" customWidth="1"/>
    <col min="19" max="19" width="55" customWidth="1"/>
    <col min="20" max="20" width="38.28515625" customWidth="1"/>
    <col min="21" max="21" width="41.7109375" customWidth="1"/>
    <col min="22" max="22" width="61.7109375" customWidth="1"/>
    <col min="23" max="23" width="58.28515625" customWidth="1"/>
    <col min="24" max="24" width="25" customWidth="1"/>
  </cols>
  <sheetData>
    <row r="1" spans="1:24" ht="30" customHeight="1" thickBot="1" x14ac:dyDescent="0.3">
      <c r="A1" s="6" t="s">
        <v>0</v>
      </c>
      <c r="B1" s="52" t="s">
        <v>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4" ht="30" customHeight="1" thickBot="1" x14ac:dyDescent="0.3">
      <c r="A2" s="6">
        <v>2023</v>
      </c>
      <c r="B2" s="53" t="s">
        <v>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4" ht="24.95" customHeight="1" thickBot="1" x14ac:dyDescent="0.3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</row>
    <row r="4" spans="1:24" ht="24.95" customHeight="1" thickBot="1" x14ac:dyDescent="0.3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  <c r="O4" s="1" t="s">
        <v>17</v>
      </c>
      <c r="P4" s="1" t="s">
        <v>18</v>
      </c>
      <c r="Q4" s="1" t="s">
        <v>19</v>
      </c>
      <c r="R4" s="1" t="s">
        <v>20</v>
      </c>
      <c r="S4" s="1" t="s">
        <v>21</v>
      </c>
      <c r="T4" s="1" t="s">
        <v>22</v>
      </c>
      <c r="U4" s="1" t="s">
        <v>23</v>
      </c>
      <c r="V4" s="1" t="s">
        <v>24</v>
      </c>
    </row>
    <row r="5" spans="1:24" ht="39.950000000000003" customHeight="1" thickBot="1" x14ac:dyDescent="0.3">
      <c r="A5" s="7" t="s">
        <v>25</v>
      </c>
      <c r="B5" s="7" t="s">
        <v>26</v>
      </c>
      <c r="C5" s="7" t="s">
        <v>27</v>
      </c>
      <c r="D5" s="8">
        <v>147</v>
      </c>
      <c r="E5" s="8">
        <v>147</v>
      </c>
      <c r="F5" s="9">
        <v>64.58</v>
      </c>
      <c r="G5" s="8">
        <f>IF(ISNUMBER(E5),E5*F5,"")</f>
        <v>9493.26</v>
      </c>
      <c r="H5" s="10">
        <v>1171</v>
      </c>
      <c r="I5" s="11">
        <f t="shared" ref="I5:I40" si="0">PV($B$93,$L5,(-0.05*0.95*$F5))</f>
        <v>31.804187278086541</v>
      </c>
      <c r="J5" s="11">
        <f>IF(ISNUMBER(H5),H5*E5,"")</f>
        <v>172137</v>
      </c>
      <c r="K5" s="12">
        <f>J5-D5*(I5)</f>
        <v>167461.78447012129</v>
      </c>
      <c r="L5" s="8">
        <v>13</v>
      </c>
      <c r="M5" s="8">
        <f t="shared" ref="M5:M36" si="1">PV($B$93,$L5,-$G5)</f>
        <v>98425.590102709946</v>
      </c>
      <c r="N5" s="13">
        <f t="shared" ref="N5:N36" si="2">(G5/VLOOKUP("TOTAL PROGRAM",$A$4:$G$200,7,FALSE))*$B$95</f>
        <v>19946.157097331186</v>
      </c>
      <c r="O5" s="10">
        <v>350</v>
      </c>
      <c r="P5" s="11">
        <f t="shared" ref="P5:P36" si="3">IF(ISNUMBER(O5),O5*E5,"")</f>
        <v>51450</v>
      </c>
      <c r="Q5" s="14">
        <f t="shared" ref="Q5:Q36" si="4">IF(ISERROR(P5/M5),0,P5/M5)</f>
        <v>0.52272991146215575</v>
      </c>
      <c r="R5" s="14">
        <f t="shared" ref="R5:R36" si="5">IF(ISERROR((N5+P5)/M5),0,(N5+P5)/M5)</f>
        <v>0.72538205788583277</v>
      </c>
      <c r="S5" s="15">
        <f>IF($P5=0,"-",(VLOOKUP(L5,'APP 2885'!$B$10:$G$54,6)*$G5)/($P5+$N5))</f>
        <v>1.7272715815087096</v>
      </c>
      <c r="T5" s="16">
        <f t="shared" ref="T5:T36" si="6">IF(ISERROR(RK5/M5),0,K5/M5)</f>
        <v>1.7014049323490983</v>
      </c>
      <c r="U5" s="17">
        <f t="shared" ref="U5:U36" si="7">IF(ISERROR(K5/M5),0,(K5+N5)/M5)</f>
        <v>1.9040570787727753</v>
      </c>
      <c r="V5" s="15">
        <f>IF($P5=0,"-",(VLOOKUP(L5,'APP 2885'!$B$10:$G$54,4)*$G5)/($K5+$N5))</f>
        <v>0.59821154250559694</v>
      </c>
      <c r="W5" s="18"/>
      <c r="X5" s="18"/>
    </row>
    <row r="6" spans="1:24" ht="39.950000000000003" customHeight="1" x14ac:dyDescent="0.25">
      <c r="A6" s="19" t="s">
        <v>25</v>
      </c>
      <c r="B6" s="19" t="s">
        <v>28</v>
      </c>
      <c r="C6" s="19" t="s">
        <v>27</v>
      </c>
      <c r="D6" s="20">
        <v>34</v>
      </c>
      <c r="E6" s="20">
        <v>34</v>
      </c>
      <c r="F6" s="21">
        <v>64.22</v>
      </c>
      <c r="G6" s="20">
        <f t="shared" ref="G6:G36" si="8">IF(ISNUMBER(E6),E6*F6,"")</f>
        <v>2183.48</v>
      </c>
      <c r="H6" s="22">
        <v>1171</v>
      </c>
      <c r="I6" s="23">
        <f t="shared" si="0"/>
        <v>31.626895432002446</v>
      </c>
      <c r="J6" s="23">
        <f t="shared" ref="J6:J36" si="9">IF(ISNUMBER(H6),H6*E6,"")</f>
        <v>39814</v>
      </c>
      <c r="K6" s="24">
        <f t="shared" ref="K6:K36" si="10">J6-D6*(I6)</f>
        <v>38738.685555311917</v>
      </c>
      <c r="L6" s="20">
        <v>13</v>
      </c>
      <c r="M6" s="20">
        <f t="shared" si="1"/>
        <v>22638.198835538591</v>
      </c>
      <c r="N6" s="25">
        <f t="shared" si="2"/>
        <v>4587.6795851878805</v>
      </c>
      <c r="O6" s="22">
        <v>350</v>
      </c>
      <c r="P6" s="23">
        <f t="shared" si="3"/>
        <v>11900</v>
      </c>
      <c r="Q6" s="26">
        <f t="shared" si="4"/>
        <v>0.52566019436664624</v>
      </c>
      <c r="R6" s="26">
        <f t="shared" si="5"/>
        <v>0.72831234079032325</v>
      </c>
      <c r="S6" s="27">
        <f>IF($P6=0,"-",(VLOOKUP(L6,'APP 2885'!$B$10:$G$54,6)*$G6)/($P6+$N6))</f>
        <v>1.7203220982949352</v>
      </c>
      <c r="T6" s="28">
        <f t="shared" si="6"/>
        <v>1.7112088217238364</v>
      </c>
      <c r="U6" s="2">
        <f t="shared" si="7"/>
        <v>1.9138609681475132</v>
      </c>
      <c r="V6" s="27">
        <f>IF($P6=0,"-",(VLOOKUP(L6,'APP 2885'!$B$10:$G$54,4)*$G6)/($K6+$N6))</f>
        <v>0.59514716119314814</v>
      </c>
      <c r="W6" s="18"/>
      <c r="X6" s="18"/>
    </row>
    <row r="7" spans="1:24" ht="39.950000000000003" customHeight="1" x14ac:dyDescent="0.25">
      <c r="A7" s="7" t="s">
        <v>25</v>
      </c>
      <c r="B7" s="7" t="s">
        <v>28</v>
      </c>
      <c r="C7" s="7" t="s">
        <v>27</v>
      </c>
      <c r="D7" s="8">
        <v>1</v>
      </c>
      <c r="E7" s="8">
        <v>1</v>
      </c>
      <c r="F7" s="9">
        <v>60.03</v>
      </c>
      <c r="G7" s="8">
        <f t="shared" si="8"/>
        <v>60.03</v>
      </c>
      <c r="H7" s="10">
        <v>2533.17</v>
      </c>
      <c r="I7" s="11">
        <f t="shared" si="0"/>
        <v>39.433754532701776</v>
      </c>
      <c r="J7" s="11">
        <f t="shared" si="9"/>
        <v>2533.17</v>
      </c>
      <c r="K7" s="12">
        <f t="shared" si="10"/>
        <v>2493.7362454672984</v>
      </c>
      <c r="L7" s="8">
        <v>19</v>
      </c>
      <c r="M7" s="8">
        <f t="shared" si="1"/>
        <v>830.18430595161647</v>
      </c>
      <c r="N7" s="13">
        <f t="shared" si="2"/>
        <v>126.12820154012333</v>
      </c>
      <c r="O7" s="10">
        <v>350</v>
      </c>
      <c r="P7" s="11">
        <f t="shared" si="3"/>
        <v>350</v>
      </c>
      <c r="Q7" s="14">
        <f t="shared" si="4"/>
        <v>0.42159312997227166</v>
      </c>
      <c r="R7" s="14">
        <f t="shared" si="5"/>
        <v>0.57352108215819764</v>
      </c>
      <c r="S7" s="15">
        <f>IF($P7=0,"-",(VLOOKUP(L7,'APP 2885'!$B$10:$G$54,6)*$G7)/($P7+$N7))</f>
        <v>2.5104746088760304</v>
      </c>
      <c r="T7" s="16">
        <f t="shared" si="6"/>
        <v>3.003834483005313</v>
      </c>
      <c r="U7" s="17">
        <f t="shared" si="7"/>
        <v>3.1557624351912392</v>
      </c>
      <c r="V7" s="15">
        <f>IF($P7=0,"-",(VLOOKUP(L7,'APP 2885'!$B$10:$G$54,4)*$G7)/($K7+$N7))</f>
        <v>0.41477085576339218</v>
      </c>
      <c r="W7" s="18"/>
      <c r="X7" s="18"/>
    </row>
    <row r="8" spans="1:24" ht="39.950000000000003" customHeight="1" x14ac:dyDescent="0.25">
      <c r="A8" s="19" t="s">
        <v>25</v>
      </c>
      <c r="B8" s="19" t="s">
        <v>29</v>
      </c>
      <c r="C8" s="19" t="s">
        <v>27</v>
      </c>
      <c r="D8" s="20">
        <v>61</v>
      </c>
      <c r="E8" s="20">
        <v>61</v>
      </c>
      <c r="F8" s="21">
        <v>63.68</v>
      </c>
      <c r="G8" s="20">
        <f t="shared" si="8"/>
        <v>3884.48</v>
      </c>
      <c r="H8" s="22">
        <v>1171</v>
      </c>
      <c r="I8" s="23">
        <f t="shared" si="0"/>
        <v>31.360957662876295</v>
      </c>
      <c r="J8" s="23">
        <f t="shared" si="9"/>
        <v>71431</v>
      </c>
      <c r="K8" s="24">
        <f t="shared" si="10"/>
        <v>69517.981582564549</v>
      </c>
      <c r="L8" s="20">
        <v>13</v>
      </c>
      <c r="M8" s="20">
        <f t="shared" si="1"/>
        <v>40274.071946009557</v>
      </c>
      <c r="N8" s="25">
        <f t="shared" si="2"/>
        <v>8161.6271250804311</v>
      </c>
      <c r="O8" s="22">
        <v>350</v>
      </c>
      <c r="P8" s="23">
        <f t="shared" si="3"/>
        <v>21350</v>
      </c>
      <c r="Q8" s="26">
        <f t="shared" si="4"/>
        <v>0.53011773998470513</v>
      </c>
      <c r="R8" s="26">
        <f t="shared" si="5"/>
        <v>0.73276988640838214</v>
      </c>
      <c r="S8" s="27">
        <f>IF($P8=0,"-",(VLOOKUP(L8,'APP 2885'!$B$10:$G$54,6)*$G8)/($P8+$N8))</f>
        <v>1.7098571291782447</v>
      </c>
      <c r="T8" s="28">
        <f t="shared" si="6"/>
        <v>1.7261224957773991</v>
      </c>
      <c r="U8" s="2">
        <f t="shared" si="7"/>
        <v>1.9287746422010761</v>
      </c>
      <c r="V8" s="27">
        <f>IF($P8=0,"-",(VLOOKUP(L8,'APP 2885'!$B$10:$G$54,4)*$G8)/($K8+$N8))</f>
        <v>0.59054536346015385</v>
      </c>
      <c r="W8" s="18"/>
      <c r="X8" s="18"/>
    </row>
    <row r="9" spans="1:24" ht="39.950000000000003" customHeight="1" x14ac:dyDescent="0.25">
      <c r="A9" s="7" t="s">
        <v>25</v>
      </c>
      <c r="B9" s="7" t="s">
        <v>29</v>
      </c>
      <c r="C9" s="7" t="s">
        <v>27</v>
      </c>
      <c r="D9" s="8">
        <v>1</v>
      </c>
      <c r="E9" s="8">
        <v>1</v>
      </c>
      <c r="F9" s="9">
        <v>60.03</v>
      </c>
      <c r="G9" s="8">
        <f t="shared" si="8"/>
        <v>60.03</v>
      </c>
      <c r="H9" s="10">
        <v>2533.17</v>
      </c>
      <c r="I9" s="11">
        <f t="shared" si="0"/>
        <v>39.433754532701776</v>
      </c>
      <c r="J9" s="11">
        <f t="shared" si="9"/>
        <v>2533.17</v>
      </c>
      <c r="K9" s="12">
        <f t="shared" si="10"/>
        <v>2493.7362454672984</v>
      </c>
      <c r="L9" s="8">
        <v>19</v>
      </c>
      <c r="M9" s="8">
        <f t="shared" si="1"/>
        <v>830.18430595161647</v>
      </c>
      <c r="N9" s="13">
        <f t="shared" si="2"/>
        <v>126.12820154012333</v>
      </c>
      <c r="O9" s="10">
        <v>350</v>
      </c>
      <c r="P9" s="11">
        <f t="shared" si="3"/>
        <v>350</v>
      </c>
      <c r="Q9" s="14">
        <f t="shared" si="4"/>
        <v>0.42159312997227166</v>
      </c>
      <c r="R9" s="14">
        <f t="shared" si="5"/>
        <v>0.57352108215819764</v>
      </c>
      <c r="S9" s="15">
        <f>IF($P9=0,"-",(VLOOKUP(L9,'APP 2885'!$B$10:$G$54,6)*$G9)/($P9+$N9))</f>
        <v>2.5104746088760304</v>
      </c>
      <c r="T9" s="16">
        <f t="shared" si="6"/>
        <v>3.003834483005313</v>
      </c>
      <c r="U9" s="17">
        <f t="shared" si="7"/>
        <v>3.1557624351912392</v>
      </c>
      <c r="V9" s="15">
        <f>IF($P9=0,"-",(VLOOKUP(L9,'APP 2885'!$B$10:$G$54,4)*$G9)/($K9+$N9))</f>
        <v>0.41477085576339218</v>
      </c>
      <c r="W9" s="18"/>
      <c r="X9" s="18"/>
    </row>
    <row r="10" spans="1:24" ht="39.950000000000003" customHeight="1" x14ac:dyDescent="0.25">
      <c r="A10" s="19" t="s">
        <v>30</v>
      </c>
      <c r="B10" s="19" t="s">
        <v>26</v>
      </c>
      <c r="C10" s="19" t="s">
        <v>31</v>
      </c>
      <c r="D10" s="20">
        <v>848</v>
      </c>
      <c r="E10" s="20">
        <v>851</v>
      </c>
      <c r="F10" s="21">
        <v>94.58</v>
      </c>
      <c r="G10" s="20">
        <f t="shared" si="8"/>
        <v>80487.58</v>
      </c>
      <c r="H10" s="22">
        <v>1024</v>
      </c>
      <c r="I10" s="23">
        <f t="shared" si="0"/>
        <v>68.810726172947341</v>
      </c>
      <c r="J10" s="23">
        <f t="shared" si="9"/>
        <v>871424</v>
      </c>
      <c r="K10" s="24">
        <f t="shared" si="10"/>
        <v>813072.50420534064</v>
      </c>
      <c r="L10" s="20">
        <v>22</v>
      </c>
      <c r="M10" s="20">
        <f t="shared" si="1"/>
        <v>1232798.4836458564</v>
      </c>
      <c r="N10" s="25">
        <f t="shared" si="2"/>
        <v>169111.33952551722</v>
      </c>
      <c r="O10" s="22">
        <v>650</v>
      </c>
      <c r="P10" s="23">
        <f t="shared" si="3"/>
        <v>553150</v>
      </c>
      <c r="Q10" s="26">
        <f t="shared" si="4"/>
        <v>0.44869458174877375</v>
      </c>
      <c r="R10" s="26">
        <f t="shared" si="5"/>
        <v>0.58587137241563947</v>
      </c>
      <c r="S10" s="27">
        <f>IF($P10=0,"-",(VLOOKUP(L10,'APP 2885'!$B$10:$G$54,6)*$G10)/($P10+$N10))</f>
        <v>2.6378160355517206</v>
      </c>
      <c r="T10" s="28">
        <f t="shared" si="6"/>
        <v>0.65953399115220712</v>
      </c>
      <c r="U10" s="2">
        <f t="shared" si="7"/>
        <v>0.79671078181907296</v>
      </c>
      <c r="V10" s="27">
        <f>IF($P10=0,"-",(VLOOKUP(L10,'APP 2885'!$B$10:$G$54,4)*$G10)/($K10+$N10))</f>
        <v>1.7634104166954609</v>
      </c>
      <c r="W10" s="18"/>
      <c r="X10" s="18"/>
    </row>
    <row r="11" spans="1:24" ht="39.950000000000003" customHeight="1" x14ac:dyDescent="0.25">
      <c r="A11" s="7" t="s">
        <v>30</v>
      </c>
      <c r="B11" s="7" t="s">
        <v>26</v>
      </c>
      <c r="C11" s="7" t="s">
        <v>32</v>
      </c>
      <c r="D11" s="8">
        <v>1</v>
      </c>
      <c r="E11" s="8">
        <v>1</v>
      </c>
      <c r="F11" s="9">
        <v>89</v>
      </c>
      <c r="G11" s="8">
        <f t="shared" si="8"/>
        <v>89</v>
      </c>
      <c r="H11" s="10">
        <v>1024</v>
      </c>
      <c r="I11" s="11">
        <f t="shared" si="0"/>
        <v>64.751053387527108</v>
      </c>
      <c r="J11" s="11">
        <f t="shared" si="9"/>
        <v>1024</v>
      </c>
      <c r="K11" s="12">
        <f t="shared" si="10"/>
        <v>959.24894661247288</v>
      </c>
      <c r="L11" s="8">
        <v>22</v>
      </c>
      <c r="M11" s="8">
        <f t="shared" si="1"/>
        <v>1363.18007131636</v>
      </c>
      <c r="N11" s="13">
        <f t="shared" si="2"/>
        <v>186.99666728420749</v>
      </c>
      <c r="O11" s="10">
        <v>400</v>
      </c>
      <c r="P11" s="11">
        <f t="shared" si="3"/>
        <v>400</v>
      </c>
      <c r="Q11" s="14">
        <f t="shared" si="4"/>
        <v>0.29343151973586179</v>
      </c>
      <c r="R11" s="14">
        <f t="shared" si="5"/>
        <v>0.43060831040272757</v>
      </c>
      <c r="S11" s="15">
        <f>IF($P11=0,"-",(VLOOKUP(L11,'APP 2885'!$B$10:$G$54,6)*$G11)/($P11+$N11))</f>
        <v>3.5889249315307188</v>
      </c>
      <c r="T11" s="16">
        <f t="shared" si="6"/>
        <v>0.70368469052380622</v>
      </c>
      <c r="U11" s="17">
        <f t="shared" si="7"/>
        <v>0.84086148119067206</v>
      </c>
      <c r="V11" s="15">
        <f>IF($P11=0,"-",(VLOOKUP(L11,'APP 2885'!$B$10:$G$54,4)*$G11)/($K11+$N11))</f>
        <v>1.6708198950485151</v>
      </c>
      <c r="W11" s="18"/>
      <c r="X11" s="18"/>
    </row>
    <row r="12" spans="1:24" ht="39.950000000000003" customHeight="1" x14ac:dyDescent="0.25">
      <c r="A12" s="19" t="s">
        <v>30</v>
      </c>
      <c r="B12" s="19" t="s">
        <v>28</v>
      </c>
      <c r="C12" s="19" t="s">
        <v>31</v>
      </c>
      <c r="D12" s="20">
        <v>189</v>
      </c>
      <c r="E12" s="20">
        <v>189</v>
      </c>
      <c r="F12" s="21">
        <v>95.62</v>
      </c>
      <c r="G12" s="20">
        <f t="shared" si="8"/>
        <v>18072.18</v>
      </c>
      <c r="H12" s="22">
        <v>1024</v>
      </c>
      <c r="I12" s="23">
        <f t="shared" si="0"/>
        <v>69.567367695677987</v>
      </c>
      <c r="J12" s="23">
        <f t="shared" si="9"/>
        <v>193536</v>
      </c>
      <c r="K12" s="24">
        <f t="shared" si="10"/>
        <v>180387.76750551685</v>
      </c>
      <c r="L12" s="20">
        <v>22</v>
      </c>
      <c r="M12" s="20">
        <f t="shared" si="1"/>
        <v>276804.89462069765</v>
      </c>
      <c r="N12" s="25">
        <f t="shared" si="2"/>
        <v>37971.207084947295</v>
      </c>
      <c r="O12" s="22">
        <v>650</v>
      </c>
      <c r="P12" s="23">
        <f t="shared" si="3"/>
        <v>122850</v>
      </c>
      <c r="Q12" s="26">
        <f t="shared" si="4"/>
        <v>0.44381440641914893</v>
      </c>
      <c r="R12" s="26">
        <f t="shared" si="5"/>
        <v>0.58099119708601477</v>
      </c>
      <c r="S12" s="27">
        <f>IF($P12=0,"-",(VLOOKUP(L12,'APP 2885'!$B$10:$G$54,6)*$G12)/($P12+$N12))</f>
        <v>2.6599730059246851</v>
      </c>
      <c r="T12" s="28">
        <f t="shared" si="6"/>
        <v>0.6516783879587823</v>
      </c>
      <c r="U12" s="2">
        <f t="shared" si="7"/>
        <v>0.78885517862564813</v>
      </c>
      <c r="V12" s="27">
        <f>IF($P12=0,"-",(VLOOKUP(L12,'APP 2885'!$B$10:$G$54,4)*$G12)/($K12+$N12))</f>
        <v>1.7809708674297082</v>
      </c>
      <c r="W12" s="18"/>
      <c r="X12" s="18"/>
    </row>
    <row r="13" spans="1:24" ht="39.950000000000003" customHeight="1" x14ac:dyDescent="0.25">
      <c r="A13" s="7" t="s">
        <v>30</v>
      </c>
      <c r="B13" s="7" t="s">
        <v>28</v>
      </c>
      <c r="C13" s="7" t="s">
        <v>32</v>
      </c>
      <c r="D13" s="8">
        <v>7</v>
      </c>
      <c r="E13" s="8">
        <v>7</v>
      </c>
      <c r="F13" s="9">
        <v>90</v>
      </c>
      <c r="G13" s="8">
        <f t="shared" si="8"/>
        <v>630</v>
      </c>
      <c r="H13" s="10">
        <v>1024</v>
      </c>
      <c r="I13" s="11">
        <f t="shared" si="0"/>
        <v>65.478593313229652</v>
      </c>
      <c r="J13" s="11">
        <f t="shared" si="9"/>
        <v>7168</v>
      </c>
      <c r="K13" s="12">
        <f t="shared" si="10"/>
        <v>6709.6498468073924</v>
      </c>
      <c r="L13" s="8">
        <v>22</v>
      </c>
      <c r="M13" s="8">
        <f t="shared" si="1"/>
        <v>9649.4769093180548</v>
      </c>
      <c r="N13" s="13">
        <f t="shared" si="2"/>
        <v>1323.6842740342777</v>
      </c>
      <c r="O13" s="10">
        <v>400</v>
      </c>
      <c r="P13" s="11">
        <f t="shared" si="3"/>
        <v>2800</v>
      </c>
      <c r="Q13" s="14">
        <f t="shared" si="4"/>
        <v>0.29017116951657446</v>
      </c>
      <c r="R13" s="14">
        <f t="shared" si="5"/>
        <v>0.42734796018344023</v>
      </c>
      <c r="S13" s="15">
        <f>IF($P13=0,"-",(VLOOKUP(L13,'APP 2885'!$B$10:$G$54,6)*$G13)/($P13+$N13))</f>
        <v>3.6163057857238665</v>
      </c>
      <c r="T13" s="16">
        <f t="shared" si="6"/>
        <v>0.69533819396243057</v>
      </c>
      <c r="U13" s="17">
        <f t="shared" si="7"/>
        <v>0.8325149846292963</v>
      </c>
      <c r="V13" s="15">
        <f>IF($P13=0,"-",(VLOOKUP(L13,'APP 2885'!$B$10:$G$54,4)*$G13)/($K13+$N13))</f>
        <v>1.6875709358900326</v>
      </c>
      <c r="W13" s="18"/>
      <c r="X13" s="18"/>
    </row>
    <row r="14" spans="1:24" ht="39.950000000000003" customHeight="1" x14ac:dyDescent="0.25">
      <c r="A14" s="19" t="s">
        <v>30</v>
      </c>
      <c r="B14" s="19" t="s">
        <v>29</v>
      </c>
      <c r="C14" s="19" t="s">
        <v>31</v>
      </c>
      <c r="D14" s="20">
        <v>475</v>
      </c>
      <c r="E14" s="20">
        <v>477</v>
      </c>
      <c r="F14" s="21">
        <v>83.8</v>
      </c>
      <c r="G14" s="20">
        <f t="shared" si="8"/>
        <v>39972.6</v>
      </c>
      <c r="H14" s="22">
        <v>1024</v>
      </c>
      <c r="I14" s="23">
        <f t="shared" si="0"/>
        <v>60.967845773873826</v>
      </c>
      <c r="J14" s="23">
        <f t="shared" si="9"/>
        <v>488448</v>
      </c>
      <c r="K14" s="24">
        <f t="shared" si="10"/>
        <v>459488.27325740992</v>
      </c>
      <c r="L14" s="20">
        <v>22</v>
      </c>
      <c r="M14" s="20">
        <f t="shared" si="1"/>
        <v>612245.52492921718</v>
      </c>
      <c r="N14" s="25">
        <f t="shared" si="2"/>
        <v>83985.876209940601</v>
      </c>
      <c r="O14" s="22">
        <v>650</v>
      </c>
      <c r="P14" s="23">
        <f t="shared" si="3"/>
        <v>310050</v>
      </c>
      <c r="Q14" s="26">
        <f t="shared" si="4"/>
        <v>0.50641448140571621</v>
      </c>
      <c r="R14" s="26">
        <f t="shared" si="5"/>
        <v>0.64359127207258193</v>
      </c>
      <c r="S14" s="27">
        <f>IF($P14=0,"-",(VLOOKUP(L14,'APP 2885'!$B$10:$G$54,6)*$G14)/($P14+$N14))</f>
        <v>2.4012458962532053</v>
      </c>
      <c r="T14" s="28">
        <f t="shared" si="6"/>
        <v>0.75049674444012016</v>
      </c>
      <c r="U14" s="2">
        <f t="shared" si="7"/>
        <v>0.8876735351069861</v>
      </c>
      <c r="V14" s="27">
        <f>IF($P14=0,"-",(VLOOKUP(L14,'APP 2885'!$B$10:$G$54,4)*$G14)/($K14+$N14))</f>
        <v>1.5827080972781395</v>
      </c>
      <c r="W14" s="18"/>
      <c r="X14" s="18"/>
    </row>
    <row r="15" spans="1:24" ht="39.950000000000003" customHeight="1" x14ac:dyDescent="0.25">
      <c r="A15" s="7" t="s">
        <v>30</v>
      </c>
      <c r="B15" s="7" t="s">
        <v>29</v>
      </c>
      <c r="C15" s="7" t="s">
        <v>32</v>
      </c>
      <c r="D15" s="8">
        <v>3</v>
      </c>
      <c r="E15" s="8">
        <v>3</v>
      </c>
      <c r="F15" s="9">
        <v>78</v>
      </c>
      <c r="G15" s="8">
        <f t="shared" si="8"/>
        <v>234</v>
      </c>
      <c r="H15" s="10">
        <v>1024</v>
      </c>
      <c r="I15" s="11">
        <f t="shared" si="0"/>
        <v>56.74811420479903</v>
      </c>
      <c r="J15" s="11">
        <f t="shared" si="9"/>
        <v>3072</v>
      </c>
      <c r="K15" s="12">
        <f t="shared" si="10"/>
        <v>2901.7556573856027</v>
      </c>
      <c r="L15" s="8">
        <v>22</v>
      </c>
      <c r="M15" s="8">
        <f t="shared" si="1"/>
        <v>3584.0914234609913</v>
      </c>
      <c r="N15" s="13">
        <f t="shared" si="2"/>
        <v>491.65415892701748</v>
      </c>
      <c r="O15" s="10">
        <v>400</v>
      </c>
      <c r="P15" s="11">
        <f t="shared" si="3"/>
        <v>1200</v>
      </c>
      <c r="Q15" s="14">
        <f t="shared" si="4"/>
        <v>0.33481288790373975</v>
      </c>
      <c r="R15" s="14">
        <f t="shared" si="5"/>
        <v>0.47198967857060559</v>
      </c>
      <c r="S15" s="15">
        <f>IF($P15=0,"-",(VLOOKUP(L15,'APP 2885'!$B$10:$G$54,6)*$G15)/($P15+$N15))</f>
        <v>3.274268423853862</v>
      </c>
      <c r="T15" s="16">
        <f t="shared" si="6"/>
        <v>0.80962099303357371</v>
      </c>
      <c r="U15" s="17">
        <f t="shared" si="7"/>
        <v>0.94679778370043954</v>
      </c>
      <c r="V15" s="15">
        <f>IF($P15=0,"-",(VLOOKUP(L15,'APP 2885'!$B$10:$G$54,4)*$G15)/($K15+$N15))</f>
        <v>1.4838734478891085</v>
      </c>
      <c r="W15" s="18"/>
      <c r="X15" s="18"/>
    </row>
    <row r="16" spans="1:24" ht="39.950000000000003" customHeight="1" x14ac:dyDescent="0.25">
      <c r="A16" s="19" t="s">
        <v>33</v>
      </c>
      <c r="B16" s="19" t="s">
        <v>26</v>
      </c>
      <c r="C16" s="19" t="s">
        <v>34</v>
      </c>
      <c r="D16" s="20">
        <v>23</v>
      </c>
      <c r="E16" s="20">
        <v>23</v>
      </c>
      <c r="F16" s="21">
        <v>113.5</v>
      </c>
      <c r="G16" s="20">
        <f t="shared" si="8"/>
        <v>2610.5</v>
      </c>
      <c r="H16" s="22">
        <v>1024</v>
      </c>
      <c r="I16" s="23">
        <f t="shared" si="0"/>
        <v>82.575781567239616</v>
      </c>
      <c r="J16" s="23">
        <f t="shared" si="9"/>
        <v>23552</v>
      </c>
      <c r="K16" s="24">
        <f t="shared" si="10"/>
        <v>21652.757023953491</v>
      </c>
      <c r="L16" s="20">
        <v>22</v>
      </c>
      <c r="M16" s="20">
        <f t="shared" si="1"/>
        <v>39984.062653610759</v>
      </c>
      <c r="N16" s="25">
        <f t="shared" si="2"/>
        <v>5484.8853926452093</v>
      </c>
      <c r="O16" s="22">
        <v>900</v>
      </c>
      <c r="P16" s="23">
        <f t="shared" si="3"/>
        <v>20700</v>
      </c>
      <c r="Q16" s="26">
        <f t="shared" si="4"/>
        <v>0.51770627160446103</v>
      </c>
      <c r="R16" s="26">
        <f t="shared" si="5"/>
        <v>0.65488306227132687</v>
      </c>
      <c r="S16" s="27">
        <f>IF($P16=0,"-",(VLOOKUP(L16,'APP 2885'!$B$10:$G$54,6)*$G16)/($P16+$N16))</f>
        <v>2.3598425275631563</v>
      </c>
      <c r="T16" s="28">
        <f t="shared" si="6"/>
        <v>0.54153469124774245</v>
      </c>
      <c r="U16" s="2">
        <f t="shared" si="7"/>
        <v>0.67871148191460817</v>
      </c>
      <c r="V16" s="27">
        <f>IF($P16=0,"-",(VLOOKUP(L16,'APP 2885'!$B$10:$G$54,4)*$G16)/($K16+$N16))</f>
        <v>2.0699931107546785</v>
      </c>
      <c r="W16" s="18"/>
      <c r="X16" s="18"/>
    </row>
    <row r="17" spans="1:24" ht="39.950000000000003" customHeight="1" x14ac:dyDescent="0.25">
      <c r="A17" s="7" t="s">
        <v>33</v>
      </c>
      <c r="B17" s="7" t="s">
        <v>28</v>
      </c>
      <c r="C17" s="7" t="s">
        <v>34</v>
      </c>
      <c r="D17" s="8">
        <v>10</v>
      </c>
      <c r="E17" s="8">
        <v>10</v>
      </c>
      <c r="F17" s="9">
        <v>114.74</v>
      </c>
      <c r="G17" s="8">
        <f t="shared" si="8"/>
        <v>1147.3999999999999</v>
      </c>
      <c r="H17" s="10">
        <v>1024</v>
      </c>
      <c r="I17" s="11">
        <f t="shared" si="0"/>
        <v>83.477931075110774</v>
      </c>
      <c r="J17" s="11">
        <f t="shared" si="9"/>
        <v>10240</v>
      </c>
      <c r="K17" s="12">
        <f t="shared" si="10"/>
        <v>9405.2206892488921</v>
      </c>
      <c r="L17" s="8">
        <v>22</v>
      </c>
      <c r="M17" s="8">
        <f t="shared" si="1"/>
        <v>17574.301278970688</v>
      </c>
      <c r="N17" s="13">
        <f t="shared" si="2"/>
        <v>2410.7862476617938</v>
      </c>
      <c r="O17" s="10">
        <v>900</v>
      </c>
      <c r="P17" s="11">
        <f t="shared" si="3"/>
        <v>9000</v>
      </c>
      <c r="Q17" s="14">
        <f t="shared" si="4"/>
        <v>0.51211139817941731</v>
      </c>
      <c r="R17" s="14">
        <f t="shared" si="5"/>
        <v>0.64928818884628303</v>
      </c>
      <c r="S17" s="15">
        <f>IF($P17=0,"-",(VLOOKUP(L17,'APP 2885'!$B$10:$G$54,6)*$G17)/($P17+$N17))</f>
        <v>2.3801771347091933</v>
      </c>
      <c r="T17" s="16">
        <f t="shared" si="6"/>
        <v>0.5351689685952481</v>
      </c>
      <c r="U17" s="17">
        <f t="shared" si="7"/>
        <v>0.67234575926211382</v>
      </c>
      <c r="V17" s="15">
        <f>IF($P17=0,"-",(VLOOKUP(L17,'APP 2885'!$B$10:$G$54,4)*$G17)/($K17+$N17))</f>
        <v>2.0895916608371539</v>
      </c>
      <c r="W17" s="18"/>
      <c r="X17" s="18"/>
    </row>
    <row r="18" spans="1:24" ht="39.950000000000003" customHeight="1" x14ac:dyDescent="0.25">
      <c r="A18" s="19" t="s">
        <v>33</v>
      </c>
      <c r="B18" s="19" t="s">
        <v>29</v>
      </c>
      <c r="C18" s="19" t="s">
        <v>34</v>
      </c>
      <c r="D18" s="20">
        <v>49</v>
      </c>
      <c r="E18" s="20">
        <v>52</v>
      </c>
      <c r="F18" s="21">
        <v>100.56</v>
      </c>
      <c r="G18" s="20">
        <f t="shared" si="8"/>
        <v>5229.12</v>
      </c>
      <c r="H18" s="22">
        <v>1024</v>
      </c>
      <c r="I18" s="23">
        <f t="shared" si="0"/>
        <v>73.161414928648597</v>
      </c>
      <c r="J18" s="23">
        <f t="shared" si="9"/>
        <v>53248</v>
      </c>
      <c r="K18" s="24">
        <f t="shared" si="10"/>
        <v>49663.090668496217</v>
      </c>
      <c r="L18" s="20">
        <v>22</v>
      </c>
      <c r="M18" s="20">
        <f t="shared" si="1"/>
        <v>80092.496342941624</v>
      </c>
      <c r="N18" s="25">
        <f t="shared" si="2"/>
        <v>10986.831604822417</v>
      </c>
      <c r="O18" s="22">
        <v>900</v>
      </c>
      <c r="P18" s="23">
        <f t="shared" si="3"/>
        <v>46800</v>
      </c>
      <c r="Q18" s="26">
        <f t="shared" si="4"/>
        <v>0.58432440162198018</v>
      </c>
      <c r="R18" s="26">
        <f t="shared" si="5"/>
        <v>0.72150119228884591</v>
      </c>
      <c r="S18" s="27">
        <f>IF($P18=0,"-",(VLOOKUP(L18,'APP 2885'!$B$10:$G$54,6)*$G18)/($P18+$N18))</f>
        <v>2.1419519710370394</v>
      </c>
      <c r="T18" s="28">
        <f t="shared" si="6"/>
        <v>0.62007170379417098</v>
      </c>
      <c r="U18" s="2">
        <f t="shared" si="7"/>
        <v>0.7572484944610367</v>
      </c>
      <c r="V18" s="27">
        <f>IF($P18=0,"-",(VLOOKUP(L18,'APP 2885'!$B$10:$G$54,4)*$G18)/($K18+$N18))</f>
        <v>1.8553065500028227</v>
      </c>
      <c r="W18" s="18"/>
      <c r="X18" s="18"/>
    </row>
    <row r="19" spans="1:24" ht="39.950000000000003" customHeight="1" x14ac:dyDescent="0.25">
      <c r="A19" s="7" t="s">
        <v>35</v>
      </c>
      <c r="B19" s="7" t="s">
        <v>29</v>
      </c>
      <c r="C19" s="7" t="s">
        <v>36</v>
      </c>
      <c r="D19" s="8">
        <v>1</v>
      </c>
      <c r="E19" s="8">
        <v>1</v>
      </c>
      <c r="F19" s="9">
        <v>29.11</v>
      </c>
      <c r="G19" s="8">
        <f t="shared" si="8"/>
        <v>29.11</v>
      </c>
      <c r="H19" s="10">
        <v>2154.5300000000002</v>
      </c>
      <c r="I19" s="11">
        <f t="shared" si="0"/>
        <v>25.752782107149617</v>
      </c>
      <c r="J19" s="11">
        <f t="shared" si="9"/>
        <v>2154.5300000000002</v>
      </c>
      <c r="K19" s="12">
        <f t="shared" si="10"/>
        <v>2128.7772178928508</v>
      </c>
      <c r="L19" s="8">
        <v>30</v>
      </c>
      <c r="M19" s="8">
        <f t="shared" si="1"/>
        <v>542.16383383472873</v>
      </c>
      <c r="N19" s="13">
        <f t="shared" si="2"/>
        <v>61.162617804980684</v>
      </c>
      <c r="O19" s="10">
        <v>600</v>
      </c>
      <c r="P19" s="11">
        <f t="shared" si="3"/>
        <v>600</v>
      </c>
      <c r="Q19" s="14">
        <f t="shared" si="4"/>
        <v>1.1066765478549088</v>
      </c>
      <c r="R19" s="14">
        <f t="shared" si="5"/>
        <v>1.2194886057385508</v>
      </c>
      <c r="S19" s="15">
        <f>IF($P19=0,"-",(VLOOKUP(L19,'APP 2885'!$B$10:$G$54,6)*$G19)/($P19+$N19))</f>
        <v>1.5347245453045422</v>
      </c>
      <c r="T19" s="16">
        <f t="shared" si="6"/>
        <v>3.9264463710830619</v>
      </c>
      <c r="U19" s="17">
        <f t="shared" si="7"/>
        <v>4.0392584289667033</v>
      </c>
      <c r="V19" s="15">
        <f>IF($P19=0,"-",(VLOOKUP(L19,'APP 2885'!$B$10:$G$54,4)*$G19)/($K19+$N19))</f>
        <v>0.42122473015535389</v>
      </c>
      <c r="W19" s="18"/>
      <c r="X19" s="18"/>
    </row>
    <row r="20" spans="1:24" ht="39.950000000000003" customHeight="1" x14ac:dyDescent="0.25">
      <c r="A20" s="19" t="s">
        <v>37</v>
      </c>
      <c r="B20" s="19" t="s">
        <v>26</v>
      </c>
      <c r="C20" s="19"/>
      <c r="D20" s="20">
        <v>193</v>
      </c>
      <c r="E20" s="20">
        <v>193</v>
      </c>
      <c r="F20" s="21">
        <v>0</v>
      </c>
      <c r="G20" s="20">
        <f t="shared" si="8"/>
        <v>0</v>
      </c>
      <c r="H20" s="22">
        <v>0</v>
      </c>
      <c r="I20" s="23">
        <f t="shared" si="0"/>
        <v>0</v>
      </c>
      <c r="J20" s="23">
        <f t="shared" si="9"/>
        <v>0</v>
      </c>
      <c r="K20" s="24">
        <f t="shared" si="10"/>
        <v>0</v>
      </c>
      <c r="L20" s="20">
        <v>0</v>
      </c>
      <c r="M20" s="20">
        <f t="shared" si="1"/>
        <v>0</v>
      </c>
      <c r="N20" s="25">
        <f t="shared" si="2"/>
        <v>0</v>
      </c>
      <c r="O20" s="22">
        <v>250</v>
      </c>
      <c r="P20" s="23">
        <f t="shared" si="3"/>
        <v>48250</v>
      </c>
      <c r="Q20" s="26">
        <f t="shared" si="4"/>
        <v>0</v>
      </c>
      <c r="R20" s="26">
        <f t="shared" si="5"/>
        <v>0</v>
      </c>
      <c r="S20" s="27" t="e">
        <f>IF($P20=0,"-",(VLOOKUP(L20,'APP 2885'!$B$10:$G$54,6)*$G20)/($P20+$N20))</f>
        <v>#N/A</v>
      </c>
      <c r="T20" s="28">
        <f t="shared" si="6"/>
        <v>0</v>
      </c>
      <c r="U20" s="2">
        <f t="shared" si="7"/>
        <v>0</v>
      </c>
      <c r="V20" s="27" t="e">
        <f>IF($P20=0,"-",(VLOOKUP(L20,'APP 2885'!$B$10:$G$54,4)*$G20)/($K20+$N20))</f>
        <v>#N/A</v>
      </c>
      <c r="W20" s="18"/>
      <c r="X20" s="18"/>
    </row>
    <row r="21" spans="1:24" ht="39.950000000000003" customHeight="1" x14ac:dyDescent="0.25">
      <c r="A21" s="7" t="s">
        <v>37</v>
      </c>
      <c r="B21" s="7" t="s">
        <v>28</v>
      </c>
      <c r="C21" s="7"/>
      <c r="D21" s="8">
        <v>23</v>
      </c>
      <c r="E21" s="8">
        <v>23</v>
      </c>
      <c r="F21" s="9">
        <v>0</v>
      </c>
      <c r="G21" s="8">
        <f t="shared" si="8"/>
        <v>0</v>
      </c>
      <c r="H21" s="10">
        <v>0</v>
      </c>
      <c r="I21" s="11">
        <f t="shared" si="0"/>
        <v>0</v>
      </c>
      <c r="J21" s="11">
        <f t="shared" si="9"/>
        <v>0</v>
      </c>
      <c r="K21" s="12">
        <f t="shared" si="10"/>
        <v>0</v>
      </c>
      <c r="L21" s="8">
        <v>0</v>
      </c>
      <c r="M21" s="8">
        <f t="shared" si="1"/>
        <v>0</v>
      </c>
      <c r="N21" s="13">
        <f t="shared" si="2"/>
        <v>0</v>
      </c>
      <c r="O21" s="10">
        <v>250</v>
      </c>
      <c r="P21" s="11">
        <f t="shared" si="3"/>
        <v>5750</v>
      </c>
      <c r="Q21" s="14">
        <f t="shared" si="4"/>
        <v>0</v>
      </c>
      <c r="R21" s="14">
        <f t="shared" si="5"/>
        <v>0</v>
      </c>
      <c r="S21" s="15" t="e">
        <f>IF($P21=0,"-",(VLOOKUP(L21,'APP 2885'!$B$10:$G$54,6)*$G21)/($P21+$N21))</f>
        <v>#N/A</v>
      </c>
      <c r="T21" s="16">
        <f t="shared" si="6"/>
        <v>0</v>
      </c>
      <c r="U21" s="17">
        <f t="shared" si="7"/>
        <v>0</v>
      </c>
      <c r="V21" s="15" t="e">
        <f>IF($P21=0,"-",(VLOOKUP(L21,'APP 2885'!$B$10:$G$54,4)*$G21)/($K21+$N21))</f>
        <v>#N/A</v>
      </c>
      <c r="W21" s="18"/>
      <c r="X21" s="18"/>
    </row>
    <row r="22" spans="1:24" ht="39.950000000000003" customHeight="1" x14ac:dyDescent="0.25">
      <c r="A22" s="19" t="s">
        <v>37</v>
      </c>
      <c r="B22" s="19" t="s">
        <v>29</v>
      </c>
      <c r="C22" s="19"/>
      <c r="D22" s="20">
        <v>81</v>
      </c>
      <c r="E22" s="20">
        <v>81</v>
      </c>
      <c r="F22" s="21">
        <v>0</v>
      </c>
      <c r="G22" s="20">
        <f t="shared" si="8"/>
        <v>0</v>
      </c>
      <c r="H22" s="22">
        <v>0</v>
      </c>
      <c r="I22" s="23">
        <f t="shared" si="0"/>
        <v>0</v>
      </c>
      <c r="J22" s="23">
        <f t="shared" si="9"/>
        <v>0</v>
      </c>
      <c r="K22" s="24">
        <f t="shared" si="10"/>
        <v>0</v>
      </c>
      <c r="L22" s="20">
        <v>0</v>
      </c>
      <c r="M22" s="20">
        <f t="shared" si="1"/>
        <v>0</v>
      </c>
      <c r="N22" s="25">
        <f t="shared" si="2"/>
        <v>0</v>
      </c>
      <c r="O22" s="22">
        <v>250</v>
      </c>
      <c r="P22" s="23">
        <f t="shared" si="3"/>
        <v>20250</v>
      </c>
      <c r="Q22" s="26">
        <f t="shared" si="4"/>
        <v>0</v>
      </c>
      <c r="R22" s="26">
        <f t="shared" si="5"/>
        <v>0</v>
      </c>
      <c r="S22" s="27" t="e">
        <f>IF($P22=0,"-",(VLOOKUP(L22,'APP 2885'!$B$10:$G$54,6)*$G22)/($P22+$N22))</f>
        <v>#N/A</v>
      </c>
      <c r="T22" s="28">
        <f t="shared" si="6"/>
        <v>0</v>
      </c>
      <c r="U22" s="2">
        <f t="shared" si="7"/>
        <v>0</v>
      </c>
      <c r="V22" s="27" t="e">
        <f>IF($P22=0,"-",(VLOOKUP(L22,'APP 2885'!$B$10:$G$54,4)*$G22)/($K22+$N22))</f>
        <v>#N/A</v>
      </c>
      <c r="W22" s="18"/>
      <c r="X22" s="18"/>
    </row>
    <row r="23" spans="1:24" ht="39.950000000000003" customHeight="1" x14ac:dyDescent="0.25">
      <c r="A23" s="7" t="s">
        <v>38</v>
      </c>
      <c r="B23" s="7" t="s">
        <v>26</v>
      </c>
      <c r="C23" s="7"/>
      <c r="D23" s="8">
        <v>13</v>
      </c>
      <c r="E23" s="8">
        <v>13</v>
      </c>
      <c r="F23" s="9">
        <v>0</v>
      </c>
      <c r="G23" s="8">
        <f t="shared" si="8"/>
        <v>0</v>
      </c>
      <c r="H23" s="10">
        <v>0</v>
      </c>
      <c r="I23" s="11">
        <f t="shared" si="0"/>
        <v>0</v>
      </c>
      <c r="J23" s="11">
        <f t="shared" si="9"/>
        <v>0</v>
      </c>
      <c r="K23" s="12">
        <f t="shared" si="10"/>
        <v>0</v>
      </c>
      <c r="L23" s="8">
        <v>0</v>
      </c>
      <c r="M23" s="8">
        <f t="shared" si="1"/>
        <v>0</v>
      </c>
      <c r="N23" s="13">
        <f t="shared" si="2"/>
        <v>0</v>
      </c>
      <c r="O23" s="10">
        <v>500</v>
      </c>
      <c r="P23" s="11">
        <f t="shared" si="3"/>
        <v>6500</v>
      </c>
      <c r="Q23" s="14">
        <f t="shared" si="4"/>
        <v>0</v>
      </c>
      <c r="R23" s="14">
        <f t="shared" si="5"/>
        <v>0</v>
      </c>
      <c r="S23" s="15" t="e">
        <f>IF($P23=0,"-",(VLOOKUP(L23,'APP 2885'!$B$10:$G$54,6)*$G23)/($P23+$N23))</f>
        <v>#N/A</v>
      </c>
      <c r="T23" s="16">
        <f t="shared" si="6"/>
        <v>0</v>
      </c>
      <c r="U23" s="17">
        <f t="shared" si="7"/>
        <v>0</v>
      </c>
      <c r="V23" s="15" t="e">
        <f>IF($P23=0,"-",(VLOOKUP(L23,'APP 2885'!$B$10:$G$54,4)*$G23)/($K23+$N23))</f>
        <v>#N/A</v>
      </c>
      <c r="W23" s="18"/>
      <c r="X23" s="18"/>
    </row>
    <row r="24" spans="1:24" ht="39.950000000000003" customHeight="1" x14ac:dyDescent="0.25">
      <c r="A24" s="19" t="s">
        <v>39</v>
      </c>
      <c r="B24" s="19" t="s">
        <v>26</v>
      </c>
      <c r="C24" s="19" t="s">
        <v>40</v>
      </c>
      <c r="D24" s="20">
        <v>9</v>
      </c>
      <c r="E24" s="20">
        <v>11166</v>
      </c>
      <c r="F24" s="21">
        <v>0.04</v>
      </c>
      <c r="G24" s="20">
        <f t="shared" si="8"/>
        <v>446.64</v>
      </c>
      <c r="H24" s="22">
        <v>0.67</v>
      </c>
      <c r="I24" s="23">
        <f t="shared" si="0"/>
        <v>4.3470105070173327E-2</v>
      </c>
      <c r="J24" s="23">
        <f t="shared" si="9"/>
        <v>7481.22</v>
      </c>
      <c r="K24" s="24">
        <f t="shared" si="10"/>
        <v>7480.8287690543684</v>
      </c>
      <c r="L24" s="20">
        <v>45</v>
      </c>
      <c r="M24" s="20">
        <f t="shared" si="1"/>
        <v>10218.677751864325</v>
      </c>
      <c r="N24" s="25">
        <f t="shared" si="2"/>
        <v>938.42911770582521</v>
      </c>
      <c r="O24" s="22">
        <v>1.25</v>
      </c>
      <c r="P24" s="23">
        <f t="shared" si="3"/>
        <v>13957.5</v>
      </c>
      <c r="Q24" s="26">
        <f t="shared" si="4"/>
        <v>1.3658812166235064</v>
      </c>
      <c r="R24" s="26">
        <f t="shared" si="5"/>
        <v>1.4577159080085649</v>
      </c>
      <c r="S24" s="27">
        <f>IF($P24=0,"-",(VLOOKUP(L24,'APP 2885'!$B$10:$G$54,6)*$G24)/($P24+$N24))</f>
        <v>1.8370205671315116</v>
      </c>
      <c r="T24" s="28">
        <f t="shared" si="6"/>
        <v>0.73207404624238637</v>
      </c>
      <c r="U24" s="2">
        <f t="shared" si="7"/>
        <v>0.82390873762744499</v>
      </c>
      <c r="V24" s="27">
        <f>IF($P24=0,"-",(VLOOKUP(L24,'APP 2885'!$B$10:$G$54,4)*$G24)/($K24+$N24))</f>
        <v>2.9547117425537759</v>
      </c>
      <c r="W24" s="18"/>
      <c r="X24" s="18"/>
    </row>
    <row r="25" spans="1:24" ht="39.950000000000003" customHeight="1" x14ac:dyDescent="0.25">
      <c r="A25" s="7" t="s">
        <v>39</v>
      </c>
      <c r="B25" s="7" t="s">
        <v>28</v>
      </c>
      <c r="C25" s="7" t="s">
        <v>40</v>
      </c>
      <c r="D25" s="8">
        <v>1</v>
      </c>
      <c r="E25" s="8">
        <v>1883</v>
      </c>
      <c r="F25" s="9">
        <v>0.05</v>
      </c>
      <c r="G25" s="8">
        <f t="shared" si="8"/>
        <v>94.15</v>
      </c>
      <c r="H25" s="10">
        <v>0.67</v>
      </c>
      <c r="I25" s="11">
        <f t="shared" si="0"/>
        <v>5.4337631337716664E-2</v>
      </c>
      <c r="J25" s="11">
        <f t="shared" si="9"/>
        <v>1261.6100000000001</v>
      </c>
      <c r="K25" s="12">
        <f t="shared" si="10"/>
        <v>1261.5556623686625</v>
      </c>
      <c r="L25" s="8">
        <v>45</v>
      </c>
      <c r="M25" s="8">
        <f t="shared" si="1"/>
        <v>2154.0581012404314</v>
      </c>
      <c r="N25" s="13">
        <f t="shared" si="2"/>
        <v>197.81726095290043</v>
      </c>
      <c r="O25" s="10">
        <v>1.25</v>
      </c>
      <c r="P25" s="11">
        <f t="shared" si="3"/>
        <v>2353.75</v>
      </c>
      <c r="Q25" s="14">
        <f t="shared" si="4"/>
        <v>1.092704973298805</v>
      </c>
      <c r="R25" s="14">
        <f t="shared" si="5"/>
        <v>1.1845396646838637</v>
      </c>
      <c r="S25" s="15">
        <f>IF($P25=0,"-",(VLOOKUP(L25,'APP 2885'!$B$10:$G$54,6)*$G25)/($P25+$N25))</f>
        <v>2.2606706924931896</v>
      </c>
      <c r="T25" s="16">
        <f t="shared" si="6"/>
        <v>0.58566463998449514</v>
      </c>
      <c r="U25" s="17">
        <f t="shared" si="7"/>
        <v>0.67749933136955376</v>
      </c>
      <c r="V25" s="15">
        <f>IF($P25=0,"-",(VLOOKUP(L25,'APP 2885'!$B$10:$G$54,4)*$G25)/($K25+$N25))</f>
        <v>3.5932328035502916</v>
      </c>
      <c r="W25" s="18"/>
      <c r="X25" s="18"/>
    </row>
    <row r="26" spans="1:24" ht="39.950000000000003" customHeight="1" x14ac:dyDescent="0.25">
      <c r="A26" s="19" t="s">
        <v>39</v>
      </c>
      <c r="B26" s="19" t="s">
        <v>29</v>
      </c>
      <c r="C26" s="19" t="s">
        <v>40</v>
      </c>
      <c r="D26" s="20">
        <v>4</v>
      </c>
      <c r="E26" s="20">
        <v>4712</v>
      </c>
      <c r="F26" s="21">
        <v>0.03</v>
      </c>
      <c r="G26" s="20">
        <f t="shared" si="8"/>
        <v>141.35999999999999</v>
      </c>
      <c r="H26" s="22">
        <v>0.67</v>
      </c>
      <c r="I26" s="23">
        <f t="shared" si="0"/>
        <v>3.2602578802629997E-2</v>
      </c>
      <c r="J26" s="23">
        <f t="shared" si="9"/>
        <v>3157.04</v>
      </c>
      <c r="K26" s="24">
        <f t="shared" si="10"/>
        <v>3156.9095896847894</v>
      </c>
      <c r="L26" s="20">
        <v>45</v>
      </c>
      <c r="M26" s="20">
        <f t="shared" si="1"/>
        <v>3234.1758172208952</v>
      </c>
      <c r="N26" s="25">
        <f t="shared" si="2"/>
        <v>297.00953805950081</v>
      </c>
      <c r="O26" s="22">
        <v>1.25</v>
      </c>
      <c r="P26" s="23">
        <f t="shared" si="3"/>
        <v>5890</v>
      </c>
      <c r="Q26" s="26">
        <f t="shared" si="4"/>
        <v>1.8211749554980088</v>
      </c>
      <c r="R26" s="26">
        <f t="shared" si="5"/>
        <v>1.9130096468830675</v>
      </c>
      <c r="S26" s="27">
        <f>IF($P26=0,"-",(VLOOKUP(L26,'APP 2885'!$B$10:$G$54,6)*$G26)/($P26+$N26))</f>
        <v>1.3998121276647195</v>
      </c>
      <c r="T26" s="28">
        <f t="shared" si="6"/>
        <v>0.97610945356628753</v>
      </c>
      <c r="U26" s="2">
        <f t="shared" si="7"/>
        <v>1.0679441449513463</v>
      </c>
      <c r="V26" s="27">
        <f>IF($P26=0,"-",(VLOOKUP(L26,'APP 2885'!$B$10:$G$54,4)*$G26)/($K26+$N26))</f>
        <v>2.2795319711887911</v>
      </c>
      <c r="W26" s="18"/>
      <c r="X26" s="18"/>
    </row>
    <row r="27" spans="1:24" ht="39.950000000000003" customHeight="1" x14ac:dyDescent="0.25">
      <c r="A27" s="7" t="s">
        <v>41</v>
      </c>
      <c r="B27" s="7" t="s">
        <v>26</v>
      </c>
      <c r="C27" s="7" t="s">
        <v>42</v>
      </c>
      <c r="D27" s="8">
        <v>630</v>
      </c>
      <c r="E27" s="8">
        <v>861973</v>
      </c>
      <c r="F27" s="9">
        <v>4.2999999999999997E-2</v>
      </c>
      <c r="G27" s="13">
        <f t="shared" si="8"/>
        <v>37064.839</v>
      </c>
      <c r="H27" s="10">
        <v>0.67</v>
      </c>
      <c r="I27" s="11">
        <f t="shared" si="0"/>
        <v>4.6730362950436331E-2</v>
      </c>
      <c r="J27" s="11">
        <f t="shared" si="9"/>
        <v>577521.91</v>
      </c>
      <c r="K27" s="12">
        <f t="shared" si="10"/>
        <v>577492.46987134125</v>
      </c>
      <c r="L27" s="8">
        <v>45</v>
      </c>
      <c r="M27" s="8">
        <f t="shared" si="1"/>
        <v>848006.55038897798</v>
      </c>
      <c r="N27" s="13">
        <f t="shared" si="2"/>
        <v>77876.419847479978</v>
      </c>
      <c r="O27" s="10">
        <v>1.25</v>
      </c>
      <c r="P27" s="11">
        <f t="shared" si="3"/>
        <v>1077466.25</v>
      </c>
      <c r="Q27" s="14">
        <f t="shared" si="4"/>
        <v>1.2705871782544245</v>
      </c>
      <c r="R27" s="14">
        <f t="shared" si="5"/>
        <v>1.3624218696394832</v>
      </c>
      <c r="S27" s="15">
        <f>IF($P27=0,"-",(VLOOKUP(L27,'APP 2885'!$B$10:$G$54,6)*$G27)/($P27+$N27))</f>
        <v>1.9655102165639193</v>
      </c>
      <c r="T27" s="16">
        <f t="shared" si="6"/>
        <v>0.68100001067969018</v>
      </c>
      <c r="U27" s="17">
        <f t="shared" si="7"/>
        <v>0.77283470206474891</v>
      </c>
      <c r="V27" s="15">
        <f>IF($P27=0,"-",(VLOOKUP(L27,'APP 2885'!$B$10:$G$54,4)*$G27)/($K27+$N27))</f>
        <v>3.14997866342771</v>
      </c>
      <c r="W27" s="18"/>
      <c r="X27" s="18"/>
    </row>
    <row r="28" spans="1:24" ht="39.950000000000003" customHeight="1" x14ac:dyDescent="0.25">
      <c r="A28" s="19" t="s">
        <v>41</v>
      </c>
      <c r="B28" s="19" t="s">
        <v>28</v>
      </c>
      <c r="C28" s="19" t="s">
        <v>42</v>
      </c>
      <c r="D28" s="20">
        <v>36</v>
      </c>
      <c r="E28" s="20">
        <v>49606</v>
      </c>
      <c r="F28" s="21">
        <v>5.2999999999999999E-2</v>
      </c>
      <c r="G28" s="25">
        <f t="shared" si="8"/>
        <v>2629.1179999999999</v>
      </c>
      <c r="H28" s="22">
        <v>0.67</v>
      </c>
      <c r="I28" s="23">
        <f t="shared" si="0"/>
        <v>5.7597889217979661E-2</v>
      </c>
      <c r="J28" s="23">
        <f t="shared" si="9"/>
        <v>33236.020000000004</v>
      </c>
      <c r="K28" s="24">
        <f t="shared" si="10"/>
        <v>33233.946475988159</v>
      </c>
      <c r="L28" s="20">
        <v>45</v>
      </c>
      <c r="M28" s="20">
        <f t="shared" si="1"/>
        <v>60151.597737833661</v>
      </c>
      <c r="N28" s="25">
        <f t="shared" si="2"/>
        <v>5524.0034145721465</v>
      </c>
      <c r="O28" s="22">
        <v>1.25</v>
      </c>
      <c r="P28" s="23">
        <f t="shared" si="3"/>
        <v>62007.5</v>
      </c>
      <c r="Q28" s="26">
        <f t="shared" si="4"/>
        <v>1.0308537483950992</v>
      </c>
      <c r="R28" s="26">
        <f t="shared" si="5"/>
        <v>1.1226884397801578</v>
      </c>
      <c r="S28" s="27">
        <f>IF($P28=0,"-",(VLOOKUP(L28,'APP 2885'!$B$10:$G$54,6)*$G28)/($P28+$N28))</f>
        <v>2.3852157100423086</v>
      </c>
      <c r="T28" s="28">
        <f t="shared" si="6"/>
        <v>0.55250313750327773</v>
      </c>
      <c r="U28" s="2">
        <f t="shared" si="7"/>
        <v>0.64433782888833635</v>
      </c>
      <c r="V28" s="27">
        <f>IF($P28=0,"-",(VLOOKUP(L28,'APP 2885'!$B$10:$G$54,4)*$G28)/($K28+$N28))</f>
        <v>3.778162188708547</v>
      </c>
      <c r="W28" s="18"/>
      <c r="X28" s="18"/>
    </row>
    <row r="29" spans="1:24" ht="39.950000000000003" customHeight="1" x14ac:dyDescent="0.25">
      <c r="A29" s="7" t="s">
        <v>41</v>
      </c>
      <c r="B29" s="7" t="s">
        <v>29</v>
      </c>
      <c r="C29" s="7" t="s">
        <v>42</v>
      </c>
      <c r="D29" s="8">
        <v>1804</v>
      </c>
      <c r="E29" s="8">
        <v>3096296</v>
      </c>
      <c r="F29" s="9">
        <v>4.5999999999999999E-2</v>
      </c>
      <c r="G29" s="13">
        <f t="shared" si="8"/>
        <v>142429.61600000001</v>
      </c>
      <c r="H29" s="10">
        <v>0.67</v>
      </c>
      <c r="I29" s="11">
        <f t="shared" si="0"/>
        <v>4.9990620830699328E-2</v>
      </c>
      <c r="J29" s="11">
        <f t="shared" si="9"/>
        <v>2074518.32</v>
      </c>
      <c r="K29" s="12">
        <f t="shared" si="10"/>
        <v>2074428.1369200214</v>
      </c>
      <c r="L29" s="8">
        <v>45</v>
      </c>
      <c r="M29" s="8">
        <f t="shared" si="1"/>
        <v>3258647.5645391797</v>
      </c>
      <c r="N29" s="13">
        <f t="shared" si="2"/>
        <v>299256.89342212852</v>
      </c>
      <c r="O29" s="10">
        <v>1.25</v>
      </c>
      <c r="P29" s="11">
        <f>IF(ISNUMBER(O29),O29*E29,"")-0.62</f>
        <v>3870369.38</v>
      </c>
      <c r="Q29" s="14">
        <f t="shared" si="4"/>
        <v>1.1877226068009372</v>
      </c>
      <c r="R29" s="14">
        <f t="shared" si="5"/>
        <v>1.279557298185996</v>
      </c>
      <c r="S29" s="15">
        <f>IF($P29=0,"-",(VLOOKUP(L29,'APP 2885'!$B$10:$G$54,6)*$G29)/($P29+$N29))</f>
        <v>2.0927973353306362</v>
      </c>
      <c r="T29" s="16">
        <f t="shared" si="6"/>
        <v>0.63659174422361187</v>
      </c>
      <c r="U29" s="17">
        <f t="shared" si="7"/>
        <v>0.7284264356086706</v>
      </c>
      <c r="V29" s="15">
        <f>IF($P29=0,"-",(VLOOKUP(L29,'APP 2885'!$B$10:$G$54,4)*$G29)/($K29+$N29))</f>
        <v>3.3420160264039334</v>
      </c>
      <c r="W29" s="18"/>
      <c r="X29" s="18"/>
    </row>
    <row r="30" spans="1:24" ht="39.950000000000003" customHeight="1" x14ac:dyDescent="0.25">
      <c r="A30" s="19" t="s">
        <v>43</v>
      </c>
      <c r="B30" s="19" t="s">
        <v>26</v>
      </c>
      <c r="C30" s="19" t="s">
        <v>31</v>
      </c>
      <c r="D30" s="20">
        <v>17</v>
      </c>
      <c r="E30" s="20">
        <v>17</v>
      </c>
      <c r="F30" s="21">
        <v>108.78</v>
      </c>
      <c r="G30" s="20">
        <f t="shared" si="8"/>
        <v>1849.26</v>
      </c>
      <c r="H30" s="22">
        <v>1747</v>
      </c>
      <c r="I30" s="23">
        <f t="shared" si="0"/>
        <v>86.092561291411926</v>
      </c>
      <c r="J30" s="23">
        <f t="shared" si="9"/>
        <v>29699</v>
      </c>
      <c r="K30" s="24">
        <f t="shared" si="10"/>
        <v>28235.426458045997</v>
      </c>
      <c r="L30" s="20">
        <v>25</v>
      </c>
      <c r="M30" s="20">
        <f t="shared" si="1"/>
        <v>30812.074567452695</v>
      </c>
      <c r="N30" s="25">
        <f t="shared" si="2"/>
        <v>3885.4545723819501</v>
      </c>
      <c r="O30" s="22">
        <v>900</v>
      </c>
      <c r="P30" s="23">
        <f t="shared" si="3"/>
        <v>15300</v>
      </c>
      <c r="Q30" s="26">
        <f t="shared" si="4"/>
        <v>0.49655858019250815</v>
      </c>
      <c r="R30" s="26">
        <f t="shared" si="5"/>
        <v>0.62266026685031661</v>
      </c>
      <c r="S30" s="27">
        <f>IF($P30=0,"-",(VLOOKUP(L30,'APP 2885'!$B$10:$G$54,6)*$G30)/($P30+$N30))</f>
        <v>2.6660626236156526</v>
      </c>
      <c r="T30" s="28">
        <f t="shared" si="6"/>
        <v>0.91637537732923524</v>
      </c>
      <c r="U30" s="2">
        <f t="shared" si="7"/>
        <v>1.0424770639870438</v>
      </c>
      <c r="V30" s="27">
        <f>IF($P30=0,"-",(VLOOKUP(L30,'APP 2885'!$B$10:$G$54,4)*$G30)/($K30+$N30))</f>
        <v>1.4476457712706037</v>
      </c>
      <c r="W30" s="18"/>
      <c r="X30" s="18"/>
    </row>
    <row r="31" spans="1:24" ht="39.950000000000003" customHeight="1" x14ac:dyDescent="0.25">
      <c r="A31" s="7" t="s">
        <v>43</v>
      </c>
      <c r="B31" s="7" t="s">
        <v>28</v>
      </c>
      <c r="C31" s="7" t="s">
        <v>31</v>
      </c>
      <c r="D31" s="8">
        <v>5</v>
      </c>
      <c r="E31" s="8">
        <v>5</v>
      </c>
      <c r="F31" s="9">
        <v>124.22</v>
      </c>
      <c r="G31" s="8">
        <f t="shared" si="8"/>
        <v>621.1</v>
      </c>
      <c r="H31" s="10">
        <v>1747</v>
      </c>
      <c r="I31" s="11">
        <f t="shared" si="0"/>
        <v>98.312354877911304</v>
      </c>
      <c r="J31" s="11">
        <f t="shared" si="9"/>
        <v>8735</v>
      </c>
      <c r="K31" s="12">
        <f t="shared" si="10"/>
        <v>8243.4382256104436</v>
      </c>
      <c r="L31" s="8">
        <v>25</v>
      </c>
      <c r="M31" s="8">
        <f t="shared" si="1"/>
        <v>10348.66893451698</v>
      </c>
      <c r="N31" s="13">
        <f t="shared" si="2"/>
        <v>1304.984607305857</v>
      </c>
      <c r="O31" s="10">
        <v>900</v>
      </c>
      <c r="P31" s="11">
        <f t="shared" si="3"/>
        <v>4500</v>
      </c>
      <c r="Q31" s="14">
        <f t="shared" si="4"/>
        <v>0.43483853126180189</v>
      </c>
      <c r="R31" s="14">
        <f t="shared" si="5"/>
        <v>0.56094021791961035</v>
      </c>
      <c r="S31" s="15">
        <f>IF($P31=0,"-",(VLOOKUP(L31,'APP 2885'!$B$10:$G$54,6)*$G31)/($P31+$N31))</f>
        <v>2.9594085280903912</v>
      </c>
      <c r="T31" s="16">
        <f t="shared" si="6"/>
        <v>0.79656990457151999</v>
      </c>
      <c r="U31" s="17">
        <f t="shared" si="7"/>
        <v>0.92267159122932851</v>
      </c>
      <c r="V31" s="15">
        <f>IF($P31=0,"-",(VLOOKUP(L31,'APP 2885'!$B$10:$G$54,4)*$G31)/($K31+$N31))</f>
        <v>1.6356171878194792</v>
      </c>
      <c r="W31" s="18"/>
      <c r="X31" s="18"/>
    </row>
    <row r="32" spans="1:24" ht="39.950000000000003" customHeight="1" x14ac:dyDescent="0.25">
      <c r="A32" s="19" t="s">
        <v>43</v>
      </c>
      <c r="B32" s="19" t="s">
        <v>29</v>
      </c>
      <c r="C32" s="19" t="s">
        <v>31</v>
      </c>
      <c r="D32" s="20">
        <v>2</v>
      </c>
      <c r="E32" s="20">
        <v>2</v>
      </c>
      <c r="F32" s="21">
        <v>110.66</v>
      </c>
      <c r="G32" s="20">
        <f t="shared" si="8"/>
        <v>221.32</v>
      </c>
      <c r="H32" s="22">
        <v>1747</v>
      </c>
      <c r="I32" s="23">
        <f t="shared" si="0"/>
        <v>87.580463619301767</v>
      </c>
      <c r="J32" s="23">
        <f t="shared" si="9"/>
        <v>3494</v>
      </c>
      <c r="K32" s="24">
        <f t="shared" si="10"/>
        <v>3318.8390727613964</v>
      </c>
      <c r="L32" s="20">
        <v>25</v>
      </c>
      <c r="M32" s="20">
        <f t="shared" si="1"/>
        <v>3687.5984681811265</v>
      </c>
      <c r="N32" s="25">
        <f t="shared" si="2"/>
        <v>465.01238655439101</v>
      </c>
      <c r="O32" s="22">
        <v>900</v>
      </c>
      <c r="P32" s="23">
        <f t="shared" si="3"/>
        <v>1800</v>
      </c>
      <c r="Q32" s="26">
        <f t="shared" si="4"/>
        <v>0.48812255876867017</v>
      </c>
      <c r="R32" s="26">
        <f t="shared" si="5"/>
        <v>0.61422424542647869</v>
      </c>
      <c r="S32" s="27">
        <f>IF($P32=0,"-",(VLOOKUP(L32,'APP 2885'!$B$10:$G$54,6)*$G32)/($P32+$N32))</f>
        <v>2.7026794806960814</v>
      </c>
      <c r="T32" s="28">
        <f t="shared" si="6"/>
        <v>0.90000012240985194</v>
      </c>
      <c r="U32" s="2">
        <f t="shared" si="7"/>
        <v>1.0261018090676606</v>
      </c>
      <c r="V32" s="27">
        <f>IF($P32=0,"-",(VLOOKUP(L32,'APP 2885'!$B$10:$G$54,4)*$G32)/($K32+$N32))</f>
        <v>1.4707483214542574</v>
      </c>
      <c r="W32" s="18"/>
      <c r="X32" s="18"/>
    </row>
    <row r="33" spans="1:24" ht="39.950000000000003" customHeight="1" x14ac:dyDescent="0.25">
      <c r="A33" s="7" t="s">
        <v>44</v>
      </c>
      <c r="B33" s="7" t="s">
        <v>26</v>
      </c>
      <c r="C33" s="7" t="s">
        <v>45</v>
      </c>
      <c r="D33" s="8">
        <v>157</v>
      </c>
      <c r="E33" s="8">
        <v>21141</v>
      </c>
      <c r="F33" s="9">
        <v>0.17</v>
      </c>
      <c r="G33" s="8">
        <f t="shared" si="8"/>
        <v>3593.9700000000003</v>
      </c>
      <c r="H33" s="10">
        <v>0.17</v>
      </c>
      <c r="I33" s="11">
        <f t="shared" si="0"/>
        <v>0.18474794654823667</v>
      </c>
      <c r="J33" s="11">
        <f t="shared" si="9"/>
        <v>3593.9700000000003</v>
      </c>
      <c r="K33" s="12">
        <f t="shared" si="10"/>
        <v>3564.964572391927</v>
      </c>
      <c r="L33" s="8">
        <v>45</v>
      </c>
      <c r="M33" s="8">
        <f t="shared" si="1"/>
        <v>82226.449220553084</v>
      </c>
      <c r="N33" s="13">
        <f t="shared" si="2"/>
        <v>7551.2405878586887</v>
      </c>
      <c r="O33" s="10">
        <v>1</v>
      </c>
      <c r="P33" s="11">
        <f t="shared" si="3"/>
        <v>21141</v>
      </c>
      <c r="Q33" s="14">
        <f t="shared" si="4"/>
        <v>0.25710705254089528</v>
      </c>
      <c r="R33" s="14">
        <f t="shared" si="5"/>
        <v>0.3489417439259539</v>
      </c>
      <c r="S33" s="15">
        <f>IF($P33=0,"-",(VLOOKUP(L33,'APP 2885'!$B$10:$G$54,6)*$G33)/($P33+$N33))</f>
        <v>7.6742153974411451</v>
      </c>
      <c r="T33" s="16">
        <f t="shared" si="6"/>
        <v>4.3355448352509415E-2</v>
      </c>
      <c r="U33" s="17">
        <f t="shared" si="7"/>
        <v>0.13519013973756808</v>
      </c>
      <c r="V33" s="15">
        <f>IF($P33=0,"-",(VLOOKUP(L33,'APP 2885'!$B$10:$G$54,4)*$G33)/($K33+$N33))</f>
        <v>18.007325287082086</v>
      </c>
      <c r="W33" s="18"/>
      <c r="X33" s="18"/>
    </row>
    <row r="34" spans="1:24" ht="39.950000000000003" customHeight="1" x14ac:dyDescent="0.25">
      <c r="A34" s="19" t="s">
        <v>44</v>
      </c>
      <c r="B34" s="19" t="s">
        <v>28</v>
      </c>
      <c r="C34" s="19" t="s">
        <v>45</v>
      </c>
      <c r="D34" s="20">
        <v>24</v>
      </c>
      <c r="E34" s="20">
        <v>3716</v>
      </c>
      <c r="F34" s="21">
        <v>0.17</v>
      </c>
      <c r="G34" s="20">
        <f t="shared" si="8"/>
        <v>631.72</v>
      </c>
      <c r="H34" s="22">
        <v>0.17</v>
      </c>
      <c r="I34" s="23">
        <f t="shared" si="0"/>
        <v>0.18474794654823667</v>
      </c>
      <c r="J34" s="23">
        <f t="shared" si="9"/>
        <v>631.72</v>
      </c>
      <c r="K34" s="24">
        <f t="shared" si="10"/>
        <v>627.28604928284233</v>
      </c>
      <c r="L34" s="20">
        <v>45</v>
      </c>
      <c r="M34" s="20">
        <f t="shared" si="1"/>
        <v>14453.123565752578</v>
      </c>
      <c r="N34" s="25">
        <f t="shared" si="2"/>
        <v>1327.2981422110063</v>
      </c>
      <c r="O34" s="22">
        <v>1</v>
      </c>
      <c r="P34" s="23">
        <f t="shared" si="3"/>
        <v>3716</v>
      </c>
      <c r="Q34" s="26">
        <f t="shared" si="4"/>
        <v>0.25710705254089528</v>
      </c>
      <c r="R34" s="26">
        <f t="shared" si="5"/>
        <v>0.34894174392595395</v>
      </c>
      <c r="S34" s="27">
        <f>IF($P34=0,"-",(VLOOKUP(L34,'APP 2885'!$B$10:$G$54,6)*$G34)/($P34+$N34))</f>
        <v>7.6742153974411451</v>
      </c>
      <c r="T34" s="28">
        <f t="shared" si="6"/>
        <v>4.3401417446483959E-2</v>
      </c>
      <c r="U34" s="2">
        <f t="shared" si="7"/>
        <v>0.13523610883154261</v>
      </c>
      <c r="V34" s="27">
        <f>IF($P34=0,"-",(VLOOKUP(L34,'APP 2885'!$B$10:$G$54,4)*$G34)/($K34+$N34))</f>
        <v>18.001204285557389</v>
      </c>
      <c r="W34" s="18"/>
      <c r="X34" s="18"/>
    </row>
    <row r="35" spans="1:24" ht="39.950000000000003" customHeight="1" x14ac:dyDescent="0.25">
      <c r="A35" s="7" t="s">
        <v>44</v>
      </c>
      <c r="B35" s="7" t="s">
        <v>29</v>
      </c>
      <c r="C35" s="7" t="s">
        <v>45</v>
      </c>
      <c r="D35" s="8">
        <v>28</v>
      </c>
      <c r="E35" s="8">
        <v>7203</v>
      </c>
      <c r="F35" s="9">
        <v>0.17</v>
      </c>
      <c r="G35" s="8">
        <f t="shared" si="8"/>
        <v>1224.51</v>
      </c>
      <c r="H35" s="10">
        <v>0.17</v>
      </c>
      <c r="I35" s="11">
        <f t="shared" si="0"/>
        <v>0.18474794654823667</v>
      </c>
      <c r="J35" s="11">
        <f t="shared" si="9"/>
        <v>1224.51</v>
      </c>
      <c r="K35" s="12">
        <f t="shared" si="10"/>
        <v>1219.3370574966493</v>
      </c>
      <c r="L35" s="8">
        <v>45</v>
      </c>
      <c r="M35" s="8">
        <f t="shared" si="1"/>
        <v>28015.567557619972</v>
      </c>
      <c r="N35" s="13">
        <f t="shared" si="2"/>
        <v>2572.8010006312916</v>
      </c>
      <c r="O35" s="10">
        <v>1</v>
      </c>
      <c r="P35" s="11">
        <f t="shared" si="3"/>
        <v>7203</v>
      </c>
      <c r="Q35" s="14">
        <f t="shared" si="4"/>
        <v>0.25710705254089528</v>
      </c>
      <c r="R35" s="14">
        <f t="shared" si="5"/>
        <v>0.34894174392595395</v>
      </c>
      <c r="S35" s="15">
        <f>IF($P35=0,"-",(VLOOKUP(L35,'APP 2885'!$B$10:$G$54,6)*$G35)/($P35+$N35))</f>
        <v>7.6742153974411433</v>
      </c>
      <c r="T35" s="16">
        <f t="shared" si="6"/>
        <v>4.3523553645266097E-2</v>
      </c>
      <c r="U35" s="17">
        <f t="shared" si="7"/>
        <v>0.13535824503032476</v>
      </c>
      <c r="V35" s="15">
        <f>IF($P35=0,"-",(VLOOKUP(L35,'APP 2885'!$B$10:$G$54,4)*$G35)/($K35+$N35))</f>
        <v>17.984961472535939</v>
      </c>
      <c r="W35" s="18"/>
      <c r="X35" s="18"/>
    </row>
    <row r="36" spans="1:24" ht="39.950000000000003" customHeight="1" x14ac:dyDescent="0.25">
      <c r="A36" s="19" t="s">
        <v>46</v>
      </c>
      <c r="B36" s="19" t="s">
        <v>26</v>
      </c>
      <c r="C36" s="19" t="s">
        <v>47</v>
      </c>
      <c r="D36" s="20">
        <v>168</v>
      </c>
      <c r="E36" s="20">
        <v>168</v>
      </c>
      <c r="F36" s="21">
        <v>68.64</v>
      </c>
      <c r="G36" s="20">
        <f t="shared" si="8"/>
        <v>11531.52</v>
      </c>
      <c r="H36" s="22">
        <v>793.95</v>
      </c>
      <c r="I36" s="23">
        <f t="shared" si="0"/>
        <v>46.76022277585659</v>
      </c>
      <c r="J36" s="23">
        <f t="shared" si="9"/>
        <v>133383.6</v>
      </c>
      <c r="K36" s="24">
        <f t="shared" si="10"/>
        <v>125527.8825736561</v>
      </c>
      <c r="L36" s="20">
        <v>20</v>
      </c>
      <c r="M36" s="20">
        <f t="shared" si="1"/>
        <v>165383.52476513488</v>
      </c>
      <c r="N36" s="25">
        <f t="shared" si="2"/>
        <v>24228.716951923423</v>
      </c>
      <c r="O36" s="22">
        <v>150</v>
      </c>
      <c r="P36" s="23">
        <f t="shared" si="3"/>
        <v>25200</v>
      </c>
      <c r="Q36" s="26">
        <f t="shared" si="4"/>
        <v>0.1523730978390207</v>
      </c>
      <c r="R36" s="26">
        <f t="shared" si="5"/>
        <v>0.29887328270526542</v>
      </c>
      <c r="S36" s="27">
        <f>IF($P36=0,"-",(VLOOKUP(L36,'APP 2885'!$B$10:$G$54,6)*$G36)/($P36+$N36))</f>
        <v>4.9318872383209964</v>
      </c>
      <c r="T36" s="28">
        <f t="shared" si="6"/>
        <v>0.75901080686193656</v>
      </c>
      <c r="U36" s="2">
        <f t="shared" si="7"/>
        <v>0.90551099172818128</v>
      </c>
      <c r="V36" s="27">
        <f>IF($P36=0,"-",(VLOOKUP(L36,'APP 2885'!$B$10:$G$54,4)*$G36)/($K36+$N36))</f>
        <v>1.4798367916159443</v>
      </c>
      <c r="W36" s="18"/>
      <c r="X36" s="18"/>
    </row>
    <row r="37" spans="1:24" ht="39.950000000000003" customHeight="1" x14ac:dyDescent="0.25">
      <c r="A37" s="7" t="s">
        <v>46</v>
      </c>
      <c r="B37" s="7" t="s">
        <v>28</v>
      </c>
      <c r="C37" s="7" t="s">
        <v>47</v>
      </c>
      <c r="D37" s="8">
        <v>10</v>
      </c>
      <c r="E37" s="8">
        <v>10</v>
      </c>
      <c r="F37" s="9">
        <v>69.209999999999994</v>
      </c>
      <c r="G37" s="8">
        <f t="shared" ref="G37:G68" si="11">IF(ISNUMBER(E37),E37*F37,"")</f>
        <v>692.09999999999991</v>
      </c>
      <c r="H37" s="10">
        <v>793.95</v>
      </c>
      <c r="I37" s="11">
        <f t="shared" si="0"/>
        <v>47.148528821635111</v>
      </c>
      <c r="J37" s="11">
        <f t="shared" ref="J37:J68" si="12">IF(ISNUMBER(H37),H37*E37,"")</f>
        <v>7939.5</v>
      </c>
      <c r="K37" s="12">
        <f t="shared" ref="K37:K68" si="13">J37-D37*(I37)</f>
        <v>7468.0147117836486</v>
      </c>
      <c r="L37" s="8">
        <v>20</v>
      </c>
      <c r="M37" s="8">
        <f t="shared" ref="M37:M68" si="14">PV($B$93,$L37,-$G37)</f>
        <v>9926.0060677126548</v>
      </c>
      <c r="N37" s="13">
        <f t="shared" ref="N37:N68" si="15">(G37/VLOOKUP("TOTAL PROGRAM",$A$4:$G$200,7,FALSE))*$B$95</f>
        <v>1454.1617239033706</v>
      </c>
      <c r="O37" s="10">
        <v>150</v>
      </c>
      <c r="P37" s="11">
        <f t="shared" ref="P37:P68" si="16">IF(ISNUMBER(O37),O37*E37,"")</f>
        <v>1500</v>
      </c>
      <c r="Q37" s="14">
        <f t="shared" ref="Q37:Q68" si="17">IF(ISERROR(P37/M37),0,P37/M37)</f>
        <v>0.15111818285898543</v>
      </c>
      <c r="R37" s="14">
        <f t="shared" ref="R37:R68" si="18">IF(ISERROR((N37+P37)/M37),0,(N37+P37)/M37)</f>
        <v>0.29761836772523009</v>
      </c>
      <c r="S37" s="15">
        <f>IF($P37=0,"-",(VLOOKUP(L37,'APP 2885'!$B$10:$G$54,6)*$G37)/($P37+$N37))</f>
        <v>4.9526826590556734</v>
      </c>
      <c r="T37" s="16">
        <f t="shared" ref="T37:T68" si="19">IF(ISERROR(RK37/M37),0,K37/M37)</f>
        <v>0.75236854187260993</v>
      </c>
      <c r="U37" s="17">
        <f t="shared" ref="U37:U68" si="20">IF(ISERROR(K37/M37),0,(K37+N37)/M37)</f>
        <v>0.89886872673885454</v>
      </c>
      <c r="V37" s="15">
        <f>IF($P37=0,"-",(VLOOKUP(L37,'APP 2885'!$B$10:$G$54,4)*$G37)/($K37+$N37))</f>
        <v>1.490772168293838</v>
      </c>
      <c r="W37" s="18"/>
      <c r="X37" s="18"/>
    </row>
    <row r="38" spans="1:24" ht="39.950000000000003" customHeight="1" x14ac:dyDescent="0.25">
      <c r="A38" s="19" t="s">
        <v>46</v>
      </c>
      <c r="B38" s="19" t="s">
        <v>29</v>
      </c>
      <c r="C38" s="19" t="s">
        <v>47</v>
      </c>
      <c r="D38" s="20">
        <v>22</v>
      </c>
      <c r="E38" s="20">
        <v>22</v>
      </c>
      <c r="F38" s="21">
        <v>60.78</v>
      </c>
      <c r="G38" s="20">
        <f t="shared" si="11"/>
        <v>1337.16</v>
      </c>
      <c r="H38" s="22">
        <v>793.95</v>
      </c>
      <c r="I38" s="23">
        <f t="shared" si="0"/>
        <v>41.40568677617371</v>
      </c>
      <c r="J38" s="23">
        <f t="shared" si="12"/>
        <v>17466.900000000001</v>
      </c>
      <c r="K38" s="24">
        <f t="shared" si="13"/>
        <v>16555.974890924179</v>
      </c>
      <c r="L38" s="20">
        <v>20</v>
      </c>
      <c r="M38" s="20">
        <f t="shared" si="14"/>
        <v>19177.370717385718</v>
      </c>
      <c r="N38" s="25">
        <f t="shared" si="15"/>
        <v>2809.4883553455161</v>
      </c>
      <c r="O38" s="22">
        <v>150</v>
      </c>
      <c r="P38" s="23">
        <f t="shared" si="16"/>
        <v>3300</v>
      </c>
      <c r="Q38" s="26">
        <f t="shared" si="17"/>
        <v>0.17207781236706779</v>
      </c>
      <c r="R38" s="26">
        <f t="shared" si="18"/>
        <v>0.31857799723331254</v>
      </c>
      <c r="S38" s="27">
        <f>IF($P38=0,"-",(VLOOKUP(L38,'APP 2885'!$B$10:$G$54,6)*$G38)/($P38+$N38))</f>
        <v>4.6268397116254771</v>
      </c>
      <c r="T38" s="28">
        <f t="shared" si="19"/>
        <v>0.86330786085888989</v>
      </c>
      <c r="U38" s="2">
        <f t="shared" si="20"/>
        <v>1.0098080457251346</v>
      </c>
      <c r="V38" s="27">
        <f>IF($P38=0,"-",(VLOOKUP(L38,'APP 2885'!$B$10:$G$54,4)*$G38)/($K38+$N38))</f>
        <v>1.3269932701018985</v>
      </c>
      <c r="W38" s="18"/>
      <c r="X38" s="18"/>
    </row>
    <row r="39" spans="1:24" ht="39.950000000000003" customHeight="1" x14ac:dyDescent="0.25">
      <c r="A39" s="7" t="s">
        <v>48</v>
      </c>
      <c r="B39" s="7" t="s">
        <v>29</v>
      </c>
      <c r="C39" s="7" t="s">
        <v>49</v>
      </c>
      <c r="D39" s="8">
        <v>32</v>
      </c>
      <c r="E39" s="8">
        <v>32</v>
      </c>
      <c r="F39" s="9">
        <v>48.51</v>
      </c>
      <c r="G39" s="8">
        <f t="shared" si="11"/>
        <v>1552.32</v>
      </c>
      <c r="H39" s="10">
        <v>1142</v>
      </c>
      <c r="I39" s="11">
        <f t="shared" si="0"/>
        <v>42.915405703120157</v>
      </c>
      <c r="J39" s="11">
        <f t="shared" si="12"/>
        <v>36544</v>
      </c>
      <c r="K39" s="12">
        <f t="shared" si="13"/>
        <v>35170.707017500157</v>
      </c>
      <c r="L39" s="8">
        <v>30</v>
      </c>
      <c r="M39" s="8">
        <f t="shared" si="14"/>
        <v>28911.431210523057</v>
      </c>
      <c r="N39" s="13">
        <f t="shared" si="15"/>
        <v>3261.5580512204601</v>
      </c>
      <c r="O39" s="10">
        <v>600</v>
      </c>
      <c r="P39" s="11">
        <f t="shared" si="16"/>
        <v>19200</v>
      </c>
      <c r="Q39" s="14">
        <f t="shared" si="17"/>
        <v>0.66409718219040181</v>
      </c>
      <c r="R39" s="14">
        <f t="shared" si="18"/>
        <v>0.77690924007404383</v>
      </c>
      <c r="S39" s="15">
        <f>IF($P39=0,"-",(VLOOKUP(L39,'APP 2885'!$B$10:$G$54,6)*$G39)/($P39+$N39))</f>
        <v>2.4090060967324769</v>
      </c>
      <c r="T39" s="16">
        <f t="shared" si="19"/>
        <v>1.2164983034357315</v>
      </c>
      <c r="U39" s="17">
        <f t="shared" si="20"/>
        <v>1.3293103613193735</v>
      </c>
      <c r="V39" s="15">
        <f>IF($P39=0,"-",(VLOOKUP(L39,'APP 2885'!$B$10:$G$54,4)*$G39)/($K39+$N39))</f>
        <v>1.2799385239730783</v>
      </c>
      <c r="W39" s="18"/>
      <c r="X39" s="18"/>
    </row>
    <row r="40" spans="1:24" ht="39.950000000000003" customHeight="1" x14ac:dyDescent="0.25">
      <c r="A40" s="19" t="s">
        <v>48</v>
      </c>
      <c r="B40" s="19" t="s">
        <v>29</v>
      </c>
      <c r="C40" s="19" t="s">
        <v>49</v>
      </c>
      <c r="D40" s="20">
        <v>1</v>
      </c>
      <c r="E40" s="20">
        <v>1</v>
      </c>
      <c r="F40" s="21">
        <v>205</v>
      </c>
      <c r="G40" s="20">
        <f t="shared" si="11"/>
        <v>205</v>
      </c>
      <c r="H40" s="22">
        <v>1142</v>
      </c>
      <c r="I40" s="23">
        <f t="shared" si="0"/>
        <v>181.35762047288466</v>
      </c>
      <c r="J40" s="23">
        <f t="shared" si="12"/>
        <v>1142</v>
      </c>
      <c r="K40" s="24">
        <f t="shared" si="13"/>
        <v>960.64237952711528</v>
      </c>
      <c r="L40" s="20">
        <v>30</v>
      </c>
      <c r="M40" s="20">
        <f t="shared" si="14"/>
        <v>3818.0551678502025</v>
      </c>
      <c r="N40" s="25">
        <f t="shared" si="15"/>
        <v>430.72266059845549</v>
      </c>
      <c r="O40" s="22">
        <v>2000</v>
      </c>
      <c r="P40" s="23">
        <f t="shared" si="16"/>
        <v>2000</v>
      </c>
      <c r="Q40" s="26">
        <f t="shared" si="17"/>
        <v>0.5238268993179902</v>
      </c>
      <c r="R40" s="26">
        <f t="shared" si="18"/>
        <v>0.63663895720163222</v>
      </c>
      <c r="S40" s="27">
        <f>IF($P40=0,"-",(VLOOKUP(L40,'APP 2885'!$B$10:$G$54,6)*$G40)/($P40+$N40))</f>
        <v>2.9397809775461368</v>
      </c>
      <c r="T40" s="28">
        <f t="shared" si="19"/>
        <v>0.25160515951057233</v>
      </c>
      <c r="U40" s="2">
        <f t="shared" si="20"/>
        <v>0.3644172173942144</v>
      </c>
      <c r="V40" s="27">
        <f>IF($P40=0,"-",(VLOOKUP(L40,'APP 2885'!$B$10:$G$54,4)*$G40)/($K40+$N40))</f>
        <v>4.6689219404490494</v>
      </c>
      <c r="W40" s="18"/>
      <c r="X40" s="18"/>
    </row>
    <row r="41" spans="1:24" ht="39.950000000000003" customHeight="1" x14ac:dyDescent="0.25">
      <c r="A41" s="7" t="s">
        <v>50</v>
      </c>
      <c r="B41" s="7" t="s">
        <v>26</v>
      </c>
      <c r="C41" s="7" t="s">
        <v>51</v>
      </c>
      <c r="D41" s="8">
        <v>36</v>
      </c>
      <c r="E41" s="8">
        <v>36</v>
      </c>
      <c r="F41" s="9">
        <v>7.7290000000000001</v>
      </c>
      <c r="G41" s="8">
        <f t="shared" si="11"/>
        <v>278.24400000000003</v>
      </c>
      <c r="H41" s="10">
        <v>61.41</v>
      </c>
      <c r="I41" s="11">
        <f>PV($B$93,$L41,(-0.05*0.95*$F41))+PV($B$93,$L41,(-2*(1800/1000)))</f>
        <v>43.615168390285781</v>
      </c>
      <c r="J41" s="11">
        <f t="shared" si="12"/>
        <v>2210.7599999999998</v>
      </c>
      <c r="K41" s="12">
        <f t="shared" si="13"/>
        <v>640.61393794971173</v>
      </c>
      <c r="L41" s="8">
        <v>14</v>
      </c>
      <c r="M41" s="8">
        <f t="shared" si="14"/>
        <v>3059.0544200020486</v>
      </c>
      <c r="N41" s="13">
        <f t="shared" si="15"/>
        <v>584.6146145149105</v>
      </c>
      <c r="O41" s="10">
        <v>50</v>
      </c>
      <c r="P41" s="11">
        <f t="shared" si="16"/>
        <v>1800</v>
      </c>
      <c r="Q41" s="14">
        <f t="shared" si="17"/>
        <v>0.58841712269989455</v>
      </c>
      <c r="R41" s="14">
        <f t="shared" si="18"/>
        <v>0.77952670567832316</v>
      </c>
      <c r="S41" s="15">
        <f>IF($P41=0,"-",(VLOOKUP(L41,'APP 2885'!$B$10:$G$54,6)*$G41)/($P41+$N41))</f>
        <v>1.6443640208187209</v>
      </c>
      <c r="T41" s="16">
        <f t="shared" si="19"/>
        <v>0.20941567229434341</v>
      </c>
      <c r="U41" s="17">
        <f t="shared" si="20"/>
        <v>0.40052525527277205</v>
      </c>
      <c r="V41" s="15">
        <f>IF($P41=0,"-",(VLOOKUP(L41,'APP 2885'!$B$10:$G$54,4)*$G41)/($K41+$N41))</f>
        <v>2.9094196846629363</v>
      </c>
      <c r="W41" s="18"/>
      <c r="X41" s="18"/>
    </row>
    <row r="42" spans="1:24" ht="39.950000000000003" customHeight="1" x14ac:dyDescent="0.25">
      <c r="A42" s="19" t="s">
        <v>50</v>
      </c>
      <c r="B42" s="19" t="s">
        <v>28</v>
      </c>
      <c r="C42" s="19" t="s">
        <v>51</v>
      </c>
      <c r="D42" s="20">
        <v>29</v>
      </c>
      <c r="E42" s="20">
        <v>29</v>
      </c>
      <c r="F42" s="21">
        <v>7.7290000000000001</v>
      </c>
      <c r="G42" s="20">
        <f t="shared" si="11"/>
        <v>224.14099999999999</v>
      </c>
      <c r="H42" s="22">
        <v>61.41</v>
      </c>
      <c r="I42" s="23">
        <f>PV($B$93,$L42,(-0.05*0.95*$F42))+PV($B$93,$L42,(-2*(1800/1000)))</f>
        <v>43.615168390285781</v>
      </c>
      <c r="J42" s="23">
        <f t="shared" si="12"/>
        <v>1780.8899999999999</v>
      </c>
      <c r="K42" s="24">
        <f t="shared" si="13"/>
        <v>516.05011668171232</v>
      </c>
      <c r="L42" s="20">
        <v>14</v>
      </c>
      <c r="M42" s="20">
        <f t="shared" si="14"/>
        <v>2464.2382827794281</v>
      </c>
      <c r="N42" s="25">
        <f t="shared" si="15"/>
        <v>470.93955058145559</v>
      </c>
      <c r="O42" s="22">
        <v>50</v>
      </c>
      <c r="P42" s="23">
        <f t="shared" si="16"/>
        <v>1450</v>
      </c>
      <c r="Q42" s="26">
        <f t="shared" si="17"/>
        <v>0.58841712269989443</v>
      </c>
      <c r="R42" s="26">
        <f t="shared" si="18"/>
        <v>0.77952670567832305</v>
      </c>
      <c r="S42" s="27">
        <f>IF($P42=0,"-",(VLOOKUP(L42,'APP 2885'!$B$10:$G$54,6)*$G42)/($P42+$N42))</f>
        <v>1.6443640208187207</v>
      </c>
      <c r="T42" s="28">
        <f t="shared" si="19"/>
        <v>0.20941567229434344</v>
      </c>
      <c r="U42" s="2">
        <f t="shared" si="20"/>
        <v>0.40052525527277205</v>
      </c>
      <c r="V42" s="27">
        <f>IF($P42=0,"-",(VLOOKUP(L42,'APP 2885'!$B$10:$G$54,4)*$G42)/($K42+$N42))</f>
        <v>2.9094196846629354</v>
      </c>
      <c r="W42" s="18"/>
      <c r="X42" s="18"/>
    </row>
    <row r="43" spans="1:24" ht="39.950000000000003" customHeight="1" x14ac:dyDescent="0.25">
      <c r="A43" s="7" t="s">
        <v>50</v>
      </c>
      <c r="B43" s="7" t="s">
        <v>29</v>
      </c>
      <c r="C43" s="7" t="s">
        <v>51</v>
      </c>
      <c r="D43" s="8">
        <v>25</v>
      </c>
      <c r="E43" s="8">
        <v>25</v>
      </c>
      <c r="F43" s="9">
        <v>7.7290000000000001</v>
      </c>
      <c r="G43" s="8">
        <f t="shared" si="11"/>
        <v>193.22499999999999</v>
      </c>
      <c r="H43" s="10">
        <v>61.41</v>
      </c>
      <c r="I43" s="11">
        <f>PV($B$93,$L43,(-0.05*0.95*$F43))+PV($B$93,$L43,(-2*(1800/1000)))</f>
        <v>43.615168390285781</v>
      </c>
      <c r="J43" s="11">
        <f t="shared" si="12"/>
        <v>1535.25</v>
      </c>
      <c r="K43" s="12">
        <f t="shared" si="13"/>
        <v>444.87079024285549</v>
      </c>
      <c r="L43" s="8">
        <v>14</v>
      </c>
      <c r="M43" s="8">
        <f t="shared" si="14"/>
        <v>2124.3433472236447</v>
      </c>
      <c r="N43" s="13">
        <f t="shared" si="15"/>
        <v>405.98237119090999</v>
      </c>
      <c r="O43" s="10">
        <v>50</v>
      </c>
      <c r="P43" s="11">
        <f t="shared" si="16"/>
        <v>1250</v>
      </c>
      <c r="Q43" s="14">
        <f t="shared" si="17"/>
        <v>0.58841712269989455</v>
      </c>
      <c r="R43" s="14">
        <f t="shared" si="18"/>
        <v>0.77952670567832316</v>
      </c>
      <c r="S43" s="15">
        <f>IF($P43=0,"-",(VLOOKUP(L43,'APP 2885'!$B$10:$G$54,6)*$G43)/($P43+$N43))</f>
        <v>1.6443640208187207</v>
      </c>
      <c r="T43" s="16">
        <f t="shared" si="19"/>
        <v>0.20941567229434346</v>
      </c>
      <c r="U43" s="17">
        <f t="shared" si="20"/>
        <v>0.40052525527277216</v>
      </c>
      <c r="V43" s="15">
        <f>IF($P43=0,"-",(VLOOKUP(L43,'APP 2885'!$B$10:$G$54,4)*$G43)/($K43+$N43))</f>
        <v>2.909419684662935</v>
      </c>
      <c r="W43" s="18"/>
      <c r="X43" s="18"/>
    </row>
    <row r="44" spans="1:24" ht="39.950000000000003" customHeight="1" x14ac:dyDescent="0.25">
      <c r="A44" s="19" t="s">
        <v>52</v>
      </c>
      <c r="B44" s="19" t="s">
        <v>26</v>
      </c>
      <c r="C44" s="19" t="s">
        <v>52</v>
      </c>
      <c r="D44" s="20">
        <v>240</v>
      </c>
      <c r="E44" s="20">
        <v>249</v>
      </c>
      <c r="F44" s="21">
        <v>34.197000000000003</v>
      </c>
      <c r="G44" s="20">
        <f t="shared" si="11"/>
        <v>8515.0529999999999</v>
      </c>
      <c r="H44" s="22">
        <v>264.41000000000003</v>
      </c>
      <c r="I44" s="23">
        <f t="shared" ref="I44:I88" si="21">PV($B$93,$L44,(-0.05*0.95*$F44))</f>
        <v>7.3548764128740167</v>
      </c>
      <c r="J44" s="23">
        <f t="shared" si="12"/>
        <v>65838.090000000011</v>
      </c>
      <c r="K44" s="24">
        <f t="shared" si="13"/>
        <v>64072.919660910244</v>
      </c>
      <c r="L44" s="20">
        <v>5</v>
      </c>
      <c r="M44" s="20">
        <f t="shared" si="14"/>
        <v>38555.036353802738</v>
      </c>
      <c r="N44" s="25">
        <f t="shared" si="15"/>
        <v>17890.85991852127</v>
      </c>
      <c r="O44" s="22">
        <v>75</v>
      </c>
      <c r="P44" s="23">
        <f t="shared" si="16"/>
        <v>18675</v>
      </c>
      <c r="Q44" s="26">
        <f t="shared" si="17"/>
        <v>0.48437251695544203</v>
      </c>
      <c r="R44" s="26">
        <f t="shared" si="18"/>
        <v>0.94840683284467253</v>
      </c>
      <c r="S44" s="27">
        <f>IF($P44=0,"-",(VLOOKUP(L44,'APP 2885'!$B$10:$G$54,6)*$G44)/($P44+$N44))</f>
        <v>1.0908748419886378</v>
      </c>
      <c r="T44" s="28">
        <f t="shared" si="19"/>
        <v>1.6618560302457255</v>
      </c>
      <c r="U44" s="2">
        <f t="shared" si="20"/>
        <v>2.1258903461349559</v>
      </c>
      <c r="V44" s="27">
        <f>IF($P44=0,"-",(VLOOKUP(L44,'APP 2885'!$B$10:$G$54,4)*$G44)/($K44+$N44))</f>
        <v>0.44242132833741132</v>
      </c>
      <c r="W44" s="18"/>
      <c r="X44" s="18"/>
    </row>
    <row r="45" spans="1:24" ht="39.950000000000003" customHeight="1" x14ac:dyDescent="0.25">
      <c r="A45" s="7" t="s">
        <v>52</v>
      </c>
      <c r="B45" s="7" t="s">
        <v>28</v>
      </c>
      <c r="C45" s="7" t="s">
        <v>52</v>
      </c>
      <c r="D45" s="8">
        <v>101</v>
      </c>
      <c r="E45" s="8">
        <v>103</v>
      </c>
      <c r="F45" s="9">
        <v>34.506</v>
      </c>
      <c r="G45" s="8">
        <f t="shared" si="11"/>
        <v>3554.1179999999999</v>
      </c>
      <c r="H45" s="10">
        <v>264.41000000000003</v>
      </c>
      <c r="I45" s="11">
        <f t="shared" si="21"/>
        <v>7.4213341960590355</v>
      </c>
      <c r="J45" s="11">
        <f t="shared" si="12"/>
        <v>27234.230000000003</v>
      </c>
      <c r="K45" s="12">
        <f t="shared" si="13"/>
        <v>26484.67524619804</v>
      </c>
      <c r="L45" s="8">
        <v>5</v>
      </c>
      <c r="M45" s="8">
        <f t="shared" si="14"/>
        <v>16092.577309349064</v>
      </c>
      <c r="N45" s="13">
        <f t="shared" si="15"/>
        <v>7467.5081026383486</v>
      </c>
      <c r="O45" s="10">
        <v>75</v>
      </c>
      <c r="P45" s="11">
        <f t="shared" si="16"/>
        <v>7725</v>
      </c>
      <c r="Q45" s="14">
        <f t="shared" si="17"/>
        <v>0.48003497833203645</v>
      </c>
      <c r="R45" s="14">
        <f t="shared" si="18"/>
        <v>0.94406929422126706</v>
      </c>
      <c r="S45" s="15">
        <f>IF($P45=0,"-",(VLOOKUP(L45,'APP 2885'!$B$10:$G$54,6)*$G45)/($P45+$N45))</f>
        <v>1.0958868806063433</v>
      </c>
      <c r="T45" s="16">
        <f t="shared" si="19"/>
        <v>1.6457696450407377</v>
      </c>
      <c r="U45" s="17">
        <f t="shared" si="20"/>
        <v>2.1098039609299684</v>
      </c>
      <c r="V45" s="15">
        <f>IF($P45=0,"-",(VLOOKUP(L45,'APP 2885'!$B$10:$G$54,4)*$G45)/($K45+$N45))</f>
        <v>0.44579460852947272</v>
      </c>
      <c r="W45" s="18"/>
      <c r="X45" s="18"/>
    </row>
    <row r="46" spans="1:24" ht="39.950000000000003" customHeight="1" x14ac:dyDescent="0.25">
      <c r="A46" s="19" t="s">
        <v>52</v>
      </c>
      <c r="B46" s="19" t="s">
        <v>29</v>
      </c>
      <c r="C46" s="19" t="s">
        <v>52</v>
      </c>
      <c r="D46" s="20">
        <v>225</v>
      </c>
      <c r="E46" s="20">
        <v>230</v>
      </c>
      <c r="F46" s="21">
        <v>30.364999999999998</v>
      </c>
      <c r="G46" s="20">
        <f t="shared" si="11"/>
        <v>6983.95</v>
      </c>
      <c r="H46" s="22">
        <v>264.41000000000003</v>
      </c>
      <c r="I46" s="23">
        <f t="shared" si="21"/>
        <v>6.5307138718869933</v>
      </c>
      <c r="J46" s="23">
        <f t="shared" si="12"/>
        <v>60814.3</v>
      </c>
      <c r="K46" s="24">
        <f t="shared" si="13"/>
        <v>59344.889378825428</v>
      </c>
      <c r="L46" s="20">
        <v>5</v>
      </c>
      <c r="M46" s="20">
        <f t="shared" si="14"/>
        <v>31622.404011242281</v>
      </c>
      <c r="N46" s="25">
        <f t="shared" si="15"/>
        <v>14673.880612129673</v>
      </c>
      <c r="O46" s="22">
        <v>75</v>
      </c>
      <c r="P46" s="23">
        <f t="shared" si="16"/>
        <v>17250</v>
      </c>
      <c r="Q46" s="26">
        <f t="shared" si="17"/>
        <v>0.54549932363988973</v>
      </c>
      <c r="R46" s="26">
        <f t="shared" si="18"/>
        <v>1.0095336395291203</v>
      </c>
      <c r="S46" s="27">
        <f>IF($P46=0,"-",(VLOOKUP(L46,'APP 2885'!$B$10:$G$54,6)*$G46)/($P46+$N46))</f>
        <v>1.0248228621712347</v>
      </c>
      <c r="T46" s="28">
        <f t="shared" si="19"/>
        <v>1.8766722908772955</v>
      </c>
      <c r="U46" s="2">
        <f t="shared" si="20"/>
        <v>2.3407066067665259</v>
      </c>
      <c r="V46" s="27">
        <f>IF($P46=0,"-",(VLOOKUP(L46,'APP 2885'!$B$10:$G$54,4)*$G46)/($K46+$N46))</f>
        <v>0.4018185056246652</v>
      </c>
      <c r="W46" s="18"/>
      <c r="X46" s="18"/>
    </row>
    <row r="47" spans="1:24" ht="39.950000000000003" customHeight="1" x14ac:dyDescent="0.25">
      <c r="A47" s="7" t="s">
        <v>53</v>
      </c>
      <c r="B47" s="7" t="s">
        <v>26</v>
      </c>
      <c r="C47" s="7" t="s">
        <v>54</v>
      </c>
      <c r="D47" s="8">
        <v>356</v>
      </c>
      <c r="E47" s="8">
        <v>437287</v>
      </c>
      <c r="F47" s="9">
        <v>3.5999999999999997E-2</v>
      </c>
      <c r="G47" s="13">
        <f t="shared" si="11"/>
        <v>15742.331999999999</v>
      </c>
      <c r="H47" s="10">
        <v>1.08</v>
      </c>
      <c r="I47" s="11">
        <f t="shared" si="21"/>
        <v>3.9123094563155998E-2</v>
      </c>
      <c r="J47" s="11">
        <f t="shared" si="12"/>
        <v>472269.96</v>
      </c>
      <c r="K47" s="12">
        <f t="shared" si="13"/>
        <v>472256.03217833553</v>
      </c>
      <c r="L47" s="8">
        <v>45</v>
      </c>
      <c r="M47" s="8">
        <f t="shared" si="14"/>
        <v>360168.85583660618</v>
      </c>
      <c r="N47" s="13">
        <f t="shared" si="15"/>
        <v>33075.995722264415</v>
      </c>
      <c r="O47" s="10">
        <v>1.25</v>
      </c>
      <c r="P47" s="11">
        <f t="shared" si="16"/>
        <v>546608.75</v>
      </c>
      <c r="Q47" s="14">
        <f t="shared" si="17"/>
        <v>1.5176457962483407</v>
      </c>
      <c r="R47" s="14">
        <f t="shared" si="18"/>
        <v>1.6094804876333992</v>
      </c>
      <c r="S47" s="15">
        <f>IF($P47=0,"-",(VLOOKUP(L47,'APP 2885'!$B$10:$G$54,6)*$G47)/($P47+$N47))</f>
        <v>1.6638002912256933</v>
      </c>
      <c r="T47" s="16">
        <f t="shared" si="19"/>
        <v>1.3112072977031048</v>
      </c>
      <c r="U47" s="17">
        <f t="shared" si="20"/>
        <v>1.4030419890881636</v>
      </c>
      <c r="V47" s="15">
        <f>IF($P47=0,"-",(VLOOKUP(L47,'APP 2885'!$B$10:$G$54,4)*$G47)/($K47+$N47))</f>
        <v>1.7350961986836861</v>
      </c>
      <c r="W47" s="18"/>
      <c r="X47" s="18"/>
    </row>
    <row r="48" spans="1:24" ht="39.950000000000003" customHeight="1" x14ac:dyDescent="0.25">
      <c r="A48" s="19" t="s">
        <v>53</v>
      </c>
      <c r="B48" s="19" t="s">
        <v>26</v>
      </c>
      <c r="C48" s="19" t="s">
        <v>54</v>
      </c>
      <c r="D48" s="20">
        <v>1</v>
      </c>
      <c r="E48" s="20">
        <v>844</v>
      </c>
      <c r="F48" s="21">
        <v>0.03</v>
      </c>
      <c r="G48" s="25">
        <f t="shared" si="11"/>
        <v>25.32</v>
      </c>
      <c r="H48" s="22">
        <v>1.08</v>
      </c>
      <c r="I48" s="23">
        <f t="shared" si="21"/>
        <v>3.2602578802629997E-2</v>
      </c>
      <c r="J48" s="23">
        <f t="shared" si="12"/>
        <v>911.5200000000001</v>
      </c>
      <c r="K48" s="24">
        <f t="shared" si="13"/>
        <v>911.48739742119744</v>
      </c>
      <c r="L48" s="20">
        <v>45</v>
      </c>
      <c r="M48" s="20">
        <f t="shared" si="14"/>
        <v>579.2963475667309</v>
      </c>
      <c r="N48" s="25">
        <f t="shared" si="15"/>
        <v>53.199501299282403</v>
      </c>
      <c r="O48" s="22">
        <v>0.75</v>
      </c>
      <c r="P48" s="23">
        <f t="shared" si="16"/>
        <v>633</v>
      </c>
      <c r="Q48" s="26">
        <f t="shared" si="17"/>
        <v>1.092704973298805</v>
      </c>
      <c r="R48" s="26">
        <f t="shared" si="18"/>
        <v>1.1845396646838637</v>
      </c>
      <c r="S48" s="27">
        <f>IF($P48=0,"-",(VLOOKUP(L48,'APP 2885'!$B$10:$G$54,6)*$G48)/($P48+$N48))</f>
        <v>2.2606706924931896</v>
      </c>
      <c r="T48" s="28">
        <f t="shared" si="19"/>
        <v>1.5734388819294263</v>
      </c>
      <c r="U48" s="2">
        <f t="shared" si="20"/>
        <v>1.665273573314485</v>
      </c>
      <c r="V48" s="27">
        <f>IF($P48=0,"-",(VLOOKUP(L48,'APP 2885'!$B$10:$G$54,4)*$G48)/($K48+$N48))</f>
        <v>1.4618696056138845</v>
      </c>
      <c r="W48" s="18"/>
      <c r="X48" s="18"/>
    </row>
    <row r="49" spans="1:24" ht="39.950000000000003" customHeight="1" x14ac:dyDescent="0.25">
      <c r="A49" s="7" t="s">
        <v>53</v>
      </c>
      <c r="B49" s="7" t="s">
        <v>28</v>
      </c>
      <c r="C49" s="7" t="s">
        <v>54</v>
      </c>
      <c r="D49" s="8">
        <v>42</v>
      </c>
      <c r="E49" s="8">
        <v>50226</v>
      </c>
      <c r="F49" s="9">
        <v>4.2999999999999997E-2</v>
      </c>
      <c r="G49" s="13">
        <f t="shared" si="11"/>
        <v>2159.7179999999998</v>
      </c>
      <c r="H49" s="10">
        <v>1.08</v>
      </c>
      <c r="I49" s="11">
        <f t="shared" si="21"/>
        <v>4.6730362950436331E-2</v>
      </c>
      <c r="J49" s="11">
        <f t="shared" si="12"/>
        <v>54244.08</v>
      </c>
      <c r="K49" s="12">
        <f t="shared" si="13"/>
        <v>54242.11732475608</v>
      </c>
      <c r="L49" s="8">
        <v>45</v>
      </c>
      <c r="M49" s="8">
        <f t="shared" si="14"/>
        <v>49412.193885233995</v>
      </c>
      <c r="N49" s="13">
        <f t="shared" si="15"/>
        <v>4537.7535761091458</v>
      </c>
      <c r="O49" s="10">
        <v>1.25</v>
      </c>
      <c r="P49" s="11">
        <f t="shared" si="16"/>
        <v>62782.5</v>
      </c>
      <c r="Q49" s="14">
        <f t="shared" si="17"/>
        <v>1.2705871782544247</v>
      </c>
      <c r="R49" s="14">
        <f t="shared" si="18"/>
        <v>1.3624218696394832</v>
      </c>
      <c r="S49" s="15">
        <f>IF($P49=0,"-",(VLOOKUP(L49,'APP 2885'!$B$10:$G$54,6)*$G49)/($P49+$N49))</f>
        <v>1.9655102165639196</v>
      </c>
      <c r="T49" s="16">
        <f t="shared" si="19"/>
        <v>1.0977476015483179</v>
      </c>
      <c r="U49" s="17">
        <f t="shared" si="20"/>
        <v>1.1895822929333766</v>
      </c>
      <c r="V49" s="15">
        <f>IF($P49=0,"-",(VLOOKUP(L49,'APP 2885'!$B$10:$G$54,4)*$G49)/($K49+$N49))</f>
        <v>2.0464433913667976</v>
      </c>
      <c r="W49" s="18"/>
      <c r="X49" s="18"/>
    </row>
    <row r="50" spans="1:24" ht="39.950000000000003" customHeight="1" x14ac:dyDescent="0.25">
      <c r="A50" s="19" t="s">
        <v>53</v>
      </c>
      <c r="B50" s="19" t="s">
        <v>29</v>
      </c>
      <c r="C50" s="19" t="s">
        <v>54</v>
      </c>
      <c r="D50" s="20">
        <v>79</v>
      </c>
      <c r="E50" s="20">
        <v>88944</v>
      </c>
      <c r="F50" s="21">
        <v>4.3999999999999997E-2</v>
      </c>
      <c r="G50" s="25">
        <f t="shared" si="11"/>
        <v>3913.5359999999996</v>
      </c>
      <c r="H50" s="22">
        <v>1.08</v>
      </c>
      <c r="I50" s="23">
        <f t="shared" si="21"/>
        <v>4.7817115577190657E-2</v>
      </c>
      <c r="J50" s="23">
        <f t="shared" si="12"/>
        <v>96059.520000000004</v>
      </c>
      <c r="K50" s="24">
        <f t="shared" si="13"/>
        <v>96055.742447869401</v>
      </c>
      <c r="L50" s="20">
        <v>45</v>
      </c>
      <c r="M50" s="20">
        <f t="shared" si="14"/>
        <v>89537.800587318852</v>
      </c>
      <c r="N50" s="25">
        <f t="shared" si="15"/>
        <v>8222.6762842333501</v>
      </c>
      <c r="O50" s="22">
        <v>1.25</v>
      </c>
      <c r="P50" s="23">
        <f t="shared" si="16"/>
        <v>111180</v>
      </c>
      <c r="Q50" s="26">
        <f t="shared" si="17"/>
        <v>1.2417101969304605</v>
      </c>
      <c r="R50" s="26">
        <f t="shared" si="18"/>
        <v>1.3335448883155192</v>
      </c>
      <c r="S50" s="27">
        <f>IF($P50=0,"-",(VLOOKUP(L50,'APP 2885'!$B$10:$G$54,6)*$G50)/($P50+$N50))</f>
        <v>2.0080719648133325</v>
      </c>
      <c r="T50" s="28">
        <f t="shared" si="19"/>
        <v>1.0727954206803878</v>
      </c>
      <c r="U50" s="2">
        <f t="shared" si="20"/>
        <v>1.1646301120654465</v>
      </c>
      <c r="V50" s="27">
        <f>IF($P50=0,"-",(VLOOKUP(L50,'APP 2885'!$B$10:$G$54,4)*$G50)/($K50+$N50))</f>
        <v>2.0902884071433561</v>
      </c>
      <c r="W50" s="18"/>
      <c r="X50" s="18"/>
    </row>
    <row r="51" spans="1:24" ht="39.950000000000003" customHeight="1" x14ac:dyDescent="0.25">
      <c r="A51" s="7" t="s">
        <v>55</v>
      </c>
      <c r="B51" s="7" t="s">
        <v>26</v>
      </c>
      <c r="C51" s="7" t="s">
        <v>56</v>
      </c>
      <c r="D51" s="8">
        <v>23</v>
      </c>
      <c r="E51" s="8">
        <v>23</v>
      </c>
      <c r="F51" s="9">
        <v>148.97</v>
      </c>
      <c r="G51" s="8">
        <f t="shared" si="11"/>
        <v>3426.31</v>
      </c>
      <c r="H51" s="10">
        <v>5190.57</v>
      </c>
      <c r="I51" s="11">
        <f t="shared" si="21"/>
        <v>104.99052290479405</v>
      </c>
      <c r="J51" s="11">
        <f t="shared" si="12"/>
        <v>119383.10999999999</v>
      </c>
      <c r="K51" s="12">
        <f t="shared" si="13"/>
        <v>116968.32797318972</v>
      </c>
      <c r="L51" s="8">
        <v>21</v>
      </c>
      <c r="M51" s="8">
        <f t="shared" si="14"/>
        <v>50837.516353900268</v>
      </c>
      <c r="N51" s="13">
        <f t="shared" si="15"/>
        <v>7198.9724840736289</v>
      </c>
      <c r="O51" s="10">
        <v>1500</v>
      </c>
      <c r="P51" s="11">
        <f t="shared" si="16"/>
        <v>34500</v>
      </c>
      <c r="Q51" s="14">
        <f t="shared" si="17"/>
        <v>0.6786326806335643</v>
      </c>
      <c r="R51" s="14">
        <f t="shared" si="18"/>
        <v>0.82024015874006151</v>
      </c>
      <c r="S51" s="15">
        <f>IF($P51=0,"-",(VLOOKUP(L51,'APP 2885'!$B$10:$G$54,6)*$G51)/($P51+$N51))</f>
        <v>1.8399668378618264</v>
      </c>
      <c r="T51" s="16">
        <f t="shared" si="19"/>
        <v>2.3008269554107725</v>
      </c>
      <c r="U51" s="17">
        <f t="shared" si="20"/>
        <v>2.4424344335172701</v>
      </c>
      <c r="V51" s="15">
        <f>IF($P51=0,"-",(VLOOKUP(L51,'APP 2885'!$B$10:$G$54,4)*$G51)/($K51+$N51))</f>
        <v>0.5617400970015225</v>
      </c>
      <c r="W51" s="18"/>
      <c r="X51" s="18"/>
    </row>
    <row r="52" spans="1:24" ht="39.950000000000003" customHeight="1" x14ac:dyDescent="0.25">
      <c r="A52" s="19" t="s">
        <v>55</v>
      </c>
      <c r="B52" s="19" t="s">
        <v>26</v>
      </c>
      <c r="C52" s="19" t="s">
        <v>56</v>
      </c>
      <c r="D52" s="20">
        <v>1</v>
      </c>
      <c r="E52" s="20">
        <v>1</v>
      </c>
      <c r="F52" s="21">
        <v>159</v>
      </c>
      <c r="G52" s="20">
        <f t="shared" si="11"/>
        <v>159</v>
      </c>
      <c r="H52" s="22">
        <v>5190.57</v>
      </c>
      <c r="I52" s="23">
        <f t="shared" si="21"/>
        <v>112.05942902505372</v>
      </c>
      <c r="J52" s="23">
        <f t="shared" si="12"/>
        <v>5190.57</v>
      </c>
      <c r="K52" s="24">
        <f t="shared" si="13"/>
        <v>5078.5105709749459</v>
      </c>
      <c r="L52" s="20">
        <v>21</v>
      </c>
      <c r="M52" s="20">
        <f t="shared" si="14"/>
        <v>2359.145874211657</v>
      </c>
      <c r="N52" s="25">
        <f t="shared" si="15"/>
        <v>334.0726977324606</v>
      </c>
      <c r="O52" s="22">
        <v>1250</v>
      </c>
      <c r="P52" s="23">
        <f t="shared" si="16"/>
        <v>1250</v>
      </c>
      <c r="Q52" s="26">
        <f t="shared" si="17"/>
        <v>0.52985278005231695</v>
      </c>
      <c r="R52" s="26">
        <f t="shared" si="18"/>
        <v>0.67146025815881427</v>
      </c>
      <c r="S52" s="27">
        <f>IF($P52=0,"-",(VLOOKUP(L52,'APP 2885'!$B$10:$G$54,6)*$G52)/($P52+$N52))</f>
        <v>2.2476604874614532</v>
      </c>
      <c r="T52" s="28">
        <f t="shared" si="19"/>
        <v>2.1526903556449235</v>
      </c>
      <c r="U52" s="2">
        <f t="shared" si="20"/>
        <v>2.2942978337514206</v>
      </c>
      <c r="V52" s="27">
        <f>IF($P52=0,"-",(VLOOKUP(L52,'APP 2885'!$B$10:$G$54,4)*$G52)/($K52+$N52))</f>
        <v>0.59801013426424343</v>
      </c>
      <c r="W52" s="18"/>
      <c r="X52" s="18"/>
    </row>
    <row r="53" spans="1:24" ht="39.950000000000003" customHeight="1" x14ac:dyDescent="0.25">
      <c r="A53" s="7" t="s">
        <v>55</v>
      </c>
      <c r="B53" s="7" t="s">
        <v>28</v>
      </c>
      <c r="C53" s="7" t="s">
        <v>56</v>
      </c>
      <c r="D53" s="8">
        <v>6</v>
      </c>
      <c r="E53" s="8">
        <v>6</v>
      </c>
      <c r="F53" s="9">
        <v>146.04</v>
      </c>
      <c r="G53" s="8">
        <f t="shared" si="11"/>
        <v>876.24</v>
      </c>
      <c r="H53" s="10">
        <v>5190.57</v>
      </c>
      <c r="I53" s="11">
        <f t="shared" si="21"/>
        <v>102.92552839508706</v>
      </c>
      <c r="J53" s="11">
        <f t="shared" si="12"/>
        <v>31143.42</v>
      </c>
      <c r="K53" s="12">
        <f t="shared" si="13"/>
        <v>30525.866829629475</v>
      </c>
      <c r="L53" s="8">
        <v>21</v>
      </c>
      <c r="M53" s="8">
        <f t="shared" si="14"/>
        <v>13001.119376221524</v>
      </c>
      <c r="N53" s="13">
        <f t="shared" si="15"/>
        <v>1841.0557274282471</v>
      </c>
      <c r="O53" s="10">
        <v>1500</v>
      </c>
      <c r="P53" s="11">
        <f t="shared" si="16"/>
        <v>9000</v>
      </c>
      <c r="Q53" s="14">
        <f t="shared" si="17"/>
        <v>0.69224808568872953</v>
      </c>
      <c r="R53" s="14">
        <f t="shared" si="18"/>
        <v>0.83385556379522685</v>
      </c>
      <c r="S53" s="15">
        <f>IF($P53=0,"-",(VLOOKUP(L53,'APP 2885'!$B$10:$G$54,6)*$G53)/($P53+$N53))</f>
        <v>1.8099233928417575</v>
      </c>
      <c r="T53" s="16">
        <f t="shared" si="19"/>
        <v>2.3479414307555659</v>
      </c>
      <c r="U53" s="17">
        <f t="shared" si="20"/>
        <v>2.489548908862063</v>
      </c>
      <c r="V53" s="15">
        <f>IF($P53=0,"-",(VLOOKUP(L53,'APP 2885'!$B$10:$G$54,4)*$G53)/($K53+$N53))</f>
        <v>0.55110921931273793</v>
      </c>
      <c r="W53" s="18"/>
      <c r="X53" s="18"/>
    </row>
    <row r="54" spans="1:24" ht="39.950000000000003" customHeight="1" x14ac:dyDescent="0.25">
      <c r="A54" s="19" t="s">
        <v>55</v>
      </c>
      <c r="B54" s="19" t="s">
        <v>29</v>
      </c>
      <c r="C54" s="19" t="s">
        <v>56</v>
      </c>
      <c r="D54" s="20">
        <v>2</v>
      </c>
      <c r="E54" s="20">
        <v>2</v>
      </c>
      <c r="F54" s="21">
        <v>136.16999999999999</v>
      </c>
      <c r="G54" s="20">
        <f t="shared" si="11"/>
        <v>272.33999999999997</v>
      </c>
      <c r="H54" s="22">
        <v>5190.57</v>
      </c>
      <c r="I54" s="23">
        <f t="shared" si="21"/>
        <v>95.969386480135626</v>
      </c>
      <c r="J54" s="23">
        <f t="shared" si="12"/>
        <v>10381.14</v>
      </c>
      <c r="K54" s="24">
        <f t="shared" si="13"/>
        <v>10189.201227039728</v>
      </c>
      <c r="L54" s="20">
        <v>21</v>
      </c>
      <c r="M54" s="20">
        <f t="shared" si="14"/>
        <v>4040.8162728478151</v>
      </c>
      <c r="N54" s="25">
        <f t="shared" si="15"/>
        <v>572.20980188967485</v>
      </c>
      <c r="O54" s="22">
        <v>1500</v>
      </c>
      <c r="P54" s="23">
        <f t="shared" si="16"/>
        <v>3000</v>
      </c>
      <c r="Q54" s="26">
        <f t="shared" si="17"/>
        <v>0.74242425228745013</v>
      </c>
      <c r="R54" s="26">
        <f t="shared" si="18"/>
        <v>0.88403173039394733</v>
      </c>
      <c r="S54" s="27">
        <f>IF($P54=0,"-",(VLOOKUP(L54,'APP 2885'!$B$10:$G$54,6)*$G54)/($P54+$N54))</f>
        <v>1.7071951597163697</v>
      </c>
      <c r="T54" s="28">
        <f t="shared" si="19"/>
        <v>2.5215700341304466</v>
      </c>
      <c r="U54" s="2">
        <f t="shared" si="20"/>
        <v>2.6631775122369432</v>
      </c>
      <c r="V54" s="27">
        <f>IF($P54=0,"-",(VLOOKUP(L54,'APP 2885'!$B$10:$G$54,4)*$G54)/($K54+$N54))</f>
        <v>0.51517908562220605</v>
      </c>
      <c r="W54" s="18"/>
      <c r="X54" s="18"/>
    </row>
    <row r="55" spans="1:24" ht="39.950000000000003" customHeight="1" x14ac:dyDescent="0.25">
      <c r="A55" s="7" t="s">
        <v>57</v>
      </c>
      <c r="B55" s="7" t="s">
        <v>26</v>
      </c>
      <c r="C55" s="7" t="s">
        <v>57</v>
      </c>
      <c r="D55" s="8">
        <v>10</v>
      </c>
      <c r="E55" s="8">
        <v>11</v>
      </c>
      <c r="F55" s="9">
        <v>13</v>
      </c>
      <c r="G55" s="8">
        <f t="shared" si="11"/>
        <v>143</v>
      </c>
      <c r="H55" s="10">
        <v>200</v>
      </c>
      <c r="I55" s="11">
        <f t="shared" si="21"/>
        <v>14.127784147806333</v>
      </c>
      <c r="J55" s="11">
        <f t="shared" si="12"/>
        <v>2200</v>
      </c>
      <c r="K55" s="12">
        <f t="shared" si="13"/>
        <v>2058.7221585219368</v>
      </c>
      <c r="L55" s="8">
        <v>45</v>
      </c>
      <c r="M55" s="8">
        <f t="shared" si="14"/>
        <v>3271.6973815972556</v>
      </c>
      <c r="N55" s="13">
        <f t="shared" si="15"/>
        <v>300.45531934428845</v>
      </c>
      <c r="O55" s="10">
        <v>100</v>
      </c>
      <c r="P55" s="11">
        <f t="shared" si="16"/>
        <v>1100</v>
      </c>
      <c r="Q55" s="14">
        <f t="shared" si="17"/>
        <v>0.33621691486117083</v>
      </c>
      <c r="R55" s="14">
        <f t="shared" si="18"/>
        <v>0.42805160624622951</v>
      </c>
      <c r="S55" s="15">
        <f>IF($P55=0,"-",(VLOOKUP(L55,'APP 2885'!$B$10:$G$54,6)*$G55)/($P55+$N55))</f>
        <v>6.2559141584113815</v>
      </c>
      <c r="T55" s="16">
        <f t="shared" si="19"/>
        <v>0.62925201154052346</v>
      </c>
      <c r="U55" s="17">
        <f t="shared" si="20"/>
        <v>0.72108670292558219</v>
      </c>
      <c r="V55" s="15">
        <f>IF($P55=0,"-",(VLOOKUP(L55,'APP 2885'!$B$10:$G$54,4)*$G55)/($K55+$N55))</f>
        <v>3.3760334395067986</v>
      </c>
      <c r="W55" s="18"/>
      <c r="X55" s="18"/>
    </row>
    <row r="56" spans="1:24" ht="39.950000000000003" customHeight="1" x14ac:dyDescent="0.25">
      <c r="A56" s="19" t="s">
        <v>57</v>
      </c>
      <c r="B56" s="19" t="s">
        <v>26</v>
      </c>
      <c r="C56" s="19" t="s">
        <v>58</v>
      </c>
      <c r="D56" s="20">
        <v>1</v>
      </c>
      <c r="E56" s="20">
        <v>1</v>
      </c>
      <c r="F56" s="21">
        <v>13</v>
      </c>
      <c r="G56" s="20">
        <f t="shared" si="11"/>
        <v>13</v>
      </c>
      <c r="H56" s="22">
        <v>200</v>
      </c>
      <c r="I56" s="23">
        <f t="shared" si="21"/>
        <v>10.288686309876404</v>
      </c>
      <c r="J56" s="23">
        <f t="shared" si="12"/>
        <v>200</v>
      </c>
      <c r="K56" s="24">
        <f t="shared" si="13"/>
        <v>189.7113136901236</v>
      </c>
      <c r="L56" s="20">
        <v>25</v>
      </c>
      <c r="M56" s="20">
        <f t="shared" si="14"/>
        <v>216.60392231318747</v>
      </c>
      <c r="N56" s="25">
        <f t="shared" si="15"/>
        <v>27.314119940389858</v>
      </c>
      <c r="O56" s="22">
        <v>100</v>
      </c>
      <c r="P56" s="23">
        <f t="shared" si="16"/>
        <v>100</v>
      </c>
      <c r="Q56" s="26">
        <f t="shared" si="17"/>
        <v>0.4616721568661627</v>
      </c>
      <c r="R56" s="26">
        <f t="shared" si="18"/>
        <v>0.58777384352397122</v>
      </c>
      <c r="S56" s="27">
        <f>IF($P56=0,"-",(VLOOKUP(L56,'APP 2885'!$B$10:$G$54,6)*$G56)/($P56+$N56))</f>
        <v>2.8243027194055053</v>
      </c>
      <c r="T56" s="28">
        <f t="shared" si="19"/>
        <v>0.87584431373232541</v>
      </c>
      <c r="U56" s="2">
        <f t="shared" si="20"/>
        <v>1.0019460003901339</v>
      </c>
      <c r="V56" s="27">
        <f>IF($P56=0,"-",(VLOOKUP(L56,'APP 2885'!$B$10:$G$54,4)*$G56)/($K56+$N56))</f>
        <v>1.5062064350172724</v>
      </c>
      <c r="W56" s="18"/>
      <c r="X56" s="18"/>
    </row>
    <row r="57" spans="1:24" ht="39.950000000000003" customHeight="1" x14ac:dyDescent="0.25">
      <c r="A57" s="7" t="s">
        <v>57</v>
      </c>
      <c r="B57" s="7" t="s">
        <v>28</v>
      </c>
      <c r="C57" s="7" t="s">
        <v>57</v>
      </c>
      <c r="D57" s="8">
        <v>11</v>
      </c>
      <c r="E57" s="8">
        <v>11</v>
      </c>
      <c r="F57" s="9">
        <v>13</v>
      </c>
      <c r="G57" s="8">
        <f t="shared" si="11"/>
        <v>143</v>
      </c>
      <c r="H57" s="10">
        <v>200</v>
      </c>
      <c r="I57" s="11">
        <f t="shared" si="21"/>
        <v>14.127784147806333</v>
      </c>
      <c r="J57" s="11">
        <f t="shared" si="12"/>
        <v>2200</v>
      </c>
      <c r="K57" s="12">
        <f t="shared" si="13"/>
        <v>2044.5943743741304</v>
      </c>
      <c r="L57" s="8">
        <v>45</v>
      </c>
      <c r="M57" s="8">
        <f t="shared" si="14"/>
        <v>3271.6973815972556</v>
      </c>
      <c r="N57" s="13">
        <f t="shared" si="15"/>
        <v>300.45531934428845</v>
      </c>
      <c r="O57" s="10">
        <v>100</v>
      </c>
      <c r="P57" s="11">
        <f t="shared" si="16"/>
        <v>1100</v>
      </c>
      <c r="Q57" s="14">
        <f t="shared" si="17"/>
        <v>0.33621691486117083</v>
      </c>
      <c r="R57" s="14">
        <f t="shared" si="18"/>
        <v>0.42805160624622951</v>
      </c>
      <c r="S57" s="15">
        <f>IF($P57=0,"-",(VLOOKUP(L57,'APP 2885'!$B$10:$G$54,6)*$G57)/($P57+$N57))</f>
        <v>6.2559141584113815</v>
      </c>
      <c r="T57" s="16">
        <f t="shared" si="19"/>
        <v>0.62493382972234168</v>
      </c>
      <c r="U57" s="17">
        <f t="shared" si="20"/>
        <v>0.7167685211074003</v>
      </c>
      <c r="V57" s="15">
        <f>IF($P57=0,"-",(VLOOKUP(L57,'APP 2885'!$B$10:$G$54,4)*$G57)/($K57+$N57))</f>
        <v>3.3963723994174946</v>
      </c>
      <c r="W57" s="18"/>
      <c r="X57" s="18"/>
    </row>
    <row r="58" spans="1:24" ht="39.950000000000003" customHeight="1" x14ac:dyDescent="0.25">
      <c r="A58" s="19" t="s">
        <v>57</v>
      </c>
      <c r="B58" s="19" t="s">
        <v>28</v>
      </c>
      <c r="C58" s="19" t="s">
        <v>58</v>
      </c>
      <c r="D58" s="20">
        <v>6</v>
      </c>
      <c r="E58" s="20">
        <v>7</v>
      </c>
      <c r="F58" s="21">
        <v>13</v>
      </c>
      <c r="G58" s="20">
        <f t="shared" si="11"/>
        <v>91</v>
      </c>
      <c r="H58" s="22">
        <v>200</v>
      </c>
      <c r="I58" s="23">
        <f t="shared" si="21"/>
        <v>10.288686309876404</v>
      </c>
      <c r="J58" s="23">
        <f t="shared" si="12"/>
        <v>1400</v>
      </c>
      <c r="K58" s="24">
        <f t="shared" si="13"/>
        <v>1338.2678821407417</v>
      </c>
      <c r="L58" s="20">
        <v>25</v>
      </c>
      <c r="M58" s="20">
        <f t="shared" si="14"/>
        <v>1516.2274561923123</v>
      </c>
      <c r="N58" s="25">
        <f t="shared" si="15"/>
        <v>191.19883958272902</v>
      </c>
      <c r="O58" s="22">
        <v>100</v>
      </c>
      <c r="P58" s="23">
        <f t="shared" si="16"/>
        <v>700</v>
      </c>
      <c r="Q58" s="26">
        <f t="shared" si="17"/>
        <v>0.4616721568661627</v>
      </c>
      <c r="R58" s="26">
        <f t="shared" si="18"/>
        <v>0.58777384352397122</v>
      </c>
      <c r="S58" s="27">
        <f>IF($P58=0,"-",(VLOOKUP(L58,'APP 2885'!$B$10:$G$54,6)*$G58)/($P58+$N58))</f>
        <v>2.8243027194055048</v>
      </c>
      <c r="T58" s="28">
        <f t="shared" si="19"/>
        <v>0.88263002801803969</v>
      </c>
      <c r="U58" s="2">
        <f t="shared" si="20"/>
        <v>1.0087317146758483</v>
      </c>
      <c r="V58" s="27">
        <f>IF($P58=0,"-",(VLOOKUP(L58,'APP 2885'!$B$10:$G$54,4)*$G58)/($K58+$N58))</f>
        <v>1.4960742201036015</v>
      </c>
      <c r="W58" s="18"/>
      <c r="X58" s="18"/>
    </row>
    <row r="59" spans="1:24" ht="39.950000000000003" customHeight="1" x14ac:dyDescent="0.25">
      <c r="A59" s="7" t="s">
        <v>57</v>
      </c>
      <c r="B59" s="7" t="s">
        <v>29</v>
      </c>
      <c r="C59" s="7" t="s">
        <v>57</v>
      </c>
      <c r="D59" s="8">
        <v>6</v>
      </c>
      <c r="E59" s="8">
        <v>7</v>
      </c>
      <c r="F59" s="9">
        <v>13</v>
      </c>
      <c r="G59" s="8">
        <f t="shared" si="11"/>
        <v>91</v>
      </c>
      <c r="H59" s="10">
        <v>200</v>
      </c>
      <c r="I59" s="11">
        <f t="shared" si="21"/>
        <v>14.127784147806333</v>
      </c>
      <c r="J59" s="11">
        <f t="shared" si="12"/>
        <v>1400</v>
      </c>
      <c r="K59" s="12">
        <f t="shared" si="13"/>
        <v>1315.2332951131621</v>
      </c>
      <c r="L59" s="8">
        <v>45</v>
      </c>
      <c r="M59" s="8">
        <f t="shared" si="14"/>
        <v>2081.989242834617</v>
      </c>
      <c r="N59" s="13">
        <f t="shared" si="15"/>
        <v>191.19883958272902</v>
      </c>
      <c r="O59" s="10">
        <v>100</v>
      </c>
      <c r="P59" s="11">
        <f t="shared" si="16"/>
        <v>700</v>
      </c>
      <c r="Q59" s="14">
        <f t="shared" si="17"/>
        <v>0.33621691486117083</v>
      </c>
      <c r="R59" s="14">
        <f t="shared" si="18"/>
        <v>0.42805160624622957</v>
      </c>
      <c r="S59" s="15">
        <f>IF($P59=0,"-",(VLOOKUP(L59,'APP 2885'!$B$10:$G$54,6)*$G59)/($P59+$N59))</f>
        <v>6.2559141584113807</v>
      </c>
      <c r="T59" s="16">
        <f t="shared" si="19"/>
        <v>0.63171954400805597</v>
      </c>
      <c r="U59" s="17">
        <f t="shared" si="20"/>
        <v>0.7235542353931147</v>
      </c>
      <c r="V59" s="15">
        <f>IF($P59=0,"-",(VLOOKUP(L59,'APP 2885'!$B$10:$G$54,4)*$G59)/($K59+$N59))</f>
        <v>3.3645201738579118</v>
      </c>
      <c r="W59" s="18"/>
      <c r="X59" s="18"/>
    </row>
    <row r="60" spans="1:24" ht="39.950000000000003" customHeight="1" x14ac:dyDescent="0.25">
      <c r="A60" s="19" t="s">
        <v>59</v>
      </c>
      <c r="B60" s="19" t="s">
        <v>26</v>
      </c>
      <c r="C60" s="19" t="s">
        <v>60</v>
      </c>
      <c r="D60" s="20">
        <v>64</v>
      </c>
      <c r="E60" s="20">
        <v>66</v>
      </c>
      <c r="F60" s="21">
        <v>56</v>
      </c>
      <c r="G60" s="20">
        <f t="shared" si="11"/>
        <v>3696</v>
      </c>
      <c r="H60" s="22">
        <v>425</v>
      </c>
      <c r="I60" s="23">
        <f t="shared" si="21"/>
        <v>38.149365901048498</v>
      </c>
      <c r="J60" s="23">
        <f t="shared" si="12"/>
        <v>28050</v>
      </c>
      <c r="K60" s="24">
        <f t="shared" si="13"/>
        <v>25608.440582332896</v>
      </c>
      <c r="L60" s="20">
        <v>20</v>
      </c>
      <c r="M60" s="20">
        <f t="shared" si="14"/>
        <v>53007.539988825287</v>
      </c>
      <c r="N60" s="25">
        <f t="shared" si="15"/>
        <v>7765.6144076677629</v>
      </c>
      <c r="O60" s="22">
        <v>300</v>
      </c>
      <c r="P60" s="23">
        <f t="shared" si="16"/>
        <v>19800</v>
      </c>
      <c r="Q60" s="26">
        <f t="shared" si="17"/>
        <v>0.37353176555965645</v>
      </c>
      <c r="R60" s="26">
        <f t="shared" si="18"/>
        <v>0.52003195042590111</v>
      </c>
      <c r="S60" s="27">
        <f>IF($P60=0,"-",(VLOOKUP(L60,'APP 2885'!$B$10:$G$54,6)*$G60)/($P60+$N60))</f>
        <v>2.834459166676206</v>
      </c>
      <c r="T60" s="28">
        <f t="shared" si="19"/>
        <v>0.48310939514890722</v>
      </c>
      <c r="U60" s="2">
        <f t="shared" si="20"/>
        <v>0.62960958001515188</v>
      </c>
      <c r="V60" s="27">
        <f>IF($P60=0,"-",(VLOOKUP(L60,'APP 2885'!$B$10:$G$54,4)*$G60)/($K60+$N60))</f>
        <v>2.1283165366380787</v>
      </c>
      <c r="W60" s="18"/>
      <c r="X60" s="18"/>
    </row>
    <row r="61" spans="1:24" ht="39.950000000000003" customHeight="1" x14ac:dyDescent="0.25">
      <c r="A61" s="7" t="s">
        <v>59</v>
      </c>
      <c r="B61" s="7" t="s">
        <v>26</v>
      </c>
      <c r="C61" s="7" t="s">
        <v>61</v>
      </c>
      <c r="D61" s="8">
        <v>1</v>
      </c>
      <c r="E61" s="8">
        <v>1</v>
      </c>
      <c r="F61" s="9">
        <v>56</v>
      </c>
      <c r="G61" s="8">
        <f t="shared" si="11"/>
        <v>56</v>
      </c>
      <c r="H61" s="10">
        <v>425</v>
      </c>
      <c r="I61" s="11">
        <f t="shared" si="21"/>
        <v>38.149365901048498</v>
      </c>
      <c r="J61" s="11">
        <f t="shared" si="12"/>
        <v>425</v>
      </c>
      <c r="K61" s="12">
        <f t="shared" si="13"/>
        <v>386.8506340989515</v>
      </c>
      <c r="L61" s="8">
        <v>20</v>
      </c>
      <c r="M61" s="8">
        <f t="shared" si="14"/>
        <v>803.14454528523152</v>
      </c>
      <c r="N61" s="13">
        <f t="shared" si="15"/>
        <v>117.66082435860247</v>
      </c>
      <c r="O61" s="10">
        <v>300</v>
      </c>
      <c r="P61" s="11">
        <f t="shared" si="16"/>
        <v>300</v>
      </c>
      <c r="Q61" s="14">
        <f t="shared" si="17"/>
        <v>0.37353176555965645</v>
      </c>
      <c r="R61" s="14">
        <f t="shared" si="18"/>
        <v>0.52003195042590111</v>
      </c>
      <c r="S61" s="15">
        <f>IF($P61=0,"-",(VLOOKUP(L61,'APP 2885'!$B$10:$G$54,6)*$G61)/($P61+$N61))</f>
        <v>2.8344591666762065</v>
      </c>
      <c r="T61" s="16">
        <f t="shared" si="19"/>
        <v>0.48167000120951331</v>
      </c>
      <c r="U61" s="17">
        <f t="shared" si="20"/>
        <v>0.62817018607575814</v>
      </c>
      <c r="V61" s="15">
        <f>IF($P61=0,"-",(VLOOKUP(L61,'APP 2885'!$B$10:$G$54,4)*$G61)/($K61+$N61))</f>
        <v>2.1331933773284759</v>
      </c>
      <c r="W61" s="18"/>
      <c r="X61" s="18"/>
    </row>
    <row r="62" spans="1:24" ht="39.950000000000003" customHeight="1" x14ac:dyDescent="0.25">
      <c r="A62" s="19" t="s">
        <v>59</v>
      </c>
      <c r="B62" s="19" t="s">
        <v>28</v>
      </c>
      <c r="C62" s="19" t="s">
        <v>60</v>
      </c>
      <c r="D62" s="20">
        <v>13</v>
      </c>
      <c r="E62" s="20">
        <v>14</v>
      </c>
      <c r="F62" s="21">
        <v>56</v>
      </c>
      <c r="G62" s="20">
        <f t="shared" si="11"/>
        <v>784</v>
      </c>
      <c r="H62" s="22">
        <v>425</v>
      </c>
      <c r="I62" s="23">
        <f t="shared" si="21"/>
        <v>38.149365901048498</v>
      </c>
      <c r="J62" s="23">
        <f t="shared" si="12"/>
        <v>5950</v>
      </c>
      <c r="K62" s="24">
        <f t="shared" si="13"/>
        <v>5454.0582432863694</v>
      </c>
      <c r="L62" s="20">
        <v>20</v>
      </c>
      <c r="M62" s="20">
        <f t="shared" si="14"/>
        <v>11244.023633993242</v>
      </c>
      <c r="N62" s="25">
        <f t="shared" si="15"/>
        <v>1647.2515410204346</v>
      </c>
      <c r="O62" s="22">
        <v>300</v>
      </c>
      <c r="P62" s="23">
        <f t="shared" si="16"/>
        <v>4200</v>
      </c>
      <c r="Q62" s="26">
        <f t="shared" si="17"/>
        <v>0.37353176555965645</v>
      </c>
      <c r="R62" s="26">
        <f t="shared" si="18"/>
        <v>0.52003195042590111</v>
      </c>
      <c r="S62" s="27">
        <f>IF($P62=0,"-",(VLOOKUP(L62,'APP 2885'!$B$10:$G$54,6)*$G62)/($P62+$N62))</f>
        <v>2.834459166676206</v>
      </c>
      <c r="T62" s="28">
        <f t="shared" si="19"/>
        <v>0.48506285835237045</v>
      </c>
      <c r="U62" s="2">
        <f t="shared" si="20"/>
        <v>0.63156304321861523</v>
      </c>
      <c r="V62" s="27">
        <f>IF($P62=0,"-",(VLOOKUP(L62,'APP 2885'!$B$10:$G$54,4)*$G62)/($K62+$N62))</f>
        <v>2.1217335231380225</v>
      </c>
      <c r="W62" s="18"/>
      <c r="X62" s="18"/>
    </row>
    <row r="63" spans="1:24" ht="39.950000000000003" customHeight="1" x14ac:dyDescent="0.25">
      <c r="A63" s="7" t="s">
        <v>59</v>
      </c>
      <c r="B63" s="7" t="s">
        <v>28</v>
      </c>
      <c r="C63" s="7" t="s">
        <v>61</v>
      </c>
      <c r="D63" s="8">
        <v>1</v>
      </c>
      <c r="E63" s="8">
        <v>1</v>
      </c>
      <c r="F63" s="9">
        <v>56</v>
      </c>
      <c r="G63" s="8">
        <f t="shared" si="11"/>
        <v>56</v>
      </c>
      <c r="H63" s="10">
        <v>425</v>
      </c>
      <c r="I63" s="11">
        <f t="shared" si="21"/>
        <v>38.149365901048498</v>
      </c>
      <c r="J63" s="11">
        <f t="shared" si="12"/>
        <v>425</v>
      </c>
      <c r="K63" s="12">
        <f t="shared" si="13"/>
        <v>386.8506340989515</v>
      </c>
      <c r="L63" s="8">
        <v>20</v>
      </c>
      <c r="M63" s="8">
        <f t="shared" si="14"/>
        <v>803.14454528523152</v>
      </c>
      <c r="N63" s="13">
        <f t="shared" si="15"/>
        <v>117.66082435860247</v>
      </c>
      <c r="O63" s="10">
        <v>300</v>
      </c>
      <c r="P63" s="11">
        <f t="shared" si="16"/>
        <v>300</v>
      </c>
      <c r="Q63" s="14">
        <f t="shared" si="17"/>
        <v>0.37353176555965645</v>
      </c>
      <c r="R63" s="14">
        <f t="shared" si="18"/>
        <v>0.52003195042590111</v>
      </c>
      <c r="S63" s="15">
        <f>IF($P63=0,"-",(VLOOKUP(L63,'APP 2885'!$B$10:$G$54,6)*$G63)/($P63+$N63))</f>
        <v>2.8344591666762065</v>
      </c>
      <c r="T63" s="16">
        <f t="shared" si="19"/>
        <v>0.48167000120951331</v>
      </c>
      <c r="U63" s="17">
        <f t="shared" si="20"/>
        <v>0.62817018607575814</v>
      </c>
      <c r="V63" s="15">
        <f>IF($P63=0,"-",(VLOOKUP(L63,'APP 2885'!$B$10:$G$54,4)*$G63)/($K63+$N63))</f>
        <v>2.1331933773284759</v>
      </c>
      <c r="W63" s="18"/>
      <c r="X63" s="18"/>
    </row>
    <row r="64" spans="1:24" ht="39.950000000000003" customHeight="1" x14ac:dyDescent="0.25">
      <c r="A64" s="19" t="s">
        <v>59</v>
      </c>
      <c r="B64" s="19" t="s">
        <v>29</v>
      </c>
      <c r="C64" s="19" t="s">
        <v>60</v>
      </c>
      <c r="D64" s="20">
        <v>12</v>
      </c>
      <c r="E64" s="20">
        <v>12</v>
      </c>
      <c r="F64" s="21">
        <v>57</v>
      </c>
      <c r="G64" s="20">
        <f t="shared" si="11"/>
        <v>684</v>
      </c>
      <c r="H64" s="22">
        <v>425</v>
      </c>
      <c r="I64" s="23">
        <f t="shared" si="21"/>
        <v>38.830604577852938</v>
      </c>
      <c r="J64" s="23">
        <f t="shared" si="12"/>
        <v>5100</v>
      </c>
      <c r="K64" s="24">
        <f t="shared" si="13"/>
        <v>4634.0327450657651</v>
      </c>
      <c r="L64" s="20">
        <v>20</v>
      </c>
      <c r="M64" s="20">
        <f t="shared" si="14"/>
        <v>9809.8369459838996</v>
      </c>
      <c r="N64" s="25">
        <f t="shared" si="15"/>
        <v>1437.1429260943587</v>
      </c>
      <c r="O64" s="22">
        <v>300</v>
      </c>
      <c r="P64" s="23">
        <f t="shared" si="16"/>
        <v>3600</v>
      </c>
      <c r="Q64" s="26">
        <f t="shared" si="17"/>
        <v>0.3669785766901888</v>
      </c>
      <c r="R64" s="26">
        <f t="shared" si="18"/>
        <v>0.51347876155643346</v>
      </c>
      <c r="S64" s="27">
        <f>IF($P64=0,"-",(VLOOKUP(L64,'APP 2885'!$B$10:$G$54,6)*$G64)/($P64+$N64))</f>
        <v>2.8706334890682759</v>
      </c>
      <c r="T64" s="28">
        <f t="shared" si="19"/>
        <v>0.47238631697776751</v>
      </c>
      <c r="U64" s="2">
        <f t="shared" si="20"/>
        <v>0.61888650184401217</v>
      </c>
      <c r="V64" s="27">
        <f>IF($P64=0,"-",(VLOOKUP(L64,'APP 2885'!$B$10:$G$54,4)*$G64)/($K64+$N64))</f>
        <v>2.1651926108896573</v>
      </c>
      <c r="W64" s="18"/>
      <c r="X64" s="18"/>
    </row>
    <row r="65" spans="1:24" ht="39.950000000000003" customHeight="1" x14ac:dyDescent="0.25">
      <c r="A65" s="7" t="s">
        <v>62</v>
      </c>
      <c r="B65" s="7" t="s">
        <v>26</v>
      </c>
      <c r="C65" s="7" t="s">
        <v>63</v>
      </c>
      <c r="D65" s="8">
        <v>533</v>
      </c>
      <c r="E65" s="8">
        <v>533</v>
      </c>
      <c r="F65" s="9">
        <v>63.75</v>
      </c>
      <c r="G65" s="8">
        <f t="shared" si="11"/>
        <v>33978.75</v>
      </c>
      <c r="H65" s="10">
        <v>350</v>
      </c>
      <c r="I65" s="11">
        <f t="shared" si="21"/>
        <v>35.125498362626836</v>
      </c>
      <c r="J65" s="11">
        <f t="shared" si="12"/>
        <v>186550</v>
      </c>
      <c r="K65" s="12">
        <f t="shared" si="13"/>
        <v>167828.10937271989</v>
      </c>
      <c r="L65" s="8">
        <v>15</v>
      </c>
      <c r="M65" s="8">
        <f t="shared" si="14"/>
        <v>394145.06583747588</v>
      </c>
      <c r="N65" s="13">
        <f t="shared" si="15"/>
        <v>71392.280994193992</v>
      </c>
      <c r="O65" s="10">
        <v>150</v>
      </c>
      <c r="P65" s="11">
        <f t="shared" si="16"/>
        <v>79950</v>
      </c>
      <c r="Q65" s="14">
        <f t="shared" si="17"/>
        <v>0.20284409708421178</v>
      </c>
      <c r="R65" s="14">
        <f t="shared" si="18"/>
        <v>0.38397608929246207</v>
      </c>
      <c r="S65" s="15">
        <f>IF($P65=0,"-",(VLOOKUP(L65,'APP 2885'!$B$10:$G$54,6)*$G65)/($P65+$N65))</f>
        <v>3.4157708627538987</v>
      </c>
      <c r="T65" s="16">
        <f t="shared" si="19"/>
        <v>0.42580289319649411</v>
      </c>
      <c r="U65" s="17">
        <f t="shared" si="20"/>
        <v>0.60693488540474438</v>
      </c>
      <c r="V65" s="15">
        <f>IF($P65=0,"-",(VLOOKUP(L65,'APP 2885'!$B$10:$G$54,4)*$G65)/($K65+$N65))</f>
        <v>1.9645275560247524</v>
      </c>
      <c r="W65" s="18"/>
      <c r="X65" s="18"/>
    </row>
    <row r="66" spans="1:24" ht="39.950000000000003" customHeight="1" x14ac:dyDescent="0.25">
      <c r="A66" s="19" t="s">
        <v>62</v>
      </c>
      <c r="B66" s="19" t="s">
        <v>28</v>
      </c>
      <c r="C66" s="19" t="s">
        <v>63</v>
      </c>
      <c r="D66" s="20">
        <v>18</v>
      </c>
      <c r="E66" s="20">
        <v>18</v>
      </c>
      <c r="F66" s="21">
        <v>60.35</v>
      </c>
      <c r="G66" s="20">
        <f t="shared" si="11"/>
        <v>1086.3</v>
      </c>
      <c r="H66" s="22">
        <v>350</v>
      </c>
      <c r="I66" s="23">
        <f t="shared" si="21"/>
        <v>33.252138449953399</v>
      </c>
      <c r="J66" s="23">
        <f t="shared" si="12"/>
        <v>6300</v>
      </c>
      <c r="K66" s="24">
        <f t="shared" si="13"/>
        <v>5701.461507900839</v>
      </c>
      <c r="L66" s="20">
        <v>15</v>
      </c>
      <c r="M66" s="20">
        <f t="shared" si="14"/>
        <v>12600.810359982341</v>
      </c>
      <c r="N66" s="25">
        <f t="shared" si="15"/>
        <v>2282.4098839419617</v>
      </c>
      <c r="O66" s="22">
        <v>150</v>
      </c>
      <c r="P66" s="23">
        <f t="shared" si="16"/>
        <v>2700</v>
      </c>
      <c r="Q66" s="26">
        <f t="shared" si="17"/>
        <v>0.21427193353966037</v>
      </c>
      <c r="R66" s="26">
        <f t="shared" si="18"/>
        <v>0.39540392574791078</v>
      </c>
      <c r="S66" s="27">
        <f>IF($P66=0,"-",(VLOOKUP(L66,'APP 2885'!$B$10:$G$54,6)*$G66)/($P66+$N66))</f>
        <v>3.3170493573591227</v>
      </c>
      <c r="T66" s="28">
        <f t="shared" si="19"/>
        <v>0.45246784492587422</v>
      </c>
      <c r="U66" s="2">
        <f t="shared" si="20"/>
        <v>0.63359983713412449</v>
      </c>
      <c r="V66" s="27">
        <f>IF($P66=0,"-",(VLOOKUP(L66,'APP 2885'!$B$10:$G$54,4)*$G66)/($K66+$N66))</f>
        <v>1.8818507158769102</v>
      </c>
      <c r="W66" s="18"/>
      <c r="X66" s="18"/>
    </row>
    <row r="67" spans="1:24" ht="39.950000000000003" customHeight="1" x14ac:dyDescent="0.25">
      <c r="A67" s="7" t="s">
        <v>62</v>
      </c>
      <c r="B67" s="7" t="s">
        <v>29</v>
      </c>
      <c r="C67" s="7" t="s">
        <v>63</v>
      </c>
      <c r="D67" s="8">
        <v>1679</v>
      </c>
      <c r="E67" s="8">
        <v>1679</v>
      </c>
      <c r="F67" s="9">
        <v>71.400000000000006</v>
      </c>
      <c r="G67" s="8">
        <f t="shared" si="11"/>
        <v>119880.6</v>
      </c>
      <c r="H67" s="10">
        <v>350</v>
      </c>
      <c r="I67" s="11">
        <f t="shared" si="21"/>
        <v>39.34055816614206</v>
      </c>
      <c r="J67" s="11">
        <f t="shared" si="12"/>
        <v>587650</v>
      </c>
      <c r="K67" s="12">
        <f t="shared" si="13"/>
        <v>521597.20283904747</v>
      </c>
      <c r="L67" s="8">
        <v>15</v>
      </c>
      <c r="M67" s="8">
        <f t="shared" si="14"/>
        <v>1390585.203388474</v>
      </c>
      <c r="N67" s="13">
        <f t="shared" si="15"/>
        <v>251879.46822506931</v>
      </c>
      <c r="O67" s="10">
        <v>150</v>
      </c>
      <c r="P67" s="11">
        <f t="shared" si="16"/>
        <v>251850</v>
      </c>
      <c r="Q67" s="14">
        <f t="shared" si="17"/>
        <v>0.18111080096804624</v>
      </c>
      <c r="R67" s="14">
        <f t="shared" si="18"/>
        <v>0.36224279317629665</v>
      </c>
      <c r="S67" s="15">
        <f>IF($P67=0,"-",(VLOOKUP(L67,'APP 2885'!$B$10:$G$54,6)*$G67)/($P67+$N67))</f>
        <v>3.6207051251425817</v>
      </c>
      <c r="T67" s="16">
        <f t="shared" si="19"/>
        <v>0.37509186892544122</v>
      </c>
      <c r="U67" s="17">
        <f t="shared" si="20"/>
        <v>0.5562238611336916</v>
      </c>
      <c r="V67" s="15">
        <f>IF($P67=0,"-",(VLOOKUP(L67,'APP 2885'!$B$10:$G$54,4)*$G67)/($K67+$N67))</f>
        <v>2.1436338683136067</v>
      </c>
      <c r="W67" s="18"/>
      <c r="X67" s="18"/>
    </row>
    <row r="68" spans="1:24" ht="39.950000000000003" customHeight="1" x14ac:dyDescent="0.25">
      <c r="A68" s="19" t="s">
        <v>64</v>
      </c>
      <c r="B68" s="19" t="s">
        <v>26</v>
      </c>
      <c r="C68" s="19" t="s">
        <v>65</v>
      </c>
      <c r="D68" s="20">
        <v>229</v>
      </c>
      <c r="E68" s="20">
        <v>240</v>
      </c>
      <c r="F68" s="21">
        <v>28.5</v>
      </c>
      <c r="G68" s="20">
        <f t="shared" si="11"/>
        <v>6840</v>
      </c>
      <c r="H68" s="22">
        <v>64.34</v>
      </c>
      <c r="I68" s="23">
        <f t="shared" si="21"/>
        <v>15.703163973880232</v>
      </c>
      <c r="J68" s="23">
        <f t="shared" si="12"/>
        <v>15441.6</v>
      </c>
      <c r="K68" s="24">
        <f t="shared" si="13"/>
        <v>11845.575449981428</v>
      </c>
      <c r="L68" s="20">
        <v>15</v>
      </c>
      <c r="M68" s="20">
        <f t="shared" si="14"/>
        <v>79342.302183815904</v>
      </c>
      <c r="N68" s="25">
        <f t="shared" si="15"/>
        <v>14371.429260943589</v>
      </c>
      <c r="O68" s="22">
        <v>25</v>
      </c>
      <c r="P68" s="23">
        <f t="shared" si="16"/>
        <v>6000</v>
      </c>
      <c r="Q68" s="26">
        <f t="shared" si="17"/>
        <v>7.5621702860342116E-2</v>
      </c>
      <c r="R68" s="26">
        <f t="shared" si="18"/>
        <v>0.25675369506859247</v>
      </c>
      <c r="S68" s="27">
        <f>IF($P68=0,"-",(VLOOKUP(L68,'APP 2885'!$B$10:$G$54,6)*$G68)/($P68+$N68))</f>
        <v>5.1082978083294606</v>
      </c>
      <c r="T68" s="28">
        <f t="shared" si="19"/>
        <v>0.14929709781470982</v>
      </c>
      <c r="U68" s="2">
        <f t="shared" si="20"/>
        <v>0.33042909002296017</v>
      </c>
      <c r="V68" s="27">
        <f>IF($P68=0,"-",(VLOOKUP(L68,'APP 2885'!$B$10:$G$54,4)*$G68)/($K68+$N68))</f>
        <v>3.6084604627501013</v>
      </c>
      <c r="W68" s="18"/>
      <c r="X68" s="18"/>
    </row>
    <row r="69" spans="1:24" ht="39.950000000000003" customHeight="1" x14ac:dyDescent="0.25">
      <c r="A69" s="7" t="s">
        <v>64</v>
      </c>
      <c r="B69" s="7" t="s">
        <v>28</v>
      </c>
      <c r="C69" s="7" t="s">
        <v>65</v>
      </c>
      <c r="D69" s="8">
        <v>37</v>
      </c>
      <c r="E69" s="8">
        <v>38</v>
      </c>
      <c r="F69" s="9">
        <v>25.75</v>
      </c>
      <c r="G69" s="8">
        <f t="shared" ref="G69:G88" si="22">IF(ISNUMBER(E69),E69*F69,"")</f>
        <v>978.5</v>
      </c>
      <c r="H69" s="10">
        <v>64.34</v>
      </c>
      <c r="I69" s="11">
        <f t="shared" si="21"/>
        <v>14.187946397453192</v>
      </c>
      <c r="J69" s="11">
        <f t="shared" ref="J69:J88" si="23">IF(ISNUMBER(H69),H69*E69,"")</f>
        <v>2444.92</v>
      </c>
      <c r="K69" s="12">
        <f t="shared" ref="K69:K88" si="24">J69-D69*(I69)</f>
        <v>1919.965983294232</v>
      </c>
      <c r="L69" s="8">
        <v>15</v>
      </c>
      <c r="M69" s="8">
        <f t="shared" ref="M69:M88" si="25">PV($B$93,$L69,-$G69)</f>
        <v>11350.357117962552</v>
      </c>
      <c r="N69" s="13">
        <f t="shared" ref="N69:N88" si="26">(G69/VLOOKUP("TOTAL PROGRAM",$A$4:$G$200,7,FALSE))*$B$95</f>
        <v>2055.912797051652</v>
      </c>
      <c r="O69" s="10">
        <v>25</v>
      </c>
      <c r="P69" s="11">
        <f t="shared" ref="P69:P88" si="27">IF(ISNUMBER(O69),O69*E69,"")</f>
        <v>950</v>
      </c>
      <c r="Q69" s="14">
        <f t="shared" ref="Q69:Q89" si="28">IF(ISERROR(P69/M69),0,P69/M69)</f>
        <v>8.3697807049310693E-2</v>
      </c>
      <c r="R69" s="14">
        <f t="shared" ref="R69:R89" si="29">IF(ISERROR((N69+P69)/M69),0,(N69+P69)/M69)</f>
        <v>0.26482979925756106</v>
      </c>
      <c r="S69" s="15">
        <f>IF($P69=0,"-",(VLOOKUP(L69,'APP 2885'!$B$10:$G$54,6)*$G69)/($P69+$N69))</f>
        <v>4.952517962390651</v>
      </c>
      <c r="T69" s="16">
        <f t="shared" ref="T69:T89" si="30">IF(ISERROR(RK69/M69),0,K69/M69)</f>
        <v>0.16915467622210603</v>
      </c>
      <c r="U69" s="17">
        <f t="shared" ref="U69:U89" si="31">IF(ISERROR(K69/M69),0,(K69+N69)/M69)</f>
        <v>0.35028666843035638</v>
      </c>
      <c r="V69" s="15">
        <f>IF($P69=0,"-",(VLOOKUP(L69,'APP 2885'!$B$10:$G$54,4)*$G69)/($K69+$N69))</f>
        <v>3.4038986194743113</v>
      </c>
      <c r="W69" s="18"/>
      <c r="X69" s="18"/>
    </row>
    <row r="70" spans="1:24" ht="39.950000000000003" customHeight="1" x14ac:dyDescent="0.25">
      <c r="A70" s="19" t="s">
        <v>64</v>
      </c>
      <c r="B70" s="19" t="s">
        <v>28</v>
      </c>
      <c r="C70" s="19" t="s">
        <v>66</v>
      </c>
      <c r="D70" s="20">
        <v>2</v>
      </c>
      <c r="E70" s="20">
        <v>2</v>
      </c>
      <c r="F70" s="21">
        <v>17</v>
      </c>
      <c r="G70" s="20">
        <f t="shared" si="22"/>
        <v>34</v>
      </c>
      <c r="H70" s="22">
        <v>16</v>
      </c>
      <c r="I70" s="23">
        <f t="shared" si="21"/>
        <v>9.3667995633671559</v>
      </c>
      <c r="J70" s="23">
        <f t="shared" si="23"/>
        <v>32</v>
      </c>
      <c r="K70" s="24">
        <f t="shared" si="24"/>
        <v>13.266400873265688</v>
      </c>
      <c r="L70" s="20">
        <v>15</v>
      </c>
      <c r="M70" s="20">
        <f t="shared" si="25"/>
        <v>394.39156056282764</v>
      </c>
      <c r="N70" s="25">
        <f t="shared" si="26"/>
        <v>71.436929074865787</v>
      </c>
      <c r="O70" s="22">
        <v>25</v>
      </c>
      <c r="P70" s="23">
        <f t="shared" si="27"/>
        <v>50</v>
      </c>
      <c r="Q70" s="26">
        <f t="shared" si="28"/>
        <v>0.12677756067763238</v>
      </c>
      <c r="R70" s="26">
        <f t="shared" si="29"/>
        <v>0.30790955288588273</v>
      </c>
      <c r="S70" s="27">
        <f>IF($P70=0,"-",(VLOOKUP(L70,'APP 2885'!$B$10:$G$54,6)*$G70)/($P70+$N70))</f>
        <v>4.2596091141266941</v>
      </c>
      <c r="T70" s="28">
        <f t="shared" si="30"/>
        <v>3.3637638833684716E-2</v>
      </c>
      <c r="U70" s="2">
        <f t="shared" si="31"/>
        <v>0.21476963104193508</v>
      </c>
      <c r="V70" s="27">
        <f>IF($P70=0,"-",(VLOOKUP(L70,'APP 2885'!$B$10:$G$54,4)*$G70)/($K70+$N70))</f>
        <v>5.5517174439692267</v>
      </c>
      <c r="W70" s="18"/>
      <c r="X70" s="18"/>
    </row>
    <row r="71" spans="1:24" ht="39.950000000000003" customHeight="1" x14ac:dyDescent="0.25">
      <c r="A71" s="7" t="s">
        <v>64</v>
      </c>
      <c r="B71" s="7" t="s">
        <v>29</v>
      </c>
      <c r="C71" s="7" t="s">
        <v>65</v>
      </c>
      <c r="D71" s="8">
        <v>213</v>
      </c>
      <c r="E71" s="8">
        <v>217</v>
      </c>
      <c r="F71" s="9">
        <v>25.3</v>
      </c>
      <c r="G71" s="8">
        <f t="shared" si="22"/>
        <v>5490.1</v>
      </c>
      <c r="H71" s="10">
        <v>64.34</v>
      </c>
      <c r="I71" s="11">
        <f t="shared" si="21"/>
        <v>13.940001703128768</v>
      </c>
      <c r="J71" s="11">
        <f t="shared" si="23"/>
        <v>13961.78</v>
      </c>
      <c r="K71" s="12">
        <f t="shared" si="24"/>
        <v>10992.559637233573</v>
      </c>
      <c r="L71" s="8">
        <v>15</v>
      </c>
      <c r="M71" s="8">
        <f t="shared" si="25"/>
        <v>63683.797254293524</v>
      </c>
      <c r="N71" s="13">
        <f t="shared" si="26"/>
        <v>11535.173068056491</v>
      </c>
      <c r="O71" s="10">
        <v>25</v>
      </c>
      <c r="P71" s="11">
        <f t="shared" si="27"/>
        <v>5425</v>
      </c>
      <c r="Q71" s="14">
        <f t="shared" si="28"/>
        <v>8.5186503222124524E-2</v>
      </c>
      <c r="R71" s="14">
        <f t="shared" si="29"/>
        <v>0.26631849543037489</v>
      </c>
      <c r="S71" s="15">
        <f>IF($P71=0,"-",(VLOOKUP(L71,'APP 2885'!$B$10:$G$54,6)*$G71)/($P71+$N71))</f>
        <v>4.9248338373189462</v>
      </c>
      <c r="T71" s="16">
        <f t="shared" si="30"/>
        <v>0.17261156072932604</v>
      </c>
      <c r="U71" s="17">
        <f t="shared" si="31"/>
        <v>0.35374355293757642</v>
      </c>
      <c r="V71" s="15">
        <f>IF($P71=0,"-",(VLOOKUP(L71,'APP 2885'!$B$10:$G$54,4)*$G71)/($K71+$N71))</f>
        <v>3.3706347357820339</v>
      </c>
      <c r="W71" s="18"/>
      <c r="X71" s="18"/>
    </row>
    <row r="72" spans="1:24" ht="39.950000000000003" customHeight="1" x14ac:dyDescent="0.25">
      <c r="A72" s="19" t="s">
        <v>67</v>
      </c>
      <c r="B72" s="19" t="s">
        <v>26</v>
      </c>
      <c r="C72" s="19" t="s">
        <v>68</v>
      </c>
      <c r="D72" s="20">
        <v>58</v>
      </c>
      <c r="E72" s="20">
        <v>56767</v>
      </c>
      <c r="F72" s="21">
        <v>7.0000000000000007E-2</v>
      </c>
      <c r="G72" s="25">
        <f t="shared" si="22"/>
        <v>3973.6900000000005</v>
      </c>
      <c r="H72" s="22">
        <v>1.18</v>
      </c>
      <c r="I72" s="23">
        <f t="shared" si="21"/>
        <v>7.6072683872803332E-2</v>
      </c>
      <c r="J72" s="23">
        <f t="shared" si="23"/>
        <v>66985.06</v>
      </c>
      <c r="K72" s="24">
        <f t="shared" si="24"/>
        <v>66980.647784335379</v>
      </c>
      <c r="L72" s="20">
        <v>45</v>
      </c>
      <c r="M72" s="20">
        <f t="shared" si="25"/>
        <v>90914.064113840563</v>
      </c>
      <c r="N72" s="25">
        <f t="shared" si="26"/>
        <v>8349.0650204559843</v>
      </c>
      <c r="O72" s="22">
        <v>1.25</v>
      </c>
      <c r="P72" s="23">
        <f>IF(ISNUMBER(O72),O72*E72,"")-0.62</f>
        <v>70958.13</v>
      </c>
      <c r="Q72" s="26">
        <f t="shared" si="28"/>
        <v>0.78049673272935871</v>
      </c>
      <c r="R72" s="26">
        <f t="shared" si="29"/>
        <v>0.87233142411441733</v>
      </c>
      <c r="S72" s="27">
        <f>IF($P72=0,"-",(VLOOKUP(L72,'APP 2885'!$B$10:$G$54,6)*$G72)/($P72+$N72))</f>
        <v>3.0697668684411465</v>
      </c>
      <c r="T72" s="28">
        <f t="shared" si="30"/>
        <v>0.73674682170696615</v>
      </c>
      <c r="U72" s="2">
        <f t="shared" si="31"/>
        <v>0.82858151309202466</v>
      </c>
      <c r="V72" s="27">
        <f>IF($P72=0,"-",(VLOOKUP(L72,'APP 2885'!$B$10:$G$54,4)*$G72)/($K72+$N72))</f>
        <v>2.9380486812648656</v>
      </c>
      <c r="W72" s="18"/>
      <c r="X72" s="18"/>
    </row>
    <row r="73" spans="1:24" ht="39.950000000000003" customHeight="1" x14ac:dyDescent="0.25">
      <c r="A73" s="7" t="s">
        <v>67</v>
      </c>
      <c r="B73" s="7" t="s">
        <v>28</v>
      </c>
      <c r="C73" s="7" t="s">
        <v>68</v>
      </c>
      <c r="D73" s="8">
        <v>6</v>
      </c>
      <c r="E73" s="8">
        <v>4006</v>
      </c>
      <c r="F73" s="9">
        <v>6.7000000000000004E-2</v>
      </c>
      <c r="G73" s="13">
        <f t="shared" si="22"/>
        <v>268.40200000000004</v>
      </c>
      <c r="H73" s="10">
        <v>1.18</v>
      </c>
      <c r="I73" s="11">
        <f t="shared" si="21"/>
        <v>7.2812425992540342E-2</v>
      </c>
      <c r="J73" s="11">
        <f t="shared" si="23"/>
        <v>4727.08</v>
      </c>
      <c r="K73" s="12">
        <f t="shared" si="24"/>
        <v>4726.6431254440449</v>
      </c>
      <c r="L73" s="8">
        <v>45</v>
      </c>
      <c r="M73" s="8">
        <f t="shared" si="25"/>
        <v>6140.7700742340339</v>
      </c>
      <c r="N73" s="13">
        <f t="shared" si="26"/>
        <v>563.93572463388625</v>
      </c>
      <c r="O73" s="10">
        <v>1.25</v>
      </c>
      <c r="P73" s="11">
        <f t="shared" si="27"/>
        <v>5007.5</v>
      </c>
      <c r="Q73" s="14">
        <f t="shared" si="28"/>
        <v>0.81545147261104844</v>
      </c>
      <c r="R73" s="14">
        <f t="shared" si="29"/>
        <v>0.90728616399610695</v>
      </c>
      <c r="S73" s="15">
        <f>IF($P73=0,"-",(VLOOKUP(L73,'APP 2885'!$B$10:$G$54,6)*$G73)/($P73+$N73))</f>
        <v>2.9514988879054598</v>
      </c>
      <c r="T73" s="16">
        <f t="shared" si="30"/>
        <v>0.76971504685975733</v>
      </c>
      <c r="U73" s="17">
        <f t="shared" si="31"/>
        <v>0.86154973824481595</v>
      </c>
      <c r="V73" s="15">
        <f>IF($P73=0,"-",(VLOOKUP(L73,'APP 2885'!$B$10:$G$54,4)*$G73)/($K73+$N73))</f>
        <v>2.8256207550128849</v>
      </c>
      <c r="W73" s="18"/>
      <c r="X73" s="18"/>
    </row>
    <row r="74" spans="1:24" ht="39.950000000000003" customHeight="1" x14ac:dyDescent="0.25">
      <c r="A74" s="19" t="s">
        <v>67</v>
      </c>
      <c r="B74" s="19" t="s">
        <v>29</v>
      </c>
      <c r="C74" s="19" t="s">
        <v>68</v>
      </c>
      <c r="D74" s="20">
        <v>38</v>
      </c>
      <c r="E74" s="20">
        <v>36800</v>
      </c>
      <c r="F74" s="21">
        <v>7.2999999999999995E-2</v>
      </c>
      <c r="G74" s="25">
        <f t="shared" si="22"/>
        <v>2686.3999999999996</v>
      </c>
      <c r="H74" s="22">
        <v>1.18</v>
      </c>
      <c r="I74" s="23">
        <f t="shared" si="21"/>
        <v>7.9332941753066308E-2</v>
      </c>
      <c r="J74" s="23">
        <f t="shared" si="23"/>
        <v>43424</v>
      </c>
      <c r="K74" s="24">
        <f t="shared" si="24"/>
        <v>43420.985348213384</v>
      </c>
      <c r="L74" s="20">
        <v>45</v>
      </c>
      <c r="M74" s="20">
        <f t="shared" si="25"/>
        <v>61462.152768691383</v>
      </c>
      <c r="N74" s="25">
        <f t="shared" si="26"/>
        <v>5644.3578313741009</v>
      </c>
      <c r="O74" s="22">
        <v>1.25</v>
      </c>
      <c r="P74" s="23">
        <f t="shared" si="27"/>
        <v>46000</v>
      </c>
      <c r="Q74" s="26">
        <f t="shared" si="28"/>
        <v>0.7484280639032912</v>
      </c>
      <c r="R74" s="26">
        <f t="shared" si="29"/>
        <v>0.84026275528834982</v>
      </c>
      <c r="S74" s="27">
        <f>IF($P74=0,"-",(VLOOKUP(L74,'APP 2885'!$B$10:$G$54,6)*$G74)/($P74+$N74))</f>
        <v>3.1869246699237204</v>
      </c>
      <c r="T74" s="28">
        <f t="shared" si="30"/>
        <v>0.70646704341166344</v>
      </c>
      <c r="U74" s="2">
        <f t="shared" si="31"/>
        <v>0.79830173479672206</v>
      </c>
      <c r="V74" s="27">
        <f>IF($P74=0,"-",(VLOOKUP(L74,'APP 2885'!$B$10:$G$54,4)*$G74)/($K74+$N74))</f>
        <v>3.0494895798771671</v>
      </c>
      <c r="W74" s="18"/>
      <c r="X74" s="18"/>
    </row>
    <row r="75" spans="1:24" ht="39.950000000000003" customHeight="1" x14ac:dyDescent="0.25">
      <c r="A75" s="7" t="s">
        <v>69</v>
      </c>
      <c r="B75" s="7" t="s">
        <v>26</v>
      </c>
      <c r="C75" s="7" t="s">
        <v>70</v>
      </c>
      <c r="D75" s="8">
        <v>17</v>
      </c>
      <c r="E75" s="8">
        <v>17</v>
      </c>
      <c r="F75" s="9">
        <v>75</v>
      </c>
      <c r="G75" s="8">
        <f t="shared" si="22"/>
        <v>1275</v>
      </c>
      <c r="H75" s="10">
        <v>750</v>
      </c>
      <c r="I75" s="11">
        <f t="shared" si="21"/>
        <v>41.324115720737453</v>
      </c>
      <c r="J75" s="11">
        <f t="shared" si="23"/>
        <v>12750</v>
      </c>
      <c r="K75" s="12">
        <f t="shared" si="24"/>
        <v>12047.490032747462</v>
      </c>
      <c r="L75" s="8">
        <v>15</v>
      </c>
      <c r="M75" s="8">
        <f t="shared" si="25"/>
        <v>14789.683521106035</v>
      </c>
      <c r="N75" s="13">
        <f t="shared" si="26"/>
        <v>2678.8848403074667</v>
      </c>
      <c r="O75" s="10">
        <v>300</v>
      </c>
      <c r="P75" s="11">
        <f t="shared" si="27"/>
        <v>5100</v>
      </c>
      <c r="Q75" s="14">
        <f t="shared" si="28"/>
        <v>0.34483496504316008</v>
      </c>
      <c r="R75" s="14">
        <f t="shared" si="29"/>
        <v>0.52596695725141041</v>
      </c>
      <c r="S75" s="15">
        <f>IF($P75=0,"-",(VLOOKUP(L75,'APP 2885'!$B$10:$G$54,6)*$G75)/($P75+$N75))</f>
        <v>2.4936439822253957</v>
      </c>
      <c r="T75" s="16">
        <f t="shared" si="30"/>
        <v>0.81458741260790013</v>
      </c>
      <c r="U75" s="17">
        <f t="shared" si="31"/>
        <v>0.9957194048161504</v>
      </c>
      <c r="V75" s="15">
        <f>IF($P75=0,"-",(VLOOKUP(L75,'APP 2885'!$B$10:$G$54,4)*$G75)/($K75+$N75))</f>
        <v>1.1974661750320106</v>
      </c>
      <c r="W75" s="18"/>
      <c r="X75" s="18"/>
    </row>
    <row r="76" spans="1:24" ht="39.950000000000003" customHeight="1" x14ac:dyDescent="0.25">
      <c r="A76" s="19" t="s">
        <v>69</v>
      </c>
      <c r="B76" s="19" t="s">
        <v>29</v>
      </c>
      <c r="C76" s="19" t="s">
        <v>70</v>
      </c>
      <c r="D76" s="20">
        <v>1</v>
      </c>
      <c r="E76" s="20">
        <v>1</v>
      </c>
      <c r="F76" s="21">
        <v>84</v>
      </c>
      <c r="G76" s="20">
        <f t="shared" si="22"/>
        <v>84</v>
      </c>
      <c r="H76" s="22">
        <v>750</v>
      </c>
      <c r="I76" s="23">
        <f t="shared" si="21"/>
        <v>46.283009607225949</v>
      </c>
      <c r="J76" s="23">
        <f t="shared" si="23"/>
        <v>750</v>
      </c>
      <c r="K76" s="24">
        <f t="shared" si="24"/>
        <v>703.71699039277405</v>
      </c>
      <c r="L76" s="20">
        <v>15</v>
      </c>
      <c r="M76" s="20">
        <f t="shared" si="25"/>
        <v>974.37914962580942</v>
      </c>
      <c r="N76" s="25">
        <f t="shared" si="26"/>
        <v>176.49123653790372</v>
      </c>
      <c r="O76" s="22">
        <v>300</v>
      </c>
      <c r="P76" s="23">
        <f t="shared" si="27"/>
        <v>300</v>
      </c>
      <c r="Q76" s="26">
        <f t="shared" si="28"/>
        <v>0.30788836164567862</v>
      </c>
      <c r="R76" s="26">
        <f t="shared" si="29"/>
        <v>0.48902035385392895</v>
      </c>
      <c r="S76" s="27">
        <f>IF($P76=0,"-",(VLOOKUP(L76,'APP 2885'!$B$10:$G$54,6)*$G76)/($P76+$N76))</f>
        <v>2.6820444741470832</v>
      </c>
      <c r="T76" s="28">
        <f t="shared" si="30"/>
        <v>0.72222090411419648</v>
      </c>
      <c r="U76" s="2">
        <f t="shared" si="31"/>
        <v>0.90335289632244686</v>
      </c>
      <c r="V76" s="27">
        <f>IF($P76=0,"-",(VLOOKUP(L76,'APP 2885'!$B$10:$G$54,4)*$G76)/($K76+$N76))</f>
        <v>1.3199053348302396</v>
      </c>
      <c r="W76" s="18"/>
      <c r="X76" s="18"/>
    </row>
    <row r="77" spans="1:24" ht="39.950000000000003" customHeight="1" x14ac:dyDescent="0.25">
      <c r="A77" s="7" t="s">
        <v>71</v>
      </c>
      <c r="B77" s="7" t="s">
        <v>26</v>
      </c>
      <c r="C77" s="7" t="s">
        <v>72</v>
      </c>
      <c r="D77" s="8">
        <v>4</v>
      </c>
      <c r="E77" s="8">
        <v>147</v>
      </c>
      <c r="F77" s="9">
        <v>0.26300000000000001</v>
      </c>
      <c r="G77" s="8">
        <f t="shared" si="22"/>
        <v>38.661000000000001</v>
      </c>
      <c r="H77" s="10">
        <v>29.12</v>
      </c>
      <c r="I77" s="11">
        <f t="shared" si="21"/>
        <v>0.28581594083638961</v>
      </c>
      <c r="J77" s="11">
        <f t="shared" si="23"/>
        <v>4280.6400000000003</v>
      </c>
      <c r="K77" s="12">
        <f t="shared" si="24"/>
        <v>4279.4967362366551</v>
      </c>
      <c r="L77" s="8">
        <v>45</v>
      </c>
      <c r="M77" s="8">
        <f t="shared" si="25"/>
        <v>884.52512216735317</v>
      </c>
      <c r="N77" s="13">
        <f t="shared" si="26"/>
        <v>81.230091616570192</v>
      </c>
      <c r="O77" s="10">
        <v>9</v>
      </c>
      <c r="P77" s="11">
        <f>IF(ISNUMBER(O77),O77*E77,"")-0.27</f>
        <v>1322.73</v>
      </c>
      <c r="Q77" s="14">
        <f t="shared" si="28"/>
        <v>1.495412585635683</v>
      </c>
      <c r="R77" s="14">
        <f t="shared" si="29"/>
        <v>1.5872472770207418</v>
      </c>
      <c r="S77" s="15">
        <f>IF($P77=0,"-",(VLOOKUP(L77,'APP 2885'!$B$10:$G$54,6)*$G77)/($P77+$N77))</f>
        <v>1.6871058106792565</v>
      </c>
      <c r="T77" s="16">
        <f t="shared" si="30"/>
        <v>4.8381856308960431</v>
      </c>
      <c r="U77" s="17">
        <f t="shared" si="31"/>
        <v>4.9300203222811021</v>
      </c>
      <c r="V77" s="15">
        <f>IF($P77=0,"-",(VLOOKUP(L77,'APP 2885'!$B$10:$G$54,4)*$G77)/($K77+$N77))</f>
        <v>0.49379366873158781</v>
      </c>
      <c r="W77" s="18"/>
      <c r="X77" s="18"/>
    </row>
    <row r="78" spans="1:24" ht="39.950000000000003" customHeight="1" x14ac:dyDescent="0.25">
      <c r="A78" s="19" t="s">
        <v>71</v>
      </c>
      <c r="B78" s="19" t="s">
        <v>29</v>
      </c>
      <c r="C78" s="19" t="s">
        <v>72</v>
      </c>
      <c r="D78" s="20">
        <v>5</v>
      </c>
      <c r="E78" s="20">
        <v>750</v>
      </c>
      <c r="F78" s="21">
        <v>0.34899999999999998</v>
      </c>
      <c r="G78" s="20">
        <f t="shared" si="22"/>
        <v>261.75</v>
      </c>
      <c r="H78" s="22">
        <v>29.12</v>
      </c>
      <c r="I78" s="23">
        <f t="shared" si="21"/>
        <v>0.37927666673726224</v>
      </c>
      <c r="J78" s="23">
        <f t="shared" si="23"/>
        <v>21840</v>
      </c>
      <c r="K78" s="24">
        <f t="shared" si="24"/>
        <v>21838.103616666314</v>
      </c>
      <c r="L78" s="20">
        <v>45</v>
      </c>
      <c r="M78" s="20">
        <f t="shared" si="25"/>
        <v>5988.5789484830884</v>
      </c>
      <c r="N78" s="25">
        <f t="shared" si="26"/>
        <v>549.95929956900352</v>
      </c>
      <c r="O78" s="22">
        <v>9</v>
      </c>
      <c r="P78" s="23">
        <f>IF(ISNUMBER(O78),O78*E78,"")+0.45</f>
        <v>6750.45</v>
      </c>
      <c r="Q78" s="26">
        <f t="shared" si="28"/>
        <v>1.1272206742318884</v>
      </c>
      <c r="R78" s="26">
        <f t="shared" si="29"/>
        <v>1.2190553656169469</v>
      </c>
      <c r="S78" s="27">
        <f>IF($P78=0,"-",(VLOOKUP(L78,'APP 2885'!$B$10:$G$54,6)*$G78)/($P78+$N78))</f>
        <v>2.1966632357926548</v>
      </c>
      <c r="T78" s="28">
        <f t="shared" si="30"/>
        <v>3.6466253187157069</v>
      </c>
      <c r="U78" s="2">
        <f t="shared" si="31"/>
        <v>3.7384600101007655</v>
      </c>
      <c r="V78" s="27">
        <f>IF($P78=0,"-",(VLOOKUP(L78,'APP 2885'!$B$10:$G$54,4)*$G78)/($K78+$N78))</f>
        <v>0.65118065066445741</v>
      </c>
      <c r="W78" s="18"/>
      <c r="X78" s="18"/>
    </row>
    <row r="79" spans="1:24" ht="39.950000000000003" customHeight="1" x14ac:dyDescent="0.25">
      <c r="A79" s="7" t="s">
        <v>73</v>
      </c>
      <c r="B79" s="7" t="s">
        <v>26</v>
      </c>
      <c r="C79" s="7" t="s">
        <v>74</v>
      </c>
      <c r="D79" s="8">
        <v>16</v>
      </c>
      <c r="E79" s="8">
        <v>2748</v>
      </c>
      <c r="F79" s="9">
        <v>0.22</v>
      </c>
      <c r="G79" s="8">
        <f t="shared" si="22"/>
        <v>604.56000000000006</v>
      </c>
      <c r="H79" s="10">
        <v>23.09</v>
      </c>
      <c r="I79" s="11">
        <f t="shared" si="21"/>
        <v>0.2390855778859533</v>
      </c>
      <c r="J79" s="11">
        <f t="shared" si="23"/>
        <v>63451.32</v>
      </c>
      <c r="K79" s="12">
        <f t="shared" si="24"/>
        <v>63447.494630753827</v>
      </c>
      <c r="L79" s="8">
        <v>45</v>
      </c>
      <c r="M79" s="8">
        <f t="shared" si="25"/>
        <v>13831.729853275785</v>
      </c>
      <c r="N79" s="13">
        <f t="shared" si="26"/>
        <v>1270.2326423970842</v>
      </c>
      <c r="O79" s="10">
        <v>5</v>
      </c>
      <c r="P79" s="11">
        <f>IF(ISNUMBER(O79),O79*E79,"")-2.24</f>
        <v>13737.76</v>
      </c>
      <c r="Q79" s="14">
        <f t="shared" si="28"/>
        <v>0.99320621106162443</v>
      </c>
      <c r="R79" s="14">
        <f t="shared" si="29"/>
        <v>1.0850409024466829</v>
      </c>
      <c r="S79" s="15">
        <f>IF($P79=0,"-",(VLOOKUP(L79,'APP 2885'!$B$10:$G$54,6)*$G79)/($P79+$N79))</f>
        <v>2.4679752606636001</v>
      </c>
      <c r="T79" s="16">
        <f t="shared" si="30"/>
        <v>4.5870975867655108</v>
      </c>
      <c r="U79" s="17">
        <f t="shared" si="31"/>
        <v>4.6789322781505689</v>
      </c>
      <c r="V79" s="15">
        <f>IF($P79=0,"-",(VLOOKUP(L79,'APP 2885'!$B$10:$G$54,4)*$G79)/($K79+$N79))</f>
        <v>0.5202923823515383</v>
      </c>
      <c r="W79" s="18"/>
      <c r="X79" s="18"/>
    </row>
    <row r="80" spans="1:24" ht="39.950000000000003" customHeight="1" x14ac:dyDescent="0.25">
      <c r="A80" s="19" t="s">
        <v>73</v>
      </c>
      <c r="B80" s="19" t="s">
        <v>26</v>
      </c>
      <c r="C80" s="19" t="s">
        <v>74</v>
      </c>
      <c r="D80" s="20">
        <v>1</v>
      </c>
      <c r="E80" s="20">
        <v>256</v>
      </c>
      <c r="F80" s="21">
        <v>0.6</v>
      </c>
      <c r="G80" s="20">
        <f t="shared" si="22"/>
        <v>153.6</v>
      </c>
      <c r="H80" s="22">
        <v>24.76</v>
      </c>
      <c r="I80" s="23">
        <f t="shared" si="21"/>
        <v>0.65205157605259978</v>
      </c>
      <c r="J80" s="23">
        <f t="shared" si="23"/>
        <v>6338.56</v>
      </c>
      <c r="K80" s="24">
        <f t="shared" si="24"/>
        <v>6337.9079484239483</v>
      </c>
      <c r="L80" s="20">
        <v>45</v>
      </c>
      <c r="M80" s="20">
        <f t="shared" si="25"/>
        <v>3514.2148098834859</v>
      </c>
      <c r="N80" s="25">
        <f t="shared" si="26"/>
        <v>322.72683252645248</v>
      </c>
      <c r="O80" s="22">
        <v>7</v>
      </c>
      <c r="P80" s="23">
        <f t="shared" si="27"/>
        <v>1792</v>
      </c>
      <c r="Q80" s="26">
        <f t="shared" si="28"/>
        <v>0.50992898753944238</v>
      </c>
      <c r="R80" s="26">
        <f t="shared" si="29"/>
        <v>0.60176367892450111</v>
      </c>
      <c r="S80" s="27">
        <f>IF($P80=0,"-",(VLOOKUP(L80,'APP 2885'!$B$10:$G$54,6)*$G80)/($P80+$N80))</f>
        <v>4.4500095267173672</v>
      </c>
      <c r="T80" s="28">
        <f t="shared" si="30"/>
        <v>1.8035061290502279</v>
      </c>
      <c r="U80" s="2">
        <f t="shared" si="31"/>
        <v>1.8953408204352864</v>
      </c>
      <c r="V80" s="27">
        <f>IF($P80=0,"-",(VLOOKUP(L80,'APP 2885'!$B$10:$G$54,4)*$G80)/($K80+$N80))</f>
        <v>1.2844195595921264</v>
      </c>
      <c r="W80" s="18"/>
      <c r="X80" s="18"/>
    </row>
    <row r="81" spans="1:24" ht="39.950000000000003" customHeight="1" x14ac:dyDescent="0.25">
      <c r="A81" s="7" t="s">
        <v>73</v>
      </c>
      <c r="B81" s="7" t="s">
        <v>28</v>
      </c>
      <c r="C81" s="7" t="s">
        <v>74</v>
      </c>
      <c r="D81" s="8">
        <v>7</v>
      </c>
      <c r="E81" s="8">
        <v>1144</v>
      </c>
      <c r="F81" s="9">
        <v>0.28999999999999998</v>
      </c>
      <c r="G81" s="8">
        <f t="shared" si="22"/>
        <v>331.76</v>
      </c>
      <c r="H81" s="10">
        <v>23.09</v>
      </c>
      <c r="I81" s="11">
        <f t="shared" si="21"/>
        <v>0.31515826175875661</v>
      </c>
      <c r="J81" s="11">
        <f t="shared" si="23"/>
        <v>26414.959999999999</v>
      </c>
      <c r="K81" s="12">
        <f t="shared" si="24"/>
        <v>26412.75389216769</v>
      </c>
      <c r="L81" s="8">
        <v>45</v>
      </c>
      <c r="M81" s="8">
        <f t="shared" si="25"/>
        <v>7590.3379253056337</v>
      </c>
      <c r="N81" s="13">
        <f t="shared" si="26"/>
        <v>697.05634087874921</v>
      </c>
      <c r="O81" s="10">
        <v>5</v>
      </c>
      <c r="P81" s="11">
        <f>IF(ISNUMBER(O81),O81*E81,"")-2.2</f>
        <v>5717.8</v>
      </c>
      <c r="Q81" s="14">
        <f t="shared" si="28"/>
        <v>0.75329979458981289</v>
      </c>
      <c r="R81" s="14">
        <f t="shared" si="29"/>
        <v>0.84513448597487151</v>
      </c>
      <c r="S81" s="15">
        <f>IF($P81=0,"-",(VLOOKUP(L81,'APP 2885'!$B$10:$G$54,6)*$G81)/($P81+$N81))</f>
        <v>3.1685538201148988</v>
      </c>
      <c r="T81" s="16">
        <f t="shared" si="30"/>
        <v>3.4797862956943582</v>
      </c>
      <c r="U81" s="17">
        <f t="shared" si="31"/>
        <v>3.5716209870794167</v>
      </c>
      <c r="V81" s="15">
        <f>IF($P81=0,"-",(VLOOKUP(L81,'APP 2885'!$B$10:$G$54,4)*$G81)/($K81+$N81))</f>
        <v>0.68159886803978498</v>
      </c>
      <c r="W81" s="18"/>
      <c r="X81" s="18"/>
    </row>
    <row r="82" spans="1:24" ht="39.950000000000003" customHeight="1" x14ac:dyDescent="0.25">
      <c r="A82" s="19" t="s">
        <v>73</v>
      </c>
      <c r="B82" s="19" t="s">
        <v>29</v>
      </c>
      <c r="C82" s="19" t="s">
        <v>74</v>
      </c>
      <c r="D82" s="20">
        <v>17</v>
      </c>
      <c r="E82" s="20">
        <v>2259</v>
      </c>
      <c r="F82" s="21">
        <v>0.28999999999999998</v>
      </c>
      <c r="G82" s="20">
        <f t="shared" si="22"/>
        <v>655.1099999999999</v>
      </c>
      <c r="H82" s="22">
        <v>23.09</v>
      </c>
      <c r="I82" s="23">
        <f t="shared" si="21"/>
        <v>0.31515826175875661</v>
      </c>
      <c r="J82" s="23">
        <f t="shared" si="23"/>
        <v>52160.31</v>
      </c>
      <c r="K82" s="24">
        <f t="shared" si="24"/>
        <v>52154.952309550099</v>
      </c>
      <c r="L82" s="20">
        <v>45</v>
      </c>
      <c r="M82" s="20">
        <f t="shared" si="25"/>
        <v>14988.263438169075</v>
      </c>
      <c r="N82" s="25">
        <f t="shared" si="26"/>
        <v>1376.4425472422154</v>
      </c>
      <c r="O82" s="22">
        <v>5</v>
      </c>
      <c r="P82" s="23">
        <f>IF(ISNUMBER(O82),O82*E82,"")+1.08</f>
        <v>11296.08</v>
      </c>
      <c r="Q82" s="26">
        <f t="shared" si="28"/>
        <v>0.75366169313740716</v>
      </c>
      <c r="R82" s="26">
        <f t="shared" si="29"/>
        <v>0.84549638452246578</v>
      </c>
      <c r="S82" s="27">
        <f>IF($P82=0,"-",(VLOOKUP(L82,'APP 2885'!$B$10:$G$54,6)*$G82)/($P82+$N82))</f>
        <v>3.1671975812870752</v>
      </c>
      <c r="T82" s="28">
        <f t="shared" si="30"/>
        <v>3.4797194834948275</v>
      </c>
      <c r="U82" s="2">
        <f t="shared" si="31"/>
        <v>3.571554174879886</v>
      </c>
      <c r="V82" s="27">
        <f>IF($P82=0,"-",(VLOOKUP(L82,'APP 2885'!$B$10:$G$54,4)*$G82)/($K82+$N82))</f>
        <v>0.68161161854484298</v>
      </c>
      <c r="W82" s="18"/>
      <c r="X82" s="18"/>
    </row>
    <row r="83" spans="1:24" ht="39.950000000000003" customHeight="1" x14ac:dyDescent="0.25">
      <c r="A83" s="7" t="s">
        <v>73</v>
      </c>
      <c r="B83" s="7" t="s">
        <v>29</v>
      </c>
      <c r="C83" s="7" t="s">
        <v>74</v>
      </c>
      <c r="D83" s="8">
        <v>1</v>
      </c>
      <c r="E83" s="8">
        <v>153</v>
      </c>
      <c r="F83" s="9">
        <v>0.6</v>
      </c>
      <c r="G83" s="8">
        <f t="shared" si="22"/>
        <v>91.8</v>
      </c>
      <c r="H83" s="10">
        <v>24.76</v>
      </c>
      <c r="I83" s="11">
        <f t="shared" si="21"/>
        <v>0.65205157605259978</v>
      </c>
      <c r="J83" s="11">
        <f t="shared" si="23"/>
        <v>3788.28</v>
      </c>
      <c r="K83" s="12">
        <f t="shared" si="24"/>
        <v>3787.6279484239476</v>
      </c>
      <c r="L83" s="8">
        <v>45</v>
      </c>
      <c r="M83" s="8">
        <f t="shared" si="25"/>
        <v>2100.2924449694269</v>
      </c>
      <c r="N83" s="13">
        <f t="shared" si="26"/>
        <v>192.87970850213762</v>
      </c>
      <c r="O83" s="10">
        <v>7</v>
      </c>
      <c r="P83" s="11">
        <f t="shared" si="27"/>
        <v>1071</v>
      </c>
      <c r="Q83" s="14">
        <f t="shared" si="28"/>
        <v>0.50992898753944249</v>
      </c>
      <c r="R83" s="14">
        <f t="shared" si="29"/>
        <v>0.60176367892450111</v>
      </c>
      <c r="S83" s="15">
        <f>IF($P83=0,"-",(VLOOKUP(L83,'APP 2885'!$B$10:$G$54,6)*$G83)/($P83+$N83))</f>
        <v>4.4500095267173672</v>
      </c>
      <c r="T83" s="16">
        <f t="shared" si="30"/>
        <v>1.803381218408888</v>
      </c>
      <c r="U83" s="17">
        <f t="shared" si="31"/>
        <v>1.8952159097939467</v>
      </c>
      <c r="V83" s="15">
        <f>IF($P83=0,"-",(VLOOKUP(L83,'APP 2885'!$B$10:$G$54,4)*$G83)/($K83+$N83))</f>
        <v>1.2845042136255318</v>
      </c>
      <c r="W83" s="18"/>
      <c r="X83" s="18"/>
    </row>
    <row r="84" spans="1:24" ht="39.950000000000003" customHeight="1" x14ac:dyDescent="0.25">
      <c r="A84" s="19" t="s">
        <v>75</v>
      </c>
      <c r="B84" s="19" t="s">
        <v>26</v>
      </c>
      <c r="C84" s="19" t="s">
        <v>76</v>
      </c>
      <c r="D84" s="20">
        <v>36</v>
      </c>
      <c r="E84" s="20">
        <v>4827</v>
      </c>
      <c r="F84" s="21">
        <v>0.22</v>
      </c>
      <c r="G84" s="20">
        <f t="shared" si="22"/>
        <v>1061.94</v>
      </c>
      <c r="H84" s="22">
        <v>23.09</v>
      </c>
      <c r="I84" s="23">
        <f t="shared" si="21"/>
        <v>0.2390855778859533</v>
      </c>
      <c r="J84" s="23">
        <f t="shared" si="23"/>
        <v>111455.43</v>
      </c>
      <c r="K84" s="24">
        <f t="shared" si="24"/>
        <v>111446.8229191961</v>
      </c>
      <c r="L84" s="20">
        <v>45</v>
      </c>
      <c r="M84" s="20">
        <f t="shared" si="25"/>
        <v>24296.128093799929</v>
      </c>
      <c r="N84" s="25">
        <f t="shared" si="26"/>
        <v>2231.22742534597</v>
      </c>
      <c r="O84" s="22">
        <v>5</v>
      </c>
      <c r="P84" s="23">
        <f>IF(ISNUMBER(O84),O84*E84,"")+1.95</f>
        <v>24136.95</v>
      </c>
      <c r="Q84" s="26">
        <f t="shared" si="28"/>
        <v>0.99344841724634514</v>
      </c>
      <c r="R84" s="26">
        <f t="shared" si="29"/>
        <v>1.0852831086314039</v>
      </c>
      <c r="S84" s="27">
        <f>IF($P84=0,"-",(VLOOKUP(L84,'APP 2885'!$B$10:$G$54,6)*$G84)/($P84+$N84))</f>
        <v>2.4674244745441847</v>
      </c>
      <c r="T84" s="28">
        <f t="shared" si="30"/>
        <v>4.58701989423722</v>
      </c>
      <c r="U84" s="2">
        <f t="shared" si="31"/>
        <v>4.678854585622279</v>
      </c>
      <c r="V84" s="27">
        <f>IF($P84=0,"-",(VLOOKUP(L84,'APP 2885'!$B$10:$G$54,4)*$G84)/($K84+$N84))</f>
        <v>0.52030102182299343</v>
      </c>
      <c r="W84" s="18"/>
      <c r="X84" s="18"/>
    </row>
    <row r="85" spans="1:24" ht="39.950000000000003" customHeight="1" x14ac:dyDescent="0.25">
      <c r="A85" s="7" t="s">
        <v>75</v>
      </c>
      <c r="B85" s="7" t="s">
        <v>28</v>
      </c>
      <c r="C85" s="7" t="s">
        <v>76</v>
      </c>
      <c r="D85" s="8">
        <v>21</v>
      </c>
      <c r="E85" s="8">
        <v>3949</v>
      </c>
      <c r="F85" s="9">
        <v>0.28999999999999998</v>
      </c>
      <c r="G85" s="8">
        <f t="shared" si="22"/>
        <v>1145.2099999999998</v>
      </c>
      <c r="H85" s="10">
        <v>23.09</v>
      </c>
      <c r="I85" s="11">
        <f t="shared" si="21"/>
        <v>0.31515826175875661</v>
      </c>
      <c r="J85" s="11">
        <f t="shared" si="23"/>
        <v>91182.41</v>
      </c>
      <c r="K85" s="12">
        <f t="shared" si="24"/>
        <v>91175.791676503068</v>
      </c>
      <c r="L85" s="8">
        <v>45</v>
      </c>
      <c r="M85" s="8">
        <f t="shared" si="25"/>
        <v>26201.26264600694</v>
      </c>
      <c r="N85" s="13">
        <f t="shared" si="26"/>
        <v>2406.1848689949124</v>
      </c>
      <c r="O85" s="10">
        <v>5</v>
      </c>
      <c r="P85" s="11">
        <f>IF(ISNUMBER(O85),O85*E85,"")-0.2</f>
        <v>19744.8</v>
      </c>
      <c r="Q85" s="14">
        <f t="shared" si="28"/>
        <v>0.75358200353787519</v>
      </c>
      <c r="R85" s="14">
        <f t="shared" si="29"/>
        <v>0.84541669492293381</v>
      </c>
      <c r="S85" s="15">
        <f>IF($P85=0,"-",(VLOOKUP(L85,'APP 2885'!$B$10:$G$54,6)*$G85)/($P85+$N85))</f>
        <v>3.1674961236608037</v>
      </c>
      <c r="T85" s="16">
        <f t="shared" si="30"/>
        <v>3.4798243469536843</v>
      </c>
      <c r="U85" s="17">
        <f t="shared" si="31"/>
        <v>3.5716590383387432</v>
      </c>
      <c r="V85" s="15">
        <f>IF($P85=0,"-",(VLOOKUP(L85,'APP 2885'!$B$10:$G$54,4)*$G85)/($K85+$N85))</f>
        <v>0.6815916065136971</v>
      </c>
      <c r="W85" s="18"/>
      <c r="X85" s="18"/>
    </row>
    <row r="86" spans="1:24" ht="39.950000000000003" customHeight="1" x14ac:dyDescent="0.25">
      <c r="A86" s="19" t="s">
        <v>75</v>
      </c>
      <c r="B86" s="19" t="s">
        <v>28</v>
      </c>
      <c r="C86" s="19" t="s">
        <v>76</v>
      </c>
      <c r="D86" s="20">
        <v>1</v>
      </c>
      <c r="E86" s="20">
        <v>375</v>
      </c>
      <c r="F86" s="21">
        <v>0.2</v>
      </c>
      <c r="G86" s="20">
        <f t="shared" si="22"/>
        <v>75</v>
      </c>
      <c r="H86" s="22">
        <v>24.76</v>
      </c>
      <c r="I86" s="23">
        <f t="shared" si="21"/>
        <v>0.21735052535086666</v>
      </c>
      <c r="J86" s="23">
        <f t="shared" si="23"/>
        <v>9285</v>
      </c>
      <c r="K86" s="24">
        <f t="shared" si="24"/>
        <v>9284.7826494746496</v>
      </c>
      <c r="L86" s="20">
        <v>45</v>
      </c>
      <c r="M86" s="20">
        <f t="shared" si="25"/>
        <v>1715.9252001384207</v>
      </c>
      <c r="N86" s="25">
        <f t="shared" si="26"/>
        <v>157.58146119455688</v>
      </c>
      <c r="O86" s="22">
        <v>5</v>
      </c>
      <c r="P86" s="23">
        <f t="shared" si="27"/>
        <v>1875</v>
      </c>
      <c r="Q86" s="26">
        <f t="shared" si="28"/>
        <v>1.0927049732988052</v>
      </c>
      <c r="R86" s="26">
        <f t="shared" si="29"/>
        <v>1.184539664683864</v>
      </c>
      <c r="S86" s="27">
        <f>IF($P86=0,"-",(VLOOKUP(L86,'APP 2885'!$B$10:$G$54,6)*$G86)/($P86+$N86))</f>
        <v>2.2606706924931892</v>
      </c>
      <c r="T86" s="28">
        <f t="shared" si="30"/>
        <v>5.4109483611090168</v>
      </c>
      <c r="U86" s="2">
        <f t="shared" si="31"/>
        <v>5.5027830524940757</v>
      </c>
      <c r="V86" s="27">
        <f>IF($P86=0,"-",(VLOOKUP(L86,'APP 2885'!$B$10:$G$54,4)*$G86)/($K86+$N86))</f>
        <v>0.44239665613513507</v>
      </c>
      <c r="W86" s="18"/>
      <c r="X86" s="18"/>
    </row>
    <row r="87" spans="1:24" ht="39.950000000000003" customHeight="1" x14ac:dyDescent="0.25">
      <c r="A87" s="7" t="s">
        <v>75</v>
      </c>
      <c r="B87" s="7" t="s">
        <v>29</v>
      </c>
      <c r="C87" s="7" t="s">
        <v>76</v>
      </c>
      <c r="D87" s="8">
        <v>44</v>
      </c>
      <c r="E87" s="8">
        <v>5443</v>
      </c>
      <c r="F87" s="9">
        <v>0.28999999999999998</v>
      </c>
      <c r="G87" s="8">
        <f t="shared" si="22"/>
        <v>1578.4699999999998</v>
      </c>
      <c r="H87" s="10">
        <v>23.09</v>
      </c>
      <c r="I87" s="11">
        <f t="shared" si="21"/>
        <v>0.31515826175875661</v>
      </c>
      <c r="J87" s="11">
        <f t="shared" si="23"/>
        <v>125678.87</v>
      </c>
      <c r="K87" s="12">
        <f t="shared" si="24"/>
        <v>125665.00303648261</v>
      </c>
      <c r="L87" s="8">
        <v>45</v>
      </c>
      <c r="M87" s="8">
        <f t="shared" si="25"/>
        <v>36113.819342166571</v>
      </c>
      <c r="N87" s="13">
        <f t="shared" si="26"/>
        <v>3316.5014540236289</v>
      </c>
      <c r="O87" s="10">
        <v>5</v>
      </c>
      <c r="P87" s="11">
        <f>IF(ISNUMBER(O87),O87*E87,"")-3.6</f>
        <v>27211.4</v>
      </c>
      <c r="Q87" s="14">
        <f t="shared" si="28"/>
        <v>0.75348995192618451</v>
      </c>
      <c r="R87" s="14">
        <f t="shared" si="29"/>
        <v>0.84532464331124313</v>
      </c>
      <c r="S87" s="15">
        <f>IF($P87=0,"-",(VLOOKUP(L87,'APP 2885'!$B$10:$G$54,6)*$G87)/($P87+$N87))</f>
        <v>3.1678410480936989</v>
      </c>
      <c r="T87" s="16">
        <f t="shared" si="30"/>
        <v>3.4796929631243927</v>
      </c>
      <c r="U87" s="17">
        <f t="shared" si="31"/>
        <v>3.5715276545094516</v>
      </c>
      <c r="V87" s="15">
        <f>IF($P87=0,"-",(VLOOKUP(L87,'APP 2885'!$B$10:$G$54,4)*$G87)/($K87+$N87))</f>
        <v>0.68161667985035845</v>
      </c>
      <c r="W87" s="18"/>
      <c r="X87" s="18"/>
    </row>
    <row r="88" spans="1:24" ht="39.950000000000003" customHeight="1" x14ac:dyDescent="0.25">
      <c r="A88" s="19" t="s">
        <v>75</v>
      </c>
      <c r="B88" s="19" t="s">
        <v>29</v>
      </c>
      <c r="C88" s="19" t="s">
        <v>76</v>
      </c>
      <c r="D88" s="20">
        <v>1</v>
      </c>
      <c r="E88" s="20">
        <v>9</v>
      </c>
      <c r="F88" s="21">
        <v>0.2</v>
      </c>
      <c r="G88" s="20">
        <f t="shared" si="22"/>
        <v>1.8</v>
      </c>
      <c r="H88" s="22">
        <v>24.76</v>
      </c>
      <c r="I88" s="23">
        <f t="shared" si="21"/>
        <v>0.21735052535086666</v>
      </c>
      <c r="J88" s="23">
        <f t="shared" si="23"/>
        <v>222.84</v>
      </c>
      <c r="K88" s="24">
        <f t="shared" si="24"/>
        <v>222.62264947464914</v>
      </c>
      <c r="L88" s="20">
        <v>45</v>
      </c>
      <c r="M88" s="20">
        <f t="shared" si="25"/>
        <v>41.182204803322101</v>
      </c>
      <c r="N88" s="25">
        <f t="shared" si="26"/>
        <v>3.7819550686693653</v>
      </c>
      <c r="O88" s="22">
        <v>5</v>
      </c>
      <c r="P88" s="23">
        <f t="shared" si="27"/>
        <v>45</v>
      </c>
      <c r="Q88" s="26">
        <f t="shared" si="28"/>
        <v>1.092704973298805</v>
      </c>
      <c r="R88" s="26">
        <f t="shared" si="29"/>
        <v>1.1845396646838637</v>
      </c>
      <c r="S88" s="27">
        <f>IF($P88=0,"-",(VLOOKUP(L88,'APP 2885'!$B$10:$G$54,6)*$G88)/($P88+$N88))</f>
        <v>2.2606706924931896</v>
      </c>
      <c r="T88" s="28">
        <f t="shared" si="30"/>
        <v>5.4057972499979057</v>
      </c>
      <c r="U88" s="2">
        <f t="shared" si="31"/>
        <v>5.4976319413829637</v>
      </c>
      <c r="V88" s="27">
        <f>IF($P88=0,"-",(VLOOKUP(L88,'APP 2885'!$B$10:$G$54,4)*$G88)/($K88+$N88))</f>
        <v>0.44281116812051963</v>
      </c>
      <c r="W88" s="18"/>
      <c r="X88" s="18"/>
    </row>
    <row r="89" spans="1:24" ht="30" customHeight="1" x14ac:dyDescent="0.25">
      <c r="A89" s="29" t="s">
        <v>77</v>
      </c>
      <c r="B89" s="30" t="s">
        <v>78</v>
      </c>
      <c r="C89" s="30" t="s">
        <v>78</v>
      </c>
      <c r="D89" s="31">
        <v>5356</v>
      </c>
      <c r="E89" s="32">
        <f>SUM(E5:E88)</f>
        <v>4760635</v>
      </c>
      <c r="F89" s="30" t="s">
        <v>78</v>
      </c>
      <c r="G89" s="33">
        <f>SUM(G5:G88)</f>
        <v>605104.40299999993</v>
      </c>
      <c r="H89" s="34">
        <f>SUM(H5:H88)</f>
        <v>57788.689999999973</v>
      </c>
      <c r="I89" s="34">
        <f>SUM(I5:I88)</f>
        <v>2532.9094908939032</v>
      </c>
      <c r="J89" s="34">
        <f>SUM(J5:J88)</f>
        <v>7336807.0899999971</v>
      </c>
      <c r="K89" s="34">
        <f>SUM(K5:K88)</f>
        <v>7100000.380843319</v>
      </c>
      <c r="L89" s="32">
        <f>SUMPRODUCT(L5:L88,G5:G88)/SUM(G5:G88)</f>
        <v>27.719850577587017</v>
      </c>
      <c r="M89" s="35">
        <f>SUM(M5:M88)</f>
        <v>10030338.940445829</v>
      </c>
      <c r="N89" s="36">
        <f>B95</f>
        <v>1271376.48</v>
      </c>
      <c r="O89" s="30" t="s">
        <v>78</v>
      </c>
      <c r="P89" s="34">
        <f>SUM(P5:P88)+8347.5</f>
        <v>7816947.7300000004</v>
      </c>
      <c r="Q89" s="34">
        <f t="shared" si="28"/>
        <v>0.77933036724006777</v>
      </c>
      <c r="R89" s="34">
        <f t="shared" si="29"/>
        <v>0.90608345978745586</v>
      </c>
      <c r="S89" s="3">
        <f>IF(VALUE(LEFT($P89,11))=0,"-",(VLOOKUP(L89,'APP 2885'!$B$10:$G$54,6)*VALUE(LEFT($G89,7)))/(VALUE(LEFT($P89,11))+$N89))</f>
        <v>2.0276046541345614</v>
      </c>
      <c r="T89" s="34">
        <f t="shared" si="30"/>
        <v>0.70785248863462014</v>
      </c>
      <c r="U89" s="34">
        <f t="shared" si="31"/>
        <v>0.83460558118200823</v>
      </c>
      <c r="V89" s="3">
        <f>IF($P89=0,"-",(VLOOKUP(L89,'APP 2885'!$B$10:$G$54,4)*$G89)/($K89+$N89))</f>
        <v>2.0011415136857664</v>
      </c>
      <c r="W89" s="18"/>
      <c r="X89" s="18"/>
    </row>
    <row r="90" spans="1:24" ht="15.75" thickBot="1" x14ac:dyDescent="0.3"/>
    <row r="91" spans="1:24" ht="15.75" thickBot="1" x14ac:dyDescent="0.3">
      <c r="A91" s="37" t="s">
        <v>79</v>
      </c>
      <c r="B91" s="38">
        <v>3.4000000000000002E-2</v>
      </c>
      <c r="D91" s="51"/>
      <c r="J91" s="5" t="s">
        <v>80</v>
      </c>
      <c r="K91" s="61">
        <f>J89-K89</f>
        <v>236806.70915667806</v>
      </c>
      <c r="P91" t="s">
        <v>82</v>
      </c>
    </row>
    <row r="92" spans="1:24" ht="15.75" thickBot="1" x14ac:dyDescent="0.3">
      <c r="A92" s="37" t="s">
        <v>81</v>
      </c>
      <c r="B92" s="38">
        <v>0.02</v>
      </c>
      <c r="P92" s="4"/>
    </row>
    <row r="93" spans="1:24" ht="15.75" thickBot="1" x14ac:dyDescent="0.3">
      <c r="A93" s="37" t="s">
        <v>83</v>
      </c>
      <c r="B93" s="38">
        <v>3.4000000000000002E-2</v>
      </c>
    </row>
    <row r="94" spans="1:24" ht="21" thickBot="1" x14ac:dyDescent="0.3">
      <c r="A94" s="39"/>
      <c r="B94" s="40"/>
    </row>
    <row r="95" spans="1:24" x14ac:dyDescent="0.25">
      <c r="A95" s="37" t="s">
        <v>84</v>
      </c>
      <c r="B95" s="41">
        <v>1271376.48</v>
      </c>
    </row>
  </sheetData>
  <autoFilter ref="A4:V89" xr:uid="{00000000-0001-0000-0000-000000000000}"/>
  <mergeCells count="3">
    <mergeCell ref="B1:V1"/>
    <mergeCell ref="B2:V2"/>
    <mergeCell ref="A3:V3"/>
  </mergeCells>
  <pageMargins left="0" right="0" top="0" bottom="0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59"/>
  <sheetViews>
    <sheetView workbookViewId="0">
      <pane ySplit="4" topLeftCell="A37" activePane="bottomLeft" state="frozen"/>
      <selection activeCell="B37" sqref="B37"/>
      <selection pane="bottomLeft" activeCell="B37" sqref="B37"/>
    </sheetView>
  </sheetViews>
  <sheetFormatPr defaultRowHeight="15" x14ac:dyDescent="0.25"/>
  <cols>
    <col min="1" max="8" width="13.28515625" customWidth="1"/>
  </cols>
  <sheetData>
    <row r="1" spans="1:8" ht="15" customHeight="1" x14ac:dyDescent="0.25">
      <c r="A1" s="59" t="s">
        <v>85</v>
      </c>
      <c r="B1" s="59"/>
      <c r="C1" s="59"/>
      <c r="D1" s="59"/>
      <c r="E1" s="59"/>
      <c r="F1" s="59"/>
      <c r="G1" s="59"/>
      <c r="H1" s="59"/>
    </row>
    <row r="2" spans="1:8" ht="15" customHeight="1" x14ac:dyDescent="0.25">
      <c r="A2" s="59" t="s">
        <v>86</v>
      </c>
      <c r="B2" s="59"/>
      <c r="C2" s="59"/>
      <c r="D2" s="59"/>
      <c r="E2" s="59"/>
      <c r="F2" s="59"/>
      <c r="G2" s="59"/>
      <c r="H2" s="59"/>
    </row>
    <row r="3" spans="1:8" ht="15" customHeight="1" x14ac:dyDescent="0.25">
      <c r="A3" s="59" t="s">
        <v>87</v>
      </c>
      <c r="B3" s="59"/>
      <c r="C3" s="59"/>
      <c r="D3" s="59"/>
      <c r="E3" s="59"/>
      <c r="F3" s="59"/>
      <c r="G3" s="59"/>
      <c r="H3" s="59"/>
    </row>
    <row r="4" spans="1:8" ht="15" customHeight="1" x14ac:dyDescent="0.25">
      <c r="A4" s="59" t="s">
        <v>88</v>
      </c>
      <c r="B4" s="59"/>
      <c r="C4" s="59"/>
      <c r="D4" s="59"/>
      <c r="E4" s="59"/>
      <c r="F4" s="59"/>
      <c r="G4" s="59"/>
      <c r="H4" s="59"/>
    </row>
    <row r="5" spans="1:8" ht="15" customHeight="1" x14ac:dyDescent="0.25">
      <c r="A5" s="60"/>
      <c r="B5" s="60"/>
      <c r="C5" s="60"/>
      <c r="D5" s="60"/>
      <c r="E5" s="60"/>
      <c r="F5" s="60"/>
      <c r="G5" s="60"/>
      <c r="H5" s="60"/>
    </row>
    <row r="6" spans="1:8" ht="60" customHeight="1" x14ac:dyDescent="0.25">
      <c r="A6" s="42"/>
      <c r="B6" s="43" t="s">
        <v>89</v>
      </c>
      <c r="C6" s="43" t="s">
        <v>90</v>
      </c>
      <c r="D6" s="43" t="s">
        <v>91</v>
      </c>
      <c r="E6" s="43" t="s">
        <v>92</v>
      </c>
      <c r="F6" s="43" t="s">
        <v>93</v>
      </c>
      <c r="G6" s="43" t="s">
        <v>94</v>
      </c>
      <c r="H6" s="43" t="s">
        <v>95</v>
      </c>
    </row>
    <row r="7" spans="1:8" ht="15" customHeight="1" x14ac:dyDescent="0.25">
      <c r="A7" s="42"/>
      <c r="B7" s="43"/>
      <c r="C7" s="43"/>
      <c r="D7" s="43"/>
      <c r="E7" s="43"/>
      <c r="F7" s="43"/>
      <c r="G7" s="43"/>
      <c r="H7" s="43"/>
    </row>
    <row r="8" spans="1:8" ht="15" customHeight="1" x14ac:dyDescent="0.25">
      <c r="A8" s="42"/>
      <c r="B8" s="43"/>
      <c r="C8" s="43"/>
      <c r="D8" s="43"/>
      <c r="E8" s="43"/>
      <c r="F8" s="43"/>
      <c r="G8" s="43"/>
      <c r="H8" s="43"/>
    </row>
    <row r="9" spans="1:8" ht="15" customHeight="1" x14ac:dyDescent="0.25">
      <c r="A9" s="42"/>
      <c r="B9" s="43"/>
      <c r="C9" s="43"/>
      <c r="D9" s="43"/>
      <c r="E9" s="43"/>
      <c r="F9" s="43"/>
      <c r="G9" s="43"/>
      <c r="H9" s="43"/>
    </row>
    <row r="10" spans="1:8" ht="15" customHeight="1" x14ac:dyDescent="0.25">
      <c r="A10" s="44">
        <v>2021</v>
      </c>
      <c r="B10" s="44">
        <v>1</v>
      </c>
      <c r="C10" s="45">
        <v>0.88445163236383095</v>
      </c>
      <c r="D10" s="45">
        <v>0.88445163236383095</v>
      </c>
      <c r="E10" s="45">
        <v>0.88445163236383095</v>
      </c>
      <c r="F10" s="44" t="s">
        <v>96</v>
      </c>
      <c r="G10" s="46">
        <v>0.97289679560021403</v>
      </c>
      <c r="H10" s="47">
        <v>0.57011051999999995</v>
      </c>
    </row>
    <row r="11" spans="1:8" ht="15" customHeight="1" x14ac:dyDescent="0.25">
      <c r="A11" s="44">
        <v>2022</v>
      </c>
      <c r="B11" s="44">
        <v>2</v>
      </c>
      <c r="C11" s="45">
        <v>0.81371500359565097</v>
      </c>
      <c r="D11" s="45">
        <v>0.84138131371790303</v>
      </c>
      <c r="E11" s="45">
        <v>1.7258329460817301</v>
      </c>
      <c r="F11" s="44" t="s">
        <v>96</v>
      </c>
      <c r="G11" s="46">
        <v>1.8984162406899101</v>
      </c>
      <c r="H11" s="47">
        <v>0.57615605137735904</v>
      </c>
    </row>
    <row r="12" spans="1:8" ht="15" customHeight="1" x14ac:dyDescent="0.25">
      <c r="A12" s="44">
        <v>2023</v>
      </c>
      <c r="B12" s="44">
        <v>3</v>
      </c>
      <c r="C12" s="45">
        <v>0.76115943272610198</v>
      </c>
      <c r="D12" s="45">
        <v>0.81379817445570901</v>
      </c>
      <c r="E12" s="45">
        <v>2.53963112053744</v>
      </c>
      <c r="F12" s="44" t="s">
        <v>96</v>
      </c>
      <c r="G12" s="46">
        <v>2.79359423259119</v>
      </c>
      <c r="H12" s="47">
        <v>0.58293196065410902</v>
      </c>
    </row>
    <row r="13" spans="1:8" ht="15" customHeight="1" x14ac:dyDescent="0.25">
      <c r="A13" s="44">
        <v>2024</v>
      </c>
      <c r="B13" s="44">
        <v>4</v>
      </c>
      <c r="C13" s="45">
        <v>0.75798388048815002</v>
      </c>
      <c r="D13" s="45">
        <v>0.83795671619391299</v>
      </c>
      <c r="E13" s="45">
        <v>3.3775878367313599</v>
      </c>
      <c r="F13" s="44" t="s">
        <v>96</v>
      </c>
      <c r="G13" s="46">
        <v>3.7153466204044898</v>
      </c>
      <c r="H13" s="47">
        <v>0.58975943021046795</v>
      </c>
    </row>
    <row r="14" spans="1:8" ht="15" customHeight="1" x14ac:dyDescent="0.25">
      <c r="A14" s="48">
        <v>2025</v>
      </c>
      <c r="B14" s="44">
        <v>5</v>
      </c>
      <c r="C14" s="45">
        <v>0.77075836546405796</v>
      </c>
      <c r="D14" s="45">
        <v>0.88104968872936495</v>
      </c>
      <c r="E14" s="45">
        <v>4.2586375254607196</v>
      </c>
      <c r="F14" s="44" t="s">
        <v>96</v>
      </c>
      <c r="G14" s="46">
        <v>4.6845012780067901</v>
      </c>
      <c r="H14" s="47">
        <v>0.61455510299969196</v>
      </c>
    </row>
    <row r="15" spans="1:8" ht="15" customHeight="1" x14ac:dyDescent="0.25">
      <c r="A15" s="44">
        <v>2026</v>
      </c>
      <c r="B15" s="44">
        <v>6</v>
      </c>
      <c r="C15" s="45">
        <v>0.76378755722747904</v>
      </c>
      <c r="D15" s="45">
        <v>0.90276616326625003</v>
      </c>
      <c r="E15" s="45">
        <v>5.1614036887269696</v>
      </c>
      <c r="F15" s="44" t="s">
        <v>96</v>
      </c>
      <c r="G15" s="46">
        <v>5.6775440575996701</v>
      </c>
      <c r="H15" s="47">
        <v>0.629247118316003</v>
      </c>
    </row>
    <row r="16" spans="1:8" ht="15" customHeight="1" x14ac:dyDescent="0.25">
      <c r="A16" s="44">
        <v>2027</v>
      </c>
      <c r="B16" s="44">
        <v>7</v>
      </c>
      <c r="C16" s="45">
        <v>0.74933499617350696</v>
      </c>
      <c r="D16" s="45">
        <v>0.91579706736600996</v>
      </c>
      <c r="E16" s="45">
        <v>6.0772007560929797</v>
      </c>
      <c r="F16" s="44" t="s">
        <v>96</v>
      </c>
      <c r="G16" s="46">
        <v>6.6849208317022804</v>
      </c>
      <c r="H16" s="47">
        <v>0.64174689766763904</v>
      </c>
    </row>
    <row r="17" spans="1:8" ht="15" customHeight="1" x14ac:dyDescent="0.25">
      <c r="A17" s="44">
        <v>2028</v>
      </c>
      <c r="B17" s="44">
        <v>8</v>
      </c>
      <c r="C17" s="45">
        <v>0.72707320786116503</v>
      </c>
      <c r="D17" s="45">
        <v>0.91880195964036104</v>
      </c>
      <c r="E17" s="45">
        <v>6.99600271573334</v>
      </c>
      <c r="F17" s="44" t="s">
        <v>96</v>
      </c>
      <c r="G17" s="46">
        <v>7.69560298730668</v>
      </c>
      <c r="H17" s="47">
        <v>0.65668675188056402</v>
      </c>
    </row>
    <row r="18" spans="1:8" ht="15" customHeight="1" x14ac:dyDescent="0.25">
      <c r="A18" s="44">
        <v>2029</v>
      </c>
      <c r="B18" s="44">
        <v>9</v>
      </c>
      <c r="C18" s="45">
        <v>0.71493225084050704</v>
      </c>
      <c r="D18" s="45">
        <v>0.93417706077384199</v>
      </c>
      <c r="E18" s="45">
        <v>7.9301797765071802</v>
      </c>
      <c r="F18" s="44" t="s">
        <v>96</v>
      </c>
      <c r="G18" s="46">
        <v>8.7231977541578996</v>
      </c>
      <c r="H18" s="47">
        <v>0.671362515855918</v>
      </c>
    </row>
    <row r="19" spans="1:8" ht="15" customHeight="1" x14ac:dyDescent="0.25">
      <c r="A19" s="48">
        <v>2030</v>
      </c>
      <c r="B19" s="44">
        <v>10</v>
      </c>
      <c r="C19" s="45">
        <v>0.70356791294168197</v>
      </c>
      <c r="D19" s="45">
        <v>0.95058481742366396</v>
      </c>
      <c r="E19" s="45">
        <v>8.8807645939308504</v>
      </c>
      <c r="F19" s="44" t="s">
        <v>96</v>
      </c>
      <c r="G19" s="46">
        <v>9.7688410533239303</v>
      </c>
      <c r="H19" s="47">
        <v>0.70168753835864495</v>
      </c>
    </row>
    <row r="20" spans="1:8" ht="15" customHeight="1" x14ac:dyDescent="0.25">
      <c r="A20" s="44">
        <v>2031</v>
      </c>
      <c r="B20" s="44">
        <v>11</v>
      </c>
      <c r="C20" s="45">
        <v>0.68515451725701604</v>
      </c>
      <c r="D20" s="45">
        <v>0.95718065546171105</v>
      </c>
      <c r="E20" s="45">
        <v>9.8379452493925594</v>
      </c>
      <c r="F20" s="44" t="s">
        <v>96</v>
      </c>
      <c r="G20" s="46">
        <v>10.8217397743318</v>
      </c>
      <c r="H20" s="47">
        <v>0.71753017552309395</v>
      </c>
    </row>
    <row r="21" spans="1:8" ht="15" customHeight="1" x14ac:dyDescent="0.25">
      <c r="A21" s="44">
        <v>2032</v>
      </c>
      <c r="B21" s="44">
        <v>12</v>
      </c>
      <c r="C21" s="45">
        <v>0.67625670713780195</v>
      </c>
      <c r="D21" s="45">
        <v>0.97687166301819595</v>
      </c>
      <c r="E21" s="45">
        <v>10.8148169124108</v>
      </c>
      <c r="F21" s="44" t="s">
        <v>96</v>
      </c>
      <c r="G21" s="46">
        <v>11.8962986036518</v>
      </c>
      <c r="H21" s="47">
        <v>0.73540219867662504</v>
      </c>
    </row>
    <row r="22" spans="1:8" ht="15" customHeight="1" x14ac:dyDescent="0.25">
      <c r="A22" s="44">
        <v>2033</v>
      </c>
      <c r="B22" s="44">
        <v>13</v>
      </c>
      <c r="C22" s="45">
        <v>0.66587008865652397</v>
      </c>
      <c r="D22" s="45">
        <v>0.99457141181766795</v>
      </c>
      <c r="E22" s="45">
        <v>11.809388324228401</v>
      </c>
      <c r="F22" s="44" t="s">
        <v>96</v>
      </c>
      <c r="G22" s="46">
        <v>12.990327156651301</v>
      </c>
      <c r="H22" s="47">
        <v>0.75283800222888697</v>
      </c>
    </row>
    <row r="23" spans="1:8" ht="15" customHeight="1" x14ac:dyDescent="0.25">
      <c r="A23" s="44">
        <v>2034</v>
      </c>
      <c r="B23" s="44">
        <v>14</v>
      </c>
      <c r="C23" s="45">
        <v>0.648813117328782</v>
      </c>
      <c r="D23" s="45">
        <v>1.0020436159092001</v>
      </c>
      <c r="E23" s="45">
        <v>12.8114319401376</v>
      </c>
      <c r="F23" s="44" t="s">
        <v>96</v>
      </c>
      <c r="G23" s="46">
        <v>14.092575134151399</v>
      </c>
      <c r="H23" s="47">
        <v>0.77211629283704597</v>
      </c>
    </row>
    <row r="24" spans="1:8" ht="15" customHeight="1" x14ac:dyDescent="0.25">
      <c r="A24" s="44">
        <v>2035</v>
      </c>
      <c r="B24" s="44">
        <v>15</v>
      </c>
      <c r="C24" s="45">
        <v>0.63835970106897899</v>
      </c>
      <c r="D24" s="45">
        <v>1.01941966090128</v>
      </c>
      <c r="E24" s="45">
        <v>13.8308516010389</v>
      </c>
      <c r="F24" s="44" t="s">
        <v>96</v>
      </c>
      <c r="G24" s="46">
        <v>15.213936761142801</v>
      </c>
      <c r="H24" s="47">
        <v>0.81064038086745605</v>
      </c>
    </row>
    <row r="25" spans="1:8" ht="15" customHeight="1" x14ac:dyDescent="0.25">
      <c r="A25" s="44">
        <v>2036</v>
      </c>
      <c r="B25" s="44">
        <v>16</v>
      </c>
      <c r="C25" s="45">
        <v>0.62567375799839697</v>
      </c>
      <c r="D25" s="45">
        <v>1.0331324949498299</v>
      </c>
      <c r="E25" s="45">
        <v>14.8639840959887</v>
      </c>
      <c r="F25" s="44" t="s">
        <v>96</v>
      </c>
      <c r="G25" s="46">
        <v>16.3503825055876</v>
      </c>
      <c r="H25" s="47">
        <v>0.83101695530386399</v>
      </c>
    </row>
    <row r="26" spans="1:8" ht="15" customHeight="1" x14ac:dyDescent="0.25">
      <c r="A26" s="44">
        <v>2037</v>
      </c>
      <c r="B26" s="44">
        <v>17</v>
      </c>
      <c r="C26" s="45">
        <v>0.61894833994618104</v>
      </c>
      <c r="D26" s="45">
        <v>1.0567761970079801</v>
      </c>
      <c r="E26" s="45">
        <v>15.9207602929967</v>
      </c>
      <c r="F26" s="44" t="s">
        <v>96</v>
      </c>
      <c r="G26" s="46">
        <v>17.512836322296401</v>
      </c>
      <c r="H26" s="47">
        <v>0.85329665766642104</v>
      </c>
    </row>
    <row r="27" spans="1:8" ht="15" customHeight="1" x14ac:dyDescent="0.25">
      <c r="A27" s="44">
        <v>2038</v>
      </c>
      <c r="B27" s="44">
        <v>18</v>
      </c>
      <c r="C27" s="45">
        <v>0.61107179398866496</v>
      </c>
      <c r="D27" s="45">
        <v>1.0788011401903901</v>
      </c>
      <c r="E27" s="45">
        <v>16.9995614331871</v>
      </c>
      <c r="F27" s="44" t="s">
        <v>96</v>
      </c>
      <c r="G27" s="46">
        <v>18.699517576505801</v>
      </c>
      <c r="H27" s="47">
        <v>0.87508084147130905</v>
      </c>
    </row>
    <row r="28" spans="1:8" ht="15" customHeight="1" x14ac:dyDescent="0.25">
      <c r="A28" s="44">
        <v>2039</v>
      </c>
      <c r="B28" s="44">
        <v>19</v>
      </c>
      <c r="C28" s="45">
        <v>0.60374811403143103</v>
      </c>
      <c r="D28" s="45">
        <v>1.10211137489806</v>
      </c>
      <c r="E28" s="45">
        <v>18.101672808085201</v>
      </c>
      <c r="F28" s="44" t="s">
        <v>96</v>
      </c>
      <c r="G28" s="46">
        <v>19.911840088893701</v>
      </c>
      <c r="H28" s="47">
        <v>0.897067740402681</v>
      </c>
    </row>
    <row r="29" spans="1:8" ht="15" customHeight="1" x14ac:dyDescent="0.25">
      <c r="A29" s="48">
        <v>2040</v>
      </c>
      <c r="B29" s="44">
        <v>20</v>
      </c>
      <c r="C29" s="45">
        <v>0.59154544035996703</v>
      </c>
      <c r="D29" s="45">
        <v>1.1165504413431</v>
      </c>
      <c r="E29" s="45">
        <v>19.218223249428299</v>
      </c>
      <c r="F29" s="44" t="s">
        <v>96</v>
      </c>
      <c r="G29" s="46">
        <v>21.140045574371101</v>
      </c>
      <c r="H29" s="47">
        <v>0.91930355234543903</v>
      </c>
    </row>
    <row r="30" spans="1:8" ht="15" customHeight="1" x14ac:dyDescent="0.25">
      <c r="A30" s="44">
        <v>2041</v>
      </c>
      <c r="B30" s="44">
        <v>21</v>
      </c>
      <c r="C30" s="45">
        <v>0.58353612105141806</v>
      </c>
      <c r="D30" s="45">
        <v>1.13888145016996</v>
      </c>
      <c r="E30" s="45">
        <v>20.357104699598199</v>
      </c>
      <c r="F30" s="44" t="s">
        <v>96</v>
      </c>
      <c r="G30" s="46">
        <v>22.392815169557998</v>
      </c>
      <c r="H30" s="47">
        <v>0.96256067436903203</v>
      </c>
    </row>
    <row r="31" spans="1:8" ht="15" customHeight="1" x14ac:dyDescent="0.25">
      <c r="A31" s="44">
        <v>2042</v>
      </c>
      <c r="B31" s="44">
        <v>22</v>
      </c>
      <c r="C31" s="45">
        <v>0.57563524513776199</v>
      </c>
      <c r="D31" s="45">
        <v>1.1616590791733601</v>
      </c>
      <c r="E31" s="45">
        <v>21.5187637787716</v>
      </c>
      <c r="F31" s="44" t="s">
        <v>96</v>
      </c>
      <c r="G31" s="46">
        <v>23.670640156648702</v>
      </c>
      <c r="H31" s="47">
        <v>0.98552212265613304</v>
      </c>
    </row>
    <row r="32" spans="1:8" ht="15" customHeight="1" x14ac:dyDescent="0.25">
      <c r="A32" s="44">
        <v>2043</v>
      </c>
      <c r="B32" s="44">
        <v>23</v>
      </c>
      <c r="C32" s="45">
        <v>0.567841344333189</v>
      </c>
      <c r="D32" s="45">
        <v>1.18489226075682</v>
      </c>
      <c r="E32" s="45">
        <v>22.703656039528401</v>
      </c>
      <c r="F32" s="44" t="s">
        <v>96</v>
      </c>
      <c r="G32" s="46">
        <v>24.974021643481201</v>
      </c>
      <c r="H32" s="47">
        <v>1.0086464310452701</v>
      </c>
    </row>
    <row r="33" spans="1:8" ht="15" customHeight="1" x14ac:dyDescent="0.25">
      <c r="A33" s="44">
        <v>2044</v>
      </c>
      <c r="B33" s="44">
        <v>24</v>
      </c>
      <c r="C33" s="45">
        <v>0.56015297023196597</v>
      </c>
      <c r="D33" s="45">
        <v>1.2085901059719599</v>
      </c>
      <c r="E33" s="45">
        <v>23.912246145500401</v>
      </c>
      <c r="F33" s="44" t="s">
        <v>96</v>
      </c>
      <c r="G33" s="46">
        <v>26.303470760050399</v>
      </c>
      <c r="H33" s="47">
        <v>1.03195880055061</v>
      </c>
    </row>
    <row r="34" spans="1:8" ht="15" customHeight="1" x14ac:dyDescent="0.25">
      <c r="A34" s="44">
        <v>2045</v>
      </c>
      <c r="B34" s="44">
        <v>25</v>
      </c>
      <c r="C34" s="45">
        <v>0.55256869403927</v>
      </c>
      <c r="D34" s="45">
        <v>1.2327619080914001</v>
      </c>
      <c r="E34" s="45">
        <v>25.145008053591798</v>
      </c>
      <c r="F34" s="44" t="s">
        <v>96</v>
      </c>
      <c r="G34" s="46">
        <v>27.6595088589509</v>
      </c>
      <c r="H34" s="47">
        <v>1.0554809412422199</v>
      </c>
    </row>
    <row r="35" spans="1:8" ht="15" customHeight="1" x14ac:dyDescent="0.25">
      <c r="A35" s="44">
        <v>2046</v>
      </c>
      <c r="B35" s="44">
        <v>26</v>
      </c>
      <c r="C35" s="45">
        <v>0.54508710630566304</v>
      </c>
      <c r="D35" s="45">
        <v>1.25741714625323</v>
      </c>
      <c r="E35" s="45">
        <v>26.402425199844998</v>
      </c>
      <c r="F35" s="44" t="s">
        <v>96</v>
      </c>
      <c r="G35" s="46">
        <v>29.042667719829499</v>
      </c>
      <c r="H35" s="47">
        <v>1.1026933043184499</v>
      </c>
    </row>
    <row r="36" spans="1:8" ht="15" customHeight="1" x14ac:dyDescent="0.25">
      <c r="A36" s="44">
        <v>2047</v>
      </c>
      <c r="B36" s="44">
        <v>27</v>
      </c>
      <c r="C36" s="45">
        <v>0.53770681666516096</v>
      </c>
      <c r="D36" s="45">
        <v>1.2825654891782901</v>
      </c>
      <c r="E36" s="45">
        <v>27.684990689023302</v>
      </c>
      <c r="F36" s="44" t="s">
        <v>96</v>
      </c>
      <c r="G36" s="46">
        <v>30.453489757925599</v>
      </c>
      <c r="H36" s="47">
        <v>1.1272110200121499</v>
      </c>
    </row>
    <row r="37" spans="1:8" ht="15" customHeight="1" x14ac:dyDescent="0.25">
      <c r="A37" s="44">
        <v>2048</v>
      </c>
      <c r="B37" s="44">
        <v>28</v>
      </c>
      <c r="C37" s="45">
        <v>0.53042645357685103</v>
      </c>
      <c r="D37" s="45">
        <v>1.3082167989618601</v>
      </c>
      <c r="E37" s="45">
        <v>28.993207487985099</v>
      </c>
      <c r="F37" s="44" t="s">
        <v>96</v>
      </c>
      <c r="G37" s="46">
        <v>31.892528236783701</v>
      </c>
      <c r="H37" s="47">
        <v>1.1519943575740099</v>
      </c>
    </row>
    <row r="38" spans="1:8" ht="15" customHeight="1" x14ac:dyDescent="0.25">
      <c r="A38" s="44">
        <v>2049</v>
      </c>
      <c r="B38" s="44">
        <v>29</v>
      </c>
      <c r="C38" s="45">
        <v>0.52324466407000803</v>
      </c>
      <c r="D38" s="45">
        <v>1.3343811349410899</v>
      </c>
      <c r="E38" s="45">
        <v>30.3275886229262</v>
      </c>
      <c r="F38" s="44" t="s">
        <v>96</v>
      </c>
      <c r="G38" s="46">
        <v>33.360347485218902</v>
      </c>
      <c r="H38" s="47">
        <v>1.1770567561259799</v>
      </c>
    </row>
    <row r="39" spans="1:8" ht="15" customHeight="1" x14ac:dyDescent="0.25">
      <c r="A39" s="48">
        <v>2050</v>
      </c>
      <c r="B39" s="44">
        <v>30</v>
      </c>
      <c r="C39" s="45">
        <v>0.516160113492658</v>
      </c>
      <c r="D39" s="45">
        <v>1.3610687576399201</v>
      </c>
      <c r="E39" s="45">
        <v>31.688657380566099</v>
      </c>
      <c r="F39" s="44" t="s">
        <v>96</v>
      </c>
      <c r="G39" s="46">
        <v>34.857523118622801</v>
      </c>
      <c r="H39" s="47">
        <v>1.2024103291102399</v>
      </c>
    </row>
    <row r="40" spans="1:8" ht="15" customHeight="1" x14ac:dyDescent="0.25">
      <c r="A40" s="44">
        <v>2051</v>
      </c>
      <c r="B40" s="44">
        <v>31</v>
      </c>
      <c r="C40" s="45">
        <v>0.50917148526355005</v>
      </c>
      <c r="D40" s="45">
        <v>1.38829013279271</v>
      </c>
      <c r="E40" s="45">
        <v>33.076947513358903</v>
      </c>
      <c r="F40" s="44" t="s">
        <v>96</v>
      </c>
      <c r="G40" s="46">
        <v>36.384642264694698</v>
      </c>
      <c r="H40" s="47">
        <v>1.2541951448828901</v>
      </c>
    </row>
    <row r="41" spans="1:8" ht="15" customHeight="1" x14ac:dyDescent="0.25">
      <c r="A41" s="44">
        <v>2052</v>
      </c>
      <c r="B41" s="44">
        <v>32</v>
      </c>
      <c r="C41" s="45">
        <v>0.50227748062748701</v>
      </c>
      <c r="D41" s="45">
        <v>1.41605593544857</v>
      </c>
      <c r="E41" s="45">
        <v>34.4930034488074</v>
      </c>
      <c r="F41" s="44" t="s">
        <v>96</v>
      </c>
      <c r="G41" s="46">
        <v>37.942303793688197</v>
      </c>
      <c r="H41" s="47">
        <v>1.2807156499932999</v>
      </c>
    </row>
    <row r="42" spans="1:8" ht="15" customHeight="1" x14ac:dyDescent="0.25">
      <c r="A42" s="44">
        <v>2053</v>
      </c>
      <c r="B42" s="44">
        <v>33</v>
      </c>
      <c r="C42" s="45">
        <v>0.49547681841396202</v>
      </c>
      <c r="D42" s="45">
        <v>1.44437705415754</v>
      </c>
      <c r="E42" s="45">
        <v>35.937380502964999</v>
      </c>
      <c r="F42" s="44" t="s">
        <v>96</v>
      </c>
      <c r="G42" s="46">
        <v>39.5311185532615</v>
      </c>
      <c r="H42" s="47">
        <v>1.30756451467569</v>
      </c>
    </row>
    <row r="43" spans="1:8" ht="15" customHeight="1" x14ac:dyDescent="0.25">
      <c r="A43" s="44">
        <v>2054</v>
      </c>
      <c r="B43" s="44">
        <v>34</v>
      </c>
      <c r="C43" s="45">
        <v>0.488768234799072</v>
      </c>
      <c r="D43" s="45">
        <v>1.47326459524069</v>
      </c>
      <c r="E43" s="45">
        <v>37.410645098205698</v>
      </c>
      <c r="F43" s="44" t="s">
        <v>96</v>
      </c>
      <c r="G43" s="46">
        <v>41.151709608026202</v>
      </c>
      <c r="H43" s="47">
        <v>1.33475052162326</v>
      </c>
    </row>
    <row r="44" spans="1:8" ht="15" customHeight="1" x14ac:dyDescent="0.25">
      <c r="A44" s="44">
        <v>2055</v>
      </c>
      <c r="B44" s="44">
        <v>35</v>
      </c>
      <c r="C44" s="45">
        <v>0.482150483070652</v>
      </c>
      <c r="D44" s="45">
        <v>1.5027298871455099</v>
      </c>
      <c r="E44" s="45">
        <v>38.913374985351197</v>
      </c>
      <c r="F44" s="44" t="s">
        <v>96</v>
      </c>
      <c r="G44" s="46">
        <v>42.804712483886298</v>
      </c>
      <c r="H44" s="47">
        <v>1.3622818643825101</v>
      </c>
    </row>
    <row r="45" spans="1:8" ht="15" customHeight="1" x14ac:dyDescent="0.25">
      <c r="A45" s="44">
        <v>2056</v>
      </c>
      <c r="B45" s="44">
        <v>36</v>
      </c>
      <c r="C45" s="45">
        <v>0.475622333396581</v>
      </c>
      <c r="D45" s="45">
        <v>1.53278448488842</v>
      </c>
      <c r="E45" s="45">
        <v>40.4461594702396</v>
      </c>
      <c r="F45" s="44" t="s">
        <v>96</v>
      </c>
      <c r="G45" s="46">
        <v>44.490775417263499</v>
      </c>
      <c r="H45" s="47">
        <v>1.3901662306967699</v>
      </c>
    </row>
    <row r="46" spans="1:8" ht="15" customHeight="1" x14ac:dyDescent="0.25">
      <c r="A46" s="44">
        <v>2057</v>
      </c>
      <c r="B46" s="44">
        <v>37</v>
      </c>
      <c r="C46" s="45">
        <v>0.46918257259624102</v>
      </c>
      <c r="D46" s="45">
        <v>1.5634401745861799</v>
      </c>
      <c r="E46" s="45">
        <v>42.009599644825798</v>
      </c>
      <c r="F46" s="44" t="s">
        <v>96</v>
      </c>
      <c r="G46" s="46">
        <v>46.210559609308298</v>
      </c>
      <c r="H46" s="47">
        <v>1.41841087242749</v>
      </c>
    </row>
    <row r="47" spans="1:8" ht="15" customHeight="1" x14ac:dyDescent="0.25">
      <c r="A47" s="44">
        <v>2058</v>
      </c>
      <c r="B47" s="44">
        <v>38</v>
      </c>
      <c r="C47" s="45">
        <v>0.46283000391505402</v>
      </c>
      <c r="D47" s="45">
        <v>1.59470897807791</v>
      </c>
      <c r="E47" s="45">
        <v>43.604308622903702</v>
      </c>
      <c r="F47" s="44" t="s">
        <v>96</v>
      </c>
      <c r="G47" s="46">
        <v>47.964739485194002</v>
      </c>
      <c r="H47" s="47">
        <v>1.4470226645295901</v>
      </c>
    </row>
    <row r="48" spans="1:8" ht="15" customHeight="1" x14ac:dyDescent="0.25">
      <c r="A48" s="44">
        <v>2059</v>
      </c>
      <c r="B48" s="44">
        <v>39</v>
      </c>
      <c r="C48" s="45">
        <v>0.45656344680208399</v>
      </c>
      <c r="D48" s="45">
        <v>1.6266031576394699</v>
      </c>
      <c r="E48" s="45">
        <v>45.230911780543103</v>
      </c>
      <c r="F48" s="44" t="s">
        <v>96</v>
      </c>
      <c r="G48" s="46">
        <v>49.754002958597503</v>
      </c>
      <c r="H48" s="47">
        <v>1.4760081550492099</v>
      </c>
    </row>
    <row r="49" spans="1:8" ht="15" customHeight="1" x14ac:dyDescent="0.25">
      <c r="A49" s="48">
        <v>2060</v>
      </c>
      <c r="B49" s="44">
        <v>40</v>
      </c>
      <c r="C49" s="45">
        <v>0.45038173669064402</v>
      </c>
      <c r="D49" s="45">
        <v>1.6591352207922501</v>
      </c>
      <c r="E49" s="45">
        <v>46.890047001335397</v>
      </c>
      <c r="F49" s="44" t="s">
        <v>96</v>
      </c>
      <c r="G49" s="46">
        <v>51.579051701468899</v>
      </c>
      <c r="H49" s="47">
        <v>1.5053736077183399</v>
      </c>
    </row>
    <row r="50" spans="1:8" ht="15" customHeight="1" x14ac:dyDescent="0.25">
      <c r="A50" s="44">
        <v>2061</v>
      </c>
      <c r="B50" s="44">
        <v>41</v>
      </c>
      <c r="C50" s="45">
        <v>0.444283724781873</v>
      </c>
      <c r="D50" s="45">
        <v>1.6923179252081</v>
      </c>
      <c r="E50" s="45">
        <v>48.582364926543498</v>
      </c>
      <c r="F50" s="44" t="s">
        <v>96</v>
      </c>
      <c r="G50" s="46">
        <v>53.440601419197897</v>
      </c>
      <c r="H50" s="47">
        <v>1.53512503841349</v>
      </c>
    </row>
    <row r="51" spans="1:8" ht="15" customHeight="1" x14ac:dyDescent="0.25">
      <c r="A51" s="44">
        <v>2062</v>
      </c>
      <c r="B51" s="44">
        <v>42</v>
      </c>
      <c r="C51" s="45">
        <v>0.438268277831248</v>
      </c>
      <c r="D51" s="45">
        <v>1.7261642837122599</v>
      </c>
      <c r="E51" s="45">
        <v>50.308529210255799</v>
      </c>
      <c r="F51" s="44" t="s">
        <v>96</v>
      </c>
      <c r="G51" s="46">
        <v>55.339382131281297</v>
      </c>
      <c r="H51" s="47">
        <v>1.5652682465040999</v>
      </c>
    </row>
    <row r="52" spans="1:8" ht="15" customHeight="1" x14ac:dyDescent="0.25">
      <c r="A52" s="44">
        <v>2063</v>
      </c>
      <c r="B52" s="44">
        <v>43</v>
      </c>
      <c r="C52" s="45">
        <v>0.43233427793798102</v>
      </c>
      <c r="D52" s="45">
        <v>1.7606875693865101</v>
      </c>
      <c r="E52" s="45">
        <v>52.069216779642304</v>
      </c>
      <c r="F52" s="44" t="s">
        <v>96</v>
      </c>
      <c r="G52" s="46">
        <v>57.2761384576065</v>
      </c>
      <c r="H52" s="47">
        <v>1.5958088419255401</v>
      </c>
    </row>
    <row r="53" spans="1:8" ht="15" customHeight="1" x14ac:dyDescent="0.25">
      <c r="A53" s="44">
        <v>2064</v>
      </c>
      <c r="B53" s="44">
        <v>44</v>
      </c>
      <c r="C53" s="45">
        <v>0.42648062233727402</v>
      </c>
      <c r="D53" s="45">
        <v>1.79590132077424</v>
      </c>
      <c r="E53" s="45">
        <v>53.865118100416503</v>
      </c>
      <c r="F53" s="44" t="s">
        <v>96</v>
      </c>
      <c r="G53" s="46">
        <v>59.251629910458199</v>
      </c>
      <c r="H53" s="47">
        <v>1.62675226865943</v>
      </c>
    </row>
    <row r="54" spans="1:8" ht="15" customHeight="1" x14ac:dyDescent="0.25">
      <c r="A54" s="44">
        <v>2065</v>
      </c>
      <c r="B54" s="44">
        <v>45</v>
      </c>
      <c r="C54" s="45">
        <v>0.42070622319537698</v>
      </c>
      <c r="D54" s="45">
        <v>1.8318193471897199</v>
      </c>
      <c r="E54" s="45">
        <v>55.696937447606203</v>
      </c>
      <c r="F54" s="44" t="s">
        <v>96</v>
      </c>
      <c r="G54" s="46">
        <v>61.266631192366901</v>
      </c>
      <c r="H54" s="47">
        <v>1.65810382518273</v>
      </c>
    </row>
    <row r="55" spans="1:8" ht="15" customHeight="1" x14ac:dyDescent="0.25">
      <c r="A55" s="58"/>
      <c r="B55" s="58"/>
      <c r="C55" s="58"/>
      <c r="D55" s="58"/>
      <c r="E55" s="58"/>
      <c r="F55" s="58"/>
      <c r="G55" s="58"/>
      <c r="H55" s="58"/>
    </row>
    <row r="56" spans="1:8" ht="15" customHeight="1" x14ac:dyDescent="0.25">
      <c r="A56" s="49"/>
      <c r="B56" s="55" t="s">
        <v>97</v>
      </c>
      <c r="C56" s="55"/>
      <c r="D56" s="55"/>
      <c r="E56" s="50">
        <v>3.4000000000000002E-2</v>
      </c>
      <c r="F56" s="56"/>
      <c r="G56" s="56"/>
      <c r="H56" s="56"/>
    </row>
    <row r="57" spans="1:8" ht="15" customHeight="1" x14ac:dyDescent="0.25">
      <c r="A57" s="49"/>
      <c r="B57" s="55" t="s">
        <v>98</v>
      </c>
      <c r="C57" s="55"/>
      <c r="D57" s="55"/>
      <c r="E57" s="50">
        <v>3.4000000000000002E-2</v>
      </c>
      <c r="F57" s="56"/>
      <c r="G57" s="56"/>
      <c r="H57" s="56"/>
    </row>
    <row r="58" spans="1:8" ht="15" customHeight="1" x14ac:dyDescent="0.25">
      <c r="A58" s="49"/>
      <c r="B58" s="55" t="s">
        <v>99</v>
      </c>
      <c r="C58" s="55"/>
      <c r="D58" s="55"/>
      <c r="E58" s="50">
        <v>4.1700000000000001E-2</v>
      </c>
      <c r="F58" s="56"/>
      <c r="G58" s="56"/>
      <c r="H58" s="56"/>
    </row>
    <row r="59" spans="1:8" ht="15" customHeight="1" x14ac:dyDescent="0.25">
      <c r="A59" s="49"/>
      <c r="B59" s="55" t="s">
        <v>100</v>
      </c>
      <c r="C59" s="55"/>
      <c r="D59" s="55"/>
      <c r="E59" s="50">
        <v>0.02</v>
      </c>
      <c r="F59" s="57" t="s">
        <v>101</v>
      </c>
      <c r="G59" s="57"/>
      <c r="H59" s="57"/>
    </row>
  </sheetData>
  <mergeCells count="14">
    <mergeCell ref="A1:H1"/>
    <mergeCell ref="A2:H2"/>
    <mergeCell ref="A3:H3"/>
    <mergeCell ref="A4:H4"/>
    <mergeCell ref="A5:H5"/>
    <mergeCell ref="B58:D58"/>
    <mergeCell ref="F58:H58"/>
    <mergeCell ref="B59:D59"/>
    <mergeCell ref="F59:H59"/>
    <mergeCell ref="A55:H55"/>
    <mergeCell ref="B56:D56"/>
    <mergeCell ref="F56:H56"/>
    <mergeCell ref="B57:D57"/>
    <mergeCell ref="F57:H57"/>
  </mergeCells>
  <pageMargins left="0" right="0" top="0" bottom="0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Pending</CaseStatus>
    <OpenedDate xmlns="dc463f71-b30c-4ab2-9473-d307f9d35888">2021-11-01T07:00:00+00:00</OpenedDate>
    <SignificantOrder xmlns="dc463f71-b30c-4ab2-9473-d307f9d35888">false</SignificantOrder>
    <Date1 xmlns="dc463f71-b30c-4ab2-9473-d307f9d35888">2024-06-14T07:00:00+00:00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210838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2C9CC07A93E8F408AFF0ECAED90C02A" ma:contentTypeVersion="44" ma:contentTypeDescription="" ma:contentTypeScope="" ma:versionID="7fee11da47926caa4f923d3d4737414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19038C4-65AA-4F03-9B5D-2234F8EA4BEC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e97b0ee8-9cf2-43d0-9aca-7e7f47880de2"/>
    <ds:schemaRef ds:uri="e02f8695-751b-4e1b-8622-bb2a27d1fb80"/>
    <ds:schemaRef ds:uri="http://schemas.microsoft.com/office/2006/documentManagement/types"/>
    <ds:schemaRef ds:uri="cde2e64c-3dd4-4497-9228-a435f4be0d5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F3515F8-5029-4EF9-AC5F-9CB73CEE8D9E}"/>
</file>

<file path=customXml/itemProps3.xml><?xml version="1.0" encoding="utf-8"?>
<ds:datastoreItem xmlns:ds="http://schemas.openxmlformats.org/officeDocument/2006/customXml" ds:itemID="{50B739DD-37B5-4514-BFBF-7A302AA56A8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4504C4A-55F0-4200-95FE-26838324C7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 First Year</vt:lpstr>
      <vt:lpstr>APP 2885</vt:lpstr>
      <vt:lpstr>JR_PAGE_ANCHOR_0_1</vt:lpstr>
      <vt:lpstr>JR_PAGE_ANCHOR_0_2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2024-04-19T14:00:14Z</dcterms:created>
  <dcterms:modified xsi:type="dcterms:W3CDTF">2024-05-14T17:43:22Z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0x0101006E56B4D1795A2E4DB2F0B01679ED314A00F2C9CC07A93E8F408AFF0ECAED90C02A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