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8.2021\"/>
    </mc:Choice>
  </mc:AlternateContent>
  <xr:revisionPtr revIDLastSave="0" documentId="13_ncr:1_{CEA93C6A-C843-45FD-AA59-72D7AC80057A}" xr6:coauthVersionLast="45" xr6:coauthVersionMax="45" xr10:uidLastSave="{00000000-0000-0000-0000-000000000000}"/>
  <bookViews>
    <workbookView xWindow="28680" yWindow="-120" windowWidth="29040" windowHeight="15840" tabRatio="772" activeTab="9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" sheetId="65" r:id="rId4"/>
    <sheet name="May" sheetId="66" r:id="rId5"/>
    <sheet name="Jun" sheetId="67" r:id="rId6"/>
    <sheet name="Jul" sheetId="68" r:id="rId7"/>
    <sheet name="Aug" sheetId="69" r:id="rId8"/>
    <sheet name="Sep-PRELIM" sheetId="70" state="hidden" r:id="rId9"/>
    <sheet name="191010 WA DEF" sheetId="39" r:id="rId10"/>
    <sheet name="191000 WA Amort" sheetId="41" r:id="rId11"/>
  </sheets>
  <externalReferences>
    <externalReference r:id="rId12"/>
    <externalReference r:id="rId13"/>
    <externalReference r:id="rId14"/>
  </externalReferences>
  <definedNames>
    <definedName name="Actual_Cost_Per_MMBtu" localSheetId="10">'[1]Oregon Gas Costs - 1999'!#REF!</definedName>
    <definedName name="Actual_Cost_Per_MMBtu">'[1]Oregon Gas Costs - 1999'!#REF!</definedName>
    <definedName name="Actual_Gas_Costs" localSheetId="10">#REF!</definedName>
    <definedName name="Actual_Gas_Costs">#REF!</definedName>
    <definedName name="Actual_Volumes" localSheetId="10">#REF!</definedName>
    <definedName name="Actual_Volumes">#REF!</definedName>
    <definedName name="Analysis_of_Year_to_Date_Gas_Costs___WWP_System" localSheetId="10">#REF!</definedName>
    <definedName name="Analysis_of_Year_to_Date_Gas_Costs___WWP_System">#REF!</definedName>
    <definedName name="Balancing_Account_Summary" localSheetId="10">#REF!</definedName>
    <definedName name="Balancing_Account_Summary">#REF!</definedName>
    <definedName name="Budgeted_Costs_Volumes" localSheetId="10">#REF!</definedName>
    <definedName name="Budgeted_Costs_Volumes">#REF!</definedName>
    <definedName name="Commodity_Costs" localSheetId="10">#REF!</definedName>
    <definedName name="Commodity_Costs">#REF!</definedName>
    <definedName name="_xlnm.Database" localSheetId="10">'[2]May 2000'!#REF!</definedName>
    <definedName name="_xlnm.Database">'[2]May 2000'!#REF!</definedName>
    <definedName name="EIA857_Report_Info" localSheetId="10">#REF!</definedName>
    <definedName name="EIA857_Report_Info">#REF!</definedName>
    <definedName name="InputMonth">[3]Start!$B$2</definedName>
    <definedName name="JanJunPretaxRate">[3]Start!$C$7</definedName>
    <definedName name="jj" localSheetId="10">'[1]Oregon Gas Costs - 1999'!#REF!</definedName>
    <definedName name="jj">'[1]Oregon Gas Costs - 1999'!#REF!</definedName>
    <definedName name="Journal_Entry_Dollars" localSheetId="10">#REF!</definedName>
    <definedName name="Journal_Entry_Dollars">#REF!</definedName>
    <definedName name="Journal_Entry_Volumes" localSheetId="10">#REF!</definedName>
    <definedName name="Journal_Entry_Volumes">#REF!</definedName>
    <definedName name="JournalEntryPrintArea" localSheetId="10">#REF!</definedName>
    <definedName name="JournalEntryPrintArea">#REF!</definedName>
    <definedName name="JulDecPretaxRate">[3]Start!$C$8</definedName>
    <definedName name="Notes" localSheetId="10">#REF!</definedName>
    <definedName name="Notes">#REF!</definedName>
    <definedName name="_xlnm.Print_Area" localSheetId="10">'191000 WA Amort'!$A$1:$S$45</definedName>
    <definedName name="_xlnm.Print_Area" localSheetId="9">'191010 WA DEF'!$A$1:$L$45</definedName>
    <definedName name="_xlnm.Print_Area" localSheetId="3">April!$B$1:$R$50</definedName>
    <definedName name="_xlnm.Print_Area" localSheetId="7">Aug!$B$1:$R$48</definedName>
    <definedName name="_xlnm.Print_Area" localSheetId="1">'Feb NEW FORMAT'!$B$1:$R$42</definedName>
    <definedName name="_xlnm.Print_Area" localSheetId="0">'Jan NEW FORMAT'!$B$1:$R$42</definedName>
    <definedName name="_xlnm.Print_Area" localSheetId="6">Jul!$B$1:$R$48</definedName>
    <definedName name="_xlnm.Print_Area" localSheetId="5">Jun!$B$1:$R$48</definedName>
    <definedName name="_xlnm.Print_Area" localSheetId="2">'Mar NEW FORMAT'!$B$1:$R$42</definedName>
    <definedName name="_xlnm.Print_Area" localSheetId="4">May!$B$1:$R$48</definedName>
    <definedName name="_xlnm.Print_Area" localSheetId="8">'Sep-PRELIM'!$B$1:$R$48</definedName>
    <definedName name="SPREADSHEET_DOCUMENTATION" localSheetId="10">#REF!</definedName>
    <definedName name="SPREADSHEET_DOCUMENTATION">#REF!</definedName>
    <definedName name="Summary_of_Off_system_Sales" localSheetId="10">'[1]Oregon Gas Costs - 1999'!#REF!</definedName>
    <definedName name="Summary_of_Off_system_Sales">'[1]Oregon Gas Costs - 1999'!#REF!</definedName>
    <definedName name="Transportation_Costs" localSheetId="10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41" l="1"/>
  <c r="D1396" i="70" l="1"/>
  <c r="L28" i="70"/>
  <c r="N28" i="70" s="1"/>
  <c r="P27" i="70"/>
  <c r="R27" i="70" s="1"/>
  <c r="L27" i="70"/>
  <c r="N27" i="70" s="1"/>
  <c r="P26" i="70"/>
  <c r="R26" i="70" s="1"/>
  <c r="L26" i="70"/>
  <c r="N26" i="70" s="1"/>
  <c r="P25" i="70"/>
  <c r="R25" i="70" s="1"/>
  <c r="L25" i="70"/>
  <c r="N25" i="70" s="1"/>
  <c r="P24" i="70"/>
  <c r="R24" i="70" s="1"/>
  <c r="L24" i="70"/>
  <c r="N24" i="70" s="1"/>
  <c r="P23" i="70"/>
  <c r="R23" i="70" s="1"/>
  <c r="L23" i="70"/>
  <c r="L29" i="70" s="1"/>
  <c r="L17" i="70"/>
  <c r="L19" i="70" s="1"/>
  <c r="N16" i="70"/>
  <c r="P15" i="70"/>
  <c r="P17" i="70" s="1"/>
  <c r="N15" i="70"/>
  <c r="R14" i="70"/>
  <c r="N14" i="70"/>
  <c r="R13" i="70"/>
  <c r="N13" i="70"/>
  <c r="R12" i="70"/>
  <c r="N12" i="70"/>
  <c r="R11" i="70"/>
  <c r="N11" i="70"/>
  <c r="R10" i="70"/>
  <c r="N10" i="70"/>
  <c r="N17" i="70" s="1"/>
  <c r="E8" i="70"/>
  <c r="R15" i="70" l="1"/>
  <c r="N36" i="70" s="1"/>
  <c r="G33" i="70"/>
  <c r="I34" i="70"/>
  <c r="E12" i="70"/>
  <c r="I36" i="70"/>
  <c r="G35" i="70"/>
  <c r="E13" i="70"/>
  <c r="E31" i="70" s="1"/>
  <c r="E32" i="70" s="1"/>
  <c r="L36" i="70"/>
  <c r="L31" i="70"/>
  <c r="R28" i="70"/>
  <c r="O36" i="70" s="1"/>
  <c r="P28" i="70"/>
  <c r="P30" i="70" s="1"/>
  <c r="N23" i="70"/>
  <c r="N29" i="70" s="1"/>
  <c r="M36" i="70" s="1"/>
  <c r="D1396" i="69"/>
  <c r="L28" i="69"/>
  <c r="N28" i="69" s="1"/>
  <c r="P27" i="69"/>
  <c r="R27" i="69" s="1"/>
  <c r="L27" i="69"/>
  <c r="N27" i="69" s="1"/>
  <c r="P26" i="69"/>
  <c r="R26" i="69" s="1"/>
  <c r="L26" i="69"/>
  <c r="N26" i="69" s="1"/>
  <c r="P25" i="69"/>
  <c r="R25" i="69" s="1"/>
  <c r="L25" i="69"/>
  <c r="N25" i="69" s="1"/>
  <c r="P24" i="69"/>
  <c r="R24" i="69" s="1"/>
  <c r="L24" i="69"/>
  <c r="N24" i="69" s="1"/>
  <c r="P23" i="69"/>
  <c r="R23" i="69" s="1"/>
  <c r="R28" i="69" s="1"/>
  <c r="O36" i="69" s="1"/>
  <c r="L23" i="69"/>
  <c r="L17" i="69"/>
  <c r="L19" i="69" s="1"/>
  <c r="N16" i="69"/>
  <c r="P15" i="69"/>
  <c r="P17" i="69" s="1"/>
  <c r="N15" i="69"/>
  <c r="R14" i="69"/>
  <c r="N14" i="69"/>
  <c r="R13" i="69"/>
  <c r="N13" i="69"/>
  <c r="R12" i="69"/>
  <c r="N12" i="69"/>
  <c r="R11" i="69"/>
  <c r="N11" i="69"/>
  <c r="R10" i="69"/>
  <c r="R15" i="69" s="1"/>
  <c r="N36" i="69" s="1"/>
  <c r="N10" i="69"/>
  <c r="E8" i="69"/>
  <c r="L29" i="69" l="1"/>
  <c r="L31" i="69" s="1"/>
  <c r="N17" i="69"/>
  <c r="L36" i="69" s="1"/>
  <c r="E14" i="70"/>
  <c r="G8" i="70"/>
  <c r="I8" i="70" s="1"/>
  <c r="P36" i="70"/>
  <c r="H14" i="70"/>
  <c r="H39" i="70" s="1"/>
  <c r="N35" i="70" s="1"/>
  <c r="N37" i="70" s="1"/>
  <c r="F14" i="70"/>
  <c r="F39" i="70" s="1"/>
  <c r="L35" i="70" s="1"/>
  <c r="L37" i="70" s="1"/>
  <c r="I32" i="70"/>
  <c r="I39" i="70" s="1"/>
  <c r="O35" i="70" s="1"/>
  <c r="O37" i="70" s="1"/>
  <c r="G32" i="70"/>
  <c r="G39" i="70" s="1"/>
  <c r="M35" i="70" s="1"/>
  <c r="M37" i="70" s="1"/>
  <c r="E37" i="70"/>
  <c r="E39" i="70" s="1"/>
  <c r="I34" i="69"/>
  <c r="G35" i="69"/>
  <c r="I36" i="69"/>
  <c r="E12" i="69"/>
  <c r="E13" i="69"/>
  <c r="E31" i="69" s="1"/>
  <c r="E32" i="69" s="1"/>
  <c r="G33" i="69"/>
  <c r="P28" i="69"/>
  <c r="P30" i="69" s="1"/>
  <c r="N23" i="69"/>
  <c r="N29" i="69" s="1"/>
  <c r="M36" i="69" s="1"/>
  <c r="F25" i="4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M39" i="70" l="1"/>
  <c r="O39" i="70"/>
  <c r="E42" i="70"/>
  <c r="P35" i="70"/>
  <c r="E14" i="69"/>
  <c r="F14" i="69" s="1"/>
  <c r="F39" i="69" s="1"/>
  <c r="L35" i="69" s="1"/>
  <c r="L37" i="69" s="1"/>
  <c r="G26" i="39" s="1"/>
  <c r="G8" i="69"/>
  <c r="I8" i="69" s="1"/>
  <c r="I32" i="69" s="1"/>
  <c r="I39" i="69" s="1"/>
  <c r="O35" i="69" s="1"/>
  <c r="O37" i="69" s="1"/>
  <c r="H14" i="69"/>
  <c r="H39" i="69" s="1"/>
  <c r="N35" i="69" s="1"/>
  <c r="N37" i="69" s="1"/>
  <c r="E37" i="69"/>
  <c r="E39" i="69" s="1"/>
  <c r="P36" i="69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E32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G32" i="69" l="1"/>
  <c r="G39" i="69" s="1"/>
  <c r="M35" i="69" s="1"/>
  <c r="M37" i="69" s="1"/>
  <c r="F26" i="39" s="1"/>
  <c r="O39" i="69"/>
  <c r="E42" i="69"/>
  <c r="G8" i="68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R15" i="67"/>
  <c r="N36" i="67" s="1"/>
  <c r="R28" i="67"/>
  <c r="O36" i="67" s="1"/>
  <c r="N17" i="67"/>
  <c r="G35" i="67"/>
  <c r="E13" i="67"/>
  <c r="E31" i="67" s="1"/>
  <c r="E32" i="67" s="1"/>
  <c r="I36" i="67"/>
  <c r="G33" i="67"/>
  <c r="E12" i="67"/>
  <c r="E14" i="67" s="1"/>
  <c r="I34" i="67"/>
  <c r="L36" i="67"/>
  <c r="N29" i="67"/>
  <c r="M36" i="67" s="1"/>
  <c r="L29" i="67"/>
  <c r="P28" i="67"/>
  <c r="P30" i="67" s="1"/>
  <c r="F23" i="41"/>
  <c r="E39" i="68" l="1"/>
  <c r="P35" i="69"/>
  <c r="M39" i="69"/>
  <c r="M39" i="68"/>
  <c r="H14" i="68"/>
  <c r="H39" i="68" s="1"/>
  <c r="N35" i="68" s="1"/>
  <c r="N37" i="68" s="1"/>
  <c r="E42" i="68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H39" i="65" s="1"/>
  <c r="N35" i="65" s="1"/>
  <c r="N37" i="65" s="1"/>
  <c r="F14" i="65"/>
  <c r="F39" i="65" s="1"/>
  <c r="L35" i="65" s="1"/>
  <c r="L37" i="65" s="1"/>
  <c r="G22" i="39" s="1"/>
  <c r="G39" i="65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l="1"/>
  <c r="G32" i="64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l="1"/>
  <c r="A25" i="39" l="1"/>
  <c r="A26" i="39" l="1"/>
  <c r="H17" i="41"/>
  <c r="A27" i="39" l="1"/>
  <c r="A28" i="39" s="1"/>
  <c r="A29" i="39" s="1"/>
  <c r="A30" i="39" s="1"/>
  <c r="F17" i="41"/>
  <c r="F16" i="41" l="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F8" i="41" l="1"/>
  <c r="B8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E8" i="39" l="1"/>
  <c r="E8" i="41" l="1"/>
  <c r="O8" i="41" s="1"/>
  <c r="H8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O21" i="41" s="1"/>
  <c r="P21" i="41" s="1"/>
  <c r="I20" i="39"/>
  <c r="S21" i="41" l="1"/>
  <c r="E22" i="41"/>
  <c r="O22" i="41" s="1"/>
  <c r="P22" i="41" s="1"/>
  <c r="L20" i="39"/>
  <c r="E21" i="39"/>
  <c r="H21" i="39" s="1"/>
  <c r="S22" i="41" l="1"/>
  <c r="E23" i="41"/>
  <c r="O23" i="41" s="1"/>
  <c r="P23" i="41" s="1"/>
  <c r="I21" i="39"/>
  <c r="S23" i="41" l="1"/>
  <c r="E24" i="41"/>
  <c r="L21" i="39"/>
  <c r="E22" i="39"/>
  <c r="H22" i="39" s="1"/>
  <c r="O24" i="41"/>
  <c r="P24" i="41" s="1"/>
  <c r="S24" i="41" l="1"/>
  <c r="E25" i="41"/>
  <c r="O25" i="41" s="1"/>
  <c r="P25" i="41" s="1"/>
  <c r="I22" i="39"/>
  <c r="E26" i="41" l="1"/>
  <c r="S25" i="41"/>
  <c r="L22" i="39"/>
  <c r="E23" i="39"/>
  <c r="H23" i="39" s="1"/>
  <c r="O26" i="41"/>
  <c r="P26" i="41" s="1"/>
  <c r="E27" i="41" l="1"/>
  <c r="O27" i="41" s="1"/>
  <c r="P27" i="41" s="1"/>
  <c r="E28" i="41" s="1"/>
  <c r="S26" i="41"/>
  <c r="O31" i="41"/>
  <c r="H37" i="41" s="1"/>
  <c r="I23" i="39"/>
  <c r="H38" i="41" l="1"/>
  <c r="I38" i="41"/>
  <c r="I36" i="41"/>
  <c r="L23" i="39"/>
  <c r="E24" i="39"/>
  <c r="H24" i="39" s="1"/>
  <c r="O28" i="41"/>
  <c r="P28" i="41" s="1"/>
  <c r="E29" i="41" s="1"/>
  <c r="I41" i="41" l="1"/>
  <c r="I24" i="39"/>
  <c r="O29" i="41"/>
  <c r="P29" i="41" s="1"/>
  <c r="E30" i="41" s="1"/>
  <c r="L24" i="39" l="1"/>
  <c r="E25" i="39"/>
  <c r="H25" i="39" s="1"/>
  <c r="O30" i="41"/>
  <c r="P30" i="41" s="1"/>
  <c r="I25" i="39" l="1"/>
  <c r="E42" i="65"/>
  <c r="E26" i="39" l="1"/>
  <c r="H26" i="39" s="1"/>
  <c r="L25" i="39"/>
  <c r="I26" i="39" l="1"/>
  <c r="H31" i="39"/>
  <c r="E27" i="39" l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L26" i="39"/>
  <c r="F36" i="39"/>
  <c r="E37" i="39"/>
  <c r="E38" i="39"/>
  <c r="F38" i="39"/>
  <c r="F41" i="39" l="1"/>
  <c r="E47" i="70" l="1"/>
  <c r="F47" i="70" s="1"/>
  <c r="N3" i="63"/>
  <c r="N3" i="64"/>
  <c r="N3" i="62"/>
  <c r="E47" i="65"/>
  <c r="E47" i="69"/>
  <c r="F47" i="69" s="1"/>
  <c r="E47" i="67"/>
  <c r="F47" i="67" s="1"/>
  <c r="E47" i="68"/>
  <c r="F47" i="68" s="1"/>
  <c r="O3" i="64"/>
  <c r="O3" i="62"/>
  <c r="O3" i="63"/>
  <c r="E47" i="66"/>
  <c r="F47" i="66" s="1"/>
  <c r="F47" i="65" l="1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FDE226F-F354-4A6A-B169-1989B5434DB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F8643243-CCAF-4AF2-8333-DDDFFCF8425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AB67BEA-F35C-4744-963E-1321D90BD0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C8C2169B-094D-4D44-B492-2621E09639D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<sst xmlns="http://schemas.openxmlformats.org/spreadsheetml/2006/main" count="1402" uniqueCount="165">
  <si>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</si>
  <si>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</si>
  <si>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</si>
  <si>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</si>
  <si>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</si>
  <si>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</si>
  <si>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</si>
  <si>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</si>
  <si>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</si>
  <si>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</si>
  <si>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</si>
  <si>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</si>
  <si>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</si>
  <si>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</si>
  <si>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</si>
  <si>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</si>
  <si>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</si>
  <si>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</si>
  <si>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</si>
  <si>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</si>
  <si>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</si>
  <si>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</si>
  <si>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</si>
  <si>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</si>
  <si>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</si>
  <si>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</si>
  <si>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</si>
  <si>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</si>
  <si>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</si>
  <si>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</si>
  <si>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</si>
  <si>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</si>
  <si>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</si>
  <si>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</si>
  <si>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</si>
  <si>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</si>
  <si>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</si>
  <si>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</si>
  <si>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</si>
  <si>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</si>
  <si>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</si>
  <si>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</si>
  <si>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</si>
  <si>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</si>
  <si>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</si>
  <si>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</si>
  <si>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</si>
  <si>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</si>
  <si>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</si>
  <si>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</si>
  <si>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</si>
  <si>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</si>
  <si>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</si>
  <si>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</si>
  <si>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</si>
  <si>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</si>
  <si>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</si>
  <si>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</si>
  <si>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</si>
  <si>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</si>
  <si>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</si>
  <si>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</si>
  <si>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</si>
  <si>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</si>
  <si>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</si>
  <si>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</si>
  <si>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</si>
  <si>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</si>
  <si>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</si>
  <si>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</si>
  <si>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</si>
  <si>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</si>
  <si>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</si>
  <si>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</si>
  <si>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</si>
  <si>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</si>
  <si>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</si>
  <si>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</si>
  <si>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</si>
  <si>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</si>
  <si>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</si>
  <si>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</si>
  <si>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</si>
  <si>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</si>
  <si>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</si>
  <si>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</si>
  <si>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</si>
  <si>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</si>
  <si>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</si>
  <si>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</si>
  <si>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</si>
  <si>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</si>
  <si>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</si>
  <si>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</si>
  <si>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</si>
  <si>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</si>
  <si>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</si>
  <si>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</si>
  <si>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</si>
  <si>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</si>
  <si>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</si>
  <si>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</si>
  <si>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</si>
  <si>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</si>
  <si>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</si>
  <si>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</si>
  <si>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</si>
  <si>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</si>
  <si>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</si>
  <si>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</si>
  <si>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</si>
  <si>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</si>
  <si>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</si>
  <si>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</si>
  <si>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</si>
  <si>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</si>
  <si>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</si>
  <si>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</si>
  <si>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</si>
  <si>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</si>
  <si>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</si>
  <si>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</si>
  <si>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</si>
  <si>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</si>
  <si>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</si>
  <si>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</si>
  <si>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</si>
  <si>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</si>
  <si>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</si>
  <si>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</si>
  <si>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</si>
  <si>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</si>
  <si>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</si>
  <si>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</si>
  <si>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</si>
  <si>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</si>
  <si>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</si>
  <si>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</si>
  <si>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</si>
  <si>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</si>
  <si>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</si>
  <si>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</si>
  <si>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</si>
  <si>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</si>
  <si>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</si>
  <si>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</si>
  <si>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</si>
  <si>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</si>
  <si>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preliminary</t>
  </si>
  <si>
    <t>pro rated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</si>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</sst>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6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9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3" fontId="35" fillId="5" borderId="29" xfId="138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3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4" fontId="12" fillId="0" borderId="37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4" fontId="12" fillId="0" borderId="38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43" fontId="47" fillId="11" borderId="0" xfId="1" applyNumberFormat="1" applyFont="1" applyFill="1" applyBorder="1"/>
    <xf numFmtId="39" fontId="48" fillId="11" borderId="0" xfId="145" applyFont="1" applyFill="1" applyAlignment="1" applyProtection="1">
      <alignment horizontal="left"/>
      <protection locked="0"/>
    </xf>
    <xf numFmtId="175" fontId="44" fillId="0" borderId="0" xfId="57" applyNumberFormat="1" applyFont="1" applyFill="1" applyAlignment="1" applyProtection="1">
      <alignment horizontal="left"/>
      <protection locked="0"/>
    </xf>
    <xf numFmtId="39" fontId="49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0" fillId="0" borderId="0" xfId="145" applyFont="1" applyProtection="1">
      <protection locked="0"/>
    </xf>
    <xf numFmtId="39" fontId="51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38" fontId="47" fillId="11" borderId="0" xfId="1" applyNumberFormat="1" applyFont="1" applyFill="1" applyBorder="1" applyProtection="1"/>
    <xf numFmtId="169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3" fontId="47" fillId="11" borderId="20" xfId="1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50" fillId="0" borderId="39" xfId="145" applyFont="1" applyBorder="1" applyProtection="1">
      <protection locked="0"/>
    </xf>
    <xf numFmtId="39" fontId="49" fillId="0" borderId="39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9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3" fontId="12" fillId="4" borderId="0" xfId="1" applyNumberFormat="1" applyFont="1" applyFill="1" applyBorder="1"/>
    <xf numFmtId="5" fontId="12" fillId="4" borderId="0" xfId="0" applyNumberFormat="1" applyFont="1" applyFill="1" applyAlignment="1">
      <alignment horizontal="center"/>
    </xf>
    <xf numFmtId="17" fontId="13" fillId="4" borderId="0" xfId="0" applyNumberFormat="1" applyFont="1" applyFill="1" applyBorder="1"/>
    <xf numFmtId="43" fontId="12" fillId="11" borderId="8" xfId="2" applyNumberFormat="1" applyFont="1" applyFill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4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47" sqref="E47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202101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0" t="s">
        <v>127</v>
      </c>
      <c r="O1" s="281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0.6764</v>
      </c>
      <c r="H8" s="228">
        <v>0.31190000000000001</v>
      </c>
      <c r="I8" s="190">
        <f>1-G8</f>
        <v>0.3236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163</v>
      </c>
      <c r="C10" s="28">
        <v>804001</v>
      </c>
      <c r="D10" s="28" t="s">
        <v>113</v>
      </c>
      <c r="E10" s="239">
        <v>2257262.19</v>
      </c>
      <c r="F10" s="230"/>
      <c r="G10" s="231"/>
      <c r="H10" s="230"/>
      <c r="I10" s="221"/>
      <c r="J10" s="32"/>
      <c r="K10" s="26" t="s">
        <v>10</v>
      </c>
      <c r="L10" s="201">
        <v>20652318</v>
      </c>
      <c r="M10" s="202">
        <v>9.8220000000000002E-2</v>
      </c>
      <c r="N10" s="172">
        <f t="shared" ref="N10:N16" si="0">L10*M10</f>
        <v>2028470.67396</v>
      </c>
      <c r="O10" s="26" t="s">
        <v>10</v>
      </c>
      <c r="P10" s="201">
        <v>10486334</v>
      </c>
      <c r="Q10" s="202">
        <v>8.9520000000000002E-2</v>
      </c>
      <c r="R10" s="172">
        <f t="shared" ref="R10:R11" si="1">P10*Q10</f>
        <v>938736.61968</v>
      </c>
    </row>
    <row r="11" spans="2:18" ht="15.6" customHeight="1" thickBot="1">
      <c r="B11" s="177" t="s">
        <v>164</v>
      </c>
      <c r="C11" s="28">
        <v>804002</v>
      </c>
      <c r="D11" s="28" t="s">
        <v>113</v>
      </c>
      <c r="E11" s="239">
        <v>35148.730000000003</v>
      </c>
      <c r="F11" s="230"/>
      <c r="G11" s="231"/>
      <c r="H11" s="230"/>
      <c r="I11" s="221"/>
      <c r="J11" s="32"/>
      <c r="K11" s="26" t="s">
        <v>42</v>
      </c>
      <c r="L11" s="201">
        <v>32556</v>
      </c>
      <c r="M11" s="202">
        <v>9.8220000000000002E-2</v>
      </c>
      <c r="N11" s="172">
        <f t="shared" si="0"/>
        <v>3197.6503200000002</v>
      </c>
      <c r="O11" s="26" t="s">
        <v>11</v>
      </c>
      <c r="P11" s="201">
        <v>3100340</v>
      </c>
      <c r="Q11" s="202">
        <v>8.9520000000000002E-2</v>
      </c>
      <c r="R11" s="172">
        <f t="shared" si="1"/>
        <v>277542.43680000002</v>
      </c>
    </row>
    <row r="12" spans="2:18" ht="15.6" customHeight="1" thickBot="1">
      <c r="B12" s="191" t="s">
        <v>117</v>
      </c>
      <c r="C12" s="7"/>
      <c r="D12" s="7"/>
      <c r="E12" s="240">
        <f>SUM(E10:E11)</f>
        <v>2292410.92</v>
      </c>
      <c r="F12" s="232"/>
      <c r="G12" s="233"/>
      <c r="H12" s="232"/>
      <c r="I12" s="222"/>
      <c r="J12" s="32"/>
      <c r="K12" s="26" t="s">
        <v>11</v>
      </c>
      <c r="L12" s="201">
        <v>7466798</v>
      </c>
      <c r="M12" s="202">
        <v>8.8349999999999998E-2</v>
      </c>
      <c r="N12" s="172">
        <f t="shared" si="0"/>
        <v>659691.60329999996</v>
      </c>
      <c r="O12" s="26" t="s">
        <v>12</v>
      </c>
      <c r="P12" s="201">
        <v>940</v>
      </c>
      <c r="Q12" s="202">
        <v>8.9520000000000002E-2</v>
      </c>
      <c r="R12" s="172">
        <f>P12*Q12</f>
        <v>84.148800000000008</v>
      </c>
    </row>
    <row r="13" spans="2:18" ht="15.6" customHeight="1" thickBot="1">
      <c r="B13" s="192" t="s">
        <v>25</v>
      </c>
      <c r="C13" s="1"/>
      <c r="D13" s="1"/>
      <c r="E13" s="241">
        <f>-E11</f>
        <v>-35148.730000000003</v>
      </c>
      <c r="F13" s="230"/>
      <c r="G13" s="231"/>
      <c r="H13" s="230"/>
      <c r="I13" s="221"/>
      <c r="J13" s="32"/>
      <c r="K13" s="26" t="s">
        <v>12</v>
      </c>
      <c r="L13" s="201">
        <v>124760</v>
      </c>
      <c r="M13" s="202">
        <v>8.8349999999999998E-2</v>
      </c>
      <c r="N13" s="172">
        <f t="shared" si="0"/>
        <v>11022.546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2257262.19</v>
      </c>
      <c r="F14" s="248">
        <f>E14*F8</f>
        <v>1553222.1129390001</v>
      </c>
      <c r="G14" s="249"/>
      <c r="H14" s="248">
        <f>E14*H8</f>
        <v>704040.07706100005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127342</v>
      </c>
      <c r="M15" s="202">
        <v>5.6399999999999999E-2</v>
      </c>
      <c r="N15" s="172">
        <f t="shared" si="0"/>
        <v>7182.0887999999995</v>
      </c>
      <c r="O15" s="25" t="s">
        <v>29</v>
      </c>
      <c r="P15" s="143">
        <f>SUM(P10:P14)</f>
        <v>13587614</v>
      </c>
      <c r="Q15" s="144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3218284</v>
      </c>
      <c r="M16" s="202">
        <v>5.4000000000000001E-4</v>
      </c>
      <c r="N16" s="172">
        <f t="shared" si="0"/>
        <v>1737.87336</v>
      </c>
      <c r="O16" s="26"/>
      <c r="P16" s="203">
        <v>13587614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11230022.02</v>
      </c>
      <c r="F17" s="254"/>
      <c r="G17" s="252"/>
      <c r="H17" s="251"/>
      <c r="I17" s="253"/>
      <c r="J17" s="32"/>
      <c r="K17" s="25" t="s">
        <v>29</v>
      </c>
      <c r="L17" s="143">
        <f>SUM(L10:L16)</f>
        <v>31622058</v>
      </c>
      <c r="M17" s="4"/>
      <c r="N17" s="23">
        <f>SUM(N10:N16)</f>
        <v>2711302.4357400001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34454.18</v>
      </c>
      <c r="F18" s="251"/>
      <c r="G18" s="252"/>
      <c r="H18" s="251"/>
      <c r="I18" s="253"/>
      <c r="J18" s="32"/>
      <c r="K18" s="16"/>
      <c r="L18" s="203">
        <v>31622058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28646.52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8503.56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-822897.68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966504.06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1713320.43</v>
      </c>
      <c r="F23" s="251"/>
      <c r="G23" s="252"/>
      <c r="H23" s="251"/>
      <c r="I23" s="253"/>
      <c r="J23" s="32"/>
      <c r="K23" s="26" t="s">
        <v>10</v>
      </c>
      <c r="L23" s="173">
        <f>+L10</f>
        <v>20652318</v>
      </c>
      <c r="M23" s="202">
        <v>0.16167000000000001</v>
      </c>
      <c r="N23" s="172">
        <f t="shared" ref="N23:N28" si="3">L23*M23</f>
        <v>3338860.2510600002</v>
      </c>
      <c r="O23" s="26" t="s">
        <v>10</v>
      </c>
      <c r="P23" s="173">
        <f>+P10</f>
        <v>10486334</v>
      </c>
      <c r="Q23" s="202">
        <v>0.16148000000000001</v>
      </c>
      <c r="R23" s="172">
        <f t="shared" ref="R23" si="4">P23*Q23</f>
        <v>1693333.21432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-366220.33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32556</v>
      </c>
      <c r="M24" s="202">
        <v>0.16167000000000001</v>
      </c>
      <c r="N24" s="172">
        <f t="shared" si="3"/>
        <v>5263.32852</v>
      </c>
      <c r="O24" s="26" t="s">
        <v>11</v>
      </c>
      <c r="P24" s="173">
        <f t="shared" ref="P24:P27" si="6">+P11</f>
        <v>3100340</v>
      </c>
      <c r="Q24" s="202">
        <v>0.16148000000000001</v>
      </c>
      <c r="R24" s="172">
        <f>P24*Q24</f>
        <v>500642.90320000006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-3734.75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7466798</v>
      </c>
      <c r="M25" s="202">
        <v>0.16167000000000001</v>
      </c>
      <c r="N25" s="172">
        <f t="shared" si="3"/>
        <v>1207157.23266</v>
      </c>
      <c r="O25" s="26" t="s">
        <v>12</v>
      </c>
      <c r="P25" s="173">
        <f t="shared" si="6"/>
        <v>940</v>
      </c>
      <c r="Q25" s="202">
        <v>0.16148000000000001</v>
      </c>
      <c r="R25" s="172">
        <f t="shared" ref="R25:R27" si="7">P25*Q25</f>
        <v>151.7912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-2822148.55</v>
      </c>
      <c r="F26" s="254"/>
      <c r="G26" s="252"/>
      <c r="H26" s="251"/>
      <c r="I26" s="253"/>
      <c r="J26" s="32"/>
      <c r="K26" s="26" t="s">
        <v>12</v>
      </c>
      <c r="L26" s="173">
        <f t="shared" si="5"/>
        <v>124760</v>
      </c>
      <c r="M26" s="202">
        <v>0.16167000000000001</v>
      </c>
      <c r="N26" s="172">
        <f t="shared" si="3"/>
        <v>20169.949200000003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266872.5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-1924306.27</v>
      </c>
      <c r="F28" s="251"/>
      <c r="G28" s="252"/>
      <c r="H28" s="251"/>
      <c r="I28" s="253"/>
      <c r="J28" s="32"/>
      <c r="K28" s="26" t="s">
        <v>14</v>
      </c>
      <c r="L28" s="173">
        <f t="shared" si="5"/>
        <v>127342</v>
      </c>
      <c r="M28" s="202">
        <v>0.16167000000000001</v>
      </c>
      <c r="N28" s="172">
        <f t="shared" si="3"/>
        <v>20587.381140000001</v>
      </c>
      <c r="O28" s="25" t="s">
        <v>31</v>
      </c>
      <c r="P28" s="143">
        <f>SUM(P23:P27)</f>
        <v>13587614</v>
      </c>
      <c r="Q28" s="144"/>
      <c r="R28" s="23">
        <f>SUM(R23:R27)</f>
        <v>2194127.9087199997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28403774</v>
      </c>
      <c r="M29" s="144"/>
      <c r="N29" s="151">
        <f>SUM(N23:N28)</f>
        <v>4592038.1425799998</v>
      </c>
      <c r="O29" s="25"/>
      <c r="P29" s="203">
        <v>13587614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28403774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35148.730000000003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7969164.4200000018</v>
      </c>
      <c r="F32" s="258"/>
      <c r="G32" s="231">
        <f>E32*G8</f>
        <v>5390342.8136880016</v>
      </c>
      <c r="H32" s="140"/>
      <c r="I32" s="221">
        <f>E32*I8</f>
        <v>2578821.6063120007</v>
      </c>
      <c r="J32" s="32"/>
    </row>
    <row r="33" spans="1:18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8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39">
        <v>-38528.42</v>
      </c>
      <c r="F35" s="251"/>
      <c r="G35" s="231">
        <f>E35</f>
        <v>-38528.42</v>
      </c>
      <c r="H35" s="140"/>
      <c r="I35" s="221"/>
      <c r="J35" s="32"/>
      <c r="K35" s="15" t="s">
        <v>128</v>
      </c>
      <c r="L35" s="141">
        <f>$F$39</f>
        <v>1553222.1129390001</v>
      </c>
      <c r="M35" s="141">
        <f>G39</f>
        <v>5351814.3936880017</v>
      </c>
      <c r="N35" s="141">
        <f>$H$39</f>
        <v>704040.07706100005</v>
      </c>
      <c r="O35" s="141">
        <f>I39</f>
        <v>2560779.9063120005</v>
      </c>
      <c r="P35" s="215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39">
        <v>-18041.7</v>
      </c>
      <c r="F36" s="251"/>
      <c r="G36" s="231"/>
      <c r="H36" s="140"/>
      <c r="I36" s="221">
        <f>E36</f>
        <v>-18041.7</v>
      </c>
      <c r="J36" s="32"/>
      <c r="K36" s="15" t="s">
        <v>131</v>
      </c>
      <c r="L36" s="204">
        <f>-$N$17</f>
        <v>-2711302.4357400001</v>
      </c>
      <c r="M36" s="204">
        <f>-N29</f>
        <v>-4592038.1425799998</v>
      </c>
      <c r="N36" s="204">
        <f>-$R$15</f>
        <v>-1216363.2052800001</v>
      </c>
      <c r="O36" s="204">
        <f>-R28</f>
        <v>-2194127.9087199997</v>
      </c>
      <c r="P36" s="215">
        <f>SUM(L36:O36)+N17+N29+R15+R28</f>
        <v>0</v>
      </c>
      <c r="Q36" s="1"/>
    </row>
    <row r="37" spans="1:18" ht="15.6" customHeight="1" thickBot="1">
      <c r="B37" s="191" t="s">
        <v>134</v>
      </c>
      <c r="C37" s="28"/>
      <c r="D37" s="3"/>
      <c r="E37" s="240">
        <f>SUM(E32:E36)</f>
        <v>7912594.3000000017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-1158080.322801</v>
      </c>
      <c r="M37" s="146">
        <f>SUM(M35:M36)</f>
        <v>759776.25110800192</v>
      </c>
      <c r="N37" s="146">
        <f t="shared" si="8"/>
        <v>-512323.12821900006</v>
      </c>
      <c r="O37" s="146">
        <f t="shared" si="8"/>
        <v>366651.99759200076</v>
      </c>
      <c r="P37" s="207"/>
      <c r="Q37" s="1"/>
    </row>
    <row r="38" spans="1:18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8" ht="15.6" customHeight="1" thickBot="1">
      <c r="B39" s="198" t="s">
        <v>125</v>
      </c>
      <c r="C39" s="199"/>
      <c r="D39" s="199"/>
      <c r="E39" s="240">
        <f>E37+E14</f>
        <v>10169856.490000002</v>
      </c>
      <c r="F39" s="246">
        <f>SUM(F14:F37)</f>
        <v>1553222.1129390001</v>
      </c>
      <c r="G39" s="247">
        <f t="shared" ref="G39:I39" si="9">SUM(G14:G37)</f>
        <v>5351814.3936880017</v>
      </c>
      <c r="H39" s="246">
        <f t="shared" si="9"/>
        <v>704040.07706100005</v>
      </c>
      <c r="I39" s="200">
        <f t="shared" si="9"/>
        <v>2560779.9063120005</v>
      </c>
      <c r="J39" s="32"/>
      <c r="K39" s="210"/>
      <c r="L39" s="213" t="s">
        <v>36</v>
      </c>
      <c r="M39" s="211">
        <f>SUM(L37:M37)</f>
        <v>-398304.07169299806</v>
      </c>
      <c r="N39" s="214" t="s">
        <v>37</v>
      </c>
      <c r="O39" s="211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8" ht="15.6" customHeight="1">
      <c r="A41" s="32"/>
      <c r="B41" s="129"/>
      <c r="C41" s="10"/>
      <c r="D41" s="11" t="s">
        <v>84</v>
      </c>
      <c r="E41" s="181">
        <v>10169856.49</v>
      </c>
      <c r="F41" s="130"/>
      <c r="G41" s="130"/>
      <c r="H41" s="130"/>
      <c r="I41" s="130"/>
      <c r="J41" s="32"/>
      <c r="P41" s="2"/>
    </row>
    <row r="42" spans="1:18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8" ht="15.6" customHeight="1">
      <c r="B43" s="185"/>
      <c r="C43" s="185"/>
      <c r="E43" s="160"/>
      <c r="F43" s="220"/>
      <c r="G43" s="220"/>
      <c r="H43" s="220"/>
      <c r="I43" s="220"/>
    </row>
    <row r="44" spans="1:18" ht="15.6" customHeight="1">
      <c r="B44" s="185"/>
      <c r="C44" s="185"/>
      <c r="E44" s="160"/>
      <c r="F44" s="220"/>
      <c r="G44" s="220"/>
      <c r="H44" s="220"/>
      <c r="I44" s="220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246" priority="29" operator="equal">
      <formula>"ERROR"</formula>
    </cfRule>
  </conditionalFormatting>
  <conditionalFormatting sqref="D43:D44">
    <cfRule type="cellIs" dxfId="245" priority="28" operator="equal">
      <formula>"ERROR"</formula>
    </cfRule>
  </conditionalFormatting>
  <conditionalFormatting sqref="P31">
    <cfRule type="cellIs" dxfId="244" priority="25" operator="notEqual">
      <formula>0</formula>
    </cfRule>
  </conditionalFormatting>
  <conditionalFormatting sqref="L19">
    <cfRule type="cellIs" dxfId="243" priority="23" stopIfTrue="1" operator="equal">
      <formula>0</formula>
    </cfRule>
    <cfRule type="cellIs" dxfId="242" priority="24" stopIfTrue="1" operator="notEqual">
      <formula>0</formula>
    </cfRule>
  </conditionalFormatting>
  <conditionalFormatting sqref="L19">
    <cfRule type="cellIs" dxfId="241" priority="21" stopIfTrue="1" operator="equal">
      <formula>0</formula>
    </cfRule>
    <cfRule type="cellIs" dxfId="240" priority="22" stopIfTrue="1" operator="notEqual">
      <formula>0</formula>
    </cfRule>
  </conditionalFormatting>
  <conditionalFormatting sqref="L31">
    <cfRule type="cellIs" dxfId="239" priority="19" stopIfTrue="1" operator="equal">
      <formula>0</formula>
    </cfRule>
    <cfRule type="cellIs" dxfId="238" priority="20" stopIfTrue="1" operator="notEqual">
      <formula>0</formula>
    </cfRule>
  </conditionalFormatting>
  <conditionalFormatting sqref="L31">
    <cfRule type="cellIs" dxfId="237" priority="17" stopIfTrue="1" operator="equal">
      <formula>0</formula>
    </cfRule>
    <cfRule type="cellIs" dxfId="236" priority="18" stopIfTrue="1" operator="notEqual">
      <formula>0</formula>
    </cfRule>
  </conditionalFormatting>
  <conditionalFormatting sqref="P17">
    <cfRule type="cellIs" dxfId="235" priority="15" stopIfTrue="1" operator="equal">
      <formula>0</formula>
    </cfRule>
    <cfRule type="cellIs" dxfId="234" priority="16" stopIfTrue="1" operator="notEqual">
      <formula>0</formula>
    </cfRule>
  </conditionalFormatting>
  <conditionalFormatting sqref="P17">
    <cfRule type="cellIs" dxfId="233" priority="13" stopIfTrue="1" operator="equal">
      <formula>0</formula>
    </cfRule>
    <cfRule type="cellIs" dxfId="232" priority="14" stopIfTrue="1" operator="notEqual">
      <formula>0</formula>
    </cfRule>
  </conditionalFormatting>
  <conditionalFormatting sqref="P30">
    <cfRule type="cellIs" dxfId="231" priority="11" stopIfTrue="1" operator="equal">
      <formula>0</formula>
    </cfRule>
    <cfRule type="cellIs" dxfId="230" priority="12" stopIfTrue="1" operator="notEqual">
      <formula>0</formula>
    </cfRule>
  </conditionalFormatting>
  <conditionalFormatting sqref="P30">
    <cfRule type="cellIs" dxfId="229" priority="9" stopIfTrue="1" operator="equal">
      <formula>0</formula>
    </cfRule>
    <cfRule type="cellIs" dxfId="228" priority="10" stopIfTrue="1" operator="notEqual">
      <formula>0</formula>
    </cfRule>
  </conditionalFormatting>
  <conditionalFormatting sqref="P35:P36">
    <cfRule type="cellIs" dxfId="227" priority="7" stopIfTrue="1" operator="equal">
      <formula>0</formula>
    </cfRule>
    <cfRule type="cellIs" dxfId="226" priority="8" stopIfTrue="1" operator="notEqual">
      <formula>0</formula>
    </cfRule>
  </conditionalFormatting>
  <conditionalFormatting sqref="P35:P36">
    <cfRule type="cellIs" dxfId="225" priority="5" stopIfTrue="1" operator="equal">
      <formula>0</formula>
    </cfRule>
    <cfRule type="cellIs" dxfId="224" priority="6" stopIfTrue="1" operator="notEqual">
      <formula>0</formula>
    </cfRule>
  </conditionalFormatting>
  <conditionalFormatting sqref="E42">
    <cfRule type="cellIs" dxfId="223" priority="3" stopIfTrue="1" operator="equal">
      <formula>0</formula>
    </cfRule>
    <cfRule type="cellIs" dxfId="222" priority="4" stopIfTrue="1" operator="notEqual">
      <formula>0</formula>
    </cfRule>
  </conditionalFormatting>
  <conditionalFormatting sqref="E42">
    <cfRule type="cellIs" dxfId="221" priority="1" stopIfTrue="1" operator="equal">
      <formula>0</formula>
    </cfRule>
    <cfRule type="cellIs" dxfId="220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M19" sqref="M19"/>
      <selection pane="bottomLeft" activeCell="F16" sqref="F16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82">
        <v>0</v>
      </c>
      <c r="E7" s="83">
        <v>-805474.47813399998</v>
      </c>
      <c r="F7" s="82">
        <v>465507.08934299834</v>
      </c>
      <c r="G7" s="82">
        <v>-1019075.8062920009</v>
      </c>
      <c r="H7" s="158">
        <v>-4473.34</v>
      </c>
      <c r="I7" s="83">
        <v>-1363516.5350830026</v>
      </c>
      <c r="J7" s="60"/>
      <c r="K7" s="84">
        <v>-1363516.54</v>
      </c>
      <c r="L7" s="85"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62">
        <v>0</v>
      </c>
      <c r="E8" s="83">
        <f>I7+D8</f>
        <v>-1363516.5350830026</v>
      </c>
      <c r="F8" s="82">
        <v>357241.75332700042</v>
      </c>
      <c r="G8" s="157">
        <v>-930160.93573400006</v>
      </c>
      <c r="H8" s="59">
        <f t="shared" ref="H8:H18" si="0">ROUND(((E8)*(B8/12))+((SUM(F8:G8)/2)*(B8/12)),2)</f>
        <v>-6819.9</v>
      </c>
      <c r="I8" s="104">
        <f t="shared" ref="I8:I12" si="1">SUM(E8:H8)</f>
        <v>-1943255.6174900022</v>
      </c>
      <c r="J8" s="60"/>
      <c r="K8" s="84">
        <v>-1943255.62</v>
      </c>
      <c r="L8" s="85">
        <f t="shared" ref="L8:L12" si="2">K8-I8</f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62">
        <v>0</v>
      </c>
      <c r="E9" s="83">
        <f>I8+D9</f>
        <v>-1943255.6174900022</v>
      </c>
      <c r="F9" s="82">
        <v>-16044.36190700205</v>
      </c>
      <c r="G9" s="157">
        <v>-702834.43791600014</v>
      </c>
      <c r="H9" s="59">
        <f>ROUND(((E9)*(B9/12))+((SUM(F9:G9)/2)*(B9/12)),2)</f>
        <v>-9517.81</v>
      </c>
      <c r="I9" s="104">
        <f t="shared" si="1"/>
        <v>-2671652.2273130044</v>
      </c>
      <c r="J9" s="60"/>
      <c r="K9" s="84">
        <v>-2671652.23</v>
      </c>
      <c r="L9" s="85">
        <f t="shared" si="2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62">
        <v>0</v>
      </c>
      <c r="E10" s="83">
        <f t="shared" ref="E10:E18" si="4">I9+D10</f>
        <v>-2671652.2273130044</v>
      </c>
      <c r="F10" s="82">
        <v>-286572.46695799823</v>
      </c>
      <c r="G10" s="157">
        <v>354965.17556600017</v>
      </c>
      <c r="H10" s="59">
        <f t="shared" si="0"/>
        <v>-10439.93</v>
      </c>
      <c r="I10" s="104">
        <f t="shared" si="1"/>
        <v>-2613699.4487050031</v>
      </c>
      <c r="J10" s="60"/>
      <c r="K10" s="84">
        <v>-2613699.4500000002</v>
      </c>
      <c r="L10" s="85">
        <f t="shared" si="2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62">
        <v>0</v>
      </c>
      <c r="E11" s="83">
        <f t="shared" si="4"/>
        <v>-2613699.4487050031</v>
      </c>
      <c r="F11" s="82">
        <v>-349533.46451799979</v>
      </c>
      <c r="G11" s="157">
        <v>790807.96102399973</v>
      </c>
      <c r="H11" s="59">
        <f t="shared" si="0"/>
        <v>-9472.5400000000009</v>
      </c>
      <c r="I11" s="104">
        <f t="shared" si="1"/>
        <v>-2181897.4921990032</v>
      </c>
      <c r="J11" s="60"/>
      <c r="K11" s="84">
        <v>-2181897.4900000002</v>
      </c>
      <c r="L11" s="85">
        <f t="shared" si="2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62">
        <v>0</v>
      </c>
      <c r="E12" s="83">
        <f t="shared" si="4"/>
        <v>-2181897.4921990032</v>
      </c>
      <c r="F12" s="82">
        <v>-221914.22001199971</v>
      </c>
      <c r="G12" s="157">
        <v>995442.01104200003</v>
      </c>
      <c r="H12" s="59">
        <f t="shared" si="0"/>
        <v>-7105.74</v>
      </c>
      <c r="I12" s="104">
        <f t="shared" si="1"/>
        <v>-1415475.441169003</v>
      </c>
      <c r="J12" s="60"/>
      <c r="K12" s="84">
        <v>-1415475.44</v>
      </c>
      <c r="L12" s="85">
        <f t="shared" si="2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62">
        <v>0</v>
      </c>
      <c r="E13" s="83">
        <f t="shared" si="4"/>
        <v>-1415475.441169003</v>
      </c>
      <c r="F13" s="82">
        <v>-286329.88624400063</v>
      </c>
      <c r="G13" s="157">
        <v>1119731.3959779998</v>
      </c>
      <c r="H13" s="59">
        <f t="shared" si="0"/>
        <v>-2854.83</v>
      </c>
      <c r="I13" s="104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62">
        <v>0</v>
      </c>
      <c r="E14" s="83">
        <f t="shared" si="4"/>
        <v>-584928.76143500383</v>
      </c>
      <c r="F14" s="82">
        <v>-475108.5041119997</v>
      </c>
      <c r="G14" s="157">
        <v>1175024.5782880005</v>
      </c>
      <c r="H14" s="59">
        <f t="shared" si="0"/>
        <v>-671.62</v>
      </c>
      <c r="I14" s="104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62">
        <v>0</v>
      </c>
      <c r="E15" s="83">
        <f t="shared" si="4"/>
        <v>114315.69274099695</v>
      </c>
      <c r="F15" s="82">
        <v>-412609.49763799895</v>
      </c>
      <c r="G15" s="157">
        <v>1016420.835708</v>
      </c>
      <c r="H15" s="59">
        <f t="shared" si="0"/>
        <v>1189.7</v>
      </c>
      <c r="I15" s="104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62">
        <v>0</v>
      </c>
      <c r="E16" s="83">
        <f t="shared" si="4"/>
        <v>719316.73081099801</v>
      </c>
      <c r="F16" s="82">
        <v>-164901.39884799952</v>
      </c>
      <c r="G16" s="157">
        <v>260754.5799239995</v>
      </c>
      <c r="H16" s="59">
        <f t="shared" si="0"/>
        <v>2077.9499999999998</v>
      </c>
      <c r="I16" s="104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7">
        <v>-636016.65180400014</v>
      </c>
      <c r="H17" s="59">
        <f t="shared" si="0"/>
        <v>-489.51</v>
      </c>
      <c r="I17" s="104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64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7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82">
        <v>0</v>
      </c>
      <c r="E19" s="83">
        <f t="shared" ref="E19:E30" si="13"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8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62">
        <v>0</v>
      </c>
      <c r="E20" s="83">
        <f t="shared" si="13"/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4">ROUND(((E20)*(B20/12))+((SUM(F20:G20)/2)*(B20/12)),2)</f>
        <v>-78.44</v>
      </c>
      <c r="I20" s="104">
        <f t="shared" ref="I20:I24" si="15">SUM(E20:H20)</f>
        <v>941620.11643000017</v>
      </c>
      <c r="J20" s="60"/>
      <c r="K20" s="84">
        <v>941663.63</v>
      </c>
      <c r="L20" s="85">
        <f t="shared" ref="L20" si="16">K20-I20</f>
        <v>43.513569999835454</v>
      </c>
      <c r="M20" s="74"/>
    </row>
    <row r="21" spans="1:23" s="41" customFormat="1" ht="15.75">
      <c r="A21" s="76">
        <f t="shared" ref="A21:A30" si="17">A20+1</f>
        <v>202103</v>
      </c>
      <c r="B21" s="81">
        <v>3.2500000000000001E-2</v>
      </c>
      <c r="C21" s="58"/>
      <c r="D21" s="62">
        <v>0</v>
      </c>
      <c r="E21" s="83">
        <f t="shared" si="13"/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4">
        <f t="shared" si="15"/>
        <v>-62399.730750000104</v>
      </c>
      <c r="J21" s="60"/>
      <c r="K21" s="84">
        <v>-62159.9</v>
      </c>
      <c r="L21" s="85">
        <f t="shared" ref="L21" si="18">K21-I21</f>
        <v>239.83075000010285</v>
      </c>
      <c r="M21" s="74"/>
    </row>
    <row r="22" spans="1:23" s="41" customFormat="1" ht="15.75">
      <c r="A22" s="76">
        <f t="shared" si="17"/>
        <v>202104</v>
      </c>
      <c r="B22" s="81">
        <v>3.2500000000000001E-2</v>
      </c>
      <c r="C22" s="58"/>
      <c r="D22" s="62">
        <v>0</v>
      </c>
      <c r="E22" s="83">
        <f t="shared" si="13"/>
        <v>-62399.730750000104</v>
      </c>
      <c r="F22" s="82">
        <f>April!M$37</f>
        <v>168916.46053000027</v>
      </c>
      <c r="G22" s="82">
        <f>April!L$37</f>
        <v>280833.7815040003</v>
      </c>
      <c r="H22" s="59">
        <f t="shared" ref="H22:H30" si="19">ROUND(((E22)*(B22/12))+((SUM(F22:G22)/2)*(B22/12)),2)</f>
        <v>440.04</v>
      </c>
      <c r="I22" s="104">
        <f t="shared" si="15"/>
        <v>387790.55128400045</v>
      </c>
      <c r="J22" s="60"/>
      <c r="K22" s="84">
        <v>387790.55</v>
      </c>
      <c r="L22" s="85">
        <f t="shared" ref="L22" si="20">K22-I22</f>
        <v>-1.284000463783741E-3</v>
      </c>
      <c r="M22" s="74"/>
      <c r="N22" s="265"/>
      <c r="O22" s="265"/>
    </row>
    <row r="23" spans="1:23" s="41" customFormat="1" ht="15.75">
      <c r="A23" s="76">
        <f t="shared" si="17"/>
        <v>202105</v>
      </c>
      <c r="B23" s="81">
        <v>3.2500000000000001E-2</v>
      </c>
      <c r="C23" s="58"/>
      <c r="D23" s="62">
        <v>0</v>
      </c>
      <c r="E23" s="83">
        <f t="shared" si="13"/>
        <v>387790.55128400045</v>
      </c>
      <c r="F23" s="82">
        <f>May!M$37</f>
        <v>167165.72298000008</v>
      </c>
      <c r="G23" s="82">
        <f>May!L$37</f>
        <v>846112.27455000009</v>
      </c>
      <c r="H23" s="59">
        <f t="shared" si="19"/>
        <v>2422.41</v>
      </c>
      <c r="I23" s="104">
        <f t="shared" si="15"/>
        <v>1403490.9588140005</v>
      </c>
      <c r="J23" s="60"/>
      <c r="K23" s="84">
        <v>1403490.96</v>
      </c>
      <c r="L23" s="85">
        <f t="shared" ref="L23" si="21">K23-I23</f>
        <v>1.1859994847327471E-3</v>
      </c>
      <c r="M23" s="74"/>
      <c r="N23" s="265"/>
      <c r="O23" s="265"/>
    </row>
    <row r="24" spans="1:23" s="41" customFormat="1" ht="15.75">
      <c r="A24" s="76">
        <f t="shared" si="17"/>
        <v>202106</v>
      </c>
      <c r="B24" s="81">
        <v>3.2500000000000001E-2</v>
      </c>
      <c r="C24" s="58"/>
      <c r="D24" s="62">
        <v>0</v>
      </c>
      <c r="E24" s="83">
        <f t="shared" si="13"/>
        <v>1403490.9588140005</v>
      </c>
      <c r="F24" s="82">
        <f>Jun!M$37</f>
        <v>-54575.778331000824</v>
      </c>
      <c r="G24" s="82">
        <f>Jun!L$37</f>
        <v>1064454.1866520001</v>
      </c>
      <c r="H24" s="59">
        <f t="shared" si="19"/>
        <v>5168.67</v>
      </c>
      <c r="I24" s="104">
        <f t="shared" si="15"/>
        <v>2418538.0371349994</v>
      </c>
      <c r="J24" s="60"/>
      <c r="K24" s="84">
        <v>2418538.04</v>
      </c>
      <c r="L24" s="85">
        <f t="shared" ref="L24" si="22">K24-I24</f>
        <v>2.8650006279349327E-3</v>
      </c>
      <c r="M24" s="74"/>
      <c r="N24" s="265"/>
      <c r="O24" s="265"/>
    </row>
    <row r="25" spans="1:23" s="41" customFormat="1" ht="15.75">
      <c r="A25" s="76">
        <f t="shared" si="17"/>
        <v>202107</v>
      </c>
      <c r="B25" s="81">
        <v>3.2500000000000001E-2</v>
      </c>
      <c r="C25" s="58"/>
      <c r="D25" s="62">
        <v>0</v>
      </c>
      <c r="E25" s="83">
        <f t="shared" si="13"/>
        <v>2418538.0371349994</v>
      </c>
      <c r="F25" s="82">
        <f>Jul!M$37</f>
        <v>201380.80450599967</v>
      </c>
      <c r="G25" s="82">
        <f>Jul!L$37</f>
        <v>1186640.7478760001</v>
      </c>
      <c r="H25" s="59">
        <f t="shared" si="19"/>
        <v>8429.82</v>
      </c>
      <c r="I25" s="104">
        <f>SUM(E25:H25)</f>
        <v>3814989.409516999</v>
      </c>
      <c r="J25" s="60"/>
      <c r="K25" s="84">
        <v>3814989.41</v>
      </c>
      <c r="L25" s="85">
        <f t="shared" ref="L25" si="23">K25-I25</f>
        <v>4.8300111666321754E-4</v>
      </c>
      <c r="M25" s="74"/>
      <c r="N25" s="265"/>
    </row>
    <row r="26" spans="1:23" s="41" customFormat="1" ht="15.75">
      <c r="A26" s="76">
        <f t="shared" si="17"/>
        <v>202108</v>
      </c>
      <c r="B26" s="81">
        <v>3.2500000000000001E-2</v>
      </c>
      <c r="C26" s="58"/>
      <c r="D26" s="62">
        <v>0</v>
      </c>
      <c r="E26" s="83">
        <f t="shared" si="13"/>
        <v>3814989.409516999</v>
      </c>
      <c r="F26" s="82">
        <f>Aug!M$37</f>
        <v>-686888.80716499977</v>
      </c>
      <c r="G26" s="82">
        <f>Aug!L$37</f>
        <v>1088873.9676080004</v>
      </c>
      <c r="H26" s="59">
        <f t="shared" si="19"/>
        <v>10876.62</v>
      </c>
      <c r="I26" s="104">
        <f>SUM(E26:H26)</f>
        <v>4227851.1899600001</v>
      </c>
      <c r="J26" s="60"/>
      <c r="K26" s="84">
        <v>3814989.41</v>
      </c>
      <c r="L26" s="85">
        <f t="shared" ref="L26" si="24">K26-I26</f>
        <v>-412861.77995999996</v>
      </c>
      <c r="M26" s="74"/>
    </row>
    <row r="27" spans="1:23" s="41" customFormat="1" ht="15.75">
      <c r="A27" s="76">
        <f t="shared" si="17"/>
        <v>202109</v>
      </c>
      <c r="B27" s="61"/>
      <c r="C27" s="58"/>
      <c r="D27" s="62">
        <v>0</v>
      </c>
      <c r="E27" s="83">
        <f t="shared" si="13"/>
        <v>4227851.1899600001</v>
      </c>
      <c r="F27" s="82"/>
      <c r="G27" s="157"/>
      <c r="H27" s="59">
        <f t="shared" si="19"/>
        <v>0</v>
      </c>
      <c r="I27" s="104">
        <f t="shared" ref="I27:I28" si="25">SUM(E27:H27)</f>
        <v>4227851.1899600001</v>
      </c>
      <c r="J27" s="60"/>
      <c r="K27" s="84"/>
      <c r="L27" s="85"/>
      <c r="M27" s="74"/>
    </row>
    <row r="28" spans="1:23" s="41" customFormat="1" ht="15.75">
      <c r="A28" s="76">
        <f t="shared" si="17"/>
        <v>202110</v>
      </c>
      <c r="B28" s="61"/>
      <c r="C28" s="58"/>
      <c r="D28" s="62">
        <v>0</v>
      </c>
      <c r="E28" s="83">
        <f t="shared" si="13"/>
        <v>4227851.1899600001</v>
      </c>
      <c r="F28" s="82"/>
      <c r="G28" s="157"/>
      <c r="H28" s="59">
        <f t="shared" si="19"/>
        <v>0</v>
      </c>
      <c r="I28" s="104">
        <f t="shared" si="25"/>
        <v>4227851.1899600001</v>
      </c>
      <c r="J28" s="60"/>
      <c r="K28" s="84"/>
      <c r="L28" s="85"/>
      <c r="M28" s="74"/>
    </row>
    <row r="29" spans="1:23" s="41" customFormat="1" ht="15.75">
      <c r="A29" s="76">
        <f t="shared" si="17"/>
        <v>202111</v>
      </c>
      <c r="B29" s="61"/>
      <c r="C29" s="58"/>
      <c r="D29" s="62"/>
      <c r="E29" s="83">
        <f t="shared" si="13"/>
        <v>4227851.1899600001</v>
      </c>
      <c r="F29" s="82"/>
      <c r="G29" s="157"/>
      <c r="H29" s="59">
        <f t="shared" si="19"/>
        <v>0</v>
      </c>
      <c r="I29" s="104">
        <f>SUM(E29:H29)</f>
        <v>4227851.1899600001</v>
      </c>
      <c r="J29" s="60"/>
      <c r="K29" s="84"/>
      <c r="L29" s="85"/>
      <c r="M29" s="47"/>
    </row>
    <row r="30" spans="1:23" s="41" customFormat="1" ht="16.5" thickBot="1">
      <c r="A30" s="77">
        <f t="shared" si="17"/>
        <v>202112</v>
      </c>
      <c r="B30" s="63"/>
      <c r="C30" s="78"/>
      <c r="D30" s="64">
        <v>0</v>
      </c>
      <c r="E30" s="65">
        <f t="shared" si="13"/>
        <v>4227851.1899600001</v>
      </c>
      <c r="F30" s="64"/>
      <c r="G30" s="64"/>
      <c r="H30" s="65">
        <f t="shared" si="19"/>
        <v>0</v>
      </c>
      <c r="I30" s="117">
        <f t="shared" ref="I30" si="26">SUM(E30:H30)</f>
        <v>4227851.1899600001</v>
      </c>
      <c r="J30" s="79"/>
      <c r="K30" s="84"/>
      <c r="L30" s="85"/>
      <c r="M30" s="74"/>
    </row>
    <row r="31" spans="1:23" ht="15.75">
      <c r="A31" s="56"/>
      <c r="B31" s="56"/>
      <c r="C31" s="57"/>
      <c r="D31" s="68">
        <f>SUMIF($A$7:$A$30,$D34,D$7:D$30)</f>
        <v>0</v>
      </c>
      <c r="E31" s="56"/>
      <c r="F31" s="68">
        <f>SUMIF($A$7:$A$30,$D34,F$7:F$30)</f>
        <v>-686888.80716499977</v>
      </c>
      <c r="G31" s="68">
        <f>SUMIF($A$7:$A$30,$D34,G$7:G$30)</f>
        <v>1088873.9676080004</v>
      </c>
      <c r="H31" s="68">
        <f>SUMIF($A$7:$A$30,$D34,H$7:H$30)</f>
        <v>10876.62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2" customFormat="1">
      <c r="A32" s="72"/>
      <c r="B32" s="72"/>
      <c r="C32" s="119"/>
      <c r="D32" s="120" t="s">
        <v>67</v>
      </c>
      <c r="E32" s="72"/>
      <c r="F32" s="120" t="s">
        <v>60</v>
      </c>
      <c r="G32" s="120" t="s">
        <v>61</v>
      </c>
      <c r="H32" s="120" t="s">
        <v>62</v>
      </c>
      <c r="I32" s="72"/>
      <c r="J32" s="119"/>
      <c r="K32" s="72"/>
      <c r="L32" s="72"/>
      <c r="M32" s="121"/>
      <c r="Q32" s="123"/>
      <c r="R32" s="123"/>
      <c r="S32" s="123"/>
      <c r="T32" s="123"/>
      <c r="U32" s="123"/>
      <c r="V32" s="123"/>
      <c r="W32" s="123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202108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10876.62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412861.78044300061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401985.16044300061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2"/>
    </row>
    <row r="43" spans="1:23" ht="15.75">
      <c r="D43" s="52" t="s">
        <v>66</v>
      </c>
      <c r="E43" s="87"/>
      <c r="F43" s="88"/>
      <c r="G43" s="124"/>
    </row>
    <row r="44" spans="1:23">
      <c r="D44" s="53" t="s">
        <v>56</v>
      </c>
      <c r="E44" s="55" t="str">
        <f>IF($D$31&gt;0,ABS($D$31),"")</f>
        <v/>
      </c>
      <c r="F44" s="90"/>
      <c r="G44" s="72" t="s">
        <v>67</v>
      </c>
    </row>
    <row r="45" spans="1:23">
      <c r="D45" s="89" t="s">
        <v>68</v>
      </c>
      <c r="E45" s="90">
        <f>F44</f>
        <v>0</v>
      </c>
      <c r="F45" s="55" t="str">
        <f>E44</f>
        <v/>
      </c>
      <c r="G45" s="91"/>
    </row>
  </sheetData>
  <printOptions horizontalCentered="1"/>
  <pageMargins left="0.25" right="0.25" top="0.5" bottom="0.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M19" sqref="M19"/>
      <selection pane="bottomLeft" activeCell="B7" sqref="B7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2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4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4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4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4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3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7" t="s">
        <v>40</v>
      </c>
      <c r="F6" s="98" t="s">
        <v>77</v>
      </c>
      <c r="G6" s="99" t="s">
        <v>70</v>
      </c>
      <c r="H6" s="100" t="s">
        <v>48</v>
      </c>
      <c r="I6" s="98" t="s">
        <v>78</v>
      </c>
      <c r="J6" s="99" t="s">
        <v>70</v>
      </c>
      <c r="K6" s="100" t="s">
        <v>48</v>
      </c>
      <c r="L6" s="98" t="s">
        <v>79</v>
      </c>
      <c r="M6" s="99" t="s">
        <v>70</v>
      </c>
      <c r="N6" s="100" t="s">
        <v>48</v>
      </c>
      <c r="O6" s="110" t="s">
        <v>3</v>
      </c>
      <c r="P6" s="43" t="s">
        <v>15</v>
      </c>
      <c r="Q6" s="111"/>
      <c r="R6" s="45" t="s">
        <v>44</v>
      </c>
      <c r="S6" s="45" t="s">
        <v>45</v>
      </c>
    </row>
    <row r="7" spans="1:21">
      <c r="A7" s="147" t="s">
        <v>85</v>
      </c>
      <c r="B7" s="95">
        <v>4.9599999999999998E-2</v>
      </c>
      <c r="C7" s="83">
        <v>0</v>
      </c>
      <c r="D7" s="83">
        <v>0</v>
      </c>
      <c r="E7" s="97">
        <v>985404.04219200055</v>
      </c>
      <c r="F7" s="105">
        <v>19902225</v>
      </c>
      <c r="G7" s="96">
        <v>-4.0899999999999999E-3</v>
      </c>
      <c r="H7" s="109">
        <v>-81400.100250000003</v>
      </c>
      <c r="I7" s="106">
        <v>7441465</v>
      </c>
      <c r="J7" s="96">
        <v>-1.035E-2</v>
      </c>
      <c r="K7" s="109">
        <v>-77019.162750000003</v>
      </c>
      <c r="L7" s="106">
        <v>176036</v>
      </c>
      <c r="M7" s="96">
        <v>-1.035E-2</v>
      </c>
      <c r="N7" s="109">
        <v>-1821.9726000000001</v>
      </c>
      <c r="O7" s="103">
        <v>3741.84</v>
      </c>
      <c r="P7" s="83">
        <v>828904.6465920005</v>
      </c>
      <c r="Q7" s="47"/>
      <c r="R7" s="84">
        <v>823211.28</v>
      </c>
      <c r="S7" s="85">
        <v>-5693.3665920004714</v>
      </c>
    </row>
    <row r="8" spans="1:21">
      <c r="A8" s="147" t="s">
        <v>86</v>
      </c>
      <c r="B8" s="95">
        <f>'191010 WA DEF'!B8</f>
        <v>4.9599999999999998E-2</v>
      </c>
      <c r="C8" s="59">
        <v>0</v>
      </c>
      <c r="D8" s="59">
        <v>0</v>
      </c>
      <c r="E8" s="108">
        <f t="shared" ref="E8:E18" si="0">P7+C8+D8</f>
        <v>828904.6465920005</v>
      </c>
      <c r="F8" s="105">
        <f>18132989+23546</f>
        <v>18156535</v>
      </c>
      <c r="G8" s="96">
        <v>-4.0899999999999999E-3</v>
      </c>
      <c r="H8" s="109">
        <f t="shared" ref="H8:H16" si="1">F8*G8</f>
        <v>-74260.228149999995</v>
      </c>
      <c r="I8" s="106">
        <v>7239397</v>
      </c>
      <c r="J8" s="96">
        <v>-1.035E-2</v>
      </c>
      <c r="K8" s="109">
        <f t="shared" ref="K8:K16" si="2">I8*J8</f>
        <v>-74927.758950000003</v>
      </c>
      <c r="L8" s="106">
        <v>155563</v>
      </c>
      <c r="M8" s="96">
        <v>-1.035E-2</v>
      </c>
      <c r="N8" s="109">
        <f t="shared" ref="N8:N16" si="3">L8*M8</f>
        <v>-1610.0770499999999</v>
      </c>
      <c r="O8" s="104">
        <f t="shared" ref="O8:O18" si="4">ROUND(((E8*(B8/12))+(H8+K8+N8)/2*(B8/12)),2)</f>
        <v>3114.49</v>
      </c>
      <c r="P8" s="59">
        <f t="shared" ref="P8:P18" si="5">E8+H8+K8+N8+O8</f>
        <v>681221.0724420005</v>
      </c>
      <c r="Q8" s="47"/>
      <c r="R8" s="84">
        <v>675504.18</v>
      </c>
      <c r="S8" s="85">
        <f t="shared" ref="S8:S9" si="6">R8-P8</f>
        <v>-5716.8924420004478</v>
      </c>
    </row>
    <row r="9" spans="1:21">
      <c r="A9" s="147" t="s">
        <v>87</v>
      </c>
      <c r="B9" s="95">
        <f>'191010 WA DEF'!B9</f>
        <v>4.9599999999999998E-2</v>
      </c>
      <c r="C9" s="59">
        <v>0</v>
      </c>
      <c r="D9" s="59">
        <v>0</v>
      </c>
      <c r="E9" s="108">
        <f t="shared" si="0"/>
        <v>681221.0724420005</v>
      </c>
      <c r="F9" s="105">
        <f>16716589+20495</f>
        <v>16737084</v>
      </c>
      <c r="G9" s="96">
        <v>-4.0899999999999999E-3</v>
      </c>
      <c r="H9" s="109">
        <f t="shared" si="1"/>
        <v>-68454.673559999996</v>
      </c>
      <c r="I9" s="106">
        <v>6588074</v>
      </c>
      <c r="J9" s="96">
        <v>-1.035E-2</v>
      </c>
      <c r="K9" s="109">
        <f t="shared" si="2"/>
        <v>-68186.565900000001</v>
      </c>
      <c r="L9" s="106">
        <v>135456</v>
      </c>
      <c r="M9" s="96">
        <v>-1.035E-2</v>
      </c>
      <c r="N9" s="109">
        <f t="shared" si="3"/>
        <v>-1401.9695999999999</v>
      </c>
      <c r="O9" s="104">
        <f t="shared" si="4"/>
        <v>2530.42</v>
      </c>
      <c r="P9" s="59">
        <f t="shared" si="5"/>
        <v>545708.28338200052</v>
      </c>
      <c r="Q9" s="47"/>
      <c r="R9" s="84">
        <v>540247.84</v>
      </c>
      <c r="S9" s="85">
        <f t="shared" si="6"/>
        <v>-5460.4433820005506</v>
      </c>
    </row>
    <row r="10" spans="1:21">
      <c r="A10" s="147" t="s">
        <v>88</v>
      </c>
      <c r="B10" s="95">
        <f>'191010 WA DEF'!B10</f>
        <v>4.7500000000000001E-2</v>
      </c>
      <c r="C10" s="59">
        <v>0</v>
      </c>
      <c r="D10" s="59">
        <v>0</v>
      </c>
      <c r="E10" s="108">
        <f t="shared" si="0"/>
        <v>545708.28338200052</v>
      </c>
      <c r="F10" s="105">
        <f>8669321+11194</f>
        <v>8680515</v>
      </c>
      <c r="G10" s="96">
        <v>-4.0899999999999999E-3</v>
      </c>
      <c r="H10" s="109">
        <f t="shared" si="1"/>
        <v>-35503.306349999999</v>
      </c>
      <c r="I10" s="106">
        <v>3389688</v>
      </c>
      <c r="J10" s="96">
        <v>-1.035E-2</v>
      </c>
      <c r="K10" s="109">
        <f t="shared" si="2"/>
        <v>-35083.270799999998</v>
      </c>
      <c r="L10" s="106">
        <v>-28206</v>
      </c>
      <c r="M10" s="96">
        <v>-1.035E-2</v>
      </c>
      <c r="N10" s="109">
        <f t="shared" si="3"/>
        <v>291.93209999999999</v>
      </c>
      <c r="O10" s="104">
        <f t="shared" si="4"/>
        <v>2020.97</v>
      </c>
      <c r="P10" s="59">
        <f t="shared" si="5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7" t="s">
        <v>89</v>
      </c>
      <c r="B11" s="95">
        <f>'191010 WA DEF'!B11</f>
        <v>4.7500000000000001E-2</v>
      </c>
      <c r="C11" s="59">
        <v>0</v>
      </c>
      <c r="D11" s="59">
        <v>0</v>
      </c>
      <c r="E11" s="108">
        <f t="shared" si="0"/>
        <v>477434.6083320005</v>
      </c>
      <c r="F11" s="105">
        <f>5170311+6951</f>
        <v>5177262</v>
      </c>
      <c r="G11" s="96">
        <v>-4.0899999999999999E-3</v>
      </c>
      <c r="H11" s="109">
        <f t="shared" si="1"/>
        <v>-21175.00158</v>
      </c>
      <c r="I11" s="106">
        <v>2662302</v>
      </c>
      <c r="J11" s="96">
        <v>-1.035E-2</v>
      </c>
      <c r="K11" s="109">
        <f t="shared" si="2"/>
        <v>-27554.825700000001</v>
      </c>
      <c r="L11" s="106">
        <v>-100434</v>
      </c>
      <c r="M11" s="96">
        <v>-1.035E-2</v>
      </c>
      <c r="N11" s="109">
        <f t="shared" si="3"/>
        <v>1039.4919</v>
      </c>
      <c r="O11" s="104">
        <f t="shared" si="4"/>
        <v>1795.46</v>
      </c>
      <c r="P11" s="59">
        <f t="shared" si="5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7" t="s">
        <v>90</v>
      </c>
      <c r="B12" s="95">
        <f>'191010 WA DEF'!B12</f>
        <v>4.7500000000000001E-2</v>
      </c>
      <c r="C12" s="59">
        <v>0</v>
      </c>
      <c r="D12" s="59">
        <v>0</v>
      </c>
      <c r="E12" s="108">
        <f t="shared" si="0"/>
        <v>431539.73295200057</v>
      </c>
      <c r="F12" s="105">
        <f>3317015+4575</f>
        <v>3321590</v>
      </c>
      <c r="G12" s="96">
        <v>-4.0899999999999999E-3</v>
      </c>
      <c r="H12" s="109">
        <f t="shared" si="1"/>
        <v>-13585.303099999999</v>
      </c>
      <c r="I12" s="106">
        <v>1746909</v>
      </c>
      <c r="J12" s="96">
        <v>-1.035E-2</v>
      </c>
      <c r="K12" s="109">
        <f t="shared" si="2"/>
        <v>-18080.508150000001</v>
      </c>
      <c r="L12" s="106">
        <v>0</v>
      </c>
      <c r="M12" s="96">
        <v>-1.035E-2</v>
      </c>
      <c r="N12" s="109">
        <f t="shared" si="3"/>
        <v>0</v>
      </c>
      <c r="O12" s="104">
        <f>ROUND(((E12*(B12/12))+(H12+K12+N12)/2*(B12/12)),2)</f>
        <v>1645.51</v>
      </c>
      <c r="P12" s="59">
        <f t="shared" si="5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7" t="s">
        <v>91</v>
      </c>
      <c r="B13" s="95">
        <v>3.4299999999999997E-2</v>
      </c>
      <c r="C13" s="59">
        <v>0</v>
      </c>
      <c r="D13" s="59">
        <v>0</v>
      </c>
      <c r="E13" s="108">
        <f t="shared" si="0"/>
        <v>401519.43170200055</v>
      </c>
      <c r="F13" s="105">
        <f>2630458+2800</f>
        <v>2633258</v>
      </c>
      <c r="G13" s="96">
        <v>-4.0899999999999999E-3</v>
      </c>
      <c r="H13" s="109">
        <f t="shared" si="1"/>
        <v>-10770.02522</v>
      </c>
      <c r="I13" s="106">
        <v>1745062</v>
      </c>
      <c r="J13" s="96">
        <v>-1.035E-2</v>
      </c>
      <c r="K13" s="109">
        <f t="shared" si="2"/>
        <v>-18061.3917</v>
      </c>
      <c r="L13" s="106">
        <v>0</v>
      </c>
      <c r="M13" s="96">
        <v>-1.035E-2</v>
      </c>
      <c r="N13" s="109">
        <f t="shared" si="3"/>
        <v>0</v>
      </c>
      <c r="O13" s="104">
        <f t="shared" si="4"/>
        <v>1106.47</v>
      </c>
      <c r="P13" s="59">
        <f t="shared" si="5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7" t="s">
        <v>92</v>
      </c>
      <c r="B14" s="95">
        <v>3.4299999999999997E-2</v>
      </c>
      <c r="C14" s="59">
        <v>0</v>
      </c>
      <c r="D14" s="59">
        <v>0</v>
      </c>
      <c r="E14" s="108">
        <f t="shared" si="0"/>
        <v>373794.48478200054</v>
      </c>
      <c r="F14" s="105">
        <f>2236586+2515</f>
        <v>2239101</v>
      </c>
      <c r="G14" s="96">
        <v>-4.0899999999999999E-3</v>
      </c>
      <c r="H14" s="109">
        <f t="shared" si="1"/>
        <v>-9157.9230900000002</v>
      </c>
      <c r="I14" s="106">
        <v>1621230</v>
      </c>
      <c r="J14" s="96">
        <v>-1.035E-2</v>
      </c>
      <c r="K14" s="109">
        <f t="shared" si="2"/>
        <v>-16779.730500000001</v>
      </c>
      <c r="L14" s="106">
        <v>0</v>
      </c>
      <c r="M14" s="96">
        <v>-1.035E-2</v>
      </c>
      <c r="N14" s="109">
        <f t="shared" si="3"/>
        <v>0</v>
      </c>
      <c r="O14" s="104">
        <f t="shared" si="4"/>
        <v>1031.3599999999999</v>
      </c>
      <c r="P14" s="59">
        <f t="shared" si="5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1"/>
    </row>
    <row r="15" spans="1:21">
      <c r="A15" s="147" t="s">
        <v>93</v>
      </c>
      <c r="B15" s="95">
        <v>3.4299999999999997E-2</v>
      </c>
      <c r="C15" s="59">
        <v>0</v>
      </c>
      <c r="D15" s="59">
        <v>0</v>
      </c>
      <c r="E15" s="108">
        <f t="shared" si="0"/>
        <v>348888.19119200052</v>
      </c>
      <c r="F15" s="105">
        <f>2843331+3965</f>
        <v>2847296</v>
      </c>
      <c r="G15" s="96">
        <v>-4.0899999999999999E-3</v>
      </c>
      <c r="H15" s="109">
        <f t="shared" si="1"/>
        <v>-11645.440639999999</v>
      </c>
      <c r="I15" s="106">
        <v>2009009</v>
      </c>
      <c r="J15" s="96">
        <v>-1.035E-2</v>
      </c>
      <c r="K15" s="109">
        <f t="shared" si="2"/>
        <v>-20793.243149999998</v>
      </c>
      <c r="L15" s="106">
        <v>0</v>
      </c>
      <c r="M15" s="96">
        <v>-1.035E-2</v>
      </c>
      <c r="N15" s="109">
        <f t="shared" si="3"/>
        <v>0</v>
      </c>
      <c r="O15" s="104">
        <f t="shared" si="4"/>
        <v>950.88</v>
      </c>
      <c r="P15" s="59">
        <f t="shared" si="5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7" t="s">
        <v>94</v>
      </c>
      <c r="B16" s="95">
        <v>3.2500000000000001E-2</v>
      </c>
      <c r="C16" s="59">
        <v>0</v>
      </c>
      <c r="D16" s="59">
        <v>0</v>
      </c>
      <c r="E16" s="108">
        <f t="shared" si="0"/>
        <v>317400.38740200055</v>
      </c>
      <c r="F16" s="105">
        <f>8963780+13468</f>
        <v>8977248</v>
      </c>
      <c r="G16" s="96">
        <v>-4.0899999999999999E-3</v>
      </c>
      <c r="H16" s="109">
        <f t="shared" si="1"/>
        <v>-36716.944320000002</v>
      </c>
      <c r="I16" s="106">
        <v>4850551</v>
      </c>
      <c r="J16" s="96">
        <v>-1.035E-2</v>
      </c>
      <c r="K16" s="109">
        <f t="shared" si="2"/>
        <v>-50203.202850000001</v>
      </c>
      <c r="L16" s="106">
        <v>0</v>
      </c>
      <c r="M16" s="96">
        <v>-1.035E-2</v>
      </c>
      <c r="N16" s="109">
        <f t="shared" si="3"/>
        <v>0</v>
      </c>
      <c r="O16" s="104">
        <f t="shared" si="4"/>
        <v>741.92</v>
      </c>
      <c r="P16" s="59">
        <f t="shared" si="5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7" t="s">
        <v>95</v>
      </c>
      <c r="B17" s="95">
        <v>3.2500000000000001E-2</v>
      </c>
      <c r="C17" s="62">
        <f>-'191010 WA DEF'!D17</f>
        <v>817247.86188699794</v>
      </c>
      <c r="D17" s="62">
        <v>104173.57</v>
      </c>
      <c r="E17" s="108">
        <f>P16+C17+D17</f>
        <v>1152643.5921189985</v>
      </c>
      <c r="F17" s="105">
        <f>17131912+25911</f>
        <v>17157823</v>
      </c>
      <c r="G17" s="82" t="s">
        <v>71</v>
      </c>
      <c r="H17" s="101">
        <f>112959+169</f>
        <v>113128</v>
      </c>
      <c r="I17" s="106">
        <v>5799551</v>
      </c>
      <c r="J17" s="82" t="s">
        <v>71</v>
      </c>
      <c r="K17" s="101">
        <v>9063</v>
      </c>
      <c r="L17" s="106">
        <v>0</v>
      </c>
      <c r="M17" s="82" t="s">
        <v>71</v>
      </c>
      <c r="N17" s="101">
        <v>0</v>
      </c>
      <c r="O17" s="104">
        <f t="shared" si="4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69" t="s">
        <v>96</v>
      </c>
      <c r="B18" s="113">
        <v>3.2500000000000001E-2</v>
      </c>
      <c r="C18" s="65">
        <v>0</v>
      </c>
      <c r="D18" s="65">
        <v>0</v>
      </c>
      <c r="E18" s="114">
        <f t="shared" si="0"/>
        <v>1278121.8221189985</v>
      </c>
      <c r="F18" s="115">
        <f>21499328+32489</f>
        <v>21531817</v>
      </c>
      <c r="G18" s="86" t="s">
        <v>71</v>
      </c>
      <c r="H18" s="102">
        <f>148673+226</f>
        <v>148899</v>
      </c>
      <c r="I18" s="116">
        <v>7737352</v>
      </c>
      <c r="J18" s="86" t="s">
        <v>71</v>
      </c>
      <c r="K18" s="102">
        <v>-327</v>
      </c>
      <c r="L18" s="116">
        <v>0</v>
      </c>
      <c r="M18" s="86" t="s">
        <v>71</v>
      </c>
      <c r="N18" s="102">
        <v>0</v>
      </c>
      <c r="O18" s="117">
        <f t="shared" si="4"/>
        <v>3662.77</v>
      </c>
      <c r="P18" s="65">
        <f t="shared" si="5"/>
        <v>1430356.5921189985</v>
      </c>
      <c r="Q18" s="118"/>
      <c r="R18" s="170">
        <v>1430356.59</v>
      </c>
      <c r="S18" s="171">
        <f t="shared" ref="S18:S19" si="15">R18-P18</f>
        <v>-2.1189984399825335E-3</v>
      </c>
    </row>
    <row r="19" spans="1:23">
      <c r="A19" s="147" t="s">
        <v>99</v>
      </c>
      <c r="B19" s="95">
        <v>3.2500000000000001E-2</v>
      </c>
      <c r="C19" s="83">
        <v>0</v>
      </c>
      <c r="D19" s="83">
        <v>0</v>
      </c>
      <c r="E19" s="97">
        <f t="shared" ref="E19:E30" si="16">P18+C19+D19</f>
        <v>1430356.5921189985</v>
      </c>
      <c r="F19" s="105">
        <f>20652318+32556</f>
        <v>20684874</v>
      </c>
      <c r="G19" s="96">
        <v>6.9899999999999997E-3</v>
      </c>
      <c r="H19" s="109">
        <f>F19*G19</f>
        <v>144587.26926</v>
      </c>
      <c r="I19" s="106">
        <v>7466798</v>
      </c>
      <c r="J19" s="96">
        <v>1.2999999999999999E-4</v>
      </c>
      <c r="K19" s="109">
        <f>I19*J19</f>
        <v>970.68373999999994</v>
      </c>
      <c r="L19" s="106">
        <v>0</v>
      </c>
      <c r="M19" s="96">
        <v>0</v>
      </c>
      <c r="N19" s="109">
        <f>L19*M19</f>
        <v>0</v>
      </c>
      <c r="O19" s="103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7" t="s">
        <v>100</v>
      </c>
      <c r="B20" s="95">
        <v>3.2500000000000001E-2</v>
      </c>
      <c r="C20" s="59">
        <v>0</v>
      </c>
      <c r="D20" s="59">
        <v>0</v>
      </c>
      <c r="E20" s="97">
        <f t="shared" si="16"/>
        <v>1579985.5351189985</v>
      </c>
      <c r="F20" s="105">
        <f>21465565+35195</f>
        <v>21500760</v>
      </c>
      <c r="G20" s="96">
        <v>6.9899999999999997E-3</v>
      </c>
      <c r="H20" s="109">
        <f t="shared" ref="H20:H28" si="19">F20*G20</f>
        <v>150290.3124</v>
      </c>
      <c r="I20" s="106">
        <v>7487490</v>
      </c>
      <c r="J20" s="96">
        <v>1.2999999999999999E-4</v>
      </c>
      <c r="K20" s="109">
        <f t="shared" ref="K20:K28" si="20">I20*J20</f>
        <v>973.37369999999987</v>
      </c>
      <c r="L20" s="106"/>
      <c r="M20" s="96"/>
      <c r="N20" s="109">
        <f t="shared" ref="N20:N28" si="21">L20*M20</f>
        <v>0</v>
      </c>
      <c r="O20" s="104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7" t="s">
        <v>101</v>
      </c>
      <c r="B21" s="95">
        <v>3.2500000000000001E-2</v>
      </c>
      <c r="C21" s="59">
        <v>0</v>
      </c>
      <c r="D21" s="59">
        <v>0</v>
      </c>
      <c r="E21" s="97">
        <f t="shared" si="16"/>
        <v>1735733.1812189985</v>
      </c>
      <c r="F21" s="105">
        <f>14741098+24419</f>
        <v>14765517</v>
      </c>
      <c r="G21" s="96">
        <v>6.9899999999999997E-3</v>
      </c>
      <c r="H21" s="109">
        <f t="shared" si="19"/>
        <v>103210.96382999999</v>
      </c>
      <c r="I21" s="106">
        <v>6893495</v>
      </c>
      <c r="J21" s="96">
        <v>1.2999999999999999E-4</v>
      </c>
      <c r="K21" s="109">
        <f t="shared" si="20"/>
        <v>896.15434999999991</v>
      </c>
      <c r="L21" s="106"/>
      <c r="M21" s="96"/>
      <c r="N21" s="109">
        <f t="shared" si="21"/>
        <v>0</v>
      </c>
      <c r="O21" s="104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7" t="s">
        <v>102</v>
      </c>
      <c r="B22" s="95">
        <v>3.2500000000000001E-2</v>
      </c>
      <c r="C22" s="59">
        <v>0</v>
      </c>
      <c r="D22" s="59">
        <v>0</v>
      </c>
      <c r="E22" s="97">
        <f t="shared" si="16"/>
        <v>1844682.2193989984</v>
      </c>
      <c r="F22" s="105">
        <f>8945038+17127</f>
        <v>8962165</v>
      </c>
      <c r="G22" s="96">
        <v>6.9899999999999997E-3</v>
      </c>
      <c r="H22" s="109">
        <f t="shared" si="19"/>
        <v>62645.533349999998</v>
      </c>
      <c r="I22" s="106">
        <v>3971924</v>
      </c>
      <c r="J22" s="96">
        <v>1.2999999999999999E-4</v>
      </c>
      <c r="K22" s="109">
        <f t="shared" si="20"/>
        <v>516.35011999999995</v>
      </c>
      <c r="L22" s="106"/>
      <c r="M22" s="96"/>
      <c r="N22" s="109">
        <f t="shared" si="21"/>
        <v>0</v>
      </c>
      <c r="O22" s="104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7" t="s">
        <v>103</v>
      </c>
      <c r="B23" s="95">
        <v>3.2500000000000001E-2</v>
      </c>
      <c r="C23" s="59">
        <v>0</v>
      </c>
      <c r="D23" s="59">
        <v>0</v>
      </c>
      <c r="E23" s="97">
        <f t="shared" si="16"/>
        <v>1912925.6528689985</v>
      </c>
      <c r="F23" s="105">
        <f>4457469+8599</f>
        <v>4466068</v>
      </c>
      <c r="G23" s="96">
        <v>6.9899999999999997E-3</v>
      </c>
      <c r="H23" s="109">
        <f t="shared" si="19"/>
        <v>31217.815319999998</v>
      </c>
      <c r="I23" s="106">
        <v>2827756</v>
      </c>
      <c r="J23" s="96">
        <v>1.2999999999999999E-4</v>
      </c>
      <c r="K23" s="109">
        <f t="shared" si="20"/>
        <v>367.60827999999998</v>
      </c>
      <c r="L23" s="106"/>
      <c r="M23" s="96"/>
      <c r="N23" s="109">
        <f t="shared" si="21"/>
        <v>0</v>
      </c>
      <c r="O23" s="104">
        <f t="shared" si="17"/>
        <v>5223.6099999999997</v>
      </c>
      <c r="P23" s="59">
        <f t="shared" si="18"/>
        <v>1949734.6864689987</v>
      </c>
      <c r="Q23" s="47"/>
      <c r="R23" s="84">
        <v>1949734.68</v>
      </c>
      <c r="S23" s="85">
        <f t="shared" ref="S23" si="25">R23-P23</f>
        <v>-6.468998733907938E-3</v>
      </c>
    </row>
    <row r="24" spans="1:23">
      <c r="A24" s="147" t="s">
        <v>104</v>
      </c>
      <c r="B24" s="95">
        <v>3.2500000000000001E-2</v>
      </c>
      <c r="C24" s="59">
        <v>0</v>
      </c>
      <c r="D24" s="59">
        <v>0</v>
      </c>
      <c r="E24" s="97">
        <f t="shared" si="16"/>
        <v>1949734.6864689987</v>
      </c>
      <c r="F24" s="105">
        <f>2740706+4893</f>
        <v>2745599</v>
      </c>
      <c r="G24" s="96">
        <v>6.9899999999999997E-3</v>
      </c>
      <c r="H24" s="109">
        <f t="shared" si="19"/>
        <v>19191.737010000001</v>
      </c>
      <c r="I24" s="106">
        <v>1934595</v>
      </c>
      <c r="J24" s="96">
        <v>1.2999999999999999E-4</v>
      </c>
      <c r="K24" s="109">
        <f t="shared" si="20"/>
        <v>251.49734999999998</v>
      </c>
      <c r="L24" s="106"/>
      <c r="M24" s="96"/>
      <c r="N24" s="109">
        <f t="shared" si="21"/>
        <v>0</v>
      </c>
      <c r="O24" s="104">
        <f>ROUND(((E24*(B24/12))+(H24+K24+N24)/2*(B24/12)),2)</f>
        <v>5306.86</v>
      </c>
      <c r="P24" s="59">
        <f t="shared" si="18"/>
        <v>1974484.7808289989</v>
      </c>
      <c r="Q24" s="47"/>
      <c r="R24" s="84">
        <v>1974484.77</v>
      </c>
      <c r="S24" s="85">
        <f t="shared" ref="S24" si="26">R24-P24</f>
        <v>-1.0828998871147633E-2</v>
      </c>
    </row>
    <row r="25" spans="1:23">
      <c r="A25" s="147" t="s">
        <v>105</v>
      </c>
      <c r="B25" s="95">
        <v>3.2500000000000001E-2</v>
      </c>
      <c r="C25" s="59">
        <v>0</v>
      </c>
      <c r="D25" s="59">
        <v>0</v>
      </c>
      <c r="E25" s="97">
        <f t="shared" si="16"/>
        <v>1974484.7808289989</v>
      </c>
      <c r="F25" s="105">
        <f>2045371+3096</f>
        <v>2048467</v>
      </c>
      <c r="G25" s="96">
        <v>6.9899999999999997E-3</v>
      </c>
      <c r="H25" s="109">
        <f t="shared" si="19"/>
        <v>14318.784329999999</v>
      </c>
      <c r="I25" s="106">
        <v>1663592</v>
      </c>
      <c r="J25" s="96">
        <v>1.2999999999999999E-4</v>
      </c>
      <c r="K25" s="109">
        <f t="shared" si="20"/>
        <v>216.26695999999998</v>
      </c>
      <c r="L25" s="106"/>
      <c r="M25" s="96"/>
      <c r="N25" s="109">
        <f t="shared" si="21"/>
        <v>0</v>
      </c>
      <c r="O25" s="104">
        <f t="shared" ref="O25:O30" si="27">ROUND(((E25*(B25/12))+(H25+K25+N25)/2*(B25/12)),2)</f>
        <v>5367.25</v>
      </c>
      <c r="P25" s="59">
        <f t="shared" si="18"/>
        <v>1994387.0821189987</v>
      </c>
      <c r="Q25" s="47"/>
      <c r="R25" s="84">
        <v>1994387.07</v>
      </c>
      <c r="S25" s="85">
        <f t="shared" ref="S25" si="28">R25-P25</f>
        <v>-1.2118998682126403E-2</v>
      </c>
    </row>
    <row r="26" spans="1:23">
      <c r="A26" s="147" t="s">
        <v>106</v>
      </c>
      <c r="B26" s="95">
        <v>3.2500000000000001E-2</v>
      </c>
      <c r="C26" s="59">
        <v>0</v>
      </c>
      <c r="D26" s="59">
        <v>0</v>
      </c>
      <c r="E26" s="97">
        <f t="shared" si="16"/>
        <v>1994387.0821189987</v>
      </c>
      <c r="F26" s="105">
        <f>2327290+3614</f>
        <v>2330904</v>
      </c>
      <c r="G26" s="96">
        <v>6.9899999999999997E-3</v>
      </c>
      <c r="H26" s="109">
        <f t="shared" si="19"/>
        <v>16293.018959999999</v>
      </c>
      <c r="I26" s="106">
        <v>1901151</v>
      </c>
      <c r="J26" s="96">
        <v>1.2999999999999999E-4</v>
      </c>
      <c r="K26" s="109">
        <f t="shared" si="20"/>
        <v>247.14962999999997</v>
      </c>
      <c r="L26" s="106"/>
      <c r="M26" s="96"/>
      <c r="N26" s="109">
        <f t="shared" si="21"/>
        <v>0</v>
      </c>
      <c r="O26" s="104">
        <f t="shared" si="27"/>
        <v>5423.86</v>
      </c>
      <c r="P26" s="59">
        <f t="shared" si="18"/>
        <v>2016351.110708999</v>
      </c>
      <c r="Q26" s="47"/>
      <c r="R26" s="84">
        <v>1994387.07</v>
      </c>
      <c r="S26" s="85">
        <f t="shared" ref="S26" si="29">R26-P26</f>
        <v>-21964.040708998917</v>
      </c>
      <c r="U26" s="161"/>
    </row>
    <row r="27" spans="1:23">
      <c r="A27" s="147" t="s">
        <v>107</v>
      </c>
      <c r="B27" s="95"/>
      <c r="C27" s="59">
        <v>0</v>
      </c>
      <c r="D27" s="59">
        <v>0</v>
      </c>
      <c r="E27" s="97">
        <f t="shared" si="16"/>
        <v>2016351.110708999</v>
      </c>
      <c r="F27" s="105"/>
      <c r="G27" s="96"/>
      <c r="H27" s="109">
        <f t="shared" si="19"/>
        <v>0</v>
      </c>
      <c r="I27" s="106"/>
      <c r="J27" s="96"/>
      <c r="K27" s="109">
        <f t="shared" si="20"/>
        <v>0</v>
      </c>
      <c r="L27" s="106"/>
      <c r="M27" s="96"/>
      <c r="N27" s="109">
        <f t="shared" si="21"/>
        <v>0</v>
      </c>
      <c r="O27" s="104">
        <f t="shared" si="27"/>
        <v>0</v>
      </c>
      <c r="P27" s="59">
        <f t="shared" si="18"/>
        <v>2016351.110708999</v>
      </c>
      <c r="Q27" s="47"/>
      <c r="R27" s="84"/>
      <c r="S27" s="85"/>
    </row>
    <row r="28" spans="1:23">
      <c r="A28" s="147" t="s">
        <v>108</v>
      </c>
      <c r="B28" s="95"/>
      <c r="C28" s="59">
        <v>0</v>
      </c>
      <c r="D28" s="59">
        <v>0</v>
      </c>
      <c r="E28" s="97">
        <f t="shared" si="16"/>
        <v>2016351.110708999</v>
      </c>
      <c r="F28" s="105"/>
      <c r="G28" s="96"/>
      <c r="H28" s="109">
        <f t="shared" si="19"/>
        <v>0</v>
      </c>
      <c r="I28" s="106"/>
      <c r="J28" s="96"/>
      <c r="K28" s="109">
        <f t="shared" si="20"/>
        <v>0</v>
      </c>
      <c r="L28" s="106"/>
      <c r="M28" s="96"/>
      <c r="N28" s="109">
        <f t="shared" si="21"/>
        <v>0</v>
      </c>
      <c r="O28" s="104">
        <f t="shared" si="27"/>
        <v>0</v>
      </c>
      <c r="P28" s="59">
        <f t="shared" si="18"/>
        <v>2016351.110708999</v>
      </c>
      <c r="Q28" s="47"/>
      <c r="R28" s="84"/>
      <c r="S28" s="85"/>
    </row>
    <row r="29" spans="1:23">
      <c r="A29" s="147" t="s">
        <v>109</v>
      </c>
      <c r="B29" s="95"/>
      <c r="C29" s="62"/>
      <c r="D29" s="62"/>
      <c r="E29" s="97">
        <f t="shared" si="16"/>
        <v>2016351.110708999</v>
      </c>
      <c r="F29" s="105"/>
      <c r="G29" s="82" t="s">
        <v>71</v>
      </c>
      <c r="H29" s="101"/>
      <c r="I29" s="106"/>
      <c r="J29" s="82" t="s">
        <v>71</v>
      </c>
      <c r="K29" s="101"/>
      <c r="L29" s="106"/>
      <c r="M29" s="82" t="s">
        <v>71</v>
      </c>
      <c r="N29" s="101">
        <v>0</v>
      </c>
      <c r="O29" s="104">
        <f t="shared" si="27"/>
        <v>0</v>
      </c>
      <c r="P29" s="59">
        <f>E29+H29+K29+N29+O29</f>
        <v>2016351.110708999</v>
      </c>
      <c r="Q29" s="47"/>
      <c r="R29" s="84"/>
      <c r="S29" s="85"/>
    </row>
    <row r="30" spans="1:23">
      <c r="A30" s="147" t="s">
        <v>110</v>
      </c>
      <c r="B30" s="95"/>
      <c r="C30" s="59">
        <v>0</v>
      </c>
      <c r="D30" s="59">
        <v>0</v>
      </c>
      <c r="E30" s="97">
        <f t="shared" si="16"/>
        <v>2016351.110708999</v>
      </c>
      <c r="F30" s="105"/>
      <c r="G30" s="82" t="s">
        <v>71</v>
      </c>
      <c r="H30" s="101"/>
      <c r="I30" s="106"/>
      <c r="J30" s="82" t="s">
        <v>71</v>
      </c>
      <c r="K30" s="101"/>
      <c r="L30" s="106"/>
      <c r="M30" s="82" t="s">
        <v>71</v>
      </c>
      <c r="N30" s="101">
        <v>0</v>
      </c>
      <c r="O30" s="104">
        <f t="shared" si="27"/>
        <v>0</v>
      </c>
      <c r="P30" s="59">
        <f t="shared" ref="P30" si="30">E30+H30+K30+N30+O30</f>
        <v>2016351.110708999</v>
      </c>
      <c r="Q30" s="47"/>
      <c r="R30" s="84"/>
      <c r="S30" s="85"/>
    </row>
    <row r="31" spans="1:23" s="122" customFormat="1" ht="15.75">
      <c r="A31" s="72"/>
      <c r="B31" s="72"/>
      <c r="C31" s="119"/>
      <c r="D31" s="68">
        <f>SUMIF($A$7:$A$30,$G34,D$7:D$30)</f>
        <v>0</v>
      </c>
      <c r="E31" s="68"/>
      <c r="F31" s="68"/>
      <c r="G31" s="68"/>
      <c r="H31" s="68">
        <f>SUMIF($A$7:$A$30,$G34,H$7:H$30)</f>
        <v>16293.018959999999</v>
      </c>
      <c r="I31" s="69"/>
      <c r="J31" s="119"/>
      <c r="K31" s="68">
        <f>SUMIF($A$7:$A$30,$G34,K$7:K$30)</f>
        <v>247.14962999999997</v>
      </c>
      <c r="L31" s="72"/>
      <c r="M31" s="121"/>
      <c r="N31" s="68">
        <f>SUMIF($A$7:$A$30,$G34,N$7:N$30)</f>
        <v>0</v>
      </c>
      <c r="O31" s="68">
        <f>SUMIF($A$7:$A$30,$G34,O$7:O$30)</f>
        <v>5423.86</v>
      </c>
      <c r="P31" s="69" t="s">
        <v>49</v>
      </c>
      <c r="Q31" s="125"/>
      <c r="R31" s="126"/>
      <c r="S31" s="126"/>
      <c r="T31" s="127"/>
      <c r="U31" s="123"/>
      <c r="V31" s="123"/>
      <c r="W31" s="123"/>
    </row>
    <row r="32" spans="1:23" s="122" customFormat="1" ht="15">
      <c r="A32" s="72"/>
      <c r="B32" s="72"/>
      <c r="C32" s="119"/>
      <c r="D32" s="120" t="s">
        <v>62</v>
      </c>
      <c r="E32" s="120"/>
      <c r="F32" s="120"/>
      <c r="G32" s="120"/>
      <c r="H32" s="120" t="s">
        <v>60</v>
      </c>
      <c r="I32" s="72"/>
      <c r="J32" s="119"/>
      <c r="K32" s="120" t="s">
        <v>60</v>
      </c>
      <c r="L32" s="120"/>
      <c r="M32" s="128"/>
      <c r="N32" s="120" t="s">
        <v>60</v>
      </c>
      <c r="O32" s="120" t="s">
        <v>61</v>
      </c>
      <c r="Q32" s="123"/>
      <c r="R32" s="123"/>
      <c r="S32" s="123"/>
      <c r="T32" s="123"/>
      <c r="U32" s="123"/>
      <c r="V32" s="123"/>
      <c r="W32" s="123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202108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5423.86</v>
      </c>
      <c r="J36" s="72" t="s">
        <v>61</v>
      </c>
      <c r="K36" s="56"/>
      <c r="L36" s="56"/>
      <c r="M36" s="159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4"/>
      <c r="M37" s="162"/>
      <c r="N37" s="165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>
        <f>IF(H31+$K$31+$N$31+O31&gt;0,ABS(H31+$K$31+$N$31+O31),"")</f>
        <v>21964.028590000002</v>
      </c>
      <c r="I38" s="55" t="str">
        <f>IF(H31+$K$31+$N$31+O31&lt;0,ABS(H31+$K$31+$N$31+O31),"")</f>
        <v/>
      </c>
      <c r="J38" s="72" t="s">
        <v>75</v>
      </c>
      <c r="K38" s="56"/>
      <c r="L38" s="166"/>
      <c r="M38" s="162"/>
      <c r="N38" s="165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 t="str">
        <f>IF(H31+$K$31+$N$31&lt;0,ABS(H31+$K$31+$N$31),"")</f>
        <v/>
      </c>
      <c r="I39" s="55">
        <f>IF(H31+$K$31+$N$31&gt;0,ABS(H31+$K$31+$N$31),"")</f>
        <v>16540.168590000001</v>
      </c>
      <c r="J39" s="72" t="s">
        <v>60</v>
      </c>
      <c r="K39" s="56"/>
      <c r="L39" s="166"/>
      <c r="M39" s="162"/>
      <c r="N39" s="165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6"/>
      <c r="M40" s="162"/>
      <c r="N40" s="164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2"/>
      <c r="M42" s="34"/>
      <c r="P42" s="75"/>
    </row>
    <row r="43" spans="4:26" s="33" customFormat="1" ht="15.75">
      <c r="F43" s="34"/>
      <c r="G43" s="52" t="s">
        <v>74</v>
      </c>
      <c r="H43" s="87"/>
      <c r="I43" s="88"/>
      <c r="J43" s="124"/>
      <c r="M43" s="34"/>
      <c r="P43" s="75"/>
    </row>
    <row r="44" spans="4:26" s="33" customFormat="1" ht="15">
      <c r="F44" s="34"/>
      <c r="G44" s="89" t="s">
        <v>68</v>
      </c>
      <c r="H44" s="55" t="str">
        <f>IF($D$31&gt;0,ABS($D$31),"")</f>
        <v/>
      </c>
      <c r="I44" s="90"/>
      <c r="J44" s="72" t="s">
        <v>62</v>
      </c>
      <c r="M44" s="34"/>
      <c r="P44" s="75"/>
    </row>
    <row r="45" spans="4:26" s="33" customFormat="1" ht="15">
      <c r="F45" s="34"/>
      <c r="G45" s="89" t="s">
        <v>73</v>
      </c>
      <c r="H45" s="90"/>
      <c r="I45" s="55" t="str">
        <f>H44</f>
        <v/>
      </c>
      <c r="J45" s="91"/>
      <c r="M45" s="34"/>
      <c r="P45" s="75"/>
    </row>
    <row r="46" spans="4:26">
      <c r="Q46" s="56"/>
      <c r="S46" s="112"/>
      <c r="U46" s="57"/>
    </row>
    <row r="47" spans="4:26">
      <c r="P47" s="112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202102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0" t="s">
        <v>127</v>
      </c>
      <c r="O1" s="281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0.67249999999999999</v>
      </c>
      <c r="H8" s="228">
        <v>0.31190000000000001</v>
      </c>
      <c r="I8" s="190">
        <f>1-G8</f>
        <v>0.32750000000000001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163</v>
      </c>
      <c r="C10" s="28">
        <v>804001</v>
      </c>
      <c r="D10" s="28" t="s">
        <v>113</v>
      </c>
      <c r="E10" s="239">
        <v>2150935.69</v>
      </c>
      <c r="F10" s="230"/>
      <c r="G10" s="231"/>
      <c r="H10" s="230"/>
      <c r="I10" s="221"/>
      <c r="J10" s="32"/>
      <c r="K10" s="26" t="s">
        <v>10</v>
      </c>
      <c r="L10" s="201">
        <v>21465565</v>
      </c>
      <c r="M10" s="202">
        <v>9.8220000000000002E-2</v>
      </c>
      <c r="N10" s="172">
        <f t="shared" ref="N10:N16" si="0">L10*M10</f>
        <v>2108347.7943000002</v>
      </c>
      <c r="O10" s="26" t="s">
        <v>10</v>
      </c>
      <c r="P10" s="201">
        <v>10870325</v>
      </c>
      <c r="Q10" s="202">
        <v>8.9520000000000002E-2</v>
      </c>
      <c r="R10" s="172">
        <f t="shared" ref="R10:R11" si="1">P10*Q10</f>
        <v>973111.49400000006</v>
      </c>
    </row>
    <row r="11" spans="2:18" ht="15.6" customHeight="1" thickBot="1">
      <c r="B11" s="177" t="s">
        <v>164</v>
      </c>
      <c r="C11" s="28">
        <v>804002</v>
      </c>
      <c r="D11" s="28" t="s">
        <v>113</v>
      </c>
      <c r="E11" s="239">
        <v>37639.53</v>
      </c>
      <c r="F11" s="230"/>
      <c r="G11" s="231"/>
      <c r="H11" s="230"/>
      <c r="I11" s="221"/>
      <c r="J11" s="32"/>
      <c r="K11" s="26" t="s">
        <v>42</v>
      </c>
      <c r="L11" s="201">
        <v>35195</v>
      </c>
      <c r="M11" s="202">
        <v>9.8220000000000002E-2</v>
      </c>
      <c r="N11" s="172">
        <f t="shared" si="0"/>
        <v>3456.8528999999999</v>
      </c>
      <c r="O11" s="26" t="s">
        <v>11</v>
      </c>
      <c r="P11" s="201">
        <v>3329528</v>
      </c>
      <c r="Q11" s="202">
        <v>8.9520000000000002E-2</v>
      </c>
      <c r="R11" s="172">
        <f t="shared" si="1"/>
        <v>298059.34656000003</v>
      </c>
    </row>
    <row r="12" spans="2:18" ht="15.6" customHeight="1" thickBot="1">
      <c r="B12" s="191" t="s">
        <v>117</v>
      </c>
      <c r="C12" s="7"/>
      <c r="D12" s="7"/>
      <c r="E12" s="240">
        <f>SUM(E10:E11)</f>
        <v>2188575.2199999997</v>
      </c>
      <c r="F12" s="232"/>
      <c r="G12" s="233"/>
      <c r="H12" s="232"/>
      <c r="I12" s="222"/>
      <c r="J12" s="32"/>
      <c r="K12" s="26" t="s">
        <v>11</v>
      </c>
      <c r="L12" s="201">
        <v>7487490</v>
      </c>
      <c r="M12" s="202">
        <v>8.8349999999999998E-2</v>
      </c>
      <c r="N12" s="172">
        <f t="shared" si="0"/>
        <v>661519.7415</v>
      </c>
      <c r="O12" s="26" t="s">
        <v>12</v>
      </c>
      <c r="P12" s="201">
        <v>1188</v>
      </c>
      <c r="Q12" s="202">
        <v>8.9520000000000002E-2</v>
      </c>
      <c r="R12" s="172">
        <f>P12*Q12</f>
        <v>106.34976</v>
      </c>
    </row>
    <row r="13" spans="2:18" ht="15.6" customHeight="1" thickBot="1">
      <c r="B13" s="192" t="s">
        <v>25</v>
      </c>
      <c r="C13" s="1"/>
      <c r="D13" s="1"/>
      <c r="E13" s="241">
        <f>-E11</f>
        <v>-37639.53</v>
      </c>
      <c r="F13" s="230"/>
      <c r="G13" s="231"/>
      <c r="H13" s="230"/>
      <c r="I13" s="221"/>
      <c r="J13" s="32"/>
      <c r="K13" s="26" t="s">
        <v>12</v>
      </c>
      <c r="L13" s="201">
        <v>111067</v>
      </c>
      <c r="M13" s="202">
        <v>8.8349999999999998E-2</v>
      </c>
      <c r="N13" s="172">
        <f t="shared" si="0"/>
        <v>9812.7694499999998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2150935.69</v>
      </c>
      <c r="F14" s="248">
        <f>E14*F8</f>
        <v>1480058.8482890001</v>
      </c>
      <c r="G14" s="249"/>
      <c r="H14" s="248">
        <f>E14*H8</f>
        <v>670876.84171099996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65536</v>
      </c>
      <c r="M15" s="202">
        <v>5.6399999999999999E-2</v>
      </c>
      <c r="N15" s="172">
        <f t="shared" si="0"/>
        <v>3696.2303999999999</v>
      </c>
      <c r="O15" s="25" t="s">
        <v>29</v>
      </c>
      <c r="P15" s="143">
        <f>SUM(P10:P14)</f>
        <v>14201041</v>
      </c>
      <c r="Q15" s="144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3541847</v>
      </c>
      <c r="M16" s="202">
        <v>5.4000000000000001E-4</v>
      </c>
      <c r="N16" s="172">
        <f t="shared" si="0"/>
        <v>1912.5973799999999</v>
      </c>
      <c r="O16" s="26"/>
      <c r="P16" s="203">
        <v>14201041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14003679.560000001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32706700</v>
      </c>
      <c r="M17" s="4"/>
      <c r="N17" s="23">
        <f>SUM(N10:N16)</f>
        <v>2788745.98593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38370.33</v>
      </c>
      <c r="F18" s="251"/>
      <c r="G18" s="252"/>
      <c r="H18" s="251"/>
      <c r="I18" s="253"/>
      <c r="J18" s="32"/>
      <c r="K18" s="16"/>
      <c r="L18" s="203">
        <v>32706700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33607.06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9360.99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-910355.25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3764952.68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3115249.75</v>
      </c>
      <c r="F23" s="251"/>
      <c r="G23" s="252"/>
      <c r="H23" s="251"/>
      <c r="I23" s="253"/>
      <c r="J23" s="32"/>
      <c r="K23" s="26" t="s">
        <v>10</v>
      </c>
      <c r="L23" s="173">
        <f>+L10</f>
        <v>21465565</v>
      </c>
      <c r="M23" s="202">
        <v>0.16167000000000001</v>
      </c>
      <c r="N23" s="172">
        <f t="shared" ref="N23:N28" si="3">L23*M23</f>
        <v>3470337.8935500002</v>
      </c>
      <c r="O23" s="26" t="s">
        <v>10</v>
      </c>
      <c r="P23" s="173">
        <f>+P10</f>
        <v>10870325</v>
      </c>
      <c r="Q23" s="202">
        <v>0.16148000000000001</v>
      </c>
      <c r="R23" s="172">
        <f t="shared" ref="R23" si="4">P23*Q23</f>
        <v>1755340.0810000002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-23387.439999999999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35195</v>
      </c>
      <c r="M24" s="202">
        <v>0.16167000000000001</v>
      </c>
      <c r="N24" s="172">
        <f t="shared" si="3"/>
        <v>5689.9756500000003</v>
      </c>
      <c r="O24" s="26" t="s">
        <v>11</v>
      </c>
      <c r="P24" s="173">
        <f t="shared" ref="P24:P27" si="6">+P11</f>
        <v>3329528</v>
      </c>
      <c r="Q24" s="202">
        <v>0.16148000000000001</v>
      </c>
      <c r="R24" s="172">
        <f>P24*Q24</f>
        <v>537652.18144000007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-84540.02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7487490</v>
      </c>
      <c r="M25" s="202">
        <v>0.16167000000000001</v>
      </c>
      <c r="N25" s="172">
        <f t="shared" si="3"/>
        <v>1210502.5083000001</v>
      </c>
      <c r="O25" s="26" t="s">
        <v>12</v>
      </c>
      <c r="P25" s="173">
        <f t="shared" si="6"/>
        <v>1188</v>
      </c>
      <c r="Q25" s="202">
        <v>0.16148000000000001</v>
      </c>
      <c r="R25" s="172">
        <f t="shared" ref="R25:R27" si="7">P25*Q25</f>
        <v>191.83824000000001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-6069267.5800000001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111067</v>
      </c>
      <c r="M26" s="202">
        <v>0.16167000000000001</v>
      </c>
      <c r="N26" s="172">
        <f t="shared" si="3"/>
        <v>17956.20189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2337208.4300000002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-3601460.94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65536</v>
      </c>
      <c r="M28" s="202">
        <v>0.16167000000000001</v>
      </c>
      <c r="N28" s="172">
        <f t="shared" si="3"/>
        <v>10595.205120000001</v>
      </c>
      <c r="O28" s="25" t="s">
        <v>31</v>
      </c>
      <c r="P28" s="143">
        <f>SUM(P23:P27)</f>
        <v>14201041</v>
      </c>
      <c r="Q28" s="144"/>
      <c r="R28" s="23">
        <f>SUM(R23:R27)</f>
        <v>2293184.1006800001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29164853</v>
      </c>
      <c r="M29" s="144"/>
      <c r="N29" s="151">
        <f>SUM(N23:N28)</f>
        <v>4715081.7845100006</v>
      </c>
      <c r="O29" s="25"/>
      <c r="P29" s="203">
        <v>14201041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29164853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37639.53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12276057.1</v>
      </c>
      <c r="F32" s="258"/>
      <c r="G32" s="231">
        <f>E32*G8</f>
        <v>8255648.3997499999</v>
      </c>
      <c r="H32" s="140"/>
      <c r="I32" s="221">
        <f>E32*I8</f>
        <v>4020408.7002500002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-290560.8</v>
      </c>
      <c r="F35" s="251"/>
      <c r="G35" s="231">
        <f>E35</f>
        <v>-290560.8</v>
      </c>
      <c r="H35" s="140"/>
      <c r="I35" s="221"/>
      <c r="J35" s="32"/>
      <c r="K35" s="15" t="s">
        <v>128</v>
      </c>
      <c r="L35" s="141">
        <f>$F$39</f>
        <v>1480058.8482890001</v>
      </c>
      <c r="M35" s="141">
        <f>G39</f>
        <v>7965087.5997500001</v>
      </c>
      <c r="N35" s="141">
        <f>$H$39</f>
        <v>670876.84171099996</v>
      </c>
      <c r="O35" s="141">
        <f>I39</f>
        <v>3880177.7802500003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-140230.92000000001</v>
      </c>
      <c r="F36" s="251"/>
      <c r="G36" s="231"/>
      <c r="H36" s="140"/>
      <c r="I36" s="221">
        <f>E36</f>
        <v>-140230.92000000001</v>
      </c>
      <c r="J36" s="32"/>
      <c r="K36" s="15" t="s">
        <v>131</v>
      </c>
      <c r="L36" s="204">
        <f>-$N$17</f>
        <v>-2788745.98593</v>
      </c>
      <c r="M36" s="204">
        <f>-N29</f>
        <v>-4715081.7845100006</v>
      </c>
      <c r="N36" s="204">
        <f>-$R$15</f>
        <v>-1271277.1903200001</v>
      </c>
      <c r="O36" s="204">
        <f>-R28</f>
        <v>-2293184.1006800001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11845265.379999999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-1308687.1376409999</v>
      </c>
      <c r="M37" s="146">
        <f>SUM(M35:M36)</f>
        <v>3250005.8152399994</v>
      </c>
      <c r="N37" s="146">
        <f t="shared" si="8"/>
        <v>-600400.3486090001</v>
      </c>
      <c r="O37" s="146">
        <f t="shared" si="8"/>
        <v>1586993.6795700002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13996201.069999998</v>
      </c>
      <c r="F39" s="246">
        <f>SUM(F14:F37)</f>
        <v>1480058.8482890001</v>
      </c>
      <c r="G39" s="247">
        <f t="shared" ref="G39:I39" si="9">SUM(G14:G37)</f>
        <v>7965087.5997500001</v>
      </c>
      <c r="H39" s="246">
        <f t="shared" si="9"/>
        <v>670876.84171099996</v>
      </c>
      <c r="I39" s="200">
        <f t="shared" si="9"/>
        <v>3880177.7802500003</v>
      </c>
      <c r="J39" s="32"/>
      <c r="K39" s="210"/>
      <c r="L39" s="213" t="s">
        <v>36</v>
      </c>
      <c r="M39" s="211">
        <f>SUM(L37:M37)</f>
        <v>1941318.6775989996</v>
      </c>
      <c r="N39" s="214" t="s">
        <v>37</v>
      </c>
      <c r="O39" s="211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13996265.68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-64.61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14003679.560000001</v>
      </c>
      <c r="C46" s="186" t="s">
        <v>122</v>
      </c>
      <c r="E46" s="31"/>
    </row>
    <row r="47" spans="1:17" ht="15.75">
      <c r="A47" s="184"/>
      <c r="B47" s="186">
        <v>14003766.289999999</v>
      </c>
      <c r="C47" s="186" t="s">
        <v>123</v>
      </c>
      <c r="D47" s="132"/>
      <c r="E47" s="32"/>
    </row>
    <row r="48" spans="1:17" ht="15.75">
      <c r="A48" s="184"/>
      <c r="B48" s="262">
        <f>B46-B47</f>
        <v>-86.72999999858439</v>
      </c>
      <c r="C48" s="187" t="s">
        <v>124</v>
      </c>
      <c r="E48" s="31"/>
    </row>
    <row r="49" spans="1:18" ht="15.75">
      <c r="A49" s="184"/>
      <c r="E49" s="31"/>
    </row>
    <row r="50" spans="1:18">
      <c r="B50" s="186"/>
      <c r="C50" s="186"/>
      <c r="E50" s="31"/>
    </row>
    <row r="51" spans="1:18" ht="15.75">
      <c r="A51" s="184" t="s">
        <v>61</v>
      </c>
      <c r="B51" s="186">
        <f>E26</f>
        <v>-6069267.5800000001</v>
      </c>
      <c r="C51" s="186" t="s">
        <v>122</v>
      </c>
      <c r="E51" s="31"/>
    </row>
    <row r="52" spans="1:18">
      <c r="A52" s="185"/>
      <c r="B52" s="186">
        <f>-6069355.17+65.46</f>
        <v>-6069289.71</v>
      </c>
      <c r="C52" s="186" t="s">
        <v>123</v>
      </c>
      <c r="E52" s="31"/>
    </row>
    <row r="53" spans="1:18" ht="15.75">
      <c r="A53" s="185"/>
      <c r="B53" s="262">
        <f>B51-B52</f>
        <v>22.129999999888241</v>
      </c>
      <c r="C53" s="187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219" priority="29" operator="equal">
      <formula>"ERROR"</formula>
    </cfRule>
  </conditionalFormatting>
  <conditionalFormatting sqref="D43:D45">
    <cfRule type="cellIs" dxfId="218" priority="28" operator="equal">
      <formula>"ERROR"</formula>
    </cfRule>
  </conditionalFormatting>
  <conditionalFormatting sqref="E47:I47">
    <cfRule type="cellIs" dxfId="217" priority="27" operator="equal">
      <formula>"ERROR"</formula>
    </cfRule>
  </conditionalFormatting>
  <conditionalFormatting sqref="E47:I47">
    <cfRule type="cellIs" dxfId="216" priority="26" operator="equal">
      <formula>"ERROR"</formula>
    </cfRule>
  </conditionalFormatting>
  <conditionalFormatting sqref="P31">
    <cfRule type="cellIs" dxfId="215" priority="25" operator="notEqual">
      <formula>0</formula>
    </cfRule>
  </conditionalFormatting>
  <conditionalFormatting sqref="L19">
    <cfRule type="cellIs" dxfId="214" priority="23" stopIfTrue="1" operator="equal">
      <formula>0</formula>
    </cfRule>
    <cfRule type="cellIs" dxfId="213" priority="24" stopIfTrue="1" operator="notEqual">
      <formula>0</formula>
    </cfRule>
  </conditionalFormatting>
  <conditionalFormatting sqref="L19">
    <cfRule type="cellIs" dxfId="212" priority="21" stopIfTrue="1" operator="equal">
      <formula>0</formula>
    </cfRule>
    <cfRule type="cellIs" dxfId="211" priority="22" stopIfTrue="1" operator="notEqual">
      <formula>0</formula>
    </cfRule>
  </conditionalFormatting>
  <conditionalFormatting sqref="L31">
    <cfRule type="cellIs" dxfId="210" priority="19" stopIfTrue="1" operator="equal">
      <formula>0</formula>
    </cfRule>
    <cfRule type="cellIs" dxfId="209" priority="20" stopIfTrue="1" operator="notEqual">
      <formula>0</formula>
    </cfRule>
  </conditionalFormatting>
  <conditionalFormatting sqref="L31">
    <cfRule type="cellIs" dxfId="208" priority="17" stopIfTrue="1" operator="equal">
      <formula>0</formula>
    </cfRule>
    <cfRule type="cellIs" dxfId="207" priority="18" stopIfTrue="1" operator="notEqual">
      <formula>0</formula>
    </cfRule>
  </conditionalFormatting>
  <conditionalFormatting sqref="P17">
    <cfRule type="cellIs" dxfId="206" priority="15" stopIfTrue="1" operator="equal">
      <formula>0</formula>
    </cfRule>
    <cfRule type="cellIs" dxfId="205" priority="16" stopIfTrue="1" operator="notEqual">
      <formula>0</formula>
    </cfRule>
  </conditionalFormatting>
  <conditionalFormatting sqref="P17">
    <cfRule type="cellIs" dxfId="204" priority="13" stopIfTrue="1" operator="equal">
      <formula>0</formula>
    </cfRule>
    <cfRule type="cellIs" dxfId="203" priority="14" stopIfTrue="1" operator="notEqual">
      <formula>0</formula>
    </cfRule>
  </conditionalFormatting>
  <conditionalFormatting sqref="P30">
    <cfRule type="cellIs" dxfId="202" priority="11" stopIfTrue="1" operator="equal">
      <formula>0</formula>
    </cfRule>
    <cfRule type="cellIs" dxfId="201" priority="12" stopIfTrue="1" operator="notEqual">
      <formula>0</formula>
    </cfRule>
  </conditionalFormatting>
  <conditionalFormatting sqref="P30">
    <cfRule type="cellIs" dxfId="200" priority="9" stopIfTrue="1" operator="equal">
      <formula>0</formula>
    </cfRule>
    <cfRule type="cellIs" dxfId="199" priority="10" stopIfTrue="1" operator="notEqual">
      <formula>0</formula>
    </cfRule>
  </conditionalFormatting>
  <conditionalFormatting sqref="P35:P36">
    <cfRule type="cellIs" dxfId="198" priority="7" stopIfTrue="1" operator="equal">
      <formula>0</formula>
    </cfRule>
    <cfRule type="cellIs" dxfId="197" priority="8" stopIfTrue="1" operator="notEqual">
      <formula>0</formula>
    </cfRule>
  </conditionalFormatting>
  <conditionalFormatting sqref="P35:P36">
    <cfRule type="cellIs" dxfId="196" priority="5" stopIfTrue="1" operator="equal">
      <formula>0</formula>
    </cfRule>
    <cfRule type="cellIs" dxfId="195" priority="6" stopIfTrue="1" operator="notEqual">
      <formula>0</formula>
    </cfRule>
  </conditionalFormatting>
  <conditionalFormatting sqref="E42">
    <cfRule type="cellIs" dxfId="194" priority="3" stopIfTrue="1" operator="equal">
      <formula>0</formula>
    </cfRule>
    <cfRule type="cellIs" dxfId="193" priority="4" stopIfTrue="1" operator="notEqual">
      <formula>0</formula>
    </cfRule>
  </conditionalFormatting>
  <conditionalFormatting sqref="E42">
    <cfRule type="cellIs" dxfId="192" priority="1" stopIfTrue="1" operator="equal">
      <formula>0</formula>
    </cfRule>
    <cfRule type="cellIs" dxfId="191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7.570312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202103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0" t="s">
        <v>127</v>
      </c>
      <c r="O1" s="281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0.68710000000000004</v>
      </c>
      <c r="H8" s="228">
        <v>0.31190000000000001</v>
      </c>
      <c r="I8" s="190">
        <f>1-G8</f>
        <v>0.31289999999999996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163</v>
      </c>
      <c r="C10" s="28">
        <v>804001</v>
      </c>
      <c r="D10" s="28" t="s">
        <v>113</v>
      </c>
      <c r="E10" s="239">
        <v>2255714.94</v>
      </c>
      <c r="F10" s="230"/>
      <c r="G10" s="231"/>
      <c r="H10" s="230"/>
      <c r="I10" s="221"/>
      <c r="J10" s="32"/>
      <c r="K10" s="26" t="s">
        <v>10</v>
      </c>
      <c r="L10" s="201">
        <v>14741098</v>
      </c>
      <c r="M10" s="202">
        <v>9.8220000000000002E-2</v>
      </c>
      <c r="N10" s="172">
        <f t="shared" ref="N10:N16" si="0">L10*M10</f>
        <v>1447870.6455600001</v>
      </c>
      <c r="O10" s="26" t="s">
        <v>10</v>
      </c>
      <c r="P10" s="201">
        <v>7153037</v>
      </c>
      <c r="Q10" s="202">
        <v>8.9520000000000002E-2</v>
      </c>
      <c r="R10" s="172">
        <f t="shared" ref="R10:R11" si="1">P10*Q10</f>
        <v>640339.87224000006</v>
      </c>
    </row>
    <row r="11" spans="2:18" ht="15.6" customHeight="1" thickBot="1">
      <c r="B11" s="177" t="s">
        <v>164</v>
      </c>
      <c r="C11" s="28">
        <v>804002</v>
      </c>
      <c r="D11" s="28" t="s">
        <v>113</v>
      </c>
      <c r="E11" s="239">
        <v>30944.41</v>
      </c>
      <c r="F11" s="230"/>
      <c r="G11" s="231"/>
      <c r="H11" s="230"/>
      <c r="I11" s="221"/>
      <c r="J11" s="32"/>
      <c r="K11" s="26" t="s">
        <v>42</v>
      </c>
      <c r="L11" s="201">
        <v>24419</v>
      </c>
      <c r="M11" s="202">
        <v>9.8220000000000002E-2</v>
      </c>
      <c r="N11" s="172">
        <f t="shared" si="0"/>
        <v>2398.4341800000002</v>
      </c>
      <c r="O11" s="26" t="s">
        <v>11</v>
      </c>
      <c r="P11" s="201">
        <v>2841316</v>
      </c>
      <c r="Q11" s="202">
        <v>8.9520000000000002E-2</v>
      </c>
      <c r="R11" s="172">
        <f t="shared" si="1"/>
        <v>254354.60832</v>
      </c>
    </row>
    <row r="12" spans="2:18" ht="15.6" customHeight="1" thickBot="1">
      <c r="B12" s="191" t="s">
        <v>117</v>
      </c>
      <c r="C12" s="7"/>
      <c r="D12" s="7"/>
      <c r="E12" s="240">
        <f>SUM(E10:E11)</f>
        <v>2286659.35</v>
      </c>
      <c r="F12" s="232"/>
      <c r="G12" s="233"/>
      <c r="H12" s="232"/>
      <c r="I12" s="222"/>
      <c r="J12" s="32"/>
      <c r="K12" s="26" t="s">
        <v>11</v>
      </c>
      <c r="L12" s="201">
        <v>6893495</v>
      </c>
      <c r="M12" s="202">
        <v>8.8349999999999998E-2</v>
      </c>
      <c r="N12" s="172">
        <f t="shared" si="0"/>
        <v>609040.28324999998</v>
      </c>
      <c r="O12" s="26" t="s">
        <v>12</v>
      </c>
      <c r="P12" s="201">
        <v>826</v>
      </c>
      <c r="Q12" s="202">
        <v>8.9520000000000002E-2</v>
      </c>
      <c r="R12" s="172">
        <f>P12*Q12</f>
        <v>73.943520000000007</v>
      </c>
    </row>
    <row r="13" spans="2:18" ht="15.6" customHeight="1" thickBot="1">
      <c r="B13" s="192" t="s">
        <v>25</v>
      </c>
      <c r="C13" s="1"/>
      <c r="D13" s="1"/>
      <c r="E13" s="241">
        <f>-E11</f>
        <v>-30944.41</v>
      </c>
      <c r="F13" s="230"/>
      <c r="G13" s="231"/>
      <c r="H13" s="230"/>
      <c r="I13" s="221"/>
      <c r="J13" s="32"/>
      <c r="K13" s="26" t="s">
        <v>12</v>
      </c>
      <c r="L13" s="201">
        <v>101451</v>
      </c>
      <c r="M13" s="202">
        <v>8.8349999999999998E-2</v>
      </c>
      <c r="N13" s="172">
        <f t="shared" si="0"/>
        <v>8963.1958500000001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2255714.94</v>
      </c>
      <c r="F14" s="248">
        <f>E14*F8</f>
        <v>1552157.450214</v>
      </c>
      <c r="G14" s="249"/>
      <c r="H14" s="248">
        <f>E14*H8</f>
        <v>703557.48978599999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183531</v>
      </c>
      <c r="M15" s="202">
        <v>5.6399999999999999E-2</v>
      </c>
      <c r="N15" s="172">
        <f t="shared" si="0"/>
        <v>10351.1484</v>
      </c>
      <c r="O15" s="25" t="s">
        <v>29</v>
      </c>
      <c r="P15" s="143">
        <f>SUM(P10:P14)</f>
        <v>9995179</v>
      </c>
      <c r="Q15" s="144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2950398</v>
      </c>
      <c r="M16" s="202">
        <v>5.4000000000000001E-4</v>
      </c>
      <c r="N16" s="172">
        <f t="shared" si="0"/>
        <v>1593.2149200000001</v>
      </c>
      <c r="O16" s="26"/>
      <c r="P16" s="203">
        <v>9995179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8761189.7200000007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24894392</v>
      </c>
      <c r="M17" s="4"/>
      <c r="N17" s="23">
        <f>SUM(N10:N16)</f>
        <v>2080216.9221600003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-65395.49</v>
      </c>
      <c r="F18" s="251"/>
      <c r="G18" s="252"/>
      <c r="H18" s="251"/>
      <c r="I18" s="253"/>
      <c r="J18" s="32"/>
      <c r="K18" s="16"/>
      <c r="L18" s="203">
        <v>24894392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29394.18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6465.96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-1628312.65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541664.44999999995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2442071.88</v>
      </c>
      <c r="F23" s="251"/>
      <c r="G23" s="252"/>
      <c r="H23" s="251"/>
      <c r="I23" s="253"/>
      <c r="J23" s="32"/>
      <c r="K23" s="26" t="s">
        <v>10</v>
      </c>
      <c r="L23" s="173">
        <f>+L10</f>
        <v>14741098</v>
      </c>
      <c r="M23" s="202">
        <v>0.16167000000000001</v>
      </c>
      <c r="N23" s="172">
        <f t="shared" ref="N23:N28" si="3">L23*M23</f>
        <v>2383193.31366</v>
      </c>
      <c r="O23" s="26" t="s">
        <v>10</v>
      </c>
      <c r="P23" s="173">
        <f>+P10</f>
        <v>7153037</v>
      </c>
      <c r="Q23" s="202">
        <v>0.16148000000000001</v>
      </c>
      <c r="R23" s="172">
        <f t="shared" ref="R23" si="4">P23*Q23</f>
        <v>1155072.4147600001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-43528.85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24419</v>
      </c>
      <c r="M24" s="202">
        <v>0.16167000000000001</v>
      </c>
      <c r="N24" s="172">
        <f t="shared" si="3"/>
        <v>3947.8197300000002</v>
      </c>
      <c r="O24" s="26" t="s">
        <v>11</v>
      </c>
      <c r="P24" s="173">
        <f t="shared" ref="P24:P27" si="6">+P11</f>
        <v>2841316</v>
      </c>
      <c r="Q24" s="202">
        <v>0.16148000000000001</v>
      </c>
      <c r="R24" s="172">
        <f>P24*Q24</f>
        <v>458815.70768000005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-41461.96</v>
      </c>
      <c r="F25" s="251"/>
      <c r="G25" s="252"/>
      <c r="H25" s="251"/>
      <c r="I25" s="253"/>
      <c r="J25" s="32"/>
      <c r="K25" s="26" t="s">
        <v>11</v>
      </c>
      <c r="L25" s="173">
        <f t="shared" si="5"/>
        <v>6893495</v>
      </c>
      <c r="M25" s="202">
        <v>0.16167000000000001</v>
      </c>
      <c r="N25" s="172">
        <f t="shared" si="3"/>
        <v>1114471.33665</v>
      </c>
      <c r="O25" s="26" t="s">
        <v>12</v>
      </c>
      <c r="P25" s="173">
        <f t="shared" si="6"/>
        <v>826</v>
      </c>
      <c r="Q25" s="202">
        <v>0.16148000000000001</v>
      </c>
      <c r="R25" s="172">
        <f t="shared" ref="R25:R27" si="7">P25*Q25</f>
        <v>133.38248000000002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-3591215.15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101451</v>
      </c>
      <c r="M26" s="202">
        <v>0.16167000000000001</v>
      </c>
      <c r="N26" s="172">
        <f t="shared" si="3"/>
        <v>16401.583170000002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-166871.25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-1877941.99</v>
      </c>
      <c r="F28" s="251"/>
      <c r="G28" s="252"/>
      <c r="H28" s="251"/>
      <c r="I28" s="253"/>
      <c r="J28" s="32"/>
      <c r="K28" s="26" t="s">
        <v>14</v>
      </c>
      <c r="L28" s="173">
        <f t="shared" si="5"/>
        <v>183531</v>
      </c>
      <c r="M28" s="202">
        <v>0.16167000000000001</v>
      </c>
      <c r="N28" s="172">
        <f t="shared" si="3"/>
        <v>29671.456770000001</v>
      </c>
      <c r="O28" s="25" t="s">
        <v>31</v>
      </c>
      <c r="P28" s="143">
        <f>SUM(P23:P27)</f>
        <v>9995179</v>
      </c>
      <c r="Q28" s="144"/>
      <c r="R28" s="23">
        <f>SUM(R23:R27)</f>
        <v>1614021.50492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21943994</v>
      </c>
      <c r="M29" s="144"/>
      <c r="N29" s="151">
        <f>SUM(N23:N28)</f>
        <v>3547685.5099800001</v>
      </c>
      <c r="O29" s="25"/>
      <c r="P29" s="203">
        <v>9995179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-2212</v>
      </c>
      <c r="F30" s="255"/>
      <c r="G30" s="256"/>
      <c r="H30" s="255"/>
      <c r="I30" s="257"/>
      <c r="J30" s="32"/>
      <c r="K30" s="16"/>
      <c r="L30" s="203">
        <v>21943994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30944.41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4019791.26</v>
      </c>
      <c r="F32" s="258"/>
      <c r="G32" s="231">
        <f>E32*G8</f>
        <v>2761998.5747460001</v>
      </c>
      <c r="H32" s="140"/>
      <c r="I32" s="221">
        <f>E32*I8</f>
        <v>1257792.6852539997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-28878</v>
      </c>
      <c r="F33" s="255"/>
      <c r="G33" s="231">
        <f>E33</f>
        <v>-28878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337415.56</v>
      </c>
      <c r="F35" s="251"/>
      <c r="G35" s="231">
        <f>E35</f>
        <v>337415.56</v>
      </c>
      <c r="H35" s="140"/>
      <c r="I35" s="221"/>
      <c r="J35" s="32"/>
      <c r="K35" s="15" t="s">
        <v>128</v>
      </c>
      <c r="L35" s="141">
        <f>$F$39</f>
        <v>1552157.450214</v>
      </c>
      <c r="M35" s="141">
        <f>G39</f>
        <v>3070536.1347460002</v>
      </c>
      <c r="N35" s="141">
        <f>$H$39</f>
        <v>703557.48978599999</v>
      </c>
      <c r="O35" s="141">
        <f>I39</f>
        <v>1419928.8352539996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162136.15</v>
      </c>
      <c r="F36" s="251"/>
      <c r="G36" s="231"/>
      <c r="H36" s="140"/>
      <c r="I36" s="221">
        <f>E36</f>
        <v>162136.15</v>
      </c>
      <c r="J36" s="32"/>
      <c r="K36" s="15" t="s">
        <v>131</v>
      </c>
      <c r="L36" s="204">
        <f>-$N$17</f>
        <v>-2080216.9221600003</v>
      </c>
      <c r="M36" s="204">
        <f>-N29</f>
        <v>-3547685.5099800001</v>
      </c>
      <c r="N36" s="204">
        <f>-$R$15</f>
        <v>-894768.42408000003</v>
      </c>
      <c r="O36" s="204">
        <f>-R28</f>
        <v>-1614021.50492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4490464.97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-528059.47194600035</v>
      </c>
      <c r="M37" s="146">
        <f>SUM(M35:M36)</f>
        <v>-477149.37523399992</v>
      </c>
      <c r="N37" s="146">
        <f t="shared" si="8"/>
        <v>-191210.93429400004</v>
      </c>
      <c r="O37" s="146">
        <f t="shared" si="8"/>
        <v>-194092.66966600041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6746179.9100000001</v>
      </c>
      <c r="F39" s="246">
        <f>SUM(F14:F37)</f>
        <v>1552157.450214</v>
      </c>
      <c r="G39" s="247">
        <f t="shared" ref="G39:I39" si="9">SUM(G14:G37)</f>
        <v>3070536.1347460002</v>
      </c>
      <c r="H39" s="246">
        <f t="shared" si="9"/>
        <v>703557.48978599999</v>
      </c>
      <c r="I39" s="200">
        <f t="shared" si="9"/>
        <v>1419928.8352539996</v>
      </c>
      <c r="J39" s="32"/>
      <c r="K39" s="210"/>
      <c r="L39" s="213" t="s">
        <v>36</v>
      </c>
      <c r="M39" s="211">
        <f>SUM(L37:M37)</f>
        <v>-1005208.8471800003</v>
      </c>
      <c r="N39" s="214" t="s">
        <v>37</v>
      </c>
      <c r="O39" s="211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6746465.0800000001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-285.17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8761189.7200000007</v>
      </c>
      <c r="C46" s="186" t="s">
        <v>122</v>
      </c>
      <c r="E46" s="31"/>
    </row>
    <row r="47" spans="1:17" ht="15.75">
      <c r="A47" s="184"/>
      <c r="B47" s="186">
        <v>8761181.9499999993</v>
      </c>
      <c r="C47" s="186" t="s">
        <v>123</v>
      </c>
      <c r="D47" s="132"/>
      <c r="E47" s="32"/>
    </row>
    <row r="48" spans="1:17" ht="15.75">
      <c r="A48" s="184"/>
      <c r="B48" s="262">
        <f>B46-B47</f>
        <v>7.7700000014156103</v>
      </c>
      <c r="C48" s="187" t="s">
        <v>124</v>
      </c>
      <c r="E48" s="31"/>
    </row>
    <row r="49" spans="1:5" ht="15.75">
      <c r="A49" s="184"/>
      <c r="E49" s="31"/>
    </row>
    <row r="50" spans="1:5">
      <c r="B50" s="186"/>
      <c r="C50" s="186"/>
      <c r="E50" s="31"/>
    </row>
    <row r="51" spans="1:5" ht="15.75">
      <c r="A51" s="184" t="s">
        <v>61</v>
      </c>
      <c r="B51" s="186">
        <f>E26</f>
        <v>-3591215.15</v>
      </c>
      <c r="C51" s="186" t="s">
        <v>122</v>
      </c>
      <c r="E51" s="31"/>
    </row>
    <row r="52" spans="1:5">
      <c r="A52" s="185"/>
      <c r="B52" s="186">
        <f>-3599910.23+8988.03</f>
        <v>-3590922.2</v>
      </c>
      <c r="C52" s="186" t="s">
        <v>123</v>
      </c>
      <c r="E52" s="31"/>
    </row>
    <row r="53" spans="1:5" ht="15.75">
      <c r="A53" s="185"/>
      <c r="B53" s="262">
        <f>B51-B52</f>
        <v>-292.9499999997206</v>
      </c>
      <c r="C53" s="187"/>
      <c r="E53" s="31"/>
    </row>
    <row r="54" spans="1:5" ht="15.75">
      <c r="A54" s="185"/>
      <c r="B54" s="261">
        <v>-2.36</v>
      </c>
      <c r="C54" s="187" t="s">
        <v>124</v>
      </c>
      <c r="E54" s="31"/>
    </row>
    <row r="55" spans="1:5" ht="15.75">
      <c r="B55" s="186">
        <v>295.31</v>
      </c>
      <c r="C55" s="187" t="s">
        <v>135</v>
      </c>
      <c r="E55" s="31"/>
    </row>
    <row r="56" spans="1:5">
      <c r="B56" s="261">
        <f>SUM(B53:B55)</f>
        <v>2.7938540370087139E-10</v>
      </c>
      <c r="C56" s="186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190" priority="33" operator="equal">
      <formula>"ERROR"</formula>
    </cfRule>
  </conditionalFormatting>
  <conditionalFormatting sqref="D43:D45">
    <cfRule type="cellIs" dxfId="189" priority="32" operator="equal">
      <formula>"ERROR"</formula>
    </cfRule>
  </conditionalFormatting>
  <conditionalFormatting sqref="E47:I47">
    <cfRule type="cellIs" dxfId="188" priority="31" operator="equal">
      <formula>"ERROR"</formula>
    </cfRule>
  </conditionalFormatting>
  <conditionalFormatting sqref="E47:I47">
    <cfRule type="cellIs" dxfId="187" priority="30" operator="equal">
      <formula>"ERROR"</formula>
    </cfRule>
  </conditionalFormatting>
  <conditionalFormatting sqref="P31">
    <cfRule type="cellIs" dxfId="186" priority="29" operator="notEqual">
      <formula>0</formula>
    </cfRule>
  </conditionalFormatting>
  <conditionalFormatting sqref="L19">
    <cfRule type="cellIs" dxfId="185" priority="27" stopIfTrue="1" operator="equal">
      <formula>0</formula>
    </cfRule>
    <cfRule type="cellIs" dxfId="184" priority="28" stopIfTrue="1" operator="notEqual">
      <formula>0</formula>
    </cfRule>
  </conditionalFormatting>
  <conditionalFormatting sqref="L19">
    <cfRule type="cellIs" dxfId="183" priority="25" stopIfTrue="1" operator="equal">
      <formula>0</formula>
    </cfRule>
    <cfRule type="cellIs" dxfId="182" priority="26" stopIfTrue="1" operator="notEqual">
      <formula>0</formula>
    </cfRule>
  </conditionalFormatting>
  <conditionalFormatting sqref="L31">
    <cfRule type="cellIs" dxfId="181" priority="23" stopIfTrue="1" operator="equal">
      <formula>0</formula>
    </cfRule>
    <cfRule type="cellIs" dxfId="180" priority="24" stopIfTrue="1" operator="notEqual">
      <formula>0</formula>
    </cfRule>
  </conditionalFormatting>
  <conditionalFormatting sqref="L31">
    <cfRule type="cellIs" dxfId="179" priority="21" stopIfTrue="1" operator="equal">
      <formula>0</formula>
    </cfRule>
    <cfRule type="cellIs" dxfId="178" priority="22" stopIfTrue="1" operator="notEqual">
      <formula>0</formula>
    </cfRule>
  </conditionalFormatting>
  <conditionalFormatting sqref="P17">
    <cfRule type="cellIs" dxfId="177" priority="19" stopIfTrue="1" operator="equal">
      <formula>0</formula>
    </cfRule>
    <cfRule type="cellIs" dxfId="176" priority="20" stopIfTrue="1" operator="notEqual">
      <formula>0</formula>
    </cfRule>
  </conditionalFormatting>
  <conditionalFormatting sqref="P17">
    <cfRule type="cellIs" dxfId="175" priority="17" stopIfTrue="1" operator="equal">
      <formula>0</formula>
    </cfRule>
    <cfRule type="cellIs" dxfId="174" priority="18" stopIfTrue="1" operator="notEqual">
      <formula>0</formula>
    </cfRule>
  </conditionalFormatting>
  <conditionalFormatting sqref="P30">
    <cfRule type="cellIs" dxfId="173" priority="15" stopIfTrue="1" operator="equal">
      <formula>0</formula>
    </cfRule>
    <cfRule type="cellIs" dxfId="172" priority="16" stopIfTrue="1" operator="notEqual">
      <formula>0</formula>
    </cfRule>
  </conditionalFormatting>
  <conditionalFormatting sqref="P30">
    <cfRule type="cellIs" dxfId="171" priority="13" stopIfTrue="1" operator="equal">
      <formula>0</formula>
    </cfRule>
    <cfRule type="cellIs" dxfId="170" priority="14" stopIfTrue="1" operator="notEqual">
      <formula>0</formula>
    </cfRule>
  </conditionalFormatting>
  <conditionalFormatting sqref="P35:P36">
    <cfRule type="cellIs" dxfId="169" priority="11" stopIfTrue="1" operator="equal">
      <formula>0</formula>
    </cfRule>
    <cfRule type="cellIs" dxfId="168" priority="12" stopIfTrue="1" operator="notEqual">
      <formula>0</formula>
    </cfRule>
  </conditionalFormatting>
  <conditionalFormatting sqref="P35:P36">
    <cfRule type="cellIs" dxfId="167" priority="9" stopIfTrue="1" operator="equal">
      <formula>0</formula>
    </cfRule>
    <cfRule type="cellIs" dxfId="166" priority="10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>
      <c r="B1" s="179" t="s">
        <v>132</v>
      </c>
      <c r="C1" s="180">
        <v>202104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</row>
    <row r="3" spans="2:18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0.66559999999999997</v>
      </c>
      <c r="H8" s="228">
        <v>0.31190000000000001</v>
      </c>
      <c r="I8" s="190">
        <f>1-G8</f>
        <v>0.33440000000000003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163</v>
      </c>
      <c r="C10" s="28">
        <v>804001</v>
      </c>
      <c r="D10" s="28" t="s">
        <v>113</v>
      </c>
      <c r="E10" s="239">
        <v>2217053.54</v>
      </c>
      <c r="F10" s="230"/>
      <c r="G10" s="231"/>
      <c r="H10" s="230"/>
      <c r="I10" s="221"/>
      <c r="J10" s="32"/>
      <c r="K10" s="26" t="s">
        <v>10</v>
      </c>
      <c r="L10" s="201">
        <v>8945038</v>
      </c>
      <c r="M10" s="202">
        <v>9.8220000000000002E-2</v>
      </c>
      <c r="N10" s="172">
        <f t="shared" ref="N10:N16" si="0">L10*M10</f>
        <v>878581.63236000005</v>
      </c>
      <c r="O10" s="26" t="s">
        <v>10</v>
      </c>
      <c r="P10" s="201">
        <v>4746418</v>
      </c>
      <c r="Q10" s="202">
        <v>8.9520000000000002E-2</v>
      </c>
      <c r="R10" s="172">
        <f t="shared" ref="R10:R11" si="1">P10*Q10</f>
        <v>424899.33935999998</v>
      </c>
    </row>
    <row r="11" spans="2:18" ht="15.6" customHeight="1" thickBot="1">
      <c r="B11" s="177" t="s">
        <v>164</v>
      </c>
      <c r="C11" s="28">
        <v>804002</v>
      </c>
      <c r="D11" s="28" t="s">
        <v>113</v>
      </c>
      <c r="E11" s="239">
        <v>22092.66</v>
      </c>
      <c r="F11" s="230"/>
      <c r="G11" s="231"/>
      <c r="H11" s="230"/>
      <c r="I11" s="221"/>
      <c r="J11" s="32"/>
      <c r="K11" s="26" t="s">
        <v>42</v>
      </c>
      <c r="L11" s="201">
        <v>17127</v>
      </c>
      <c r="M11" s="202">
        <v>9.8220000000000002E-2</v>
      </c>
      <c r="N11" s="172">
        <f t="shared" si="0"/>
        <v>1682.2139400000001</v>
      </c>
      <c r="O11" s="26" t="s">
        <v>11</v>
      </c>
      <c r="P11" s="201">
        <v>1826242</v>
      </c>
      <c r="Q11" s="202">
        <v>8.9520000000000002E-2</v>
      </c>
      <c r="R11" s="172">
        <f t="shared" si="1"/>
        <v>163485.18384000001</v>
      </c>
    </row>
    <row r="12" spans="2:18" ht="15.6" customHeight="1" thickBot="1">
      <c r="B12" s="191" t="s">
        <v>117</v>
      </c>
      <c r="C12" s="7"/>
      <c r="D12" s="7"/>
      <c r="E12" s="240">
        <f>SUM(E10:E11)</f>
        <v>2239146.2000000002</v>
      </c>
      <c r="F12" s="232"/>
      <c r="G12" s="233"/>
      <c r="H12" s="232"/>
      <c r="I12" s="222"/>
      <c r="J12" s="32"/>
      <c r="K12" s="26" t="s">
        <v>11</v>
      </c>
      <c r="L12" s="201">
        <v>3971924</v>
      </c>
      <c r="M12" s="202">
        <v>8.8349999999999998E-2</v>
      </c>
      <c r="N12" s="172">
        <f t="shared" si="0"/>
        <v>350919.48540000001</v>
      </c>
      <c r="O12" s="26" t="s">
        <v>12</v>
      </c>
      <c r="P12" s="201">
        <v>9636</v>
      </c>
      <c r="Q12" s="202">
        <v>8.9520000000000002E-2</v>
      </c>
      <c r="R12" s="172">
        <f>P12*Q12</f>
        <v>862.61472000000003</v>
      </c>
    </row>
    <row r="13" spans="2:18" ht="15.6" customHeight="1" thickBot="1">
      <c r="B13" s="192" t="s">
        <v>25</v>
      </c>
      <c r="C13" s="1"/>
      <c r="D13" s="1"/>
      <c r="E13" s="241">
        <f>-E11</f>
        <v>-22092.66</v>
      </c>
      <c r="F13" s="230"/>
      <c r="G13" s="231"/>
      <c r="H13" s="230"/>
      <c r="I13" s="221"/>
      <c r="J13" s="32"/>
      <c r="K13" s="26" t="s">
        <v>12</v>
      </c>
      <c r="L13" s="201">
        <v>81963</v>
      </c>
      <c r="M13" s="202">
        <v>8.8349999999999998E-2</v>
      </c>
      <c r="N13" s="172">
        <f t="shared" si="0"/>
        <v>7241.4310500000001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2217053.54</v>
      </c>
      <c r="F14" s="248">
        <f>E14*F8</f>
        <v>1525554.5408740002</v>
      </c>
      <c r="G14" s="249"/>
      <c r="H14" s="248">
        <f>E14*H8</f>
        <v>691498.99912599998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86985</v>
      </c>
      <c r="M15" s="202">
        <v>5.6399999999999999E-2</v>
      </c>
      <c r="N15" s="172">
        <f t="shared" si="0"/>
        <v>4905.9539999999997</v>
      </c>
      <c r="O15" s="25" t="s">
        <v>29</v>
      </c>
      <c r="P15" s="143">
        <f>SUM(P10:P14)</f>
        <v>6582296</v>
      </c>
      <c r="Q15" s="144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2574153</v>
      </c>
      <c r="M16" s="202">
        <v>5.4000000000000001E-4</v>
      </c>
      <c r="N16" s="172">
        <f t="shared" si="0"/>
        <v>1390.0426199999999</v>
      </c>
      <c r="O16" s="26"/>
      <c r="P16" s="203">
        <v>6582296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9452203.8800000008</v>
      </c>
      <c r="F17" s="254"/>
      <c r="G17" s="252"/>
      <c r="H17" s="251"/>
      <c r="I17" s="253"/>
      <c r="J17" s="32"/>
      <c r="K17" s="25" t="s">
        <v>29</v>
      </c>
      <c r="L17" s="143">
        <f>SUM(L10:L16)</f>
        <v>15677190</v>
      </c>
      <c r="M17" s="4"/>
      <c r="N17" s="23">
        <f>SUM(N10:N16)</f>
        <v>1244720.7593699999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-112158.98</v>
      </c>
      <c r="F18" s="251"/>
      <c r="G18" s="252"/>
      <c r="H18" s="251"/>
      <c r="I18" s="253"/>
      <c r="J18" s="32"/>
      <c r="K18" s="16"/>
      <c r="L18" s="203">
        <v>15677190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28423.55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5291.37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-450045.06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1192250.82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303352.07</v>
      </c>
      <c r="F23" s="251"/>
      <c r="G23" s="252"/>
      <c r="H23" s="251"/>
      <c r="I23" s="253"/>
      <c r="J23" s="32"/>
      <c r="K23" s="26" t="s">
        <v>10</v>
      </c>
      <c r="L23" s="173">
        <f>+L10</f>
        <v>8945038</v>
      </c>
      <c r="M23" s="202">
        <v>0.16167000000000001</v>
      </c>
      <c r="N23" s="172">
        <f t="shared" ref="N23:N28" si="3">L23*M23</f>
        <v>1446144.2934600001</v>
      </c>
      <c r="O23" s="26" t="s">
        <v>10</v>
      </c>
      <c r="P23" s="173">
        <f>+P10</f>
        <v>4746418</v>
      </c>
      <c r="Q23" s="202">
        <v>0.16148000000000001</v>
      </c>
      <c r="R23" s="172">
        <f t="shared" ref="R23" si="4">P23*Q23</f>
        <v>766451.57864000008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-2205088.98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17127</v>
      </c>
      <c r="M24" s="202">
        <v>0.16167000000000001</v>
      </c>
      <c r="N24" s="172">
        <f t="shared" si="3"/>
        <v>2768.92209</v>
      </c>
      <c r="O24" s="26" t="s">
        <v>11</v>
      </c>
      <c r="P24" s="173">
        <f t="shared" ref="P24:P27" si="6">+P11</f>
        <v>1826242</v>
      </c>
      <c r="Q24" s="202">
        <v>0.16148000000000001</v>
      </c>
      <c r="R24" s="172">
        <f>P24*Q24</f>
        <v>294901.55816000002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-64920.04</v>
      </c>
      <c r="F25" s="251"/>
      <c r="G25" s="252"/>
      <c r="H25" s="251"/>
      <c r="I25" s="253"/>
      <c r="J25" s="32"/>
      <c r="K25" s="26" t="s">
        <v>11</v>
      </c>
      <c r="L25" s="173">
        <f t="shared" si="5"/>
        <v>3971924</v>
      </c>
      <c r="M25" s="202">
        <v>0.16167000000000001</v>
      </c>
      <c r="N25" s="172">
        <f t="shared" si="3"/>
        <v>642140.95308000001</v>
      </c>
      <c r="O25" s="26" t="s">
        <v>12</v>
      </c>
      <c r="P25" s="173">
        <f t="shared" si="6"/>
        <v>9636</v>
      </c>
      <c r="Q25" s="202">
        <v>0.16148000000000001</v>
      </c>
      <c r="R25" s="172">
        <f t="shared" ref="R25:R27" si="7">P25*Q25</f>
        <v>1556.0212800000002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-1751023.06</v>
      </c>
      <c r="F26" s="254"/>
      <c r="G26" s="252"/>
      <c r="H26" s="251"/>
      <c r="I26" s="253"/>
      <c r="J26" s="32"/>
      <c r="K26" s="26" t="s">
        <v>12</v>
      </c>
      <c r="L26" s="173">
        <f t="shared" si="5"/>
        <v>81963</v>
      </c>
      <c r="M26" s="202">
        <v>0.16167000000000001</v>
      </c>
      <c r="N26" s="172">
        <f t="shared" si="3"/>
        <v>13250.958210000001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182925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-2549327.2799999998</v>
      </c>
      <c r="F28" s="251"/>
      <c r="G28" s="252"/>
      <c r="H28" s="251"/>
      <c r="I28" s="253"/>
      <c r="J28" s="32"/>
      <c r="K28" s="26" t="s">
        <v>14</v>
      </c>
      <c r="L28" s="173">
        <f t="shared" si="5"/>
        <v>86985</v>
      </c>
      <c r="M28" s="202">
        <v>0.16167000000000001</v>
      </c>
      <c r="N28" s="172">
        <f t="shared" si="3"/>
        <v>14062.864950000001</v>
      </c>
      <c r="O28" s="25" t="s">
        <v>31</v>
      </c>
      <c r="P28" s="143">
        <f>SUM(P23:P27)</f>
        <v>6582296</v>
      </c>
      <c r="Q28" s="144"/>
      <c r="R28" s="23">
        <f>SUM(R23:R27)</f>
        <v>1062909.15808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13103037</v>
      </c>
      <c r="M29" s="144"/>
      <c r="N29" s="151">
        <f>SUM(N23:N28)</f>
        <v>2118367.9917899999</v>
      </c>
      <c r="O29" s="25"/>
      <c r="P29" s="203">
        <v>6582296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13103037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22092.66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3585225.9500000007</v>
      </c>
      <c r="F32" s="258"/>
      <c r="G32" s="231">
        <f>E32*G8</f>
        <v>2386326.3923200001</v>
      </c>
      <c r="H32" s="140"/>
      <c r="I32" s="221">
        <f>E32*I8</f>
        <v>1198899.5576800003</v>
      </c>
      <c r="J32" s="32"/>
    </row>
    <row r="33" spans="1:17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-99041.94</v>
      </c>
      <c r="F35" s="251"/>
      <c r="G35" s="231">
        <f>E35</f>
        <v>-99041.94</v>
      </c>
      <c r="H35" s="140"/>
      <c r="I35" s="221"/>
      <c r="J35" s="32"/>
      <c r="K35" s="15" t="s">
        <v>128</v>
      </c>
      <c r="L35" s="141">
        <f>$F$39</f>
        <v>1525554.5408740002</v>
      </c>
      <c r="M35" s="141">
        <f>G39</f>
        <v>2287284.4523200002</v>
      </c>
      <c r="N35" s="141">
        <f>$H$39</f>
        <v>691498.99912599998</v>
      </c>
      <c r="O35" s="141">
        <f>I39</f>
        <v>1151511.6776800004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-47387.88</v>
      </c>
      <c r="F36" s="251"/>
      <c r="G36" s="231"/>
      <c r="H36" s="140"/>
      <c r="I36" s="221">
        <f>E36</f>
        <v>-47387.88</v>
      </c>
      <c r="J36" s="32"/>
      <c r="K36" s="15" t="s">
        <v>131</v>
      </c>
      <c r="L36" s="204">
        <f>-$N$17</f>
        <v>-1244720.7593699999</v>
      </c>
      <c r="M36" s="204">
        <f>-N29</f>
        <v>-2118367.9917899999</v>
      </c>
      <c r="N36" s="204">
        <f>-$R$15</f>
        <v>-589247.13791999989</v>
      </c>
      <c r="O36" s="204">
        <f>-R28</f>
        <v>-1062909.15808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3438796.1300000008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280833.7815040003</v>
      </c>
      <c r="M37" s="146">
        <f>SUM(M35:M36)</f>
        <v>168916.46053000027</v>
      </c>
      <c r="N37" s="146">
        <f t="shared" si="8"/>
        <v>102251.86120600009</v>
      </c>
      <c r="O37" s="146">
        <f t="shared" si="8"/>
        <v>88602.519600000465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5655849.6700000009</v>
      </c>
      <c r="F39" s="246">
        <f>SUM(F14:F37)</f>
        <v>1525554.5408740002</v>
      </c>
      <c r="G39" s="247">
        <f t="shared" ref="G39:I39" si="9">SUM(G14:G37)</f>
        <v>2287284.4523200002</v>
      </c>
      <c r="H39" s="246">
        <f t="shared" si="9"/>
        <v>691498.99912599998</v>
      </c>
      <c r="I39" s="200">
        <f t="shared" si="9"/>
        <v>1151511.6776800004</v>
      </c>
      <c r="J39" s="32"/>
      <c r="K39" s="210"/>
      <c r="L39" s="213" t="s">
        <v>36</v>
      </c>
      <c r="M39" s="211">
        <f>SUM(L37:M37)</f>
        <v>449750.24203400058</v>
      </c>
      <c r="N39" s="214" t="s">
        <v>37</v>
      </c>
      <c r="O39" s="211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264" t="s">
        <v>137</v>
      </c>
      <c r="C41" s="263"/>
      <c r="D41" s="11" t="s">
        <v>136</v>
      </c>
      <c r="E41" s="181">
        <v>5655849.6699999999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 thickBot="1">
      <c r="B44" s="185"/>
      <c r="C44" s="185"/>
      <c r="E44" s="160"/>
      <c r="F44" s="220"/>
      <c r="G44" s="220"/>
      <c r="H44" s="220"/>
      <c r="I44" s="220"/>
    </row>
    <row r="45" spans="1:17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17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17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17">
      <c r="E48" s="267"/>
      <c r="F48" s="267"/>
    </row>
    <row r="49" spans="4:5">
      <c r="D49" s="6" t="s">
        <v>138</v>
      </c>
      <c r="E49" s="31">
        <f>0.38+0.06+239.39+0.07+110.39</f>
        <v>350.28999999999996</v>
      </c>
    </row>
    <row r="50" spans="4:5">
      <c r="D50" s="6" t="s">
        <v>139</v>
      </c>
      <c r="E50" s="268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9" operator="equal">
      <formula>"ERROR"</formula>
    </cfRule>
  </conditionalFormatting>
  <conditionalFormatting sqref="D43:D46">
    <cfRule type="cellIs" dxfId="160" priority="28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202105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  <c r="T1" s="269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0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0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0" t="s">
        <v>143</v>
      </c>
    </row>
    <row r="5" spans="2:20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  <c r="T5" s="270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0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0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0.64549999999999996</v>
      </c>
      <c r="H8" s="228">
        <v>0.31190000000000001</v>
      </c>
      <c r="I8" s="190">
        <f>1-G8</f>
        <v>0.35450000000000004</v>
      </c>
      <c r="J8" s="260"/>
      <c r="K8" s="15"/>
      <c r="L8" s="167"/>
      <c r="M8" s="167"/>
      <c r="N8" s="168"/>
      <c r="O8" s="138"/>
      <c r="P8" s="139"/>
      <c r="Q8" s="139"/>
      <c r="R8" s="27"/>
      <c r="T8" s="270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163</v>
      </c>
      <c r="C10" s="28">
        <v>804001</v>
      </c>
      <c r="D10" s="28" t="s">
        <v>113</v>
      </c>
      <c r="E10" s="239">
        <v>2239771.7999999998</v>
      </c>
      <c r="F10" s="230"/>
      <c r="G10" s="231"/>
      <c r="H10" s="230"/>
      <c r="I10" s="221"/>
      <c r="J10" s="32"/>
      <c r="K10" s="26" t="s">
        <v>10</v>
      </c>
      <c r="L10" s="201">
        <v>4457469</v>
      </c>
      <c r="M10" s="202">
        <v>9.8220000000000002E-2</v>
      </c>
      <c r="N10" s="172">
        <f t="shared" ref="N10:N16" si="0">L10*M10</f>
        <v>437812.60518000001</v>
      </c>
      <c r="O10" s="26" t="s">
        <v>10</v>
      </c>
      <c r="P10" s="201">
        <v>2518275</v>
      </c>
      <c r="Q10" s="202">
        <v>8.9520000000000002E-2</v>
      </c>
      <c r="R10" s="172">
        <f t="shared" ref="R10:R11" si="1">P10*Q10</f>
        <v>225435.978</v>
      </c>
    </row>
    <row r="11" spans="2:20" ht="15.6" customHeight="1" thickBot="1">
      <c r="B11" s="177" t="s">
        <v>164</v>
      </c>
      <c r="C11" s="28">
        <v>804002</v>
      </c>
      <c r="D11" s="28" t="s">
        <v>113</v>
      </c>
      <c r="E11" s="239">
        <v>27751.82</v>
      </c>
      <c r="F11" s="230"/>
      <c r="G11" s="231"/>
      <c r="H11" s="230"/>
      <c r="I11" s="221"/>
      <c r="J11" s="32"/>
      <c r="K11" s="26" t="s">
        <v>42</v>
      </c>
      <c r="L11" s="201">
        <v>8599</v>
      </c>
      <c r="M11" s="202">
        <v>9.8220000000000002E-2</v>
      </c>
      <c r="N11" s="172">
        <f t="shared" si="0"/>
        <v>844.59378000000004</v>
      </c>
      <c r="O11" s="26" t="s">
        <v>11</v>
      </c>
      <c r="P11" s="201">
        <v>1443773</v>
      </c>
      <c r="Q11" s="202">
        <v>8.9520000000000002E-2</v>
      </c>
      <c r="R11" s="172">
        <f t="shared" si="1"/>
        <v>129246.55896000001</v>
      </c>
    </row>
    <row r="12" spans="2:20" ht="15.6" customHeight="1" thickBot="1">
      <c r="B12" s="191" t="s">
        <v>117</v>
      </c>
      <c r="C12" s="7"/>
      <c r="D12" s="7"/>
      <c r="E12" s="240">
        <f>SUM(E10:E11)</f>
        <v>2267523.6199999996</v>
      </c>
      <c r="F12" s="232"/>
      <c r="G12" s="233"/>
      <c r="H12" s="232"/>
      <c r="I12" s="222"/>
      <c r="J12" s="32"/>
      <c r="K12" s="26" t="s">
        <v>11</v>
      </c>
      <c r="L12" s="201">
        <v>2827756</v>
      </c>
      <c r="M12" s="202">
        <v>8.8349999999999998E-2</v>
      </c>
      <c r="N12" s="172">
        <f t="shared" si="0"/>
        <v>249832.2426</v>
      </c>
      <c r="O12" s="26" t="s">
        <v>12</v>
      </c>
      <c r="P12" s="201">
        <v>89062</v>
      </c>
      <c r="Q12" s="202">
        <v>8.9520000000000002E-2</v>
      </c>
      <c r="R12" s="172">
        <f>P12*Q12</f>
        <v>7972.8302400000002</v>
      </c>
    </row>
    <row r="13" spans="2:20" ht="15.6" customHeight="1" thickBot="1">
      <c r="B13" s="192" t="s">
        <v>25</v>
      </c>
      <c r="C13" s="1"/>
      <c r="D13" s="1"/>
      <c r="E13" s="241">
        <f>-E11</f>
        <v>-27751.82</v>
      </c>
      <c r="F13" s="230"/>
      <c r="G13" s="231"/>
      <c r="H13" s="230"/>
      <c r="I13" s="221"/>
      <c r="J13" s="32"/>
      <c r="K13" s="26" t="s">
        <v>12</v>
      </c>
      <c r="L13" s="201">
        <v>18675</v>
      </c>
      <c r="M13" s="202">
        <v>8.8349999999999998E-2</v>
      </c>
      <c r="N13" s="172">
        <f t="shared" si="0"/>
        <v>1649.93625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2239771.7999999998</v>
      </c>
      <c r="F14" s="248">
        <f>E14*F8</f>
        <v>1541186.9755800001</v>
      </c>
      <c r="G14" s="249"/>
      <c r="H14" s="248">
        <f>E14*H8</f>
        <v>698584.82441999996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65395</v>
      </c>
      <c r="M15" s="202">
        <v>5.6399999999999999E-2</v>
      </c>
      <c r="N15" s="172">
        <f t="shared" si="0"/>
        <v>3688.2779999999998</v>
      </c>
      <c r="O15" s="25" t="s">
        <v>29</v>
      </c>
      <c r="P15" s="143">
        <f>SUM(P10:P14)</f>
        <v>4051110</v>
      </c>
      <c r="Q15" s="144"/>
      <c r="R15" s="23">
        <f>SUM(R10:R14)</f>
        <v>362655.36719999998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2309343</v>
      </c>
      <c r="M16" s="202">
        <v>5.4000000000000001E-4</v>
      </c>
      <c r="N16" s="172">
        <f t="shared" si="0"/>
        <v>1247.04522</v>
      </c>
      <c r="O16" s="26"/>
      <c r="P16" s="203">
        <v>4051110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11513414.5</v>
      </c>
      <c r="F17" s="254"/>
      <c r="G17" s="252"/>
      <c r="H17" s="251"/>
      <c r="I17" s="253"/>
      <c r="J17" s="32"/>
      <c r="K17" s="25" t="s">
        <v>29</v>
      </c>
      <c r="L17" s="143">
        <f>SUM(L10:L16)</f>
        <v>9687237</v>
      </c>
      <c r="M17" s="4"/>
      <c r="N17" s="23">
        <f>SUM(N10:N16)</f>
        <v>695074.70103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92569.88</v>
      </c>
      <c r="F18" s="251"/>
      <c r="G18" s="252"/>
      <c r="H18" s="251"/>
      <c r="I18" s="253"/>
      <c r="J18" s="32"/>
      <c r="K18" s="16"/>
      <c r="L18" s="203">
        <v>9687237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30695.23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10291.02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-748053.66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2444044.7400000002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6252</v>
      </c>
      <c r="F23" s="251"/>
      <c r="G23" s="252"/>
      <c r="H23" s="251"/>
      <c r="I23" s="253"/>
      <c r="J23" s="32"/>
      <c r="K23" s="26" t="s">
        <v>10</v>
      </c>
      <c r="L23" s="173">
        <f>+L10</f>
        <v>4457469</v>
      </c>
      <c r="M23" s="202">
        <v>0.16167000000000001</v>
      </c>
      <c r="N23" s="172">
        <f t="shared" ref="N23:N28" si="3">L23*M23</f>
        <v>720639.01323000004</v>
      </c>
      <c r="O23" s="26" t="s">
        <v>10</v>
      </c>
      <c r="P23" s="173">
        <f>+P10</f>
        <v>2518275</v>
      </c>
      <c r="Q23" s="202">
        <v>0.16148000000000001</v>
      </c>
      <c r="R23" s="172">
        <f t="shared" ref="R23" si="4">P23*Q23</f>
        <v>406651.04700000002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-7450128.4800000004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8599</v>
      </c>
      <c r="M24" s="202">
        <v>0.16167000000000001</v>
      </c>
      <c r="N24" s="172">
        <f t="shared" si="3"/>
        <v>1390.2003300000001</v>
      </c>
      <c r="O24" s="26" t="s">
        <v>11</v>
      </c>
      <c r="P24" s="173">
        <f t="shared" ref="P24:P27" si="6">+P11</f>
        <v>1443773</v>
      </c>
      <c r="Q24" s="202">
        <v>0.16148000000000001</v>
      </c>
      <c r="R24" s="172">
        <f>P24*Q24</f>
        <v>233140.46404000002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-31979.01</v>
      </c>
      <c r="F25" s="251"/>
      <c r="G25" s="252"/>
      <c r="H25" s="251"/>
      <c r="I25" s="253"/>
      <c r="J25" s="32"/>
      <c r="K25" s="26" t="s">
        <v>11</v>
      </c>
      <c r="L25" s="173">
        <f t="shared" si="5"/>
        <v>2827756</v>
      </c>
      <c r="M25" s="202">
        <v>0.16167000000000001</v>
      </c>
      <c r="N25" s="172">
        <f t="shared" si="3"/>
        <v>457163.31252000004</v>
      </c>
      <c r="O25" s="26" t="s">
        <v>12</v>
      </c>
      <c r="P25" s="173">
        <f t="shared" si="6"/>
        <v>89062</v>
      </c>
      <c r="Q25" s="202">
        <v>0.16148000000000001</v>
      </c>
      <c r="R25" s="172">
        <f t="shared" ref="R25:R27" si="7">P25*Q25</f>
        <v>14381.731760000001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-152095.42000000001</v>
      </c>
      <c r="F26" s="254"/>
      <c r="G26" s="252"/>
      <c r="H26" s="251"/>
      <c r="I26" s="253"/>
      <c r="J26" s="32"/>
      <c r="K26" s="26" t="s">
        <v>12</v>
      </c>
      <c r="L26" s="173">
        <f t="shared" si="5"/>
        <v>18675</v>
      </c>
      <c r="M26" s="202">
        <v>0.16167000000000001</v>
      </c>
      <c r="N26" s="172">
        <f t="shared" si="3"/>
        <v>3019.1872499999999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300762.01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-3559127.51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65395</v>
      </c>
      <c r="M28" s="202">
        <v>0.16167000000000001</v>
      </c>
      <c r="N28" s="172">
        <f t="shared" si="3"/>
        <v>10572.409650000001</v>
      </c>
      <c r="O28" s="25" t="s">
        <v>31</v>
      </c>
      <c r="P28" s="143">
        <f>SUM(P23:P27)</f>
        <v>4051110</v>
      </c>
      <c r="Q28" s="144"/>
      <c r="R28" s="23">
        <f>SUM(R23:R27)</f>
        <v>654173.24280000001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7377894</v>
      </c>
      <c r="M29" s="144"/>
      <c r="N29" s="151">
        <f>SUM(N23:N28)</f>
        <v>1192784.1229800002</v>
      </c>
      <c r="O29" s="25"/>
      <c r="P29" s="203">
        <v>4051110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7377894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27751.82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2015647.1200000008</v>
      </c>
      <c r="F32" s="258"/>
      <c r="G32" s="231">
        <f>E32*G8</f>
        <v>1301100.2159600004</v>
      </c>
      <c r="H32" s="140"/>
      <c r="I32" s="221">
        <f>E32*I8</f>
        <v>714546.9040400004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58849.63</v>
      </c>
      <c r="F35" s="251"/>
      <c r="G35" s="231">
        <f>E35</f>
        <v>58849.63</v>
      </c>
      <c r="H35" s="140"/>
      <c r="I35" s="221"/>
      <c r="J35" s="32"/>
      <c r="K35" s="15" t="s">
        <v>128</v>
      </c>
      <c r="L35" s="141">
        <f>$F$39</f>
        <v>1541186.9755800001</v>
      </c>
      <c r="M35" s="141">
        <f>G39</f>
        <v>1359949.8459600003</v>
      </c>
      <c r="N35" s="141">
        <f>$H$39</f>
        <v>698584.82441999996</v>
      </c>
      <c r="O35" s="141">
        <f>I39</f>
        <v>743343.95404000045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28797.05</v>
      </c>
      <c r="F36" s="251"/>
      <c r="G36" s="231"/>
      <c r="H36" s="140"/>
      <c r="I36" s="221">
        <f>E36</f>
        <v>28797.05</v>
      </c>
      <c r="J36" s="32"/>
      <c r="K36" s="15" t="s">
        <v>131</v>
      </c>
      <c r="L36" s="204">
        <f>-$N$17</f>
        <v>-695074.70103</v>
      </c>
      <c r="M36" s="204">
        <f>-N29</f>
        <v>-1192784.1229800002</v>
      </c>
      <c r="N36" s="204">
        <f>-$R$15</f>
        <v>-362655.36719999998</v>
      </c>
      <c r="O36" s="204">
        <f>-R28</f>
        <v>-654173.24280000001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2103293.8000000007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846112.27455000009</v>
      </c>
      <c r="M37" s="146">
        <f>SUM(M35:M36)</f>
        <v>167165.72298000008</v>
      </c>
      <c r="N37" s="146">
        <f t="shared" si="8"/>
        <v>335929.45721999998</v>
      </c>
      <c r="O37" s="146">
        <f t="shared" si="8"/>
        <v>89170.711240000441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4343065.6000000006</v>
      </c>
      <c r="F39" s="246">
        <f>SUM(F14:F37)</f>
        <v>1541186.9755800001</v>
      </c>
      <c r="G39" s="247">
        <f t="shared" ref="G39:I39" si="9">SUM(G14:G37)</f>
        <v>1359949.8459600003</v>
      </c>
      <c r="H39" s="246">
        <f t="shared" si="9"/>
        <v>698584.82441999996</v>
      </c>
      <c r="I39" s="200">
        <f t="shared" si="9"/>
        <v>743343.95404000045</v>
      </c>
      <c r="J39" s="32"/>
      <c r="K39" s="210"/>
      <c r="L39" s="213" t="s">
        <v>36</v>
      </c>
      <c r="M39" s="211">
        <f>SUM(L37:M37)</f>
        <v>1013277.9975300002</v>
      </c>
      <c r="N39" s="214" t="s">
        <v>37</v>
      </c>
      <c r="O39" s="211">
        <f>SUM(N37:O37)</f>
        <v>425100.16846000042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4343065.5999999996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4" zoomScale="60" zoomScaleNormal="60" workbookViewId="0">
      <selection activeCell="E17" sqref="E17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202106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0.64329999999999998</v>
      </c>
      <c r="H8" s="228">
        <v>0.31190000000000001</v>
      </c>
      <c r="I8" s="190">
        <f>1-G8</f>
        <v>0.35670000000000002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163</v>
      </c>
      <c r="C10" s="28">
        <v>804001</v>
      </c>
      <c r="D10" s="28" t="s">
        <v>113</v>
      </c>
      <c r="E10" s="239">
        <v>2197743.3199999998</v>
      </c>
      <c r="F10" s="230"/>
      <c r="G10" s="231"/>
      <c r="H10" s="230"/>
      <c r="I10" s="221"/>
      <c r="J10" s="32"/>
      <c r="K10" s="26" t="s">
        <v>10</v>
      </c>
      <c r="L10" s="201">
        <v>2740706</v>
      </c>
      <c r="M10" s="202">
        <v>9.8220000000000002E-2</v>
      </c>
      <c r="N10" s="172">
        <f t="shared" ref="N10:N16" si="0">L10*M10</f>
        <v>269192.14332000003</v>
      </c>
      <c r="O10" s="26" t="s">
        <v>10</v>
      </c>
      <c r="P10" s="201">
        <v>1493810</v>
      </c>
      <c r="Q10" s="202">
        <v>8.9520000000000002E-2</v>
      </c>
      <c r="R10" s="172">
        <f t="shared" ref="R10:R11" si="1">P10*Q10</f>
        <v>133725.87119999999</v>
      </c>
    </row>
    <row r="11" spans="2:20" ht="15.6" customHeight="1" thickBot="1">
      <c r="B11" s="177" t="s">
        <v>164</v>
      </c>
      <c r="C11" s="28">
        <v>804002</v>
      </c>
      <c r="D11" s="28" t="s">
        <v>113</v>
      </c>
      <c r="E11" s="239">
        <v>23484.18</v>
      </c>
      <c r="F11" s="230"/>
      <c r="G11" s="231"/>
      <c r="H11" s="230"/>
      <c r="I11" s="221"/>
      <c r="J11" s="32"/>
      <c r="K11" s="26" t="s">
        <v>42</v>
      </c>
      <c r="L11" s="201">
        <v>4893</v>
      </c>
      <c r="M11" s="202">
        <v>9.8220000000000002E-2</v>
      </c>
      <c r="N11" s="172">
        <f t="shared" si="0"/>
        <v>480.59046000000001</v>
      </c>
      <c r="O11" s="26" t="s">
        <v>11</v>
      </c>
      <c r="P11" s="201">
        <v>1110268</v>
      </c>
      <c r="Q11" s="202">
        <v>8.9520000000000002E-2</v>
      </c>
      <c r="R11" s="172">
        <f t="shared" si="1"/>
        <v>99391.191359999997</v>
      </c>
    </row>
    <row r="12" spans="2:20" ht="15.6" customHeight="1" thickBot="1">
      <c r="B12" s="191" t="s">
        <v>117</v>
      </c>
      <c r="C12" s="7"/>
      <c r="D12" s="7"/>
      <c r="E12" s="240">
        <f>SUM(E10:E11)</f>
        <v>2221227.5</v>
      </c>
      <c r="F12" s="232"/>
      <c r="G12" s="233"/>
      <c r="H12" s="232"/>
      <c r="I12" s="222"/>
      <c r="J12" s="32"/>
      <c r="K12" s="26" t="s">
        <v>11</v>
      </c>
      <c r="L12" s="201">
        <v>1934595</v>
      </c>
      <c r="M12" s="202">
        <v>8.8349999999999998E-2</v>
      </c>
      <c r="N12" s="172">
        <f t="shared" si="0"/>
        <v>170921.46825000001</v>
      </c>
      <c r="O12" s="26" t="s">
        <v>12</v>
      </c>
      <c r="P12" s="201">
        <v>39804</v>
      </c>
      <c r="Q12" s="202">
        <v>8.9520000000000002E-2</v>
      </c>
      <c r="R12" s="172">
        <f>P12*Q12</f>
        <v>3563.2540800000002</v>
      </c>
    </row>
    <row r="13" spans="2:20" ht="15.6" customHeight="1" thickBot="1">
      <c r="B13" s="192" t="s">
        <v>25</v>
      </c>
      <c r="C13" s="1"/>
      <c r="D13" s="1"/>
      <c r="E13" s="241">
        <f>-E11</f>
        <v>-23484.18</v>
      </c>
      <c r="F13" s="230"/>
      <c r="G13" s="231"/>
      <c r="H13" s="230"/>
      <c r="I13" s="221"/>
      <c r="J13" s="32"/>
      <c r="K13" s="26" t="s">
        <v>12</v>
      </c>
      <c r="L13" s="201">
        <v>36635</v>
      </c>
      <c r="M13" s="202">
        <v>8.8349999999999998E-2</v>
      </c>
      <c r="N13" s="172">
        <f t="shared" si="0"/>
        <v>3236.7022499999998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2197743.3199999998</v>
      </c>
      <c r="F14" s="248">
        <f>E14*F8</f>
        <v>1512267.1784920001</v>
      </c>
      <c r="G14" s="249"/>
      <c r="H14" s="248">
        <f>E14*H8</f>
        <v>685476.14150799997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51440</v>
      </c>
      <c r="M15" s="202">
        <v>5.6399999999999999E-2</v>
      </c>
      <c r="N15" s="172">
        <f t="shared" si="0"/>
        <v>2901.2159999999999</v>
      </c>
      <c r="O15" s="25" t="s">
        <v>29</v>
      </c>
      <c r="P15" s="143">
        <f>SUM(P10:P14)</f>
        <v>2643882</v>
      </c>
      <c r="Q15" s="144"/>
      <c r="R15" s="23">
        <f>SUM(R10:R14)</f>
        <v>236680.31664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2001614</v>
      </c>
      <c r="M16" s="202">
        <v>5.4000000000000001E-4</v>
      </c>
      <c r="N16" s="172">
        <f t="shared" si="0"/>
        <v>1080.87156</v>
      </c>
      <c r="O16" s="26"/>
      <c r="P16" s="203">
        <v>2643882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9735081.9100000001</v>
      </c>
      <c r="F17" s="254"/>
      <c r="G17" s="252"/>
      <c r="H17" s="251"/>
      <c r="I17" s="253"/>
      <c r="J17" s="32"/>
      <c r="K17" s="25" t="s">
        <v>29</v>
      </c>
      <c r="L17" s="143">
        <f>SUM(L10:L16)</f>
        <v>6769883</v>
      </c>
      <c r="M17" s="4"/>
      <c r="N17" s="23">
        <f>SUM(N10:N16)</f>
        <v>447812.99184000003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76041.210000000006</v>
      </c>
      <c r="F18" s="251"/>
      <c r="G18" s="252"/>
      <c r="H18" s="251"/>
      <c r="I18" s="253"/>
      <c r="J18" s="32"/>
      <c r="K18" s="16"/>
      <c r="L18" s="203">
        <v>6769883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27836.94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14252.14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-751048.88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1822488.11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2755.2</v>
      </c>
      <c r="F23" s="251"/>
      <c r="G23" s="252"/>
      <c r="H23" s="251"/>
      <c r="I23" s="253"/>
      <c r="J23" s="32"/>
      <c r="K23" s="26" t="s">
        <v>10</v>
      </c>
      <c r="L23" s="173">
        <f>+L10</f>
        <v>2740706</v>
      </c>
      <c r="M23" s="202">
        <v>0.16167000000000001</v>
      </c>
      <c r="N23" s="172">
        <f t="shared" ref="N23:N28" si="3">L23*M23</f>
        <v>443089.93902000005</v>
      </c>
      <c r="O23" s="26" t="s">
        <v>10</v>
      </c>
      <c r="P23" s="173">
        <f>+P10</f>
        <v>1493810</v>
      </c>
      <c r="Q23" s="202">
        <v>0.16148000000000001</v>
      </c>
      <c r="R23" s="172">
        <f t="shared" ref="R23" si="4">P23*Q23</f>
        <v>241220.43880000003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-6921186.4900000002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4893</v>
      </c>
      <c r="M24" s="202">
        <v>0.16167000000000001</v>
      </c>
      <c r="N24" s="172">
        <f t="shared" si="3"/>
        <v>791.05131000000006</v>
      </c>
      <c r="O24" s="26" t="s">
        <v>11</v>
      </c>
      <c r="P24" s="173">
        <f t="shared" ref="P24:P27" si="6">+P11</f>
        <v>1110268</v>
      </c>
      <c r="Q24" s="202">
        <v>0.16148000000000001</v>
      </c>
      <c r="R24" s="172">
        <f>P24*Q24</f>
        <v>179286.07664000001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-29068.67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1934595</v>
      </c>
      <c r="M25" s="202">
        <v>0.16167000000000001</v>
      </c>
      <c r="N25" s="172">
        <f t="shared" si="3"/>
        <v>312765.97365</v>
      </c>
      <c r="O25" s="26" t="s">
        <v>12</v>
      </c>
      <c r="P25" s="173">
        <f t="shared" si="6"/>
        <v>39804</v>
      </c>
      <c r="Q25" s="202">
        <v>0.16148000000000001</v>
      </c>
      <c r="R25" s="172">
        <f t="shared" ref="R25:R27" si="7">P25*Q25</f>
        <v>6427.5499200000004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-463068.56</v>
      </c>
      <c r="F26" s="254"/>
      <c r="G26" s="252"/>
      <c r="H26" s="251"/>
      <c r="I26" s="253"/>
      <c r="J26" s="32"/>
      <c r="K26" s="26" t="s">
        <v>12</v>
      </c>
      <c r="L26" s="173">
        <f t="shared" si="5"/>
        <v>36635</v>
      </c>
      <c r="M26" s="202">
        <v>0.16167000000000001</v>
      </c>
      <c r="N26" s="172">
        <f t="shared" si="3"/>
        <v>5922.7804500000002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362745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-2225410.06</v>
      </c>
      <c r="F28" s="251"/>
      <c r="G28" s="252"/>
      <c r="H28" s="251"/>
      <c r="I28" s="253"/>
      <c r="J28" s="32"/>
      <c r="K28" s="26" t="s">
        <v>14</v>
      </c>
      <c r="L28" s="173">
        <f t="shared" si="5"/>
        <v>51440</v>
      </c>
      <c r="M28" s="202">
        <v>0.16167000000000001</v>
      </c>
      <c r="N28" s="172">
        <f t="shared" si="3"/>
        <v>8316.3047999999999</v>
      </c>
      <c r="O28" s="25" t="s">
        <v>31</v>
      </c>
      <c r="P28" s="143">
        <f>SUM(P23:P27)</f>
        <v>2643882</v>
      </c>
      <c r="Q28" s="144"/>
      <c r="R28" s="23">
        <f>SUM(R23:R27)</f>
        <v>426934.06536000007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4768269</v>
      </c>
      <c r="M29" s="144"/>
      <c r="N29" s="151">
        <f>SUM(N23:N28)</f>
        <v>770886.04923</v>
      </c>
      <c r="O29" s="25"/>
      <c r="P29" s="203">
        <v>2643882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4768269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23484.18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1206152.0299999986</v>
      </c>
      <c r="F32" s="258"/>
      <c r="G32" s="231">
        <f>E32*G8</f>
        <v>775917.60089899914</v>
      </c>
      <c r="H32" s="140"/>
      <c r="I32" s="221">
        <f>E32*I8</f>
        <v>430234.42910099955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-59607.33</v>
      </c>
      <c r="F35" s="251"/>
      <c r="G35" s="231">
        <f>E35</f>
        <v>-59607.33</v>
      </c>
      <c r="H35" s="140"/>
      <c r="I35" s="221"/>
      <c r="J35" s="32"/>
      <c r="K35" s="15" t="s">
        <v>128</v>
      </c>
      <c r="L35" s="141">
        <f>$F$39</f>
        <v>1512267.1784920001</v>
      </c>
      <c r="M35" s="141">
        <f>G39</f>
        <v>716310.27089899918</v>
      </c>
      <c r="N35" s="141">
        <f>$H$39</f>
        <v>685476.14150799997</v>
      </c>
      <c r="O35" s="141">
        <f>I39</f>
        <v>398023.84910099953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-32210.58</v>
      </c>
      <c r="F36" s="251"/>
      <c r="G36" s="231"/>
      <c r="H36" s="140"/>
      <c r="I36" s="221">
        <f>E36</f>
        <v>-32210.58</v>
      </c>
      <c r="J36" s="32"/>
      <c r="K36" s="15" t="s">
        <v>131</v>
      </c>
      <c r="L36" s="204">
        <f>-$N$17</f>
        <v>-447812.99184000003</v>
      </c>
      <c r="M36" s="204">
        <f>-N29</f>
        <v>-770886.04923</v>
      </c>
      <c r="N36" s="204">
        <f>-$R$15</f>
        <v>-236680.31664</v>
      </c>
      <c r="O36" s="204">
        <f>-R28</f>
        <v>-426934.06536000007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1114334.1199999985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1064454.1866520001</v>
      </c>
      <c r="M37" s="146">
        <f>SUM(M35:M36)</f>
        <v>-54575.778331000824</v>
      </c>
      <c r="N37" s="146">
        <f t="shared" si="8"/>
        <v>448795.824868</v>
      </c>
      <c r="O37" s="146">
        <f t="shared" si="8"/>
        <v>-28910.216259000532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3312077.4399999985</v>
      </c>
      <c r="F39" s="246">
        <f>SUM(F14:F37)</f>
        <v>1512267.1784920001</v>
      </c>
      <c r="G39" s="247">
        <f t="shared" ref="G39:I39" si="9">SUM(G14:G37)</f>
        <v>716310.27089899918</v>
      </c>
      <c r="H39" s="246">
        <f t="shared" si="9"/>
        <v>685476.14150799997</v>
      </c>
      <c r="I39" s="200">
        <f t="shared" si="9"/>
        <v>398023.84910099953</v>
      </c>
      <c r="J39" s="32"/>
      <c r="K39" s="210"/>
      <c r="L39" s="213" t="s">
        <v>36</v>
      </c>
      <c r="M39" s="211">
        <f>SUM(L37:M37)</f>
        <v>1009878.4083209992</v>
      </c>
      <c r="N39" s="214" t="s">
        <v>37</v>
      </c>
      <c r="O39" s="211">
        <f>SUM(N37:O37)</f>
        <v>419885.60860899946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3312077.44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topLeftCell="A4" zoomScale="60" zoomScaleNormal="60" workbookViewId="0">
      <selection activeCell="G43" sqref="G43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202107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0.65280000000000005</v>
      </c>
      <c r="H8" s="228">
        <v>0.31190000000000001</v>
      </c>
      <c r="I8" s="190">
        <f>1-G8</f>
        <v>0.34719999999999995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163</v>
      </c>
      <c r="C10" s="28">
        <v>804001</v>
      </c>
      <c r="D10" s="28" t="s">
        <v>113</v>
      </c>
      <c r="E10" s="239">
        <v>2238962.86</v>
      </c>
      <c r="F10" s="230"/>
      <c r="G10" s="231"/>
      <c r="H10" s="230"/>
      <c r="I10" s="221"/>
      <c r="J10" s="32"/>
      <c r="K10" s="26" t="s">
        <v>10</v>
      </c>
      <c r="L10" s="201">
        <v>2045371</v>
      </c>
      <c r="M10" s="202">
        <v>9.8220000000000002E-2</v>
      </c>
      <c r="N10" s="172">
        <f t="shared" ref="N10:N16" si="0">L10*M10</f>
        <v>200896.33962000001</v>
      </c>
      <c r="O10" s="26" t="s">
        <v>10</v>
      </c>
      <c r="P10" s="201">
        <v>1033761</v>
      </c>
      <c r="Q10" s="202">
        <v>8.9520000000000002E-2</v>
      </c>
      <c r="R10" s="172">
        <f t="shared" ref="R10:R11" si="1">P10*Q10</f>
        <v>92542.284719999996</v>
      </c>
    </row>
    <row r="11" spans="2:20" ht="15.6" customHeight="1" thickBot="1">
      <c r="B11" s="177" t="s">
        <v>164</v>
      </c>
      <c r="C11" s="28">
        <v>804002</v>
      </c>
      <c r="D11" s="28" t="s">
        <v>113</v>
      </c>
      <c r="E11" s="239">
        <v>9049.24</v>
      </c>
      <c r="F11" s="230"/>
      <c r="G11" s="231"/>
      <c r="H11" s="230"/>
      <c r="I11" s="221"/>
      <c r="J11" s="32"/>
      <c r="K11" s="26" t="s">
        <v>42</v>
      </c>
      <c r="L11" s="201">
        <v>3096</v>
      </c>
      <c r="M11" s="202">
        <v>9.8220000000000002E-2</v>
      </c>
      <c r="N11" s="172">
        <f t="shared" si="0"/>
        <v>304.08911999999998</v>
      </c>
      <c r="O11" s="26" t="s">
        <v>11</v>
      </c>
      <c r="P11" s="201">
        <v>933986</v>
      </c>
      <c r="Q11" s="202">
        <v>8.9520000000000002E-2</v>
      </c>
      <c r="R11" s="172">
        <f t="shared" si="1"/>
        <v>83610.426720000003</v>
      </c>
    </row>
    <row r="12" spans="2:20" ht="15.6" customHeight="1" thickBot="1">
      <c r="B12" s="191" t="s">
        <v>117</v>
      </c>
      <c r="C12" s="7"/>
      <c r="D12" s="7"/>
      <c r="E12" s="240">
        <f>SUM(E10:E11)</f>
        <v>2248012.1</v>
      </c>
      <c r="F12" s="232"/>
      <c r="G12" s="233"/>
      <c r="H12" s="232"/>
      <c r="I12" s="222"/>
      <c r="J12" s="32"/>
      <c r="K12" s="26" t="s">
        <v>11</v>
      </c>
      <c r="L12" s="201">
        <v>1663592</v>
      </c>
      <c r="M12" s="202">
        <v>8.8349999999999998E-2</v>
      </c>
      <c r="N12" s="172">
        <f t="shared" si="0"/>
        <v>146978.35319999998</v>
      </c>
      <c r="O12" s="26" t="s">
        <v>12</v>
      </c>
      <c r="P12" s="201">
        <v>43195</v>
      </c>
      <c r="Q12" s="202">
        <v>8.9520000000000002E-2</v>
      </c>
      <c r="R12" s="172">
        <f>P12*Q12</f>
        <v>3866.8164000000002</v>
      </c>
    </row>
    <row r="13" spans="2:20" ht="15.6" customHeight="1" thickBot="1">
      <c r="B13" s="192" t="s">
        <v>25</v>
      </c>
      <c r="C13" s="1"/>
      <c r="D13" s="1"/>
      <c r="E13" s="241">
        <f>-E11</f>
        <v>-9049.24</v>
      </c>
      <c r="F13" s="230"/>
      <c r="G13" s="231"/>
      <c r="H13" s="230"/>
      <c r="I13" s="221"/>
      <c r="J13" s="32"/>
      <c r="K13" s="26" t="s">
        <v>12</v>
      </c>
      <c r="L13" s="201">
        <v>26207</v>
      </c>
      <c r="M13" s="202">
        <v>8.8349999999999998E-2</v>
      </c>
      <c r="N13" s="172">
        <f t="shared" si="0"/>
        <v>2315.3884499999999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2238962.86</v>
      </c>
      <c r="F14" s="248">
        <f>E14*F8</f>
        <v>1540630.343966</v>
      </c>
      <c r="G14" s="249"/>
      <c r="H14" s="248">
        <f>E14*H8</f>
        <v>698332.51603399997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42047</v>
      </c>
      <c r="M15" s="202">
        <v>5.6399999999999999E-2</v>
      </c>
      <c r="N15" s="172">
        <f t="shared" si="0"/>
        <v>2371.4508000000001</v>
      </c>
      <c r="O15" s="25" t="s">
        <v>29</v>
      </c>
      <c r="P15" s="143">
        <f>SUM(P10:P14)</f>
        <v>2010942</v>
      </c>
      <c r="Q15" s="144"/>
      <c r="R15" s="23">
        <f>SUM(R10:R14)</f>
        <v>180019.52784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2081435</v>
      </c>
      <c r="M16" s="202">
        <v>5.4000000000000001E-4</v>
      </c>
      <c r="N16" s="172">
        <f t="shared" si="0"/>
        <v>1123.9748999999999</v>
      </c>
      <c r="O16" s="26"/>
      <c r="P16" s="203">
        <v>2010942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8817980.1600000001</v>
      </c>
      <c r="F17" s="254"/>
      <c r="G17" s="252"/>
      <c r="H17" s="251"/>
      <c r="I17" s="253"/>
      <c r="J17" s="32"/>
      <c r="K17" s="25" t="s">
        <v>29</v>
      </c>
      <c r="L17" s="143">
        <f>SUM(L10:L16)</f>
        <v>5861748</v>
      </c>
      <c r="M17" s="4"/>
      <c r="N17" s="23">
        <f>SUM(N10:N16)</f>
        <v>353989.59609000001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-85462.26</v>
      </c>
      <c r="F18" s="251"/>
      <c r="G18" s="252"/>
      <c r="H18" s="251"/>
      <c r="I18" s="253"/>
      <c r="J18" s="32"/>
      <c r="K18" s="16"/>
      <c r="L18" s="203">
        <v>5861748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24227.07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16970.87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-1110497.9099999999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1505060.86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10884.16</v>
      </c>
      <c r="F23" s="251"/>
      <c r="G23" s="252"/>
      <c r="H23" s="251"/>
      <c r="I23" s="253"/>
      <c r="J23" s="32"/>
      <c r="K23" s="26" t="s">
        <v>10</v>
      </c>
      <c r="L23" s="173">
        <f>+L10</f>
        <v>2045371</v>
      </c>
      <c r="M23" s="202">
        <v>0.16167000000000001</v>
      </c>
      <c r="N23" s="172">
        <f t="shared" ref="N23:N28" si="3">L23*M23</f>
        <v>330675.12956999999</v>
      </c>
      <c r="O23" s="26" t="s">
        <v>10</v>
      </c>
      <c r="P23" s="173">
        <f>+P10</f>
        <v>1033761</v>
      </c>
      <c r="Q23" s="202">
        <v>0.16148000000000001</v>
      </c>
      <c r="R23" s="172">
        <f t="shared" ref="R23" si="4">P23*Q23</f>
        <v>166931.72628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-2791053.17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3096</v>
      </c>
      <c r="M24" s="202">
        <v>0.16167000000000001</v>
      </c>
      <c r="N24" s="172">
        <f t="shared" si="3"/>
        <v>500.53032000000002</v>
      </c>
      <c r="O24" s="26" t="s">
        <v>11</v>
      </c>
      <c r="P24" s="173">
        <f t="shared" ref="P24:P27" si="6">+P11</f>
        <v>933986</v>
      </c>
      <c r="Q24" s="202">
        <v>0.16148000000000001</v>
      </c>
      <c r="R24" s="172">
        <f>P24*Q24</f>
        <v>150820.05928000002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-43538.97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1663592</v>
      </c>
      <c r="M25" s="202">
        <v>0.16167000000000001</v>
      </c>
      <c r="N25" s="172">
        <f t="shared" si="3"/>
        <v>268952.91863999999</v>
      </c>
      <c r="O25" s="26" t="s">
        <v>12</v>
      </c>
      <c r="P25" s="173">
        <f t="shared" si="6"/>
        <v>43195</v>
      </c>
      <c r="Q25" s="202">
        <v>0.16148000000000001</v>
      </c>
      <c r="R25" s="172">
        <f t="shared" ref="R25:R27" si="7">P25*Q25</f>
        <v>6975.1286000000009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-1949104.09</v>
      </c>
      <c r="F26" s="254"/>
      <c r="G26" s="252"/>
      <c r="H26" s="251"/>
      <c r="I26" s="253"/>
      <c r="J26" s="32"/>
      <c r="K26" s="26" t="s">
        <v>12</v>
      </c>
      <c r="L26" s="173">
        <f t="shared" si="5"/>
        <v>26207</v>
      </c>
      <c r="M26" s="202">
        <v>0.16167000000000001</v>
      </c>
      <c r="N26" s="172">
        <f t="shared" si="3"/>
        <v>4236.8856900000001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1178390.26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-3642037.75</v>
      </c>
      <c r="F28" s="251"/>
      <c r="G28" s="252"/>
      <c r="H28" s="251"/>
      <c r="I28" s="253"/>
      <c r="J28" s="32"/>
      <c r="K28" s="26" t="s">
        <v>14</v>
      </c>
      <c r="L28" s="173">
        <f t="shared" si="5"/>
        <v>42047</v>
      </c>
      <c r="M28" s="202">
        <v>0.16167000000000001</v>
      </c>
      <c r="N28" s="172">
        <f t="shared" si="3"/>
        <v>6797.7384900000006</v>
      </c>
      <c r="O28" s="25" t="s">
        <v>31</v>
      </c>
      <c r="P28" s="143">
        <f>SUM(P23:P27)</f>
        <v>2010942</v>
      </c>
      <c r="Q28" s="144"/>
      <c r="R28" s="23">
        <f>SUM(R23:R27)</f>
        <v>324726.91415999999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3780313</v>
      </c>
      <c r="M29" s="144"/>
      <c r="N29" s="151">
        <f>SUM(N23:N28)</f>
        <v>611163.2027100001</v>
      </c>
      <c r="O29" s="25"/>
      <c r="P29" s="203">
        <v>2010942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3780313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9049.24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1472118.4699999995</v>
      </c>
      <c r="F32" s="258"/>
      <c r="G32" s="231">
        <f>E32*G8</f>
        <v>960998.9372159997</v>
      </c>
      <c r="H32" s="140"/>
      <c r="I32" s="221">
        <f>E32*I8</f>
        <v>511119.53278399975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-148454.93</v>
      </c>
      <c r="F35" s="251"/>
      <c r="G35" s="231">
        <f>E35</f>
        <v>-148454.93</v>
      </c>
      <c r="H35" s="140"/>
      <c r="I35" s="221"/>
      <c r="J35" s="32"/>
      <c r="K35" s="15" t="s">
        <v>128</v>
      </c>
      <c r="L35" s="141">
        <f>$F$39</f>
        <v>1540630.343966</v>
      </c>
      <c r="M35" s="141">
        <f>G39</f>
        <v>812544.00721599977</v>
      </c>
      <c r="N35" s="141">
        <f>$H$39</f>
        <v>698332.51603399997</v>
      </c>
      <c r="O35" s="141">
        <f>I39</f>
        <v>432010.24278399977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-79109.289999999994</v>
      </c>
      <c r="F36" s="251"/>
      <c r="G36" s="231"/>
      <c r="H36" s="140"/>
      <c r="I36" s="221">
        <f>E36</f>
        <v>-79109.289999999994</v>
      </c>
      <c r="J36" s="32"/>
      <c r="K36" s="15" t="s">
        <v>131</v>
      </c>
      <c r="L36" s="204">
        <f>-$N$17</f>
        <v>-353989.59609000001</v>
      </c>
      <c r="M36" s="204">
        <f>-N29</f>
        <v>-611163.2027100001</v>
      </c>
      <c r="N36" s="204">
        <f>-$R$15</f>
        <v>-180019.52784</v>
      </c>
      <c r="O36" s="204">
        <f>-R28</f>
        <v>-324726.91415999999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1244554.2499999995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1186640.7478760001</v>
      </c>
      <c r="M37" s="146">
        <f>SUM(M35:M36)</f>
        <v>201380.80450599967</v>
      </c>
      <c r="N37" s="146">
        <f t="shared" si="8"/>
        <v>518312.98819399998</v>
      </c>
      <c r="O37" s="146">
        <f t="shared" si="8"/>
        <v>107283.32862399978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3483517.1099999994</v>
      </c>
      <c r="F39" s="246">
        <f>SUM(F14:F37)</f>
        <v>1540630.343966</v>
      </c>
      <c r="G39" s="247">
        <f t="shared" ref="G39:I39" si="9">SUM(G14:G37)</f>
        <v>812544.00721599977</v>
      </c>
      <c r="H39" s="246">
        <f t="shared" si="9"/>
        <v>698332.51603399997</v>
      </c>
      <c r="I39" s="200">
        <f t="shared" si="9"/>
        <v>432010.24278399977</v>
      </c>
      <c r="J39" s="32"/>
      <c r="K39" s="210"/>
      <c r="L39" s="213" t="s">
        <v>36</v>
      </c>
      <c r="M39" s="211">
        <f>SUM(L37:M37)</f>
        <v>1388021.5523819998</v>
      </c>
      <c r="N39" s="214" t="s">
        <v>37</v>
      </c>
      <c r="O39" s="211">
        <f>SUM(N37:O37)</f>
        <v>625596.31681799982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3483517.11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2205-7562-42EF-B181-CA3F27C66788}">
  <sheetPr>
    <pageSetUpPr fitToPage="1"/>
  </sheetPr>
  <dimension ref="A1:T1396"/>
  <sheetViews>
    <sheetView topLeftCell="D1" zoomScaleNormal="100" workbookViewId="0">
      <selection activeCell="H33" sqref="H33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202108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0.6593</v>
      </c>
      <c r="H8" s="228">
        <v>0.31190000000000001</v>
      </c>
      <c r="I8" s="190">
        <f>1-G8</f>
        <v>0.3407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163</v>
      </c>
      <c r="C10" s="28">
        <v>804001</v>
      </c>
      <c r="D10" s="28" t="s">
        <v>113</v>
      </c>
      <c r="E10" s="239">
        <v>2167861.1800000002</v>
      </c>
      <c r="F10" s="230"/>
      <c r="G10" s="231"/>
      <c r="H10" s="230"/>
      <c r="I10" s="221"/>
      <c r="J10" s="32"/>
      <c r="K10" s="26" t="s">
        <v>10</v>
      </c>
      <c r="L10" s="201">
        <v>2327290</v>
      </c>
      <c r="M10" s="202">
        <v>9.8220000000000002E-2</v>
      </c>
      <c r="N10" s="172">
        <f t="shared" ref="N10:N16" si="0">L10*M10</f>
        <v>228586.42379999999</v>
      </c>
      <c r="O10" s="26" t="s">
        <v>10</v>
      </c>
      <c r="P10" s="201">
        <v>1138852</v>
      </c>
      <c r="Q10" s="202">
        <v>8.9520000000000002E-2</v>
      </c>
      <c r="R10" s="172">
        <f t="shared" ref="R10:R11" si="1">P10*Q10</f>
        <v>101950.03104</v>
      </c>
    </row>
    <row r="11" spans="2:20" ht="15.6" customHeight="1" thickBot="1">
      <c r="B11" s="177" t="s">
        <v>164</v>
      </c>
      <c r="C11" s="28">
        <v>804002</v>
      </c>
      <c r="D11" s="28" t="s">
        <v>113</v>
      </c>
      <c r="E11" s="239">
        <v>4409.8</v>
      </c>
      <c r="F11" s="230"/>
      <c r="G11" s="231"/>
      <c r="H11" s="230"/>
      <c r="I11" s="221"/>
      <c r="J11" s="32"/>
      <c r="K11" s="26" t="s">
        <v>42</v>
      </c>
      <c r="L11" s="201">
        <v>3614</v>
      </c>
      <c r="M11" s="202">
        <v>9.8220000000000002E-2</v>
      </c>
      <c r="N11" s="172">
        <f t="shared" si="0"/>
        <v>354.96708000000001</v>
      </c>
      <c r="O11" s="26" t="s">
        <v>11</v>
      </c>
      <c r="P11" s="201">
        <v>1042627</v>
      </c>
      <c r="Q11" s="202">
        <v>8.9520000000000002E-2</v>
      </c>
      <c r="R11" s="172">
        <f t="shared" si="1"/>
        <v>93335.969039999996</v>
      </c>
    </row>
    <row r="12" spans="2:20" ht="15.6" customHeight="1" thickBot="1">
      <c r="B12" s="191" t="s">
        <v>117</v>
      </c>
      <c r="C12" s="7"/>
      <c r="D12" s="7"/>
      <c r="E12" s="240">
        <f>SUM(E10:E11)</f>
        <v>2172270.98</v>
      </c>
      <c r="F12" s="232"/>
      <c r="G12" s="233"/>
      <c r="H12" s="232"/>
      <c r="I12" s="222"/>
      <c r="J12" s="32"/>
      <c r="K12" s="26" t="s">
        <v>11</v>
      </c>
      <c r="L12" s="201">
        <v>1901151</v>
      </c>
      <c r="M12" s="202">
        <v>8.8349999999999998E-2</v>
      </c>
      <c r="N12" s="172">
        <f t="shared" si="0"/>
        <v>167966.69084999998</v>
      </c>
      <c r="O12" s="26" t="s">
        <v>12</v>
      </c>
      <c r="P12" s="201">
        <v>42556</v>
      </c>
      <c r="Q12" s="202">
        <v>8.9520000000000002E-2</v>
      </c>
      <c r="R12" s="172">
        <f>P12*Q12</f>
        <v>3809.61312</v>
      </c>
    </row>
    <row r="13" spans="2:20" ht="15.6" customHeight="1" thickBot="1">
      <c r="B13" s="192" t="s">
        <v>25</v>
      </c>
      <c r="C13" s="1"/>
      <c r="D13" s="1"/>
      <c r="E13" s="241">
        <f>-E11</f>
        <v>-4409.8</v>
      </c>
      <c r="F13" s="230"/>
      <c r="G13" s="231"/>
      <c r="H13" s="230"/>
      <c r="I13" s="221"/>
      <c r="J13" s="32"/>
      <c r="K13" s="26" t="s">
        <v>12</v>
      </c>
      <c r="L13" s="201">
        <v>29262</v>
      </c>
      <c r="M13" s="202">
        <v>8.8349999999999998E-2</v>
      </c>
      <c r="N13" s="172">
        <f t="shared" si="0"/>
        <v>2585.2977000000001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2167861.1800000002</v>
      </c>
      <c r="F14" s="248">
        <f>E14*F8</f>
        <v>1491705.2779580003</v>
      </c>
      <c r="G14" s="249"/>
      <c r="H14" s="248">
        <f>E14*H8</f>
        <v>676155.90204200009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42398</v>
      </c>
      <c r="M15" s="202">
        <v>5.6399999999999999E-2</v>
      </c>
      <c r="N15" s="172">
        <f t="shared" si="0"/>
        <v>2391.2471999999998</v>
      </c>
      <c r="O15" s="25" t="s">
        <v>29</v>
      </c>
      <c r="P15" s="143">
        <f>SUM(P10:P14)</f>
        <v>2224035</v>
      </c>
      <c r="Q15" s="144"/>
      <c r="R15" s="23">
        <f>SUM(R10:R14)</f>
        <v>199095.61319999999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1753118</v>
      </c>
      <c r="M16" s="202">
        <v>5.4000000000000001E-4</v>
      </c>
      <c r="N16" s="172">
        <f t="shared" si="0"/>
        <v>946.68371999999999</v>
      </c>
      <c r="O16" s="26"/>
      <c r="P16" s="203">
        <v>2224035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6305965.6900000004</v>
      </c>
      <c r="F17" s="254"/>
      <c r="G17" s="252"/>
      <c r="H17" s="251"/>
      <c r="I17" s="253"/>
      <c r="J17" s="32"/>
      <c r="K17" s="25" t="s">
        <v>29</v>
      </c>
      <c r="L17" s="143">
        <f>SUM(L10:L16)</f>
        <v>6056833</v>
      </c>
      <c r="M17" s="4"/>
      <c r="N17" s="23">
        <f>SUM(N10:N16)</f>
        <v>402831.31034999993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45383.51</v>
      </c>
      <c r="F18" s="251"/>
      <c r="G18" s="252"/>
      <c r="H18" s="251"/>
      <c r="I18" s="253"/>
      <c r="J18" s="32"/>
      <c r="K18" s="16"/>
      <c r="L18" s="203">
        <v>6056833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25771.7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12329.18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-1107538.17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417107.05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123880.01</v>
      </c>
      <c r="F23" s="251"/>
      <c r="G23" s="252"/>
      <c r="H23" s="251"/>
      <c r="I23" s="253"/>
      <c r="J23" s="32"/>
      <c r="K23" s="26" t="s">
        <v>10</v>
      </c>
      <c r="L23" s="173">
        <f>+L10</f>
        <v>2327290</v>
      </c>
      <c r="M23" s="202">
        <v>0.16167000000000001</v>
      </c>
      <c r="N23" s="172">
        <f t="shared" ref="N23:N28" si="3">L23*M23</f>
        <v>376252.9743</v>
      </c>
      <c r="O23" s="26" t="s">
        <v>10</v>
      </c>
      <c r="P23" s="173">
        <f>+P10</f>
        <v>1138852</v>
      </c>
      <c r="Q23" s="202">
        <v>0.16148000000000001</v>
      </c>
      <c r="R23" s="172">
        <f t="shared" ref="R23" si="4">P23*Q23</f>
        <v>183901.82096000001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-706616.92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3614</v>
      </c>
      <c r="M24" s="202">
        <v>0.16167000000000001</v>
      </c>
      <c r="N24" s="172">
        <f t="shared" si="3"/>
        <v>584.27538000000004</v>
      </c>
      <c r="O24" s="26" t="s">
        <v>11</v>
      </c>
      <c r="P24" s="173">
        <f t="shared" ref="P24:P27" si="6">+P11</f>
        <v>1042627</v>
      </c>
      <c r="Q24" s="202">
        <v>0.16148000000000001</v>
      </c>
      <c r="R24" s="172">
        <f>P24*Q24</f>
        <v>168363.40796000001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-53777.57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1901151</v>
      </c>
      <c r="M25" s="202">
        <v>0.16167000000000001</v>
      </c>
      <c r="N25" s="172">
        <f t="shared" si="3"/>
        <v>307359.08217000001</v>
      </c>
      <c r="O25" s="26" t="s">
        <v>12</v>
      </c>
      <c r="P25" s="173">
        <f t="shared" si="6"/>
        <v>42556</v>
      </c>
      <c r="Q25" s="202">
        <v>0.16148000000000001</v>
      </c>
      <c r="R25" s="172">
        <f t="shared" ref="R25:R27" si="7">P25*Q25</f>
        <v>6871.9428800000005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-1373742.09</v>
      </c>
      <c r="F26" s="254"/>
      <c r="G26" s="252"/>
      <c r="H26" s="251"/>
      <c r="I26" s="253"/>
      <c r="J26" s="32"/>
      <c r="K26" s="26" t="s">
        <v>12</v>
      </c>
      <c r="L26" s="173">
        <f t="shared" si="5"/>
        <v>29262</v>
      </c>
      <c r="M26" s="202">
        <v>0.16167000000000001</v>
      </c>
      <c r="N26" s="172">
        <f t="shared" si="3"/>
        <v>4730.7875400000003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1092118.69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-4205426.43</v>
      </c>
      <c r="F28" s="251"/>
      <c r="G28" s="252"/>
      <c r="H28" s="251"/>
      <c r="I28" s="253"/>
      <c r="J28" s="32"/>
      <c r="K28" s="26" t="s">
        <v>14</v>
      </c>
      <c r="L28" s="173">
        <f t="shared" si="5"/>
        <v>42398</v>
      </c>
      <c r="M28" s="202">
        <v>0.16167000000000001</v>
      </c>
      <c r="N28" s="172">
        <f t="shared" si="3"/>
        <v>6854.4846600000001</v>
      </c>
      <c r="O28" s="25" t="s">
        <v>31</v>
      </c>
      <c r="P28" s="143">
        <f>SUM(P23:P27)</f>
        <v>2224035</v>
      </c>
      <c r="Q28" s="144"/>
      <c r="R28" s="23">
        <f>SUM(R23:R27)</f>
        <v>359137.17180000001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4303715</v>
      </c>
      <c r="M29" s="144"/>
      <c r="N29" s="151">
        <f>SUM(N23:N28)</f>
        <v>695781.60404999997</v>
      </c>
      <c r="O29" s="25"/>
      <c r="P29" s="203">
        <v>2224035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4303715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4409.8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111114.45000000038</v>
      </c>
      <c r="F32" s="258"/>
      <c r="G32" s="231">
        <f>E32*G8</f>
        <v>73257.756885000243</v>
      </c>
      <c r="H32" s="140"/>
      <c r="I32" s="221">
        <f>E32*I8</f>
        <v>37856.693115000126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-64364.959999999999</v>
      </c>
      <c r="F35" s="251"/>
      <c r="G35" s="231">
        <f>E35</f>
        <v>-64364.959999999999</v>
      </c>
      <c r="H35" s="140"/>
      <c r="I35" s="221"/>
      <c r="J35" s="32"/>
      <c r="K35" s="15" t="s">
        <v>128</v>
      </c>
      <c r="L35" s="141">
        <f>$F$39</f>
        <v>1491705.2779580003</v>
      </c>
      <c r="M35" s="141">
        <f>G39</f>
        <v>8892.7968850002435</v>
      </c>
      <c r="N35" s="141">
        <f>$H$39</f>
        <v>676155.90204200009</v>
      </c>
      <c r="O35" s="141">
        <f>I39</f>
        <v>6875.333115000125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-30981.360000000001</v>
      </c>
      <c r="F36" s="251"/>
      <c r="G36" s="231"/>
      <c r="H36" s="140"/>
      <c r="I36" s="221">
        <f>E36</f>
        <v>-30981.360000000001</v>
      </c>
      <c r="J36" s="32"/>
      <c r="K36" s="15" t="s">
        <v>131</v>
      </c>
      <c r="L36" s="204">
        <f>-$N$17</f>
        <v>-402831.31034999993</v>
      </c>
      <c r="M36" s="204">
        <f>-N29</f>
        <v>-695781.60404999997</v>
      </c>
      <c r="N36" s="204">
        <f>-$R$15</f>
        <v>-199095.61319999999</v>
      </c>
      <c r="O36" s="204">
        <f>-R28</f>
        <v>-359137.17180000001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15768.130000000376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1088873.9676080004</v>
      </c>
      <c r="M37" s="146">
        <f>SUM(M35:M36)</f>
        <v>-686888.80716499977</v>
      </c>
      <c r="N37" s="146">
        <f t="shared" si="8"/>
        <v>477060.28884200007</v>
      </c>
      <c r="O37" s="146">
        <f t="shared" si="8"/>
        <v>-352261.83868499991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2183629.3100000005</v>
      </c>
      <c r="F39" s="246">
        <f>SUM(F14:F37)</f>
        <v>1491705.2779580003</v>
      </c>
      <c r="G39" s="247">
        <f t="shared" ref="G39:I39" si="9">SUM(G14:G37)</f>
        <v>8892.7968850002435</v>
      </c>
      <c r="H39" s="246">
        <f t="shared" si="9"/>
        <v>676155.90204200009</v>
      </c>
      <c r="I39" s="200">
        <f t="shared" si="9"/>
        <v>6875.333115000125</v>
      </c>
      <c r="J39" s="32"/>
      <c r="K39" s="210"/>
      <c r="L39" s="213" t="s">
        <v>36</v>
      </c>
      <c r="M39" s="211">
        <f>SUM(L37:M37)</f>
        <v>401985.16044300061</v>
      </c>
      <c r="N39" s="214" t="s">
        <v>37</v>
      </c>
      <c r="O39" s="211">
        <f>SUM(N37:O37)</f>
        <v>124798.45015700016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2183629.31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5DA2-3143-4EC6-A400-3F8AFA0E9F68}">
  <sheetPr>
    <tabColor rgb="FFFFFF00"/>
    <pageSetUpPr fitToPage="1"/>
  </sheetPr>
  <dimension ref="A1:T1396"/>
  <sheetViews>
    <sheetView zoomScale="60" zoomScaleNormal="60" workbookViewId="0">
      <selection activeCell="G21" sqref="G2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202109</v>
      </c>
      <c r="D1" s="275" t="s">
        <v>148</v>
      </c>
      <c r="E1" s="274"/>
      <c r="F1" s="133"/>
      <c r="G1" s="133"/>
      <c r="H1" s="133"/>
      <c r="I1" s="133"/>
      <c r="K1" s="174" t="s">
        <v>114</v>
      </c>
      <c r="L1" s="182" t="s">
        <v>115</v>
      </c>
      <c r="N1" s="285"/>
      <c r="O1" s="285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2" t="s">
        <v>32</v>
      </c>
      <c r="G5" s="283"/>
      <c r="H5" s="282" t="s">
        <v>33</v>
      </c>
      <c r="I5" s="284"/>
      <c r="J5" s="32"/>
      <c r="K5" s="277" t="s">
        <v>32</v>
      </c>
      <c r="L5" s="278"/>
      <c r="M5" s="278"/>
      <c r="N5" s="279"/>
      <c r="O5" s="277" t="s">
        <v>33</v>
      </c>
      <c r="P5" s="278"/>
      <c r="Q5" s="278"/>
      <c r="R5" s="279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0.65280000000000005</v>
      </c>
      <c r="H8" s="228">
        <v>0.31190000000000001</v>
      </c>
      <c r="I8" s="190">
        <f>1-G8</f>
        <v>0.34719999999999995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163</v>
      </c>
      <c r="C10" s="28">
        <v>804001</v>
      </c>
      <c r="D10" s="28" t="s">
        <v>113</v>
      </c>
      <c r="E10" s="239">
        <v>0</v>
      </c>
      <c r="F10" s="230"/>
      <c r="G10" s="231"/>
      <c r="H10" s="230"/>
      <c r="I10" s="221"/>
      <c r="J10" s="32"/>
      <c r="K10" s="26" t="s">
        <v>10</v>
      </c>
      <c r="L10" s="201">
        <v>2045371</v>
      </c>
      <c r="M10" s="202">
        <v>9.8220000000000002E-2</v>
      </c>
      <c r="N10" s="172">
        <f t="shared" ref="N10:N16" si="0">L10*M10</f>
        <v>200896.33962000001</v>
      </c>
      <c r="O10" s="26" t="s">
        <v>10</v>
      </c>
      <c r="P10" s="201">
        <v>1033761</v>
      </c>
      <c r="Q10" s="202" t="s">
        <v>149</v>
      </c>
      <c r="R10" s="276" t="e">
        <f t="shared" ref="R10:R11" si="1">P10*Q10</f>
        <v>#VALUE!</v>
      </c>
    </row>
    <row r="11" spans="2:20" ht="15.6" customHeight="1" thickBot="1">
      <c r="B11" s="177" t="s">
        <v>164</v>
      </c>
      <c r="C11" s="28">
        <v>804002</v>
      </c>
      <c r="D11" s="28" t="s">
        <v>113</v>
      </c>
      <c r="E11" s="239">
        <v>0</v>
      </c>
      <c r="F11" s="230"/>
      <c r="G11" s="231"/>
      <c r="H11" s="230"/>
      <c r="I11" s="221"/>
      <c r="J11" s="32"/>
      <c r="K11" s="26" t="s">
        <v>42</v>
      </c>
      <c r="L11" s="201">
        <v>3096</v>
      </c>
      <c r="M11" s="202">
        <v>9.8220000000000002E-2</v>
      </c>
      <c r="N11" s="172">
        <f t="shared" si="0"/>
        <v>304.08911999999998</v>
      </c>
      <c r="O11" s="26" t="s">
        <v>11</v>
      </c>
      <c r="P11" s="201">
        <v>933986</v>
      </c>
      <c r="Q11" s="202" t="s">
        <v>149</v>
      </c>
      <c r="R11" s="276" t="e">
        <f t="shared" si="1"/>
        <v>#VALUE!</v>
      </c>
    </row>
    <row r="12" spans="2:20" ht="15.6" customHeight="1" thickBot="1">
      <c r="B12" s="191" t="s">
        <v>117</v>
      </c>
      <c r="C12" s="7"/>
      <c r="D12" s="7"/>
      <c r="E12" s="240">
        <f>SUM(E10:E11)</f>
        <v>0</v>
      </c>
      <c r="F12" s="232"/>
      <c r="G12" s="233"/>
      <c r="H12" s="232"/>
      <c r="I12" s="222"/>
      <c r="J12" s="32"/>
      <c r="K12" s="26" t="s">
        <v>11</v>
      </c>
      <c r="L12" s="201">
        <v>1663592</v>
      </c>
      <c r="M12" s="202">
        <v>8.8349999999999998E-2</v>
      </c>
      <c r="N12" s="172">
        <f t="shared" si="0"/>
        <v>146978.35319999998</v>
      </c>
      <c r="O12" s="26" t="s">
        <v>12</v>
      </c>
      <c r="P12" s="201">
        <v>43195</v>
      </c>
      <c r="Q12" s="202" t="s">
        <v>149</v>
      </c>
      <c r="R12" s="276" t="e">
        <f>P12*Q12</f>
        <v>#VALUE!</v>
      </c>
    </row>
    <row r="13" spans="2:20" ht="15.6" customHeight="1" thickBot="1">
      <c r="B13" s="192" t="s">
        <v>25</v>
      </c>
      <c r="C13" s="1"/>
      <c r="D13" s="1"/>
      <c r="E13" s="241">
        <f>-E11</f>
        <v>0</v>
      </c>
      <c r="F13" s="230"/>
      <c r="G13" s="231"/>
      <c r="H13" s="230"/>
      <c r="I13" s="221"/>
      <c r="J13" s="32"/>
      <c r="K13" s="26" t="s">
        <v>12</v>
      </c>
      <c r="L13" s="201">
        <v>26207</v>
      </c>
      <c r="M13" s="202">
        <v>8.8349999999999998E-2</v>
      </c>
      <c r="N13" s="172">
        <f t="shared" si="0"/>
        <v>2315.3884499999999</v>
      </c>
      <c r="O13" s="26" t="s">
        <v>13</v>
      </c>
      <c r="P13" s="201">
        <v>0</v>
      </c>
      <c r="Q13" s="202" t="s">
        <v>149</v>
      </c>
      <c r="R13" s="276" t="e">
        <f t="shared" ref="R13:R14" si="2">P13*Q13</f>
        <v>#VALUE!</v>
      </c>
    </row>
    <row r="14" spans="2:20" ht="15.6" customHeight="1" thickBot="1">
      <c r="B14" s="191" t="s">
        <v>133</v>
      </c>
      <c r="C14" s="193"/>
      <c r="D14" s="193"/>
      <c r="E14" s="240">
        <f>SUM(E12:E13)</f>
        <v>0</v>
      </c>
      <c r="F14" s="248">
        <f>E14*F8</f>
        <v>0</v>
      </c>
      <c r="G14" s="249"/>
      <c r="H14" s="248">
        <f>E14*H8</f>
        <v>0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 t="s">
        <v>149</v>
      </c>
      <c r="R14" s="276" t="e">
        <f t="shared" si="2"/>
        <v>#VALUE!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42047</v>
      </c>
      <c r="M15" s="202">
        <v>5.6399999999999999E-2</v>
      </c>
      <c r="N15" s="172">
        <f t="shared" si="0"/>
        <v>2371.4508000000001</v>
      </c>
      <c r="O15" s="25" t="s">
        <v>29</v>
      </c>
      <c r="P15" s="143">
        <f>SUM(P10:P14)</f>
        <v>2010942</v>
      </c>
      <c r="Q15" s="144"/>
      <c r="R15" s="23" t="e">
        <f>SUM(R10:R14)</f>
        <v>#VALUE!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2081435</v>
      </c>
      <c r="M16" s="202">
        <v>5.4000000000000001E-4</v>
      </c>
      <c r="N16" s="172">
        <f t="shared" si="0"/>
        <v>1123.9748999999999</v>
      </c>
      <c r="O16" s="26"/>
      <c r="P16" s="203">
        <v>2010942</v>
      </c>
      <c r="Q16" s="17"/>
      <c r="R16" s="145"/>
    </row>
    <row r="17" spans="2:18" ht="15.6" customHeight="1" thickBot="1">
      <c r="B17" s="177" t="s">
        <v>150</v>
      </c>
      <c r="C17" s="28">
        <v>804000</v>
      </c>
      <c r="D17" s="28" t="s">
        <v>113</v>
      </c>
      <c r="E17" s="239">
        <v>0</v>
      </c>
      <c r="F17" s="254"/>
      <c r="G17" s="252"/>
      <c r="H17" s="251"/>
      <c r="I17" s="253"/>
      <c r="J17" s="32"/>
      <c r="K17" s="25" t="s">
        <v>29</v>
      </c>
      <c r="L17" s="143">
        <f>SUM(L10:L16)</f>
        <v>5861748</v>
      </c>
      <c r="M17" s="4"/>
      <c r="N17" s="23">
        <f>SUM(N10:N16)</f>
        <v>353989.59609000001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151</v>
      </c>
      <c r="C18" s="28">
        <v>804010</v>
      </c>
      <c r="D18" s="28" t="s">
        <v>113</v>
      </c>
      <c r="E18" s="239">
        <v>0</v>
      </c>
      <c r="F18" s="251"/>
      <c r="G18" s="252"/>
      <c r="H18" s="251"/>
      <c r="I18" s="253"/>
      <c r="J18" s="32"/>
      <c r="K18" s="16"/>
      <c r="L18" s="203">
        <v>5861748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152</v>
      </c>
      <c r="C19" s="28">
        <v>804017</v>
      </c>
      <c r="D19" s="28" t="s">
        <v>113</v>
      </c>
      <c r="E19" s="239">
        <v>0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153</v>
      </c>
      <c r="C20" s="28">
        <v>804018</v>
      </c>
      <c r="D20" s="28" t="s">
        <v>113</v>
      </c>
      <c r="E20" s="239">
        <v>0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154</v>
      </c>
      <c r="C21" s="28">
        <v>804600</v>
      </c>
      <c r="D21" s="28" t="s">
        <v>113</v>
      </c>
      <c r="E21" s="239">
        <v>0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155</v>
      </c>
      <c r="C22" s="28">
        <v>804730</v>
      </c>
      <c r="D22" s="28" t="s">
        <v>113</v>
      </c>
      <c r="E22" s="239">
        <v>0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156</v>
      </c>
      <c r="C23" s="28">
        <v>808100</v>
      </c>
      <c r="D23" s="28" t="s">
        <v>113</v>
      </c>
      <c r="E23" s="239">
        <v>0</v>
      </c>
      <c r="F23" s="251"/>
      <c r="G23" s="252"/>
      <c r="H23" s="251"/>
      <c r="I23" s="253"/>
      <c r="J23" s="32"/>
      <c r="K23" s="26" t="s">
        <v>10</v>
      </c>
      <c r="L23" s="173">
        <f>+L10</f>
        <v>2045371</v>
      </c>
      <c r="M23" s="202">
        <v>0.16167000000000001</v>
      </c>
      <c r="N23" s="172">
        <f t="shared" ref="N23:N28" si="3">L23*M23</f>
        <v>330675.12956999999</v>
      </c>
      <c r="O23" s="26" t="s">
        <v>10</v>
      </c>
      <c r="P23" s="173">
        <f>+P10</f>
        <v>1033761</v>
      </c>
      <c r="Q23" s="202" t="s">
        <v>149</v>
      </c>
      <c r="R23" s="276" t="e">
        <f t="shared" ref="R23" si="4">P23*Q23</f>
        <v>#VALUE!</v>
      </c>
    </row>
    <row r="24" spans="2:18" ht="15.6" customHeight="1">
      <c r="B24" s="177" t="s">
        <v>157</v>
      </c>
      <c r="C24" s="28">
        <v>808200</v>
      </c>
      <c r="D24" s="28" t="s">
        <v>113</v>
      </c>
      <c r="E24" s="239">
        <v>0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3096</v>
      </c>
      <c r="M24" s="202">
        <v>0.16167000000000001</v>
      </c>
      <c r="N24" s="172">
        <f t="shared" si="3"/>
        <v>500.53032000000002</v>
      </c>
      <c r="O24" s="26" t="s">
        <v>11</v>
      </c>
      <c r="P24" s="173">
        <f t="shared" ref="P24:P27" si="6">+P11</f>
        <v>933986</v>
      </c>
      <c r="Q24" s="202" t="s">
        <v>149</v>
      </c>
      <c r="R24" s="276" t="e">
        <f>P24*Q24</f>
        <v>#VALUE!</v>
      </c>
    </row>
    <row r="25" spans="2:18" ht="15.6" customHeight="1">
      <c r="B25" s="177" t="s">
        <v>158</v>
      </c>
      <c r="C25" s="28">
        <v>811000</v>
      </c>
      <c r="D25" s="28" t="s">
        <v>113</v>
      </c>
      <c r="E25" s="239">
        <v>0</v>
      </c>
      <c r="F25" s="251"/>
      <c r="G25" s="252"/>
      <c r="H25" s="251"/>
      <c r="I25" s="253"/>
      <c r="J25" s="32"/>
      <c r="K25" s="26" t="s">
        <v>11</v>
      </c>
      <c r="L25" s="173">
        <f t="shared" si="5"/>
        <v>1663592</v>
      </c>
      <c r="M25" s="202">
        <v>0.16167000000000001</v>
      </c>
      <c r="N25" s="172">
        <f t="shared" si="3"/>
        <v>268952.91863999999</v>
      </c>
      <c r="O25" s="26" t="s">
        <v>12</v>
      </c>
      <c r="P25" s="173">
        <f t="shared" si="6"/>
        <v>43195</v>
      </c>
      <c r="Q25" s="202" t="s">
        <v>149</v>
      </c>
      <c r="R25" s="276" t="e">
        <f t="shared" ref="R25:R27" si="7">P25*Q25</f>
        <v>#VALUE!</v>
      </c>
    </row>
    <row r="26" spans="2:18" ht="15.6" customHeight="1">
      <c r="B26" s="177" t="s">
        <v>159</v>
      </c>
      <c r="C26" s="28">
        <v>483000</v>
      </c>
      <c r="D26" s="28" t="s">
        <v>113</v>
      </c>
      <c r="E26" s="239">
        <v>0</v>
      </c>
      <c r="F26" s="254"/>
      <c r="G26" s="252"/>
      <c r="H26" s="251"/>
      <c r="I26" s="253"/>
      <c r="J26" s="32"/>
      <c r="K26" s="26" t="s">
        <v>12</v>
      </c>
      <c r="L26" s="173">
        <f t="shared" si="5"/>
        <v>26207</v>
      </c>
      <c r="M26" s="202">
        <v>0.16167000000000001</v>
      </c>
      <c r="N26" s="172">
        <f t="shared" si="3"/>
        <v>4236.8856900000001</v>
      </c>
      <c r="O26" s="26" t="s">
        <v>13</v>
      </c>
      <c r="P26" s="173">
        <f t="shared" si="6"/>
        <v>0</v>
      </c>
      <c r="Q26" s="202" t="s">
        <v>149</v>
      </c>
      <c r="R26" s="276" t="e">
        <f t="shared" si="7"/>
        <v>#VALUE!</v>
      </c>
    </row>
    <row r="27" spans="2:18" ht="15.6" customHeight="1">
      <c r="B27" s="177" t="s">
        <v>160</v>
      </c>
      <c r="C27" s="28">
        <v>483600</v>
      </c>
      <c r="D27" s="28" t="s">
        <v>113</v>
      </c>
      <c r="E27" s="239">
        <v>0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 t="s">
        <v>149</v>
      </c>
      <c r="R27" s="276" t="e">
        <f t="shared" si="7"/>
        <v>#VALUE!</v>
      </c>
    </row>
    <row r="28" spans="2:18" ht="15.6" customHeight="1" thickBot="1">
      <c r="B28" s="177" t="s">
        <v>161</v>
      </c>
      <c r="C28" s="28">
        <v>483730</v>
      </c>
      <c r="D28" s="28" t="s">
        <v>113</v>
      </c>
      <c r="E28" s="239">
        <v>0</v>
      </c>
      <c r="F28" s="251"/>
      <c r="G28" s="252"/>
      <c r="H28" s="251"/>
      <c r="I28" s="253"/>
      <c r="J28" s="32"/>
      <c r="K28" s="26" t="s">
        <v>14</v>
      </c>
      <c r="L28" s="173">
        <f t="shared" si="5"/>
        <v>42047</v>
      </c>
      <c r="M28" s="202">
        <v>0.16167000000000001</v>
      </c>
      <c r="N28" s="172">
        <f t="shared" si="3"/>
        <v>6797.7384900000006</v>
      </c>
      <c r="O28" s="25" t="s">
        <v>31</v>
      </c>
      <c r="P28" s="143">
        <f>SUM(P23:P27)</f>
        <v>2010942</v>
      </c>
      <c r="Q28" s="144"/>
      <c r="R28" s="23" t="e">
        <f>SUM(R23:R27)</f>
        <v>#VALUE!</v>
      </c>
    </row>
    <row r="29" spans="2:18" ht="15.6" customHeight="1" thickTop="1" thickBot="1">
      <c r="B29" s="177" t="s">
        <v>162</v>
      </c>
      <c r="C29" s="28">
        <v>495028</v>
      </c>
      <c r="D29" s="28" t="s">
        <v>113</v>
      </c>
      <c r="E29" s="239">
        <v>0</v>
      </c>
      <c r="F29" s="251"/>
      <c r="G29" s="252"/>
      <c r="H29" s="251"/>
      <c r="I29" s="253"/>
      <c r="J29" s="32"/>
      <c r="K29" s="25" t="s">
        <v>31</v>
      </c>
      <c r="L29" s="143">
        <f>SUM(L23:L28)</f>
        <v>3780313</v>
      </c>
      <c r="M29" s="144"/>
      <c r="N29" s="151">
        <f>SUM(N23:N28)</f>
        <v>611163.2027100001</v>
      </c>
      <c r="O29" s="25"/>
      <c r="P29" s="203">
        <v>2010942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3780313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0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0</v>
      </c>
      <c r="F32" s="258"/>
      <c r="G32" s="231">
        <f>E32*G8</f>
        <v>0</v>
      </c>
      <c r="H32" s="140"/>
      <c r="I32" s="221">
        <f>E32*I8</f>
        <v>0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0</v>
      </c>
      <c r="F35" s="251"/>
      <c r="G35" s="231">
        <f>E35</f>
        <v>0</v>
      </c>
      <c r="H35" s="140"/>
      <c r="I35" s="221"/>
      <c r="J35" s="32"/>
      <c r="K35" s="15" t="s">
        <v>128</v>
      </c>
      <c r="L35" s="141">
        <f>$F$39</f>
        <v>0</v>
      </c>
      <c r="M35" s="141">
        <f>G39</f>
        <v>0</v>
      </c>
      <c r="N35" s="141">
        <f>$H$39</f>
        <v>0</v>
      </c>
      <c r="O35" s="141">
        <f>I39</f>
        <v>0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0</v>
      </c>
      <c r="F36" s="251"/>
      <c r="G36" s="231"/>
      <c r="H36" s="140"/>
      <c r="I36" s="221">
        <f>E36</f>
        <v>0</v>
      </c>
      <c r="J36" s="32"/>
      <c r="K36" s="15" t="s">
        <v>131</v>
      </c>
      <c r="L36" s="204">
        <f>-$N$17</f>
        <v>-353989.59609000001</v>
      </c>
      <c r="M36" s="204">
        <f>-N29</f>
        <v>-611163.2027100001</v>
      </c>
      <c r="N36" s="204" t="e">
        <f>-$R$15</f>
        <v>#VALUE!</v>
      </c>
      <c r="O36" s="204" t="e">
        <f>-R28</f>
        <v>#VALUE!</v>
      </c>
      <c r="P36" s="215" t="e">
        <f>SUM(L36:O36)+N17+N29+R15+R28</f>
        <v>#VALUE!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0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-353989.59609000001</v>
      </c>
      <c r="M37" s="146">
        <f>SUM(M35:M36)</f>
        <v>-611163.2027100001</v>
      </c>
      <c r="N37" s="146" t="e">
        <f t="shared" si="8"/>
        <v>#VALUE!</v>
      </c>
      <c r="O37" s="146" t="e">
        <f t="shared" si="8"/>
        <v>#VALUE!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0</v>
      </c>
      <c r="F39" s="246">
        <f>SUM(F14:F37)</f>
        <v>0</v>
      </c>
      <c r="G39" s="247">
        <f t="shared" ref="G39:I39" si="9">SUM(G14:G37)</f>
        <v>0</v>
      </c>
      <c r="H39" s="246">
        <f t="shared" si="9"/>
        <v>0</v>
      </c>
      <c r="I39" s="200">
        <f t="shared" si="9"/>
        <v>0</v>
      </c>
      <c r="J39" s="32"/>
      <c r="K39" s="210"/>
      <c r="L39" s="213" t="s">
        <v>36</v>
      </c>
      <c r="M39" s="211">
        <f>SUM(L37:M37)</f>
        <v>-965152.79880000011</v>
      </c>
      <c r="N39" s="214" t="s">
        <v>37</v>
      </c>
      <c r="O39" s="211" t="e">
        <f>SUM(N37:O37)</f>
        <v>#VALUE!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0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80" t="s">
        <v>127</v>
      </c>
      <c r="F45" s="281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A58DEA-92ED-4E73-94D2-F323C589A9E2}"/>
</file>

<file path=customXml/itemProps2.xml><?xml version="1.0" encoding="utf-8"?>
<ds:datastoreItem xmlns:ds="http://schemas.openxmlformats.org/officeDocument/2006/customXml" ds:itemID="{1FE80B1D-5D72-4CE7-858F-C053D82E578D}"/>
</file>

<file path=customXml/itemProps3.xml><?xml version="1.0" encoding="utf-8"?>
<ds:datastoreItem xmlns:ds="http://schemas.openxmlformats.org/officeDocument/2006/customXml" ds:itemID="{81BE353C-4F67-4A9F-A8A3-C112FB83E17A}"/>
</file>

<file path=customXml/itemProps4.xml><?xml version="1.0" encoding="utf-8"?>
<ds:datastoreItem xmlns:ds="http://schemas.openxmlformats.org/officeDocument/2006/customXml" ds:itemID="{47149649-D46E-474B-8350-46F07A5C7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Jan NEW FORMAT</vt:lpstr>
      <vt:lpstr>Feb NEW FORMAT</vt:lpstr>
      <vt:lpstr>Mar NEW FORMAT</vt:lpstr>
      <vt:lpstr>April</vt:lpstr>
      <vt:lpstr>May</vt:lpstr>
      <vt:lpstr>Jun</vt:lpstr>
      <vt:lpstr>Jul</vt:lpstr>
      <vt:lpstr>Aug</vt:lpstr>
      <vt:lpstr>Sep-PRELIM</vt:lpstr>
      <vt:lpstr>191010 WA DEF</vt:lpstr>
      <vt:lpstr>191000 WA Amort</vt:lpstr>
      <vt:lpstr>'191000 WA Amort'!Print_Area</vt:lpstr>
      <vt:lpstr>'191010 WA DEF'!Print_Area</vt:lpstr>
      <vt:lpstr>April!Print_Area</vt:lpstr>
      <vt:lpstr>Aug!Print_Area</vt:lpstr>
      <vt:lpstr>'Feb NEW FORMAT'!Print_Area</vt:lpstr>
      <vt:lpstr>'Jan NEW FORMAT'!Print_Area</vt:lpstr>
      <vt:lpstr>Jul!Print_Area</vt:lpstr>
      <vt:lpstr>Jun!Print_Area</vt:lpstr>
      <vt:lpstr>'Mar NEW FORMAT'!Print_Area</vt:lpstr>
      <vt:lpstr>May!Print_Area</vt:lpstr>
      <vt:lpstr>'Sep-PRELIM'!Print_Area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2021-09-04T15:45:54Z</cp:lastPrinted>
  <dcterms:created xsi:type="dcterms:W3CDTF">2003-05-01T14:02:57Z</dcterms:created>
  <dcterms:modified xsi:type="dcterms:W3CDTF">2021-09-20T23:19:48Z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