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288" windowWidth="14316" windowHeight="13176" tabRatio="838"/>
  </bookViews>
  <sheets>
    <sheet name="Lead E" sheetId="2" r:id="rId1"/>
    <sheet name="Lead G" sheetId="6" r:id="rId2"/>
    <sheet name="Change in InterestGas" sheetId="29" r:id="rId3"/>
    <sheet name="Change in InterestElec" sheetId="34" r:id="rId4"/>
    <sheet name="SAP" sheetId="10" r:id="rId5"/>
    <sheet name="E&amp;G Split" sheetId="21" r:id="rId6"/>
    <sheet name="2016PO " sheetId="27" r:id="rId7"/>
    <sheet name="2015PO" sheetId="28" r:id="rId8"/>
    <sheet name="2015IntRates" sheetId="30" r:id="rId9"/>
    <sheet name="2016IntRates" sheetId="31" r:id="rId10"/>
    <sheet name="Balance Calculation" sheetId="33" r:id="rId11"/>
  </sheets>
  <definedNames>
    <definedName name="_xlnm.Print_Area" localSheetId="8">'2015IntRates'!$A$1:$I$45</definedName>
    <definedName name="_xlnm.Print_Area" localSheetId="7">'2015PO'!$A$1:$H$54</definedName>
    <definedName name="_xlnm.Print_Area" localSheetId="9">'2016IntRates'!$A$2:$I$45</definedName>
    <definedName name="_xlnm.Print_Area" localSheetId="6">'2016PO '!$A$1:$I$154</definedName>
    <definedName name="_xlnm.Print_Area" localSheetId="2">'Change in InterestGas'!$A$1:$I$25</definedName>
    <definedName name="_xlnm.Print_Area" localSheetId="4">SAP!$A$2:$K$20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A7" i="6" l="1"/>
  <c r="G12" i="29"/>
  <c r="G13" i="29"/>
  <c r="G14" i="29" s="1"/>
  <c r="G15" i="29" s="1"/>
  <c r="G16" i="29" s="1"/>
  <c r="G17" i="29" s="1"/>
  <c r="G18" i="29" s="1"/>
  <c r="G19" i="29" s="1"/>
  <c r="G20" i="29" s="1"/>
  <c r="G21" i="29" s="1"/>
  <c r="G11" i="29"/>
  <c r="G10" i="29"/>
  <c r="G10" i="34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D15" i="29" l="1"/>
  <c r="D16" i="29"/>
  <c r="D17" i="29" s="1"/>
  <c r="D18" i="29" s="1"/>
  <c r="D19" i="29" s="1"/>
  <c r="D20" i="29" s="1"/>
  <c r="D21" i="29" s="1"/>
  <c r="D14" i="29"/>
  <c r="D13" i="29"/>
  <c r="D15" i="34"/>
  <c r="D16" i="34"/>
  <c r="D17" i="34" s="1"/>
  <c r="D18" i="34" s="1"/>
  <c r="D19" i="34" s="1"/>
  <c r="D20" i="34" s="1"/>
  <c r="D21" i="34" s="1"/>
  <c r="D14" i="34"/>
  <c r="D13" i="34"/>
  <c r="D8" i="33" l="1"/>
  <c r="D9" i="33"/>
  <c r="D10" i="33"/>
  <c r="D11" i="33"/>
  <c r="D12" i="33"/>
  <c r="D13" i="33"/>
  <c r="D14" i="33"/>
  <c r="D15" i="33"/>
  <c r="D16" i="33"/>
  <c r="D6" i="33"/>
  <c r="D7" i="33"/>
  <c r="D5" i="33"/>
  <c r="I23" i="27"/>
  <c r="H22" i="27"/>
  <c r="I6" i="27"/>
  <c r="H5" i="27"/>
  <c r="I143" i="27"/>
  <c r="H142" i="27"/>
  <c r="F152" i="27"/>
  <c r="F151" i="27"/>
  <c r="F143" i="27"/>
  <c r="F142" i="27"/>
  <c r="I125" i="27"/>
  <c r="F133" i="27"/>
  <c r="H124" i="27"/>
  <c r="G132" i="27"/>
  <c r="G133" i="27"/>
  <c r="F132" i="27"/>
  <c r="G134" i="27"/>
  <c r="F125" i="27"/>
  <c r="F124" i="27"/>
  <c r="I107" i="27"/>
  <c r="H106" i="27"/>
  <c r="G116" i="27"/>
  <c r="G115" i="27"/>
  <c r="F116" i="27"/>
  <c r="F115" i="27"/>
  <c r="F107" i="27"/>
  <c r="F106" i="27"/>
  <c r="G99" i="27"/>
  <c r="G98" i="27"/>
  <c r="G81" i="27"/>
  <c r="G82" i="27"/>
  <c r="I91" i="27" l="1"/>
  <c r="F99" i="27"/>
  <c r="F98" i="27"/>
  <c r="H90" i="27" s="1"/>
  <c r="F91" i="27"/>
  <c r="G91" i="27" s="1"/>
  <c r="F90" i="27"/>
  <c r="G90" i="27" s="1"/>
  <c r="I40" i="27"/>
  <c r="I74" i="27"/>
  <c r="H73" i="27"/>
  <c r="E82" i="27"/>
  <c r="F82" i="27" s="1"/>
  <c r="E81" i="27"/>
  <c r="F81" i="27" s="1"/>
  <c r="F74" i="27"/>
  <c r="F73" i="27"/>
  <c r="E73" i="27"/>
  <c r="E74" i="27" s="1"/>
  <c r="F64" i="27"/>
  <c r="F65" i="27" s="1"/>
  <c r="G57" i="27"/>
  <c r="G56" i="27"/>
  <c r="F56" i="27"/>
  <c r="F57" i="27" s="1"/>
  <c r="H39" i="27"/>
  <c r="F47" i="27"/>
  <c r="F48" i="27" s="1"/>
  <c r="F40" i="27"/>
  <c r="G40" i="27" s="1"/>
  <c r="F39" i="27"/>
  <c r="F49" i="27"/>
  <c r="G39" i="27"/>
  <c r="G47" i="27" s="1"/>
  <c r="G13" i="27"/>
  <c r="G12" i="27"/>
  <c r="G31" i="27"/>
  <c r="G30" i="27"/>
  <c r="G23" i="27"/>
  <c r="G22" i="27"/>
  <c r="F31" i="27"/>
  <c r="F30" i="27"/>
  <c r="F23" i="27"/>
  <c r="F22" i="27"/>
  <c r="F13" i="27"/>
  <c r="F12" i="27"/>
  <c r="G6" i="27"/>
  <c r="G5" i="27"/>
  <c r="F6" i="27"/>
  <c r="F5" i="27"/>
  <c r="H52" i="28"/>
  <c r="G52" i="28"/>
  <c r="E50" i="28"/>
  <c r="E49" i="28"/>
  <c r="E42" i="28"/>
  <c r="E41" i="28"/>
  <c r="G48" i="27" l="1"/>
  <c r="G49" i="27" s="1"/>
  <c r="I15" i="10" l="1"/>
  <c r="J3" i="33" l="1"/>
  <c r="H21" i="34" l="1"/>
  <c r="E21" i="34"/>
  <c r="H20" i="34"/>
  <c r="E20" i="34"/>
  <c r="H19" i="34"/>
  <c r="E19" i="34"/>
  <c r="H18" i="34"/>
  <c r="E18" i="34"/>
  <c r="H17" i="34"/>
  <c r="E17" i="34"/>
  <c r="H16" i="34"/>
  <c r="E16" i="34"/>
  <c r="H15" i="34"/>
  <c r="E15" i="34"/>
  <c r="H14" i="34"/>
  <c r="E14" i="34"/>
  <c r="H13" i="34"/>
  <c r="E13" i="34"/>
  <c r="H12" i="34"/>
  <c r="D12" i="34"/>
  <c r="E12" i="34" s="1"/>
  <c r="H11" i="34"/>
  <c r="D11" i="34"/>
  <c r="E11" i="34" s="1"/>
  <c r="H10" i="34"/>
  <c r="D10" i="34"/>
  <c r="E10" i="34" s="1"/>
  <c r="D21" i="33" l="1"/>
  <c r="C21" i="33"/>
  <c r="B21" i="33"/>
  <c r="E5" i="33"/>
  <c r="E6" i="33" s="1"/>
  <c r="D11" i="29"/>
  <c r="D12" i="29"/>
  <c r="D10" i="29"/>
  <c r="E7" i="33" l="1"/>
  <c r="F7" i="33" s="1"/>
  <c r="J7" i="33" s="1"/>
  <c r="F5" i="33"/>
  <c r="J5" i="33" s="1"/>
  <c r="F6" i="33"/>
  <c r="J6" i="33" s="1"/>
  <c r="H21" i="29"/>
  <c r="E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H14" i="29"/>
  <c r="E14" i="29"/>
  <c r="H13" i="29"/>
  <c r="E13" i="29"/>
  <c r="H12" i="29"/>
  <c r="E12" i="29"/>
  <c r="H11" i="29"/>
  <c r="E11" i="29"/>
  <c r="H10" i="29"/>
  <c r="E10" i="29"/>
  <c r="E8" i="33" l="1"/>
  <c r="F8" i="33" s="1"/>
  <c r="J8" i="33" s="1"/>
  <c r="A8" i="6"/>
  <c r="A9" i="6"/>
  <c r="A6" i="6"/>
  <c r="B15" i="21"/>
  <c r="H104" i="27"/>
  <c r="G118" i="27"/>
  <c r="G109" i="27"/>
  <c r="C13" i="21" l="1"/>
  <c r="B13" i="21"/>
  <c r="C15" i="21"/>
  <c r="D15" i="21" s="1"/>
  <c r="G15" i="21" s="1"/>
  <c r="E9" i="33"/>
  <c r="F9" i="33" s="1"/>
  <c r="J9" i="33" s="1"/>
  <c r="C14" i="21"/>
  <c r="D13" i="21" l="1"/>
  <c r="F13" i="21" s="1"/>
  <c r="G13" i="21"/>
  <c r="H13" i="21" s="1"/>
  <c r="E10" i="33"/>
  <c r="F10" i="33" s="1"/>
  <c r="J10" i="33" s="1"/>
  <c r="B14" i="21"/>
  <c r="D14" i="21" s="1"/>
  <c r="G14" i="21" s="1"/>
  <c r="F15" i="21"/>
  <c r="H15" i="21" s="1"/>
  <c r="E11" i="33" l="1"/>
  <c r="F11" i="33" s="1"/>
  <c r="J11" i="33" s="1"/>
  <c r="F14" i="21"/>
  <c r="H14" i="21" s="1"/>
  <c r="E12" i="33" l="1"/>
  <c r="F12" i="33" s="1"/>
  <c r="J12" i="33" s="1"/>
  <c r="I20" i="10"/>
  <c r="G32" i="27"/>
  <c r="B8" i="21"/>
  <c r="G24" i="27"/>
  <c r="G14" i="27"/>
  <c r="G7" i="27"/>
  <c r="B7" i="21" l="1"/>
  <c r="E13" i="33"/>
  <c r="F13" i="33" s="1"/>
  <c r="J13" i="33" s="1"/>
  <c r="E14" i="33" l="1"/>
  <c r="F14" i="33" s="1"/>
  <c r="J14" i="33" s="1"/>
  <c r="C7" i="21" l="1"/>
  <c r="E15" i="33"/>
  <c r="F15" i="33" s="1"/>
  <c r="J15" i="33" s="1"/>
  <c r="F50" i="28"/>
  <c r="F49" i="28"/>
  <c r="F42" i="28"/>
  <c r="F41" i="28"/>
  <c r="E34" i="28"/>
  <c r="E33" i="28"/>
  <c r="F33" i="28" s="1"/>
  <c r="E32" i="28"/>
  <c r="F32" i="28" s="1"/>
  <c r="E27" i="28"/>
  <c r="E26" i="28"/>
  <c r="F26" i="28" s="1"/>
  <c r="E25" i="28"/>
  <c r="F25" i="28" s="1"/>
  <c r="E19" i="28"/>
  <c r="E18" i="28"/>
  <c r="F18" i="28" s="1"/>
  <c r="E17" i="28"/>
  <c r="F17" i="28" s="1"/>
  <c r="E12" i="28"/>
  <c r="E11" i="28"/>
  <c r="F11" i="28" s="1"/>
  <c r="E10" i="28"/>
  <c r="F10" i="28" s="1"/>
  <c r="D7" i="21" l="1"/>
  <c r="F7" i="21" s="1"/>
  <c r="G41" i="28"/>
  <c r="B6" i="21" s="1"/>
  <c r="H42" i="28"/>
  <c r="C6" i="21" s="1"/>
  <c r="G25" i="28"/>
  <c r="B5" i="21" s="1"/>
  <c r="G10" i="28"/>
  <c r="H26" i="28"/>
  <c r="C5" i="21" s="1"/>
  <c r="E16" i="33"/>
  <c r="F16" i="33" s="1"/>
  <c r="J16" i="33" s="1"/>
  <c r="J17" i="33" s="1"/>
  <c r="H11" i="28"/>
  <c r="G7" i="21" l="1"/>
  <c r="H7" i="21" s="1"/>
  <c r="D6" i="21"/>
  <c r="F6" i="21" s="1"/>
  <c r="G1" i="28"/>
  <c r="H2" i="27" s="1"/>
  <c r="D5" i="21"/>
  <c r="F5" i="21" s="1"/>
  <c r="B4" i="21"/>
  <c r="G53" i="28" s="1"/>
  <c r="G54" i="28" s="1"/>
  <c r="H1" i="28"/>
  <c r="I2" i="27" s="1"/>
  <c r="C4" i="21"/>
  <c r="H53" i="28" s="1"/>
  <c r="H54" i="28" s="1"/>
  <c r="G5" i="21" l="1"/>
  <c r="G6" i="21"/>
  <c r="H6" i="21" s="1"/>
  <c r="H5" i="21"/>
  <c r="D4" i="21"/>
  <c r="F58" i="27"/>
  <c r="G64" i="27"/>
  <c r="G66" i="27" s="1"/>
  <c r="G65" i="27"/>
  <c r="I57" i="27" s="1"/>
  <c r="C10" i="21" s="1"/>
  <c r="G73" i="27"/>
  <c r="G74" i="27"/>
  <c r="F75" i="27"/>
  <c r="G83" i="27"/>
  <c r="G75" i="27" l="1"/>
  <c r="G58" i="27"/>
  <c r="H56" i="27"/>
  <c r="B10" i="21" s="1"/>
  <c r="C8" i="21"/>
  <c r="G4" i="21"/>
  <c r="F4" i="21"/>
  <c r="C12" i="21"/>
  <c r="B11" i="21"/>
  <c r="B12" i="21"/>
  <c r="C11" i="21"/>
  <c r="C9" i="21"/>
  <c r="D12" i="21" l="1"/>
  <c r="G12" i="21" s="1"/>
  <c r="D11" i="21"/>
  <c r="G11" i="21" s="1"/>
  <c r="D10" i="21"/>
  <c r="G10" i="21" s="1"/>
  <c r="I3" i="27"/>
  <c r="B9" i="21"/>
  <c r="H3" i="27"/>
  <c r="D8" i="21"/>
  <c r="G8" i="21" s="1"/>
  <c r="C16" i="21"/>
  <c r="H4" i="21"/>
  <c r="I1" i="27" l="1"/>
  <c r="H1" i="27"/>
  <c r="F12" i="21"/>
  <c r="H12" i="21" s="1"/>
  <c r="F11" i="21"/>
  <c r="H11" i="21" s="1"/>
  <c r="F10" i="21"/>
  <c r="H10" i="21" s="1"/>
  <c r="D9" i="21"/>
  <c r="G9" i="21" s="1"/>
  <c r="B16" i="21"/>
  <c r="F8" i="21"/>
  <c r="H8" i="21" s="1"/>
  <c r="D16" i="21" l="1"/>
  <c r="G16" i="21" s="1"/>
  <c r="H3" i="33" s="1"/>
  <c r="H5" i="33" s="1"/>
  <c r="F10" i="29" s="1"/>
  <c r="F9" i="21"/>
  <c r="H9" i="21" s="1"/>
  <c r="I10" i="29" l="1"/>
  <c r="K10" i="29"/>
  <c r="H20" i="33"/>
  <c r="H15" i="33"/>
  <c r="F20" i="29" s="1"/>
  <c r="H19" i="33"/>
  <c r="H11" i="33"/>
  <c r="F16" i="29" s="1"/>
  <c r="H16" i="33"/>
  <c r="F21" i="29" s="1"/>
  <c r="H7" i="33"/>
  <c r="F12" i="29" s="1"/>
  <c r="H12" i="33"/>
  <c r="F17" i="29" s="1"/>
  <c r="H8" i="33"/>
  <c r="F13" i="29" s="1"/>
  <c r="I13" i="29" s="1"/>
  <c r="F16" i="21"/>
  <c r="G3" i="33" s="1"/>
  <c r="G9" i="33" s="1"/>
  <c r="F14" i="34" s="1"/>
  <c r="H18" i="33"/>
  <c r="H14" i="33"/>
  <c r="F19" i="29" s="1"/>
  <c r="H10" i="33"/>
  <c r="F15" i="29" s="1"/>
  <c r="H6" i="33"/>
  <c r="F11" i="29" s="1"/>
  <c r="H21" i="33"/>
  <c r="H17" i="33"/>
  <c r="H13" i="33"/>
  <c r="F18" i="29" s="1"/>
  <c r="H9" i="33"/>
  <c r="F14" i="29" s="1"/>
  <c r="D24" i="10"/>
  <c r="I18" i="29" l="1"/>
  <c r="K18" i="29"/>
  <c r="I15" i="29"/>
  <c r="K15" i="29"/>
  <c r="I16" i="29"/>
  <c r="K16" i="29"/>
  <c r="I19" i="29"/>
  <c r="K19" i="29"/>
  <c r="I17" i="29"/>
  <c r="K17" i="29"/>
  <c r="L10" i="29"/>
  <c r="I12" i="29"/>
  <c r="K12" i="29"/>
  <c r="I20" i="29"/>
  <c r="K20" i="29"/>
  <c r="I14" i="29"/>
  <c r="K14" i="29"/>
  <c r="N13" i="29"/>
  <c r="M13" i="29"/>
  <c r="I11" i="29"/>
  <c r="K11" i="29"/>
  <c r="I14" i="34"/>
  <c r="K14" i="34"/>
  <c r="N13" i="34"/>
  <c r="M13" i="34"/>
  <c r="I21" i="29"/>
  <c r="K21" i="29"/>
  <c r="G16" i="33"/>
  <c r="F21" i="34" s="1"/>
  <c r="G8" i="33"/>
  <c r="F13" i="34" s="1"/>
  <c r="I13" i="34" s="1"/>
  <c r="G20" i="33"/>
  <c r="G12" i="33"/>
  <c r="F17" i="34" s="1"/>
  <c r="G19" i="33"/>
  <c r="G15" i="33"/>
  <c r="F20" i="34" s="1"/>
  <c r="G11" i="33"/>
  <c r="F16" i="34" s="1"/>
  <c r="G7" i="33"/>
  <c r="F12" i="34" s="1"/>
  <c r="G5" i="33"/>
  <c r="F10" i="34" s="1"/>
  <c r="G18" i="33"/>
  <c r="G14" i="33"/>
  <c r="F19" i="34" s="1"/>
  <c r="G10" i="33"/>
  <c r="F15" i="34" s="1"/>
  <c r="G6" i="33"/>
  <c r="F11" i="34" s="1"/>
  <c r="G21" i="33"/>
  <c r="G17" i="33"/>
  <c r="G13" i="33"/>
  <c r="F18" i="34" s="1"/>
  <c r="K5" i="10"/>
  <c r="C11" i="29" s="1"/>
  <c r="K4" i="10"/>
  <c r="K17" i="10"/>
  <c r="C16" i="29" s="1"/>
  <c r="K6" i="10"/>
  <c r="C12" i="29" s="1"/>
  <c r="K7" i="10"/>
  <c r="C13" i="29" s="1"/>
  <c r="K13" i="29" s="1"/>
  <c r="L13" i="29" s="1"/>
  <c r="K8" i="10"/>
  <c r="C14" i="29" s="1"/>
  <c r="K9" i="10"/>
  <c r="C15" i="29" s="1"/>
  <c r="K10" i="10"/>
  <c r="C17" i="29" s="1"/>
  <c r="K11" i="10"/>
  <c r="C18" i="29" s="1"/>
  <c r="K12" i="10"/>
  <c r="C19" i="29" s="1"/>
  <c r="K13" i="10"/>
  <c r="C20" i="29" s="1"/>
  <c r="K14" i="10"/>
  <c r="C21" i="29" s="1"/>
  <c r="H16" i="21"/>
  <c r="D23" i="10"/>
  <c r="L21" i="29" l="1"/>
  <c r="L20" i="29"/>
  <c r="I20" i="34"/>
  <c r="K20" i="34"/>
  <c r="I11" i="34"/>
  <c r="K11" i="34"/>
  <c r="K10" i="34"/>
  <c r="I10" i="34"/>
  <c r="L10" i="34" s="1"/>
  <c r="I21" i="34"/>
  <c r="K21" i="34"/>
  <c r="L21" i="34" s="1"/>
  <c r="L17" i="29"/>
  <c r="L16" i="29"/>
  <c r="L18" i="29"/>
  <c r="I18" i="34"/>
  <c r="K18" i="34"/>
  <c r="I15" i="34"/>
  <c r="K15" i="34"/>
  <c r="I12" i="34"/>
  <c r="K12" i="34"/>
  <c r="I17" i="34"/>
  <c r="K17" i="34"/>
  <c r="I23" i="29"/>
  <c r="D14" i="6" s="1"/>
  <c r="L11" i="29"/>
  <c r="L14" i="29"/>
  <c r="L23" i="29" s="1"/>
  <c r="L12" i="29"/>
  <c r="I19" i="34"/>
  <c r="K19" i="34"/>
  <c r="I16" i="34"/>
  <c r="K16" i="34"/>
  <c r="L14" i="34"/>
  <c r="L19" i="29"/>
  <c r="L15" i="29"/>
  <c r="K20" i="10"/>
  <c r="C10" i="29"/>
  <c r="C23" i="29" s="1"/>
  <c r="J14" i="10"/>
  <c r="C21" i="34" s="1"/>
  <c r="J4" i="10"/>
  <c r="J5" i="10"/>
  <c r="C11" i="34" s="1"/>
  <c r="E23" i="10"/>
  <c r="J7" i="10"/>
  <c r="C13" i="34" s="1"/>
  <c r="K13" i="34" s="1"/>
  <c r="L13" i="34" s="1"/>
  <c r="J8" i="10"/>
  <c r="C14" i="34" s="1"/>
  <c r="J9" i="10"/>
  <c r="C15" i="34" s="1"/>
  <c r="J10" i="10"/>
  <c r="C17" i="34" s="1"/>
  <c r="J11" i="10"/>
  <c r="C18" i="34" s="1"/>
  <c r="J12" i="10"/>
  <c r="C19" i="34" s="1"/>
  <c r="J13" i="10"/>
  <c r="C20" i="34" s="1"/>
  <c r="J17" i="10"/>
  <c r="C16" i="34" s="1"/>
  <c r="J6" i="10"/>
  <c r="C12" i="34" s="1"/>
  <c r="D25" i="10"/>
  <c r="M23" i="29" l="1"/>
  <c r="J20" i="33"/>
  <c r="L18" i="34"/>
  <c r="L16" i="34"/>
  <c r="L17" i="34"/>
  <c r="L15" i="34"/>
  <c r="L11" i="34"/>
  <c r="I23" i="34"/>
  <c r="D14" i="2" s="1"/>
  <c r="L19" i="34"/>
  <c r="L12" i="34"/>
  <c r="L20" i="34"/>
  <c r="J20" i="10"/>
  <c r="C10" i="34"/>
  <c r="C23" i="34" s="1"/>
  <c r="E24" i="10"/>
  <c r="L23" i="34" l="1"/>
  <c r="M23" i="34" s="1"/>
  <c r="J19" i="33"/>
  <c r="J21" i="33" s="1"/>
  <c r="E25" i="10"/>
  <c r="E33" i="10" s="1"/>
  <c r="D16" i="2"/>
  <c r="D16" i="6" l="1"/>
</calcChain>
</file>

<file path=xl/comments1.xml><?xml version="1.0" encoding="utf-8"?>
<comments xmlns="http://schemas.openxmlformats.org/spreadsheetml/2006/main">
  <authors>
    <author>Puget Sound Energy</author>
  </authors>
  <commentList>
    <comment ref="A1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  <comment ref="A121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30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  <comment ref="A139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48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<sst xmlns="http://schemas.openxmlformats.org/spreadsheetml/2006/main" count="1642" uniqueCount="317">
  <si>
    <t xml:space="preserve"> </t>
  </si>
  <si>
    <t>LINE</t>
  </si>
  <si>
    <t>NO.</t>
  </si>
  <si>
    <t>DESCRIPTION</t>
  </si>
  <si>
    <t>AMOUNT</t>
  </si>
  <si>
    <t>PUGET SOUND ENERGY-ELECTRIC</t>
  </si>
  <si>
    <t>INCREASE (DECREASE) NOI</t>
  </si>
  <si>
    <t>PUGET SOUND ENERGY-GAS</t>
  </si>
  <si>
    <t>Interest on Customer Deposits</t>
  </si>
  <si>
    <t>INTEREST EXPENSE FOR THE RESTATED TEST YEAR</t>
  </si>
  <si>
    <t>Order</t>
  </si>
  <si>
    <t>Name</t>
  </si>
  <si>
    <t>Document Header Text</t>
  </si>
  <si>
    <t>Val.in rep.cur.</t>
  </si>
  <si>
    <t>Total</t>
  </si>
  <si>
    <t/>
  </si>
  <si>
    <t>Electric</t>
  </si>
  <si>
    <t>Gas</t>
  </si>
  <si>
    <t>Common Eletric</t>
  </si>
  <si>
    <t>Common Gas</t>
  </si>
  <si>
    <t>check</t>
  </si>
  <si>
    <t xml:space="preserve">     Total</t>
  </si>
  <si>
    <t>Month Allocation Used</t>
  </si>
  <si>
    <t>Prior Obligation Flag</t>
  </si>
  <si>
    <t>G/L Account</t>
  </si>
  <si>
    <t>Open Amount Grand Total</t>
  </si>
  <si>
    <t>X</t>
  </si>
  <si>
    <t>Prior Obligation AR (Pre Conversion)</t>
  </si>
  <si>
    <t>$</t>
  </si>
  <si>
    <t>Allocate Unapplied Cr</t>
  </si>
  <si>
    <t>Net Balance</t>
  </si>
  <si>
    <t>Total Electric</t>
  </si>
  <si>
    <t>Total Gas</t>
  </si>
  <si>
    <t>14200201</t>
  </si>
  <si>
    <t>Electric Cust A/R</t>
  </si>
  <si>
    <t>14200202</t>
  </si>
  <si>
    <t>Gas Cust A/R</t>
  </si>
  <si>
    <t>14200203</t>
  </si>
  <si>
    <t>Cust AR Unapp Credit</t>
  </si>
  <si>
    <t>Prior Obligation AR (Post Conversion)</t>
  </si>
  <si>
    <t>Cost Elem.</t>
  </si>
  <si>
    <t>Aux. acct assignment_1</t>
  </si>
  <si>
    <t>Offst.acct</t>
  </si>
  <si>
    <t>Postg Date</t>
  </si>
  <si>
    <t>Common-Accrued Interest Customer Deposits</t>
  </si>
  <si>
    <t>CTR 1110</t>
  </si>
  <si>
    <t xml:space="preserve">SAP Order 43100673 Other Interest - Customers Deposits
</t>
  </si>
  <si>
    <t>Cost element name</t>
  </si>
  <si>
    <t>Interest Expense</t>
  </si>
  <si>
    <t>Total 43100673</t>
  </si>
  <si>
    <t>see e-mail below</t>
  </si>
  <si>
    <t>TOTAL 43100673 AND 43100601</t>
  </si>
  <si>
    <t xml:space="preserve">Time </t>
  </si>
  <si>
    <t xml:space="preserve">Test </t>
  </si>
  <si>
    <t>Calculated Average</t>
  </si>
  <si>
    <t>Restated</t>
  </si>
  <si>
    <t>Period</t>
  </si>
  <si>
    <t>Year</t>
  </si>
  <si>
    <t>Annual</t>
  </si>
  <si>
    <t>Monthly</t>
  </si>
  <si>
    <t xml:space="preserve">Customer </t>
  </si>
  <si>
    <t>Test Year</t>
  </si>
  <si>
    <t>Interest</t>
  </si>
  <si>
    <t>Deposit</t>
  </si>
  <si>
    <t xml:space="preserve">Interest </t>
  </si>
  <si>
    <t xml:space="preserve">Expense, </t>
  </si>
  <si>
    <t>Rate</t>
  </si>
  <si>
    <t>Balance</t>
  </si>
  <si>
    <t>Expense</t>
  </si>
  <si>
    <t>a</t>
  </si>
  <si>
    <t>b</t>
  </si>
  <si>
    <t>c</t>
  </si>
  <si>
    <t>d = c / 12</t>
  </si>
  <si>
    <t>d</t>
  </si>
  <si>
    <t>e</t>
  </si>
  <si>
    <t>f = e / 12</t>
  </si>
  <si>
    <t>g = f * d</t>
  </si>
  <si>
    <t>Gas Total</t>
  </si>
  <si>
    <t>H.15 Selected Interest Rates</t>
  </si>
  <si>
    <t>Yields in percent per annum</t>
  </si>
  <si>
    <t>Instruments</t>
  </si>
  <si>
    <t>Jan</t>
  </si>
  <si>
    <t>Week Ending</t>
  </si>
  <si>
    <t>Dec</t>
  </si>
  <si>
    <t>Federal funds (effective) 1 2 3</t>
  </si>
  <si>
    <t> 0.12 </t>
  </si>
  <si>
    <t> 0.13 c </t>
  </si>
  <si>
    <t> 0.11 </t>
  </si>
  <si>
    <t>Commercial Paper 3 4 5 6</t>
  </si>
  <si>
    <t>  </t>
  </si>
  <si>
    <t>Nonfinancial</t>
  </si>
  <si>
    <t>1-month</t>
  </si>
  <si>
    <t> 0.13 </t>
  </si>
  <si>
    <t> 0.06 </t>
  </si>
  <si>
    <t> 0.09 </t>
  </si>
  <si>
    <t>2-month</t>
  </si>
  <si>
    <t> 0.10 </t>
  </si>
  <si>
    <t>3-month</t>
  </si>
  <si>
    <t> 0.14 </t>
  </si>
  <si>
    <t>Financial</t>
  </si>
  <si>
    <t> n.a. </t>
  </si>
  <si>
    <t> 0.16 </t>
  </si>
  <si>
    <t> 0.15 </t>
  </si>
  <si>
    <t> 0.17 </t>
  </si>
  <si>
    <t>Eurodollar deposits (London) 3 7</t>
  </si>
  <si>
    <t> 0.19 </t>
  </si>
  <si>
    <t> 0.18 </t>
  </si>
  <si>
    <t> 0.30 </t>
  </si>
  <si>
    <t> 0.26 </t>
  </si>
  <si>
    <t>6-month</t>
  </si>
  <si>
    <t> 0.37 </t>
  </si>
  <si>
    <t> 0.36 </t>
  </si>
  <si>
    <t>Bank prime loan 2 3 8</t>
  </si>
  <si>
    <t> 3.25 </t>
  </si>
  <si>
    <t>Discount window primary credit 2 9</t>
  </si>
  <si>
    <t> 0.75 </t>
  </si>
  <si>
    <t>U.S. government securities</t>
  </si>
  <si>
    <t>Treasury bills (secondary market) 3 4</t>
  </si>
  <si>
    <t>4-week</t>
  </si>
  <si>
    <t> 0.02 </t>
  </si>
  <si>
    <t> 0.03 </t>
  </si>
  <si>
    <t> 0.04 </t>
  </si>
  <si>
    <t> 0.08 </t>
  </si>
  <si>
    <t> 0.07 </t>
  </si>
  <si>
    <t>1-year</t>
  </si>
  <si>
    <t> 0.23 </t>
  </si>
  <si>
    <t> 0.20 </t>
  </si>
  <si>
    <t>Treasury constant maturities</t>
  </si>
  <si>
    <t>Nominal 10</t>
  </si>
  <si>
    <t> 0.24 </t>
  </si>
  <si>
    <t> 0.21 </t>
  </si>
  <si>
    <t>2-year</t>
  </si>
  <si>
    <t> 0.56 </t>
  </si>
  <si>
    <t> 0.54 </t>
  </si>
  <si>
    <t> 0.51 </t>
  </si>
  <si>
    <t> 0.44 </t>
  </si>
  <si>
    <t> 0.49 </t>
  </si>
  <si>
    <t> 0.63 </t>
  </si>
  <si>
    <t> 0.64 </t>
  </si>
  <si>
    <t>3-year</t>
  </si>
  <si>
    <t> 0.91 </t>
  </si>
  <si>
    <t> 0.88 </t>
  </si>
  <si>
    <t> 0.83 </t>
  </si>
  <si>
    <t> 0.80 </t>
  </si>
  <si>
    <t> 1.01 </t>
  </si>
  <si>
    <t> 1.06 </t>
  </si>
  <si>
    <t>5-year</t>
  </si>
  <si>
    <t> 1.39 </t>
  </si>
  <si>
    <t> 1.37 </t>
  </si>
  <si>
    <t> 1.33 </t>
  </si>
  <si>
    <t> 1.22 </t>
  </si>
  <si>
    <t> 1.29 </t>
  </si>
  <si>
    <t> 1.32 </t>
  </si>
  <si>
    <t> 1.50 </t>
  </si>
  <si>
    <t> 1.64 </t>
  </si>
  <si>
    <t>7-year</t>
  </si>
  <si>
    <t> 1.69 </t>
  </si>
  <si>
    <t> 1.67 </t>
  </si>
  <si>
    <t> 1.62 </t>
  </si>
  <si>
    <t> 1.53 </t>
  </si>
  <si>
    <t> 1.60 </t>
  </si>
  <si>
    <t> 1.79 </t>
  </si>
  <si>
    <t> 1.98 </t>
  </si>
  <si>
    <t>10-year</t>
  </si>
  <si>
    <t> 1.92 </t>
  </si>
  <si>
    <t> 1.91 </t>
  </si>
  <si>
    <t> 1.86 </t>
  </si>
  <si>
    <t> 1.77 </t>
  </si>
  <si>
    <t> 1.83 </t>
  </si>
  <si>
    <t> 2.00 </t>
  </si>
  <si>
    <t> 2.21 </t>
  </si>
  <si>
    <t>20-year</t>
  </si>
  <si>
    <t> 2.23 </t>
  </si>
  <si>
    <t> 2.24 </t>
  </si>
  <si>
    <t> 2.20 </t>
  </si>
  <si>
    <t> 2.12 </t>
  </si>
  <si>
    <t> 2.17 </t>
  </si>
  <si>
    <t> 2.19 </t>
  </si>
  <si>
    <t> 2.29 </t>
  </si>
  <si>
    <t> 2.55 </t>
  </si>
  <si>
    <t>30-year</t>
  </si>
  <si>
    <t> 2.49 </t>
  </si>
  <si>
    <t> 2.47 </t>
  </si>
  <si>
    <t> 2.40 </t>
  </si>
  <si>
    <t> 2.44 </t>
  </si>
  <si>
    <t> 2.46 </t>
  </si>
  <si>
    <t> 2.56 </t>
  </si>
  <si>
    <t> 2.83 </t>
  </si>
  <si>
    <t>http://www.federalreserve.gov/releases/h15/20150120/</t>
  </si>
  <si>
    <t> 0.27 </t>
  </si>
  <si>
    <t> 0.32 </t>
  </si>
  <si>
    <t> 0.35 </t>
  </si>
  <si>
    <t> 0.34 </t>
  </si>
  <si>
    <t> 0.33 </t>
  </si>
  <si>
    <t> 0.28 </t>
  </si>
  <si>
    <t> 0.38 </t>
  </si>
  <si>
    <t> 0.40 </t>
  </si>
  <si>
    <t> 0.41 </t>
  </si>
  <si>
    <t> 0.43 </t>
  </si>
  <si>
    <t> 0.45 </t>
  </si>
  <si>
    <t> 0.47 </t>
  </si>
  <si>
    <t> 0.48 </t>
  </si>
  <si>
    <t> 0.46 </t>
  </si>
  <si>
    <t> 0.39 </t>
  </si>
  <si>
    <t> 0.52 </t>
  </si>
  <si>
    <t> 0.62 </t>
  </si>
  <si>
    <t> 0.58 </t>
  </si>
  <si>
    <t> 0.57 </t>
  </si>
  <si>
    <t> 0.59 </t>
  </si>
  <si>
    <t> 0.70 </t>
  </si>
  <si>
    <t> 0.90 </t>
  </si>
  <si>
    <t> 0.82 </t>
  </si>
  <si>
    <t> 3.50 </t>
  </si>
  <si>
    <t> 3.37 </t>
  </si>
  <si>
    <t> 1.00 </t>
  </si>
  <si>
    <t> 0.87 </t>
  </si>
  <si>
    <t> 0.22 </t>
  </si>
  <si>
    <t> 0.25 </t>
  </si>
  <si>
    <t> 0.42 </t>
  </si>
  <si>
    <t> 0.61 </t>
  </si>
  <si>
    <t> 0.60 </t>
  </si>
  <si>
    <t> 0.53 </t>
  </si>
  <si>
    <t> 0.50 </t>
  </si>
  <si>
    <t> 0.55 </t>
  </si>
  <si>
    <t> 0.65 </t>
  </si>
  <si>
    <t> 0.94 </t>
  </si>
  <si>
    <t> 0.93 </t>
  </si>
  <si>
    <t> 0.85 </t>
  </si>
  <si>
    <t> 0.99 </t>
  </si>
  <si>
    <t> 0.98 </t>
  </si>
  <si>
    <t> 1.20 </t>
  </si>
  <si>
    <t> 1.18 </t>
  </si>
  <si>
    <t> 1.15 </t>
  </si>
  <si>
    <t> 1.14 </t>
  </si>
  <si>
    <t> 1.08 </t>
  </si>
  <si>
    <t> 1.26 </t>
  </si>
  <si>
    <t> 1.28 </t>
  </si>
  <si>
    <t> 1.58 </t>
  </si>
  <si>
    <t> 1.55 </t>
  </si>
  <si>
    <t> 1.51 </t>
  </si>
  <si>
    <t> 1.52 </t>
  </si>
  <si>
    <t> 1.46 </t>
  </si>
  <si>
    <t> 1.66 </t>
  </si>
  <si>
    <t> 1.70 </t>
  </si>
  <si>
    <t> 1.94 </t>
  </si>
  <si>
    <t> 1.88 </t>
  </si>
  <si>
    <t> 1.85 </t>
  </si>
  <si>
    <t> 1.87 </t>
  </si>
  <si>
    <t> 1.99 </t>
  </si>
  <si>
    <t> 2.04 </t>
  </si>
  <si>
    <t> 2.08 </t>
  </si>
  <si>
    <t> 2.10 </t>
  </si>
  <si>
    <t> 2.03 </t>
  </si>
  <si>
    <t> 2.59 </t>
  </si>
  <si>
    <t> 2.51 </t>
  </si>
  <si>
    <t> 2.50 </t>
  </si>
  <si>
    <t> 2.60 </t>
  </si>
  <si>
    <t> 2.61 </t>
  </si>
  <si>
    <t> 2.96 </t>
  </si>
  <si>
    <t> 2.89 </t>
  </si>
  <si>
    <t> 2.85 </t>
  </si>
  <si>
    <t> 2.90 </t>
  </si>
  <si>
    <t> 2.81 </t>
  </si>
  <si>
    <t> 2.88 </t>
  </si>
  <si>
    <t> 2.95 </t>
  </si>
  <si>
    <t> 2.97 </t>
  </si>
  <si>
    <t>Debit</t>
  </si>
  <si>
    <t>Credit</t>
  </si>
  <si>
    <t>Cum. balance</t>
  </si>
  <si>
    <t>Average Balance</t>
  </si>
  <si>
    <t>Balance Carryforward</t>
  </si>
  <si>
    <t>13</t>
  </si>
  <si>
    <t>14</t>
  </si>
  <si>
    <t>15</t>
  </si>
  <si>
    <t>16</t>
  </si>
  <si>
    <t>23500003 Customer Dep Common</t>
  </si>
  <si>
    <t>El</t>
  </si>
  <si>
    <t>2017 GENERAL RATE CASE</t>
  </si>
  <si>
    <t>For The Twelve Months Ended September 30, 2016</t>
  </si>
  <si>
    <t>Accr Cust Dpst -CIS 10/15</t>
  </si>
  <si>
    <t>Accr Cust Dpst -CIS 11/15</t>
  </si>
  <si>
    <t>Accr Cust Dpst -CIS 12/31</t>
  </si>
  <si>
    <t>Accr Cust Dpst -CIS 1/16</t>
  </si>
  <si>
    <t>Accr Cust Dpst -CIS 2/16</t>
  </si>
  <si>
    <t>Accr Cust Dpst -CIS 3/16</t>
  </si>
  <si>
    <t>Accr Cust Dpst -CIS 5/16</t>
  </si>
  <si>
    <t>Accr Cust Dpst -CIS 6/16</t>
  </si>
  <si>
    <t>Accr Cust Dpst -CIS 7/16</t>
  </si>
  <si>
    <t>Accr Cust Dpst -CIS 8/16</t>
  </si>
  <si>
    <t>Accr Cust Dpst -CIS 9/16</t>
  </si>
  <si>
    <t>Accr Cust Dpst -CIS 4/16</t>
  </si>
  <si>
    <t>https://www.federalreserve.gov/releases/h15/20160119/</t>
  </si>
  <si>
    <t>Prior Obligation AR October 2015</t>
  </si>
  <si>
    <t>Prior Obligation AR November 2015</t>
  </si>
  <si>
    <t>23202353</t>
  </si>
  <si>
    <t>UnCr-Cust Overpymt</t>
  </si>
  <si>
    <t>Prior Obligation AR December 2015</t>
  </si>
  <si>
    <t>Prior Obligation AR January 2016</t>
  </si>
  <si>
    <t>12 ME 09/30/2016</t>
  </si>
  <si>
    <t>Prior Obligation AR February 2016</t>
  </si>
  <si>
    <t>Prior Obligation AR (Pre Conversion) March 2016</t>
  </si>
  <si>
    <t>Prior Obligation AR April 2016</t>
  </si>
  <si>
    <t>Prior Obligation AR May 2016</t>
  </si>
  <si>
    <t>Prior Obligation AR June 2016</t>
  </si>
  <si>
    <t>Prior Obligation AR July 2016</t>
  </si>
  <si>
    <t>Prior Obligation AR Aug 2016</t>
  </si>
  <si>
    <t>Split between electric &amp; gas</t>
  </si>
  <si>
    <t>Interest on Customer Deposits - Restating - GAS</t>
  </si>
  <si>
    <t>Interest on Customer Deposits - Restating  - ELECTRIC</t>
  </si>
  <si>
    <t>Actual Interest Rate</t>
  </si>
  <si>
    <t>Restated Interest Rate</t>
  </si>
  <si>
    <t>PAGE  8.11</t>
  </si>
  <si>
    <t>PAGE 10.11</t>
  </si>
  <si>
    <t>https://fred.stlouisfed.org/series/DGS1#0</t>
  </si>
  <si>
    <t>https://www.federalreserve.gov/feeds/h15.html</t>
  </si>
  <si>
    <t>SUPPLEMENTAL FILING</t>
  </si>
  <si>
    <t>Oct - 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</si>
</sst>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##,000"/>
    <numFmt numFmtId="167" formatCode="dddd\,\ mmmm\ dd\,\ yyyy"/>
    <numFmt numFmtId="168" formatCode="#,##0.00;\-#,##0.00;#,##0.00"/>
    <numFmt numFmtId="169" formatCode="mm/dd/yyyy"/>
    <numFmt numFmtId="170" formatCode="_(* #,##0.0000_);_(* \(#,##0.0000\);_(* &quot;-&quot;??_);_(@_)"/>
    <numFmt numFmtId="171" formatCode="[$-409]mmmm\-yy;@"/>
    <numFmt numFmtId="172" formatCode="#,##0.0000000000_);\(#,##0.0000000000\)"/>
    <numFmt numFmtId="173" formatCode="_(* #,##0.00000_);_(* \(#,##0.00000\);_(* &quot;-&quot;??_);_(@_)"/>
    <numFmt numFmtId="174" formatCode="0.000000"/>
    <numFmt numFmtId="175" formatCode="_(&quot;$&quot;* #,##0_);_(&quot;$&quot;* \(#,##0\);_(&quot;$&quot;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3"/>
      <name val="Arial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Book Antiqua"/>
      <family val="1"/>
    </font>
    <font>
      <sz val="10"/>
      <name val="Arial"/>
      <family val="2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8.5"/>
      <color rgb="FFFFFFFF"/>
      <name val="Verdana"/>
      <family val="2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  <font>
      <u/>
      <sz val="10"/>
      <color theme="10"/>
      <name val="Arial"/>
      <family val="2"/>
    </font>
    <font>
      <b/>
      <sz val="8.5"/>
      <color theme="3"/>
      <name val="Verdana"/>
      <family val="2"/>
    </font>
    <font>
      <b/>
      <sz val="8.5"/>
      <color rgb="FF0070C0"/>
      <name val="Verdana"/>
      <family val="2"/>
    </font>
    <font>
      <b/>
      <sz val="9"/>
      <color rgb="FF000000"/>
      <name val="Verdana"/>
      <family val="2"/>
    </font>
  </fonts>
  <fills count="32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D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theme="3" tint="-0.24994659260841701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B4B4B4"/>
      </right>
      <top/>
      <bottom style="medium">
        <color rgb="FFB4B4B4"/>
      </bottom>
      <diagonal/>
    </border>
    <border>
      <left/>
      <right style="medium">
        <color rgb="FFB4B4B4"/>
      </right>
      <top/>
      <bottom/>
      <diagonal/>
    </border>
    <border>
      <left/>
      <right style="medium">
        <color rgb="FFCFC67E"/>
      </right>
      <top/>
      <bottom style="medium">
        <color rgb="FFCFC67E"/>
      </bottom>
      <diagonal/>
    </border>
    <border>
      <left style="medium">
        <color rgb="FFCCCCCC"/>
      </left>
      <right style="medium">
        <color rgb="FFB4B4B4"/>
      </right>
      <top style="medium">
        <color rgb="FFCCCCCC"/>
      </top>
      <bottom/>
      <diagonal/>
    </border>
    <border>
      <left/>
      <right style="medium">
        <color rgb="FFB4B4B4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B4B4B4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B4B4B4"/>
      </right>
      <top/>
      <bottom style="medium">
        <color rgb="FFB4B4B4"/>
      </bottom>
      <diagonal/>
    </border>
    <border>
      <left/>
      <right style="medium">
        <color rgb="FFCCCCCC"/>
      </right>
      <top/>
      <bottom style="medium">
        <color rgb="FFB4B4B4"/>
      </bottom>
      <diagonal/>
    </border>
    <border>
      <left style="medium">
        <color rgb="FFCCCCCC"/>
      </left>
      <right style="medium">
        <color rgb="FFD6C278"/>
      </right>
      <top/>
      <bottom style="medium">
        <color rgb="FFD6C278"/>
      </bottom>
      <diagonal/>
    </border>
    <border>
      <left/>
      <right style="medium">
        <color rgb="FFCCCCCC"/>
      </right>
      <top/>
      <bottom style="medium">
        <color rgb="FFCFC67E"/>
      </bottom>
      <diagonal/>
    </border>
    <border>
      <left style="medium">
        <color rgb="FFCCCCCC"/>
      </left>
      <right style="medium">
        <color rgb="FFD6C278"/>
      </right>
      <top/>
      <bottom style="medium">
        <color rgb="FFCCCCCC"/>
      </bottom>
      <diagonal/>
    </border>
    <border>
      <left/>
      <right style="medium">
        <color rgb="FFCFC67E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B4B4B4"/>
      </left>
      <right/>
      <top style="medium">
        <color rgb="FFCCCCCC"/>
      </top>
      <bottom/>
      <diagonal/>
    </border>
    <border>
      <left style="medium">
        <color rgb="FFB4B4B4"/>
      </left>
      <right/>
      <top/>
      <bottom style="medium">
        <color rgb="FFB4B4B4"/>
      </bottom>
      <diagonal/>
    </border>
    <border>
      <left/>
      <right style="medium">
        <color rgb="FFB4B4B4"/>
      </right>
      <top/>
      <bottom style="medium">
        <color rgb="FFCCCCCC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7" fillId="0" borderId="0"/>
    <xf numFmtId="9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1" fillId="0" borderId="7" applyNumberFormat="0" applyAlignment="0" applyProtection="0">
      <alignment horizontal="right" vertical="center" indent="1"/>
    </xf>
    <xf numFmtId="0" fontId="22" fillId="2" borderId="8" applyNumberFormat="0" applyAlignment="0" applyProtection="0">
      <alignment horizontal="left" vertical="center" indent="1"/>
    </xf>
    <xf numFmtId="166" fontId="21" fillId="2" borderId="9" applyNumberFormat="0" applyAlignment="0" applyProtection="0">
      <alignment horizontal="left" vertical="center" indent="1"/>
    </xf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9" applyNumberFormat="0" applyFont="0" applyFill="0" applyAlignment="0" applyProtection="0"/>
    <xf numFmtId="166" fontId="22" fillId="3" borderId="29" applyNumberFormat="0" applyAlignment="0" applyProtection="0">
      <alignment horizontal="right" vertical="center" indent="1"/>
    </xf>
    <xf numFmtId="166" fontId="21" fillId="4" borderId="8" applyNumberFormat="0" applyAlignment="0" applyProtection="0">
      <alignment horizontal="left" vertical="center" indent="1"/>
    </xf>
    <xf numFmtId="0" fontId="21" fillId="4" borderId="8" applyNumberFormat="0" applyAlignment="0" applyProtection="0">
      <alignment horizontal="left" vertical="center" indent="1"/>
    </xf>
    <xf numFmtId="0" fontId="30" fillId="0" borderId="30" applyNumberFormat="0" applyFill="0" applyBorder="0" applyAlignment="0" applyProtection="0"/>
    <xf numFmtId="166" fontId="31" fillId="5" borderId="31" applyNumberFormat="0" applyBorder="0" applyAlignment="0" applyProtection="0">
      <alignment horizontal="right" vertical="center" indent="1"/>
    </xf>
    <xf numFmtId="166" fontId="31" fillId="6" borderId="31" applyNumberFormat="0" applyBorder="0" applyAlignment="0" applyProtection="0">
      <alignment horizontal="right" vertical="center" indent="1"/>
    </xf>
    <xf numFmtId="166" fontId="31" fillId="7" borderId="31" applyNumberFormat="0" applyBorder="0" applyAlignment="0" applyProtection="0">
      <alignment horizontal="right" vertical="center" indent="1"/>
    </xf>
    <xf numFmtId="166" fontId="32" fillId="8" borderId="31" applyNumberFormat="0" applyBorder="0" applyAlignment="0" applyProtection="0">
      <alignment horizontal="right" vertical="center" indent="1"/>
    </xf>
    <xf numFmtId="166" fontId="32" fillId="9" borderId="31" applyNumberFormat="0" applyBorder="0" applyAlignment="0" applyProtection="0">
      <alignment horizontal="right" vertical="center" indent="1"/>
    </xf>
    <xf numFmtId="166" fontId="32" fillId="10" borderId="31" applyNumberFormat="0" applyBorder="0" applyAlignment="0" applyProtection="0">
      <alignment horizontal="right" vertical="center" indent="1"/>
    </xf>
    <xf numFmtId="166" fontId="33" fillId="11" borderId="31" applyNumberFormat="0" applyBorder="0" applyAlignment="0" applyProtection="0">
      <alignment horizontal="right" vertical="center" indent="1"/>
    </xf>
    <xf numFmtId="166" fontId="33" fillId="12" borderId="31" applyNumberFormat="0" applyBorder="0" applyAlignment="0" applyProtection="0">
      <alignment horizontal="right" vertical="center" indent="1"/>
    </xf>
    <xf numFmtId="166" fontId="33" fillId="13" borderId="31" applyNumberFormat="0" applyBorder="0" applyAlignment="0" applyProtection="0">
      <alignment horizontal="right" vertical="center" indent="1"/>
    </xf>
    <xf numFmtId="0" fontId="21" fillId="2" borderId="29" applyNumberFormat="0" applyAlignment="0" applyProtection="0">
      <alignment horizontal="left" vertical="center" indent="1"/>
    </xf>
    <xf numFmtId="0" fontId="21" fillId="14" borderId="8" applyNumberFormat="0" applyAlignment="0" applyProtection="0">
      <alignment horizontal="left" vertical="center" indent="1"/>
    </xf>
    <xf numFmtId="0" fontId="21" fillId="15" borderId="8" applyNumberFormat="0" applyAlignment="0" applyProtection="0">
      <alignment horizontal="left" vertical="center" indent="1"/>
    </xf>
    <xf numFmtId="0" fontId="21" fillId="16" borderId="8" applyNumberFormat="0" applyAlignment="0" applyProtection="0">
      <alignment horizontal="left" vertical="center" indent="1"/>
    </xf>
    <xf numFmtId="0" fontId="21" fillId="17" borderId="8" applyNumberFormat="0" applyAlignment="0" applyProtection="0">
      <alignment horizontal="left" vertical="center" indent="1"/>
    </xf>
    <xf numFmtId="0" fontId="21" fillId="18" borderId="8" applyNumberFormat="0" applyAlignment="0" applyProtection="0">
      <alignment horizontal="left" vertical="center" indent="1"/>
    </xf>
    <xf numFmtId="0" fontId="21" fillId="19" borderId="29" applyNumberFormat="0" applyAlignment="0" applyProtection="0">
      <alignment horizontal="left" vertical="center" indent="1"/>
    </xf>
    <xf numFmtId="166" fontId="21" fillId="20" borderId="7" applyNumberFormat="0" applyBorder="0" applyAlignment="0" applyProtection="0">
      <alignment horizontal="right" vertical="center" indent="1"/>
    </xf>
    <xf numFmtId="166" fontId="22" fillId="20" borderId="29" applyNumberFormat="0" applyAlignment="0" applyProtection="0">
      <alignment horizontal="right" vertical="center" indent="1"/>
    </xf>
    <xf numFmtId="0" fontId="22" fillId="21" borderId="8" applyNumberFormat="0" applyAlignment="0" applyProtection="0">
      <alignment horizontal="left" vertical="center" indent="1"/>
    </xf>
    <xf numFmtId="0" fontId="21" fillId="18" borderId="8" applyNumberFormat="0" applyAlignment="0" applyProtection="0">
      <alignment horizontal="left" vertical="center" indent="1"/>
    </xf>
    <xf numFmtId="166" fontId="22" fillId="3" borderId="29" applyNumberFormat="0" applyAlignment="0" applyProtection="0">
      <alignment horizontal="right" vertical="center" indent="1"/>
    </xf>
    <xf numFmtId="0" fontId="3" fillId="0" borderId="0"/>
    <xf numFmtId="43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8">
    <xf numFmtId="0" fontId="0" fillId="0" borderId="0" xfId="0"/>
    <xf numFmtId="3" fontId="8" fillId="0" borderId="0" xfId="1" applyNumberFormat="1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9" fillId="0" borderId="1" xfId="0" quotePrefix="1" applyFont="1" applyFill="1" applyBorder="1" applyAlignment="1">
      <alignment horizontal="right"/>
    </xf>
    <xf numFmtId="0" fontId="9" fillId="0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protection locked="0"/>
    </xf>
    <xf numFmtId="0" fontId="9" fillId="0" borderId="2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2" applyNumberFormat="1" applyFont="1" applyFill="1" applyAlignment="1" applyProtection="1">
      <protection locked="0"/>
    </xf>
    <xf numFmtId="37" fontId="8" fillId="0" borderId="0" xfId="1" applyNumberFormat="1" applyFont="1" applyFill="1" applyBorder="1" applyAlignment="1"/>
    <xf numFmtId="0" fontId="0" fillId="0" borderId="0" xfId="0" applyFill="1" applyAlignment="1"/>
    <xf numFmtId="37" fontId="0" fillId="0" borderId="0" xfId="1" applyNumberFormat="1" applyFont="1" applyFill="1" applyAlignment="1"/>
    <xf numFmtId="3" fontId="0" fillId="0" borderId="0" xfId="1" applyNumberFormat="1" applyFont="1" applyFill="1" applyAlignment="1"/>
    <xf numFmtId="37" fontId="8" fillId="0" borderId="0" xfId="0" applyNumberFormat="1" applyFont="1" applyFill="1" applyAlignment="1">
      <alignment horizontal="right"/>
    </xf>
    <xf numFmtId="3" fontId="10" fillId="0" borderId="0" xfId="1" applyNumberFormat="1" applyFont="1" applyFill="1" applyAlignment="1"/>
    <xf numFmtId="3" fontId="8" fillId="0" borderId="0" xfId="1" applyNumberFormat="1" applyFont="1" applyFill="1" applyAlignment="1">
      <alignment horizontal="center"/>
    </xf>
    <xf numFmtId="37" fontId="8" fillId="0" borderId="3" xfId="1" applyNumberFormat="1" applyFont="1" applyFill="1" applyBorder="1" applyAlignment="1"/>
    <xf numFmtId="37" fontId="7" fillId="0" borderId="0" xfId="1" applyNumberFormat="1" applyFill="1" applyAlignment="1"/>
    <xf numFmtId="3" fontId="7" fillId="0" borderId="0" xfId="1" applyNumberFormat="1" applyFill="1" applyAlignment="1"/>
    <xf numFmtId="0" fontId="0" fillId="0" borderId="0" xfId="0" applyFill="1"/>
    <xf numFmtId="0" fontId="0" fillId="0" borderId="0" xfId="0" applyBorder="1"/>
    <xf numFmtId="43" fontId="0" fillId="0" borderId="0" xfId="1" applyFont="1"/>
    <xf numFmtId="10" fontId="0" fillId="0" borderId="0" xfId="0" applyNumberFormat="1"/>
    <xf numFmtId="10" fontId="0" fillId="0" borderId="3" xfId="0" applyNumberFormat="1" applyBorder="1"/>
    <xf numFmtId="164" fontId="0" fillId="0" borderId="0" xfId="0" applyNumberFormat="1"/>
    <xf numFmtId="164" fontId="0" fillId="0" borderId="3" xfId="0" applyNumberFormat="1" applyBorder="1"/>
    <xf numFmtId="0" fontId="16" fillId="0" borderId="0" xfId="0" applyFont="1" applyAlignment="1">
      <alignment horizontal="right"/>
    </xf>
    <xf numFmtId="0" fontId="7" fillId="0" borderId="0" xfId="4"/>
    <xf numFmtId="164" fontId="0" fillId="0" borderId="0" xfId="1" applyNumberFormat="1" applyFont="1"/>
    <xf numFmtId="17" fontId="7" fillId="0" borderId="0" xfId="4" applyNumberFormat="1"/>
    <xf numFmtId="9" fontId="0" fillId="0" borderId="0" xfId="5" applyFont="1"/>
    <xf numFmtId="164" fontId="0" fillId="0" borderId="3" xfId="1" applyNumberFormat="1" applyFont="1" applyBorder="1"/>
    <xf numFmtId="165" fontId="0" fillId="0" borderId="0" xfId="5" applyNumberFormat="1" applyFont="1"/>
    <xf numFmtId="165" fontId="0" fillId="0" borderId="3" xfId="5" applyNumberFormat="1" applyFont="1" applyBorder="1"/>
    <xf numFmtId="0" fontId="13" fillId="0" borderId="0" xfId="4" applyFont="1" applyFill="1"/>
    <xf numFmtId="43" fontId="7" fillId="0" borderId="0" xfId="4" applyNumberFormat="1"/>
    <xf numFmtId="164" fontId="7" fillId="0" borderId="0" xfId="4" applyNumberFormat="1"/>
    <xf numFmtId="164" fontId="0" fillId="0" borderId="0" xfId="0" applyNumberFormat="1" applyBorder="1"/>
    <xf numFmtId="10" fontId="0" fillId="0" borderId="0" xfId="0" applyNumberFormat="1" applyBorder="1"/>
    <xf numFmtId="4" fontId="0" fillId="0" borderId="0" xfId="0" applyNumberFormat="1"/>
    <xf numFmtId="49" fontId="0" fillId="0" borderId="0" xfId="0" applyNumberFormat="1" applyFill="1"/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 wrapText="1"/>
    </xf>
    <xf numFmtId="0" fontId="25" fillId="0" borderId="0" xfId="19" applyFont="1" applyFill="1" applyBorder="1"/>
    <xf numFmtId="43" fontId="25" fillId="0" borderId="0" xfId="19" applyNumberFormat="1" applyFont="1" applyFill="1" applyBorder="1"/>
    <xf numFmtId="168" fontId="26" fillId="0" borderId="0" xfId="14" applyNumberFormat="1" applyFont="1" applyFill="1" applyBorder="1" applyAlignment="1"/>
    <xf numFmtId="0" fontId="26" fillId="0" borderId="0" xfId="16" quotePrefix="1" applyNumberFormat="1" applyFont="1" applyFill="1" applyBorder="1" applyAlignment="1">
      <alignment horizontal="right"/>
    </xf>
    <xf numFmtId="0" fontId="26" fillId="0" borderId="0" xfId="16" quotePrefix="1" applyNumberFormat="1" applyFont="1" applyFill="1" applyBorder="1" applyAlignment="1"/>
    <xf numFmtId="43" fontId="25" fillId="0" borderId="0" xfId="20" applyFont="1" applyFill="1" applyBorder="1"/>
    <xf numFmtId="43" fontId="26" fillId="0" borderId="0" xfId="20" applyFont="1" applyFill="1" applyBorder="1" applyAlignment="1"/>
    <xf numFmtId="43" fontId="26" fillId="0" borderId="0" xfId="20" applyFont="1" applyFill="1" applyBorder="1" applyAlignment="1">
      <alignment horizontal="center"/>
    </xf>
    <xf numFmtId="43" fontId="26" fillId="0" borderId="0" xfId="20" quotePrefix="1" applyFont="1" applyFill="1" applyBorder="1" applyAlignment="1">
      <alignment horizontal="right"/>
    </xf>
    <xf numFmtId="43" fontId="26" fillId="0" borderId="0" xfId="20" quotePrefix="1" applyFont="1" applyFill="1" applyBorder="1" applyAlignment="1"/>
    <xf numFmtId="0" fontId="26" fillId="0" borderId="0" xfId="16" applyNumberFormat="1" applyFont="1" applyFill="1" applyBorder="1" applyAlignment="1">
      <alignment horizontal="center"/>
    </xf>
    <xf numFmtId="0" fontId="25" fillId="0" borderId="0" xfId="19" applyFont="1" applyFill="1"/>
    <xf numFmtId="0" fontId="25" fillId="0" borderId="0" xfId="19" applyFont="1" applyFill="1" applyAlignment="1">
      <alignment horizontal="center"/>
    </xf>
    <xf numFmtId="43" fontId="25" fillId="0" borderId="0" xfId="19" applyNumberFormat="1" applyFont="1" applyFill="1"/>
    <xf numFmtId="0" fontId="26" fillId="0" borderId="0" xfId="16" applyNumberFormat="1" applyFont="1" applyFill="1" applyBorder="1" applyAlignment="1"/>
    <xf numFmtId="14" fontId="0" fillId="0" borderId="0" xfId="1" applyNumberFormat="1" applyFont="1"/>
    <xf numFmtId="0" fontId="0" fillId="0" borderId="0" xfId="0" applyFill="1" applyAlignment="1">
      <alignment horizontal="left"/>
    </xf>
    <xf numFmtId="169" fontId="0" fillId="0" borderId="0" xfId="0" applyNumberFormat="1" applyFill="1"/>
    <xf numFmtId="43" fontId="25" fillId="0" borderId="0" xfId="47" applyNumberFormat="1" applyFont="1" applyFill="1"/>
    <xf numFmtId="0" fontId="25" fillId="0" borderId="0" xfId="47" applyFont="1" applyFill="1"/>
    <xf numFmtId="0" fontId="25" fillId="0" borderId="0" xfId="47" applyFont="1" applyFill="1" applyBorder="1"/>
    <xf numFmtId="43" fontId="25" fillId="0" borderId="0" xfId="48" applyFont="1" applyFill="1" applyBorder="1"/>
    <xf numFmtId="4" fontId="0" fillId="0" borderId="0" xfId="0" applyNumberFormat="1" applyBorder="1"/>
    <xf numFmtId="0" fontId="0" fillId="0" borderId="2" xfId="0" applyBorder="1"/>
    <xf numFmtId="14" fontId="0" fillId="0" borderId="2" xfId="1" applyNumberFormat="1" applyFont="1" applyBorder="1"/>
    <xf numFmtId="4" fontId="0" fillId="0" borderId="2" xfId="0" applyNumberFormat="1" applyBorder="1"/>
    <xf numFmtId="49" fontId="15" fillId="0" borderId="0" xfId="0" applyNumberFormat="1" applyFont="1" applyFill="1"/>
    <xf numFmtId="169" fontId="15" fillId="0" borderId="0" xfId="0" applyNumberFormat="1" applyFont="1" applyFill="1"/>
    <xf numFmtId="44" fontId="15" fillId="0" borderId="0" xfId="2" applyFont="1"/>
    <xf numFmtId="43" fontId="0" fillId="0" borderId="0" xfId="1" applyFont="1" applyFill="1"/>
    <xf numFmtId="49" fontId="15" fillId="22" borderId="0" xfId="0" applyNumberFormat="1" applyFont="1" applyFill="1"/>
    <xf numFmtId="0" fontId="7" fillId="0" borderId="32" xfId="4" applyBorder="1"/>
    <xf numFmtId="0" fontId="7" fillId="0" borderId="33" xfId="4" applyBorder="1" applyAlignment="1">
      <alignment horizontal="center"/>
    </xf>
    <xf numFmtId="0" fontId="7" fillId="0" borderId="32" xfId="4" applyBorder="1" applyAlignment="1">
      <alignment horizontal="center"/>
    </xf>
    <xf numFmtId="0" fontId="7" fillId="0" borderId="34" xfId="4" applyBorder="1"/>
    <xf numFmtId="0" fontId="7" fillId="0" borderId="35" xfId="4" applyBorder="1" applyAlignment="1">
      <alignment horizontal="center"/>
    </xf>
    <xf numFmtId="0" fontId="7" fillId="0" borderId="34" xfId="4" applyBorder="1" applyAlignment="1">
      <alignment horizontal="center"/>
    </xf>
    <xf numFmtId="0" fontId="7" fillId="0" borderId="36" xfId="4" applyBorder="1" applyAlignment="1">
      <alignment horizontal="center"/>
    </xf>
    <xf numFmtId="0" fontId="7" fillId="0" borderId="0" xfId="4" applyBorder="1"/>
    <xf numFmtId="0" fontId="7" fillId="0" borderId="37" xfId="4" applyBorder="1"/>
    <xf numFmtId="0" fontId="7" fillId="0" borderId="2" xfId="4" applyBorder="1"/>
    <xf numFmtId="0" fontId="7" fillId="0" borderId="2" xfId="4" applyFill="1" applyBorder="1"/>
    <xf numFmtId="0" fontId="7" fillId="0" borderId="0" xfId="4" applyFill="1"/>
    <xf numFmtId="0" fontId="7" fillId="0" borderId="0" xfId="4" applyFill="1" applyBorder="1"/>
    <xf numFmtId="164" fontId="7" fillId="0" borderId="0" xfId="1" applyNumberFormat="1" applyFill="1" applyBorder="1"/>
    <xf numFmtId="0" fontId="7" fillId="0" borderId="37" xfId="4" applyFill="1" applyBorder="1"/>
    <xf numFmtId="164" fontId="7" fillId="0" borderId="33" xfId="1" applyNumberFormat="1" applyFill="1" applyBorder="1"/>
    <xf numFmtId="164" fontId="7" fillId="0" borderId="35" xfId="1" applyNumberFormat="1" applyFill="1" applyBorder="1"/>
    <xf numFmtId="0" fontId="7" fillId="0" borderId="38" xfId="4" applyBorder="1"/>
    <xf numFmtId="0" fontId="7" fillId="0" borderId="35" xfId="4" applyFill="1" applyBorder="1"/>
    <xf numFmtId="0" fontId="15" fillId="0" borderId="39" xfId="4" applyFont="1" applyBorder="1"/>
    <xf numFmtId="0" fontId="15" fillId="0" borderId="2" xfId="4" applyFont="1" applyBorder="1"/>
    <xf numFmtId="0" fontId="15" fillId="0" borderId="2" xfId="4" applyFont="1" applyFill="1" applyBorder="1"/>
    <xf numFmtId="44" fontId="15" fillId="0" borderId="40" xfId="2" applyFont="1" applyBorder="1"/>
    <xf numFmtId="0" fontId="7" fillId="0" borderId="0" xfId="4" quotePrefix="1"/>
    <xf numFmtId="4" fontId="0" fillId="0" borderId="0" xfId="0" applyNumberFormat="1" applyFill="1" applyBorder="1"/>
    <xf numFmtId="0" fontId="13" fillId="0" borderId="4" xfId="4" applyFont="1" applyFill="1" applyBorder="1"/>
    <xf numFmtId="4" fontId="13" fillId="0" borderId="0" xfId="4" applyNumberFormat="1" applyFont="1" applyFill="1"/>
    <xf numFmtId="0" fontId="13" fillId="0" borderId="4" xfId="0" applyFont="1" applyFill="1" applyBorder="1"/>
    <xf numFmtId="0" fontId="13" fillId="0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center" wrapText="1"/>
    </xf>
    <xf numFmtId="49" fontId="13" fillId="0" borderId="38" xfId="0" applyNumberFormat="1" applyFont="1" applyFill="1" applyBorder="1"/>
    <xf numFmtId="4" fontId="13" fillId="0" borderId="0" xfId="0" applyNumberFormat="1" applyFont="1" applyFill="1" applyBorder="1"/>
    <xf numFmtId="0" fontId="13" fillId="0" borderId="35" xfId="0" applyFont="1" applyFill="1" applyBorder="1"/>
    <xf numFmtId="171" fontId="13" fillId="0" borderId="38" xfId="0" applyNumberFormat="1" applyFont="1" applyFill="1" applyBorder="1"/>
    <xf numFmtId="4" fontId="13" fillId="0" borderId="35" xfId="0" applyNumberFormat="1" applyFont="1" applyFill="1" applyBorder="1"/>
    <xf numFmtId="49" fontId="13" fillId="0" borderId="39" xfId="0" applyNumberFormat="1" applyFont="1" applyFill="1" applyBorder="1"/>
    <xf numFmtId="4" fontId="13" fillId="0" borderId="2" xfId="0" applyNumberFormat="1" applyFont="1" applyFill="1" applyBorder="1"/>
    <xf numFmtId="0" fontId="13" fillId="0" borderId="40" xfId="0" applyFont="1" applyFill="1" applyBorder="1"/>
    <xf numFmtId="10" fontId="13" fillId="0" borderId="4" xfId="49" applyNumberFormat="1" applyFont="1" applyFill="1" applyBorder="1"/>
    <xf numFmtId="0" fontId="13" fillId="0" borderId="32" xfId="4" applyFont="1" applyFill="1" applyBorder="1"/>
    <xf numFmtId="4" fontId="13" fillId="0" borderId="34" xfId="4" applyNumberFormat="1" applyFont="1" applyFill="1" applyBorder="1"/>
    <xf numFmtId="4" fontId="13" fillId="0" borderId="36" xfId="4" applyNumberFormat="1" applyFont="1" applyFill="1" applyBorder="1"/>
    <xf numFmtId="4" fontId="0" fillId="0" borderId="2" xfId="0" applyNumberFormat="1" applyFill="1" applyBorder="1"/>
    <xf numFmtId="44" fontId="7" fillId="0" borderId="0" xfId="4" applyNumberFormat="1"/>
    <xf numFmtId="44" fontId="0" fillId="0" borderId="0" xfId="0" applyNumberFormat="1"/>
    <xf numFmtId="172" fontId="0" fillId="0" borderId="0" xfId="0" applyNumberFormat="1"/>
    <xf numFmtId="43" fontId="13" fillId="0" borderId="0" xfId="4" applyNumberFormat="1" applyFont="1" applyFill="1"/>
    <xf numFmtId="44" fontId="13" fillId="0" borderId="0" xfId="4" applyNumberFormat="1" applyFont="1" applyFill="1"/>
    <xf numFmtId="170" fontId="7" fillId="0" borderId="0" xfId="4" applyNumberFormat="1" applyFill="1" applyBorder="1"/>
    <xf numFmtId="0" fontId="28" fillId="0" borderId="24" xfId="8" applyFont="1" applyFill="1" applyBorder="1"/>
    <xf numFmtId="0" fontId="28" fillId="0" borderId="25" xfId="8" applyFont="1" applyFill="1" applyBorder="1"/>
    <xf numFmtId="0" fontId="28" fillId="0" borderId="23" xfId="8" applyFont="1" applyFill="1" applyBorder="1"/>
    <xf numFmtId="0" fontId="28" fillId="0" borderId="5" xfId="9" applyFont="1" applyFill="1"/>
    <xf numFmtId="167" fontId="28" fillId="0" borderId="5" xfId="9" applyNumberFormat="1" applyFont="1" applyFill="1"/>
    <xf numFmtId="0" fontId="27" fillId="0" borderId="10" xfId="15" quotePrefix="1" applyNumberFormat="1" applyFont="1" applyFill="1" applyBorder="1" applyAlignment="1"/>
    <xf numFmtId="0" fontId="27" fillId="0" borderId="11" xfId="15" applyNumberFormat="1" applyFont="1" applyFill="1" applyBorder="1" applyAlignment="1"/>
    <xf numFmtId="0" fontId="27" fillId="0" borderId="12" xfId="15" quotePrefix="1" applyNumberFormat="1" applyFont="1" applyFill="1" applyBorder="1" applyAlignment="1"/>
    <xf numFmtId="0" fontId="26" fillId="0" borderId="9" xfId="16" quotePrefix="1" applyNumberFormat="1" applyFont="1" applyFill="1" applyBorder="1" applyAlignment="1"/>
    <xf numFmtId="0" fontId="27" fillId="0" borderId="13" xfId="15" quotePrefix="1" applyNumberFormat="1" applyFont="1" applyFill="1" applyBorder="1" applyAlignment="1"/>
    <xf numFmtId="0" fontId="27" fillId="0" borderId="14" xfId="15" quotePrefix="1" applyNumberFormat="1" applyFont="1" applyFill="1" applyBorder="1" applyAlignment="1"/>
    <xf numFmtId="0" fontId="27" fillId="0" borderId="15" xfId="15" quotePrefix="1" applyNumberFormat="1" applyFont="1" applyFill="1" applyBorder="1" applyAlignment="1"/>
    <xf numFmtId="0" fontId="26" fillId="0" borderId="18" xfId="16" quotePrefix="1" applyNumberFormat="1" applyFont="1" applyFill="1" applyBorder="1" applyAlignment="1">
      <alignment horizontal="right"/>
    </xf>
    <xf numFmtId="0" fontId="25" fillId="0" borderId="24" xfId="47" applyFont="1" applyFill="1" applyBorder="1" applyAlignment="1">
      <alignment horizontal="center"/>
    </xf>
    <xf numFmtId="0" fontId="25" fillId="0" borderId="23" xfId="47" applyFont="1" applyFill="1" applyBorder="1" applyAlignment="1">
      <alignment horizontal="center"/>
    </xf>
    <xf numFmtId="43" fontId="25" fillId="0" borderId="0" xfId="48" applyFont="1" applyFill="1"/>
    <xf numFmtId="0" fontId="27" fillId="0" borderId="28" xfId="15" quotePrefix="1" applyNumberFormat="1" applyFont="1" applyFill="1" applyBorder="1" applyAlignment="1"/>
    <xf numFmtId="0" fontId="27" fillId="0" borderId="27" xfId="15" applyNumberFormat="1" applyFont="1" applyFill="1" applyBorder="1" applyAlignment="1"/>
    <xf numFmtId="0" fontId="27" fillId="0" borderId="26" xfId="15" quotePrefix="1" applyNumberFormat="1" applyFont="1" applyFill="1" applyBorder="1" applyAlignment="1"/>
    <xf numFmtId="0" fontId="26" fillId="0" borderId="21" xfId="16" quotePrefix="1" applyNumberFormat="1" applyFont="1" applyFill="1" applyBorder="1" applyAlignment="1"/>
    <xf numFmtId="0" fontId="27" fillId="0" borderId="20" xfId="15" quotePrefix="1" applyNumberFormat="1" applyFont="1" applyFill="1" applyBorder="1" applyAlignment="1"/>
    <xf numFmtId="0" fontId="26" fillId="0" borderId="19" xfId="16" quotePrefix="1" applyNumberFormat="1" applyFont="1" applyFill="1" applyBorder="1" applyAlignment="1">
      <alignment horizontal="right"/>
    </xf>
    <xf numFmtId="0" fontId="27" fillId="0" borderId="22" xfId="15" quotePrefix="1" applyNumberFormat="1" applyFont="1" applyFill="1" applyBorder="1" applyAlignment="1"/>
    <xf numFmtId="168" fontId="25" fillId="0" borderId="0" xfId="47" applyNumberFormat="1" applyFont="1" applyFill="1" applyBorder="1"/>
    <xf numFmtId="0" fontId="26" fillId="0" borderId="9" xfId="16" quotePrefix="1" applyNumberFormat="1" applyFont="1" applyFill="1" applyBorder="1" applyAlignment="1">
      <alignment horizontal="right"/>
    </xf>
    <xf numFmtId="168" fontId="25" fillId="0" borderId="0" xfId="47" applyNumberFormat="1" applyFont="1" applyFill="1"/>
    <xf numFmtId="15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left" vertical="center" inden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left" vertical="center" indent="1"/>
    </xf>
    <xf numFmtId="0" fontId="42" fillId="0" borderId="43" xfId="0" applyFont="1" applyFill="1" applyBorder="1" applyAlignment="1">
      <alignment horizontal="right" vertical="center" indent="1"/>
    </xf>
    <xf numFmtId="0" fontId="42" fillId="0" borderId="52" xfId="0" applyFont="1" applyFill="1" applyBorder="1" applyAlignment="1">
      <alignment horizontal="right" vertical="center" indent="1"/>
    </xf>
    <xf numFmtId="0" fontId="41" fillId="0" borderId="51" xfId="0" applyFont="1" applyFill="1" applyBorder="1" applyAlignment="1">
      <alignment horizontal="left" vertical="center"/>
    </xf>
    <xf numFmtId="0" fontId="42" fillId="0" borderId="43" xfId="0" applyFont="1" applyFill="1" applyBorder="1" applyAlignment="1">
      <alignment horizontal="right" vertical="center"/>
    </xf>
    <xf numFmtId="0" fontId="42" fillId="0" borderId="52" xfId="0" applyFont="1" applyFill="1" applyBorder="1" applyAlignment="1">
      <alignment horizontal="right" vertical="center"/>
    </xf>
    <xf numFmtId="0" fontId="43" fillId="0" borderId="51" xfId="50" applyFill="1" applyBorder="1" applyAlignment="1">
      <alignment horizontal="left" vertical="center"/>
    </xf>
    <xf numFmtId="0" fontId="41" fillId="0" borderId="53" xfId="0" applyFont="1" applyFill="1" applyBorder="1" applyAlignment="1">
      <alignment horizontal="left" vertical="center" indent="1"/>
    </xf>
    <xf numFmtId="0" fontId="42" fillId="0" borderId="54" xfId="0" applyFont="1" applyFill="1" applyBorder="1" applyAlignment="1">
      <alignment horizontal="right" vertical="center" indent="1"/>
    </xf>
    <xf numFmtId="0" fontId="42" fillId="0" borderId="55" xfId="0" applyFont="1" applyFill="1" applyBorder="1" applyAlignment="1">
      <alignment horizontal="right" vertical="center" indent="1"/>
    </xf>
    <xf numFmtId="0" fontId="25" fillId="0" borderId="24" xfId="19" applyFont="1" applyFill="1" applyBorder="1" applyAlignment="1">
      <alignment horizontal="center"/>
    </xf>
    <xf numFmtId="0" fontId="25" fillId="0" borderId="23" xfId="19" applyFont="1" applyFill="1" applyBorder="1" applyAlignment="1">
      <alignment horizontal="center"/>
    </xf>
    <xf numFmtId="43" fontId="34" fillId="0" borderId="0" xfId="1" applyFont="1" applyFill="1"/>
    <xf numFmtId="43" fontId="25" fillId="0" borderId="0" xfId="20" applyFont="1" applyFill="1"/>
    <xf numFmtId="168" fontId="25" fillId="0" borderId="0" xfId="19" applyNumberFormat="1" applyFont="1" applyFill="1"/>
    <xf numFmtId="167" fontId="25" fillId="0" borderId="0" xfId="19" applyNumberFormat="1" applyFont="1" applyFill="1"/>
    <xf numFmtId="168" fontId="25" fillId="0" borderId="0" xfId="19" applyNumberFormat="1" applyFont="1" applyFill="1" applyBorder="1"/>
    <xf numFmtId="167" fontId="19" fillId="0" borderId="5" xfId="9" applyNumberFormat="1" applyFill="1"/>
    <xf numFmtId="0" fontId="19" fillId="0" borderId="5" xfId="9" applyFill="1"/>
    <xf numFmtId="0" fontId="34" fillId="0" borderId="0" xfId="0" applyFont="1" applyFill="1"/>
    <xf numFmtId="0" fontId="22" fillId="0" borderId="10" xfId="15" quotePrefix="1" applyNumberFormat="1" applyFill="1" applyBorder="1" applyAlignment="1"/>
    <xf numFmtId="0" fontId="22" fillId="0" borderId="11" xfId="15" applyNumberFormat="1" applyFill="1" applyBorder="1" applyAlignment="1"/>
    <xf numFmtId="0" fontId="22" fillId="0" borderId="12" xfId="15" quotePrefix="1" applyNumberFormat="1" applyFill="1" applyBorder="1" applyAlignment="1"/>
    <xf numFmtId="0" fontId="21" fillId="0" borderId="9" xfId="16" quotePrefix="1" applyNumberFormat="1" applyFill="1" applyBorder="1" applyAlignment="1"/>
    <xf numFmtId="0" fontId="22" fillId="0" borderId="13" xfId="15" quotePrefix="1" applyNumberFormat="1" applyFill="1" applyBorder="1" applyAlignment="1"/>
    <xf numFmtId="0" fontId="22" fillId="0" borderId="14" xfId="15" quotePrefix="1" applyNumberFormat="1" applyFill="1" applyBorder="1" applyAlignment="1"/>
    <xf numFmtId="0" fontId="22" fillId="0" borderId="15" xfId="15" quotePrefix="1" applyNumberFormat="1" applyFill="1" applyBorder="1" applyAlignment="1"/>
    <xf numFmtId="0" fontId="21" fillId="0" borderId="9" xfId="16" quotePrefix="1" applyNumberFormat="1" applyFill="1" applyBorder="1" applyAlignment="1">
      <alignment horizontal="right"/>
    </xf>
    <xf numFmtId="0" fontId="20" fillId="0" borderId="6" xfId="10" applyFill="1"/>
    <xf numFmtId="43" fontId="34" fillId="0" borderId="0" xfId="1" applyFont="1" applyFill="1" applyAlignment="1">
      <alignment horizontal="center"/>
    </xf>
    <xf numFmtId="14" fontId="0" fillId="0" borderId="0" xfId="0" applyNumberFormat="1"/>
    <xf numFmtId="14" fontId="0" fillId="0" borderId="0" xfId="0" applyNumberFormat="1" applyBorder="1"/>
    <xf numFmtId="43" fontId="0" fillId="0" borderId="0" xfId="1" applyFont="1" applyBorder="1"/>
    <xf numFmtId="14" fontId="0" fillId="0" borderId="2" xfId="0" applyNumberFormat="1" applyBorder="1"/>
    <xf numFmtId="43" fontId="0" fillId="0" borderId="2" xfId="1" applyFont="1" applyBorder="1"/>
    <xf numFmtId="0" fontId="0" fillId="23" borderId="0" xfId="0" applyFill="1"/>
    <xf numFmtId="0" fontId="44" fillId="23" borderId="45" xfId="0" applyFont="1" applyFill="1" applyBorder="1" applyAlignment="1">
      <alignment horizontal="center" vertical="center" wrapText="1"/>
    </xf>
    <xf numFmtId="0" fontId="44" fillId="23" borderId="42" xfId="0" applyFont="1" applyFill="1" applyBorder="1" applyAlignment="1">
      <alignment horizontal="center" vertical="center" wrapText="1"/>
    </xf>
    <xf numFmtId="0" fontId="44" fillId="23" borderId="58" xfId="0" applyFont="1" applyFill="1" applyBorder="1" applyAlignment="1">
      <alignment horizontal="center" vertical="center" wrapText="1"/>
    </xf>
    <xf numFmtId="0" fontId="44" fillId="23" borderId="41" xfId="0" applyFont="1" applyFill="1" applyBorder="1" applyAlignment="1">
      <alignment horizontal="center" vertical="center" wrapText="1"/>
    </xf>
    <xf numFmtId="0" fontId="42" fillId="23" borderId="43" xfId="0" applyFont="1" applyFill="1" applyBorder="1" applyAlignment="1">
      <alignment horizontal="right" vertical="center" indent="1"/>
    </xf>
    <xf numFmtId="0" fontId="42" fillId="23" borderId="43" xfId="0" applyFont="1" applyFill="1" applyBorder="1" applyAlignment="1">
      <alignment horizontal="right" vertical="center"/>
    </xf>
    <xf numFmtId="0" fontId="42" fillId="23" borderId="54" xfId="0" applyFont="1" applyFill="1" applyBorder="1" applyAlignment="1">
      <alignment horizontal="right" vertical="center" indent="1"/>
    </xf>
    <xf numFmtId="43" fontId="42" fillId="24" borderId="43" xfId="1" applyFont="1" applyFill="1" applyBorder="1" applyAlignment="1">
      <alignment horizontal="right" vertical="center"/>
    </xf>
    <xf numFmtId="15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39" fillId="0" borderId="0" xfId="0" applyFont="1" applyAlignment="1">
      <alignment horizontal="left" vertical="center" indent="1"/>
    </xf>
    <xf numFmtId="0" fontId="42" fillId="26" borderId="43" xfId="0" applyFont="1" applyFill="1" applyBorder="1" applyAlignment="1">
      <alignment horizontal="right" vertical="center" indent="1"/>
    </xf>
    <xf numFmtId="0" fontId="42" fillId="0" borderId="43" xfId="0" applyFont="1" applyBorder="1" applyAlignment="1">
      <alignment horizontal="right" vertical="center"/>
    </xf>
    <xf numFmtId="0" fontId="41" fillId="25" borderId="51" xfId="0" applyFont="1" applyFill="1" applyBorder="1" applyAlignment="1">
      <alignment horizontal="left" vertical="center" indent="1"/>
    </xf>
    <xf numFmtId="0" fontId="42" fillId="26" borderId="52" xfId="0" applyFont="1" applyFill="1" applyBorder="1" applyAlignment="1">
      <alignment horizontal="right" vertical="center" indent="1"/>
    </xf>
    <xf numFmtId="0" fontId="41" fillId="25" borderId="51" xfId="0" applyFont="1" applyFill="1" applyBorder="1" applyAlignment="1">
      <alignment horizontal="left" vertical="center"/>
    </xf>
    <xf numFmtId="0" fontId="42" fillId="0" borderId="52" xfId="0" applyFont="1" applyBorder="1" applyAlignment="1">
      <alignment horizontal="right" vertical="center"/>
    </xf>
    <xf numFmtId="0" fontId="43" fillId="25" borderId="51" xfId="50" applyFill="1" applyBorder="1" applyAlignment="1">
      <alignment horizontal="left" vertical="center"/>
    </xf>
    <xf numFmtId="0" fontId="41" fillId="25" borderId="53" xfId="0" applyFont="1" applyFill="1" applyBorder="1" applyAlignment="1">
      <alignment horizontal="left" vertical="center" indent="1"/>
    </xf>
    <xf numFmtId="0" fontId="42" fillId="26" borderId="54" xfId="0" applyFont="1" applyFill="1" applyBorder="1" applyAlignment="1">
      <alignment horizontal="right" vertical="center" indent="1"/>
    </xf>
    <xf numFmtId="0" fontId="42" fillId="26" borderId="55" xfId="0" applyFont="1" applyFill="1" applyBorder="1" applyAlignment="1">
      <alignment horizontal="right" vertical="center" indent="1"/>
    </xf>
    <xf numFmtId="0" fontId="45" fillId="25" borderId="45" xfId="0" applyFont="1" applyFill="1" applyBorder="1" applyAlignment="1">
      <alignment horizontal="center" vertical="center" wrapText="1"/>
    </xf>
    <xf numFmtId="0" fontId="45" fillId="25" borderId="46" xfId="0" applyFont="1" applyFill="1" applyBorder="1" applyAlignment="1">
      <alignment horizontal="center" vertical="center" wrapText="1"/>
    </xf>
    <xf numFmtId="0" fontId="45" fillId="25" borderId="42" xfId="0" applyFont="1" applyFill="1" applyBorder="1" applyAlignment="1">
      <alignment horizontal="center" vertical="center" wrapText="1"/>
    </xf>
    <xf numFmtId="0" fontId="45" fillId="25" borderId="48" xfId="0" applyFont="1" applyFill="1" applyBorder="1" applyAlignment="1">
      <alignment horizontal="center" vertical="center" wrapText="1"/>
    </xf>
    <xf numFmtId="0" fontId="45" fillId="25" borderId="41" xfId="0" applyFont="1" applyFill="1" applyBorder="1" applyAlignment="1">
      <alignment horizontal="center" vertical="center" wrapText="1"/>
    </xf>
    <xf numFmtId="0" fontId="45" fillId="25" borderId="50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right" vertical="center"/>
    </xf>
    <xf numFmtId="43" fontId="46" fillId="24" borderId="43" xfId="1" applyFont="1" applyFill="1" applyBorder="1" applyAlignment="1">
      <alignment horizontal="right" vertical="center"/>
    </xf>
    <xf numFmtId="0" fontId="41" fillId="24" borderId="51" xfId="0" applyFont="1" applyFill="1" applyBorder="1" applyAlignment="1">
      <alignment horizontal="left" vertical="center"/>
    </xf>
    <xf numFmtId="0" fontId="42" fillId="24" borderId="52" xfId="0" applyFont="1" applyFill="1" applyBorder="1" applyAlignment="1">
      <alignment horizontal="right" vertical="center"/>
    </xf>
    <xf numFmtId="0" fontId="0" fillId="27" borderId="0" xfId="0" applyFill="1"/>
    <xf numFmtId="0" fontId="44" fillId="27" borderId="42" xfId="0" applyFont="1" applyFill="1" applyBorder="1" applyAlignment="1">
      <alignment horizontal="center" vertical="center" wrapText="1"/>
    </xf>
    <xf numFmtId="0" fontId="44" fillId="27" borderId="41" xfId="0" applyFont="1" applyFill="1" applyBorder="1" applyAlignment="1">
      <alignment horizontal="center" vertical="center" wrapText="1"/>
    </xf>
    <xf numFmtId="0" fontId="42" fillId="27" borderId="43" xfId="0" applyFont="1" applyFill="1" applyBorder="1" applyAlignment="1">
      <alignment horizontal="right" vertical="center" indent="1"/>
    </xf>
    <xf numFmtId="0" fontId="42" fillId="27" borderId="43" xfId="0" applyFont="1" applyFill="1" applyBorder="1" applyAlignment="1">
      <alignment horizontal="right" vertical="center"/>
    </xf>
    <xf numFmtId="0" fontId="42" fillId="27" borderId="54" xfId="0" applyFont="1" applyFill="1" applyBorder="1" applyAlignment="1">
      <alignment horizontal="right" vertical="center" indent="1"/>
    </xf>
    <xf numFmtId="0" fontId="46" fillId="28" borderId="43" xfId="0" applyFont="1" applyFill="1" applyBorder="1" applyAlignment="1">
      <alignment horizontal="right" vertical="center"/>
    </xf>
    <xf numFmtId="173" fontId="7" fillId="0" borderId="0" xfId="4" applyNumberFormat="1"/>
    <xf numFmtId="0" fontId="28" fillId="23" borderId="24" xfId="8" applyFont="1" applyFill="1" applyBorder="1"/>
    <xf numFmtId="0" fontId="28" fillId="23" borderId="25" xfId="8" applyFont="1" applyFill="1" applyBorder="1"/>
    <xf numFmtId="0" fontId="28" fillId="23" borderId="23" xfId="8" applyFont="1" applyFill="1" applyBorder="1"/>
    <xf numFmtId="0" fontId="25" fillId="23" borderId="0" xfId="47" applyFont="1" applyFill="1"/>
    <xf numFmtId="0" fontId="25" fillId="23" borderId="0" xfId="47" applyFont="1" applyFill="1" applyBorder="1"/>
    <xf numFmtId="0" fontId="28" fillId="23" borderId="5" xfId="9" applyFont="1" applyFill="1"/>
    <xf numFmtId="167" fontId="28" fillId="23" borderId="5" xfId="9" applyNumberFormat="1" applyFont="1" applyFill="1"/>
    <xf numFmtId="0" fontId="27" fillId="23" borderId="10" xfId="15" quotePrefix="1" applyNumberFormat="1" applyFont="1" applyFill="1" applyBorder="1" applyAlignment="1"/>
    <xf numFmtId="0" fontId="27" fillId="23" borderId="11" xfId="15" applyNumberFormat="1" applyFont="1" applyFill="1" applyBorder="1" applyAlignment="1"/>
    <xf numFmtId="0" fontId="27" fillId="23" borderId="12" xfId="15" quotePrefix="1" applyNumberFormat="1" applyFont="1" applyFill="1" applyBorder="1" applyAlignment="1"/>
    <xf numFmtId="0" fontId="26" fillId="23" borderId="9" xfId="16" quotePrefix="1" applyNumberFormat="1" applyFont="1" applyFill="1" applyBorder="1" applyAlignment="1"/>
    <xf numFmtId="0" fontId="27" fillId="23" borderId="13" xfId="15" quotePrefix="1" applyNumberFormat="1" applyFont="1" applyFill="1" applyBorder="1" applyAlignment="1"/>
    <xf numFmtId="0" fontId="27" fillId="23" borderId="14" xfId="15" quotePrefix="1" applyNumberFormat="1" applyFont="1" applyFill="1" applyBorder="1" applyAlignment="1"/>
    <xf numFmtId="0" fontId="27" fillId="23" borderId="15" xfId="15" quotePrefix="1" applyNumberFormat="1" applyFont="1" applyFill="1" applyBorder="1" applyAlignment="1"/>
    <xf numFmtId="0" fontId="26" fillId="23" borderId="9" xfId="16" quotePrefix="1" applyNumberFormat="1" applyFont="1" applyFill="1" applyBorder="1" applyAlignment="1">
      <alignment horizontal="right"/>
    </xf>
    <xf numFmtId="0" fontId="25" fillId="23" borderId="24" xfId="47" applyFont="1" applyFill="1" applyBorder="1" applyAlignment="1">
      <alignment horizontal="center"/>
    </xf>
    <xf numFmtId="0" fontId="25" fillId="23" borderId="23" xfId="47" applyFont="1" applyFill="1" applyBorder="1" applyAlignment="1">
      <alignment horizontal="center"/>
    </xf>
    <xf numFmtId="0" fontId="21" fillId="29" borderId="9" xfId="16" quotePrefix="1" applyNumberFormat="1" applyFill="1" applyAlignment="1"/>
    <xf numFmtId="0" fontId="21" fillId="29" borderId="9" xfId="16" quotePrefix="1" applyNumberFormat="1" applyFill="1" applyBorder="1" applyAlignment="1"/>
    <xf numFmtId="168" fontId="21" fillId="23" borderId="16" xfId="14" applyNumberFormat="1" applyFill="1" applyBorder="1" applyAlignment="1"/>
    <xf numFmtId="43" fontId="25" fillId="23" borderId="0" xfId="48" applyFont="1" applyFill="1"/>
    <xf numFmtId="43" fontId="25" fillId="23" borderId="0" xfId="47" applyNumberFormat="1" applyFont="1" applyFill="1"/>
    <xf numFmtId="0" fontId="26" fillId="23" borderId="9" xfId="16" applyNumberFormat="1" applyFont="1" applyFill="1" applyBorder="1" applyAlignment="1"/>
    <xf numFmtId="168" fontId="21" fillId="23" borderId="17" xfId="14" applyNumberFormat="1" applyFill="1" applyBorder="1" applyAlignment="1"/>
    <xf numFmtId="168" fontId="26" fillId="23" borderId="0" xfId="14" applyNumberFormat="1" applyFont="1" applyFill="1" applyBorder="1" applyAlignment="1"/>
    <xf numFmtId="168" fontId="25" fillId="23" borderId="0" xfId="47" applyNumberFormat="1" applyFont="1" applyFill="1"/>
    <xf numFmtId="0" fontId="25" fillId="23" borderId="0" xfId="47" applyFont="1" applyFill="1" applyBorder="1" applyAlignment="1">
      <alignment horizontal="center"/>
    </xf>
    <xf numFmtId="0" fontId="28" fillId="23" borderId="6" xfId="10" applyFont="1" applyFill="1"/>
    <xf numFmtId="0" fontId="26" fillId="23" borderId="0" xfId="16" quotePrefix="1" applyNumberFormat="1" applyFont="1" applyFill="1" applyBorder="1" applyAlignment="1">
      <alignment horizontal="right"/>
    </xf>
    <xf numFmtId="43" fontId="26" fillId="23" borderId="9" xfId="48" quotePrefix="1" applyFont="1" applyFill="1" applyBorder="1" applyAlignment="1"/>
    <xf numFmtId="43" fontId="26" fillId="23" borderId="9" xfId="48" quotePrefix="1" applyFont="1" applyFill="1" applyBorder="1" applyAlignment="1">
      <alignment horizontal="right"/>
    </xf>
    <xf numFmtId="0" fontId="21" fillId="29" borderId="9" xfId="16" applyNumberFormat="1" applyFill="1" applyBorder="1" applyAlignment="1"/>
    <xf numFmtId="0" fontId="27" fillId="23" borderId="20" xfId="15" quotePrefix="1" applyNumberFormat="1" applyFont="1" applyFill="1" applyBorder="1" applyAlignment="1"/>
    <xf numFmtId="0" fontId="26" fillId="23" borderId="19" xfId="16" quotePrefix="1" applyNumberFormat="1" applyFont="1" applyFill="1" applyBorder="1" applyAlignment="1">
      <alignment horizontal="right"/>
    </xf>
    <xf numFmtId="43" fontId="0" fillId="23" borderId="0" xfId="1" applyFont="1" applyFill="1"/>
    <xf numFmtId="43" fontId="25" fillId="23" borderId="0" xfId="47" applyNumberFormat="1" applyFont="1" applyFill="1" applyBorder="1"/>
    <xf numFmtId="0" fontId="27" fillId="23" borderId="22" xfId="15" quotePrefix="1" applyNumberFormat="1" applyFont="1" applyFill="1" applyBorder="1" applyAlignment="1"/>
    <xf numFmtId="43" fontId="26" fillId="23" borderId="21" xfId="48" quotePrefix="1" applyFont="1" applyFill="1" applyBorder="1" applyAlignment="1"/>
    <xf numFmtId="0" fontId="26" fillId="23" borderId="0" xfId="16" quotePrefix="1" applyNumberFormat="1" applyFont="1" applyFill="1" applyBorder="1" applyAlignment="1"/>
    <xf numFmtId="43" fontId="26" fillId="23" borderId="19" xfId="48" quotePrefix="1" applyFont="1" applyFill="1" applyBorder="1" applyAlignment="1">
      <alignment horizontal="right"/>
    </xf>
    <xf numFmtId="43" fontId="25" fillId="23" borderId="0" xfId="19" applyNumberFormat="1" applyFont="1" applyFill="1" applyBorder="1"/>
    <xf numFmtId="43" fontId="2" fillId="23" borderId="0" xfId="1" applyFont="1" applyFill="1"/>
    <xf numFmtId="43" fontId="25" fillId="23" borderId="0" xfId="19" applyNumberFormat="1" applyFont="1" applyFill="1"/>
    <xf numFmtId="0" fontId="25" fillId="23" borderId="0" xfId="19" applyFont="1" applyFill="1"/>
    <xf numFmtId="0" fontId="26" fillId="23" borderId="18" xfId="16" quotePrefix="1" applyNumberFormat="1" applyFont="1" applyFill="1" applyBorder="1" applyAlignment="1">
      <alignment horizontal="right"/>
    </xf>
    <xf numFmtId="0" fontId="25" fillId="23" borderId="24" xfId="19" applyFont="1" applyFill="1" applyBorder="1" applyAlignment="1">
      <alignment horizontal="center"/>
    </xf>
    <xf numFmtId="0" fontId="25" fillId="23" borderId="23" xfId="19" applyFont="1" applyFill="1" applyBorder="1" applyAlignment="1">
      <alignment horizontal="center"/>
    </xf>
    <xf numFmtId="0" fontId="25" fillId="23" borderId="0" xfId="19" applyFont="1" applyFill="1" applyAlignment="1">
      <alignment horizontal="center"/>
    </xf>
    <xf numFmtId="168" fontId="25" fillId="23" borderId="0" xfId="19" applyNumberFormat="1" applyFont="1" applyFill="1"/>
    <xf numFmtId="43" fontId="25" fillId="23" borderId="0" xfId="19" applyNumberFormat="1" applyFont="1" applyFill="1" applyAlignment="1">
      <alignment horizontal="center"/>
    </xf>
    <xf numFmtId="0" fontId="25" fillId="28" borderId="4" xfId="19" applyFont="1" applyFill="1" applyBorder="1"/>
    <xf numFmtId="43" fontId="25" fillId="28" borderId="4" xfId="19" applyNumberFormat="1" applyFont="1" applyFill="1" applyBorder="1"/>
    <xf numFmtId="0" fontId="0" fillId="23" borderId="0" xfId="0" quotePrefix="1" applyFill="1"/>
    <xf numFmtId="43" fontId="0" fillId="23" borderId="0" xfId="0" applyNumberFormat="1" applyFill="1"/>
    <xf numFmtId="0" fontId="25" fillId="23" borderId="0" xfId="19" applyFont="1" applyFill="1" applyBorder="1"/>
    <xf numFmtId="0" fontId="25" fillId="23" borderId="0" xfId="19" applyFont="1" applyFill="1" applyBorder="1" applyAlignment="1">
      <alignment horizontal="center"/>
    </xf>
    <xf numFmtId="0" fontId="26" fillId="23" borderId="21" xfId="16" quotePrefix="1" applyNumberFormat="1" applyFont="1" applyFill="1" applyBorder="1" applyAlignment="1"/>
    <xf numFmtId="0" fontId="26" fillId="23" borderId="0" xfId="16" applyNumberFormat="1" applyFont="1" applyFill="1" applyBorder="1" applyAlignment="1"/>
    <xf numFmtId="43" fontId="25" fillId="23" borderId="0" xfId="20" applyFont="1" applyFill="1"/>
    <xf numFmtId="168" fontId="21" fillId="23" borderId="0" xfId="14" applyNumberFormat="1" applyFill="1" applyBorder="1" applyAlignment="1"/>
    <xf numFmtId="0" fontId="26" fillId="0" borderId="38" xfId="16" quotePrefix="1" applyNumberFormat="1" applyFont="1" applyFill="1" applyBorder="1" applyAlignment="1">
      <alignment horizontal="right"/>
    </xf>
    <xf numFmtId="0" fontId="21" fillId="0" borderId="0" xfId="16" quotePrefix="1" applyNumberFormat="1" applyFill="1" applyBorder="1" applyAlignment="1"/>
    <xf numFmtId="0" fontId="21" fillId="0" borderId="0" xfId="16" quotePrefix="1" applyNumberForma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9" fontId="2" fillId="23" borderId="0" xfId="49" applyFont="1" applyFill="1"/>
    <xf numFmtId="0" fontId="26" fillId="23" borderId="38" xfId="16" quotePrefix="1" applyNumberFormat="1" applyFont="1" applyFill="1" applyBorder="1" applyAlignment="1">
      <alignment horizontal="right"/>
    </xf>
    <xf numFmtId="0" fontId="22" fillId="23" borderId="13" xfId="15" quotePrefix="1" applyNumberFormat="1" applyFill="1" applyBorder="1" applyAlignment="1"/>
    <xf numFmtId="0" fontId="22" fillId="23" borderId="14" xfId="15" quotePrefix="1" applyNumberFormat="1" applyFill="1" applyBorder="1" applyAlignment="1"/>
    <xf numFmtId="0" fontId="22" fillId="23" borderId="15" xfId="15" quotePrefix="1" applyNumberFormat="1" applyFill="1" applyBorder="1" applyAlignment="1"/>
    <xf numFmtId="0" fontId="21" fillId="23" borderId="9" xfId="16" quotePrefix="1" applyNumberFormat="1" applyFill="1" applyBorder="1" applyAlignment="1">
      <alignment horizontal="right"/>
    </xf>
    <xf numFmtId="0" fontId="21" fillId="23" borderId="0" xfId="16" quotePrefix="1" applyNumberFormat="1" applyFill="1" applyBorder="1" applyAlignment="1">
      <alignment horizontal="right"/>
    </xf>
    <xf numFmtId="0" fontId="35" fillId="23" borderId="0" xfId="0" applyFont="1" applyFill="1"/>
    <xf numFmtId="0" fontId="21" fillId="23" borderId="9" xfId="16" quotePrefix="1" applyNumberFormat="1" applyFill="1" applyBorder="1" applyAlignment="1"/>
    <xf numFmtId="44" fontId="1" fillId="23" borderId="0" xfId="2" applyFont="1" applyFill="1"/>
    <xf numFmtId="43" fontId="34" fillId="23" borderId="0" xfId="1" applyFont="1" applyFill="1"/>
    <xf numFmtId="0" fontId="21" fillId="23" borderId="9" xfId="16" applyNumberFormat="1" applyFill="1" applyBorder="1" applyAlignment="1"/>
    <xf numFmtId="43" fontId="34" fillId="23" borderId="2" xfId="1" applyFont="1" applyFill="1" applyBorder="1"/>
    <xf numFmtId="0" fontId="19" fillId="23" borderId="5" xfId="9" applyFill="1"/>
    <xf numFmtId="0" fontId="20" fillId="23" borderId="6" xfId="10" applyFill="1"/>
    <xf numFmtId="0" fontId="22" fillId="23" borderId="10" xfId="15" quotePrefix="1" applyNumberFormat="1" applyFill="1" applyBorder="1" applyAlignment="1"/>
    <xf numFmtId="0" fontId="22" fillId="23" borderId="11" xfId="15" applyNumberFormat="1" applyFill="1" applyBorder="1" applyAlignment="1"/>
    <xf numFmtId="0" fontId="22" fillId="23" borderId="12" xfId="15" quotePrefix="1" applyNumberFormat="1" applyFill="1" applyBorder="1" applyAlignment="1"/>
    <xf numFmtId="0" fontId="21" fillId="23" borderId="0" xfId="16" quotePrefix="1" applyNumberFormat="1" applyFill="1" applyBorder="1" applyAlignment="1"/>
    <xf numFmtId="0" fontId="36" fillId="23" borderId="0" xfId="0" applyFont="1" applyFill="1"/>
    <xf numFmtId="43" fontId="1" fillId="23" borderId="0" xfId="1" applyFont="1" applyFill="1"/>
    <xf numFmtId="43" fontId="34" fillId="23" borderId="0" xfId="1" applyFont="1" applyFill="1" applyAlignment="1">
      <alignment horizontal="center"/>
    </xf>
    <xf numFmtId="168" fontId="0" fillId="23" borderId="0" xfId="0" applyNumberFormat="1" applyFill="1"/>
    <xf numFmtId="174" fontId="7" fillId="0" borderId="0" xfId="4" applyNumberFormat="1" applyFill="1" applyBorder="1"/>
    <xf numFmtId="164" fontId="0" fillId="0" borderId="0" xfId="1" applyNumberFormat="1" applyFont="1" applyFill="1"/>
    <xf numFmtId="4" fontId="7" fillId="0" borderId="0" xfId="4" applyNumberFormat="1" applyFill="1" applyBorder="1"/>
    <xf numFmtId="43" fontId="7" fillId="0" borderId="0" xfId="1" applyFill="1" applyBorder="1"/>
    <xf numFmtId="44" fontId="15" fillId="0" borderId="2" xfId="2" applyFont="1" applyFill="1" applyBorder="1"/>
    <xf numFmtId="0" fontId="0" fillId="0" borderId="0" xfId="0" applyBorder="1" applyAlignment="1">
      <alignment wrapText="1"/>
    </xf>
    <xf numFmtId="43" fontId="7" fillId="30" borderId="0" xfId="4" applyNumberFormat="1" applyFill="1"/>
    <xf numFmtId="0" fontId="7" fillId="30" borderId="0" xfId="4" applyFill="1"/>
    <xf numFmtId="0" fontId="25" fillId="31" borderId="0" xfId="19" applyFont="1" applyFill="1"/>
    <xf numFmtId="43" fontId="25" fillId="31" borderId="0" xfId="47" applyNumberFormat="1" applyFont="1" applyFill="1"/>
    <xf numFmtId="0" fontId="7" fillId="0" borderId="35" xfId="4" applyBorder="1"/>
    <xf numFmtId="0" fontId="7" fillId="0" borderId="40" xfId="4" applyFill="1" applyBorder="1"/>
    <xf numFmtId="3" fontId="7" fillId="0" borderId="0" xfId="4" applyNumberFormat="1" applyFill="1" applyBorder="1"/>
    <xf numFmtId="175" fontId="15" fillId="0" borderId="2" xfId="2" applyNumberFormat="1" applyFont="1" applyBorder="1"/>
    <xf numFmtId="175" fontId="15" fillId="0" borderId="40" xfId="2" applyNumberFormat="1" applyFont="1" applyBorder="1"/>
    <xf numFmtId="0" fontId="7" fillId="0" borderId="33" xfId="4" applyBorder="1" applyAlignment="1">
      <alignment horizontal="center" wrapText="1"/>
    </xf>
    <xf numFmtId="0" fontId="7" fillId="0" borderId="36" xfId="4" applyFill="1" applyBorder="1"/>
    <xf numFmtId="164" fontId="7" fillId="0" borderId="34" xfId="1" applyNumberFormat="1" applyFill="1" applyBorder="1"/>
    <xf numFmtId="0" fontId="7" fillId="0" borderId="4" xfId="4" applyBorder="1" applyAlignment="1">
      <alignment horizontal="centerContinuous"/>
    </xf>
    <xf numFmtId="0" fontId="7" fillId="0" borderId="36" xfId="4" applyBorder="1"/>
    <xf numFmtId="0" fontId="7" fillId="0" borderId="40" xfId="4" applyBorder="1" applyAlignment="1">
      <alignment horizontal="center"/>
    </xf>
    <xf numFmtId="175" fontId="8" fillId="0" borderId="0" xfId="0" applyNumberFormat="1" applyFont="1"/>
    <xf numFmtId="0" fontId="44" fillId="0" borderId="45" xfId="0" applyFont="1" applyFill="1" applyBorder="1" applyAlignment="1">
      <alignment horizontal="center" vertical="center" wrapText="1"/>
    </xf>
    <xf numFmtId="14" fontId="0" fillId="0" borderId="0" xfId="0" applyNumberFormat="1" applyFill="1"/>
    <xf numFmtId="2" fontId="46" fillId="28" borderId="43" xfId="0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Continuous"/>
    </xf>
    <xf numFmtId="3" fontId="8" fillId="0" borderId="0" xfId="1" applyNumberFormat="1" applyFont="1" applyFill="1" applyAlignment="1">
      <alignment horizontal="centerContinuous"/>
    </xf>
    <xf numFmtId="0" fontId="9" fillId="0" borderId="0" xfId="3" applyFont="1" applyFill="1" applyAlignment="1">
      <alignment horizontal="center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40" fillId="0" borderId="44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5" fillId="25" borderId="44" xfId="0" applyFont="1" applyFill="1" applyBorder="1" applyAlignment="1">
      <alignment horizontal="center" vertical="center"/>
    </xf>
    <xf numFmtId="0" fontId="45" fillId="25" borderId="47" xfId="0" applyFont="1" applyFill="1" applyBorder="1" applyAlignment="1">
      <alignment horizontal="center" vertical="center"/>
    </xf>
    <xf numFmtId="0" fontId="45" fillId="25" borderId="49" xfId="0" applyFont="1" applyFill="1" applyBorder="1" applyAlignment="1">
      <alignment horizontal="center" vertical="center"/>
    </xf>
    <xf numFmtId="0" fontId="45" fillId="25" borderId="56" xfId="0" applyFont="1" applyFill="1" applyBorder="1" applyAlignment="1">
      <alignment horizontal="center" vertical="center" wrapText="1"/>
    </xf>
    <xf numFmtId="0" fontId="45" fillId="25" borderId="45" xfId="0" applyFont="1" applyFill="1" applyBorder="1" applyAlignment="1">
      <alignment horizontal="center" vertical="center" wrapText="1"/>
    </xf>
    <xf numFmtId="0" fontId="45" fillId="25" borderId="57" xfId="0" applyFont="1" applyFill="1" applyBorder="1" applyAlignment="1">
      <alignment horizontal="center" vertical="center" wrapText="1"/>
    </xf>
    <xf numFmtId="0" fontId="45" fillId="25" borderId="41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51">
    <cellStyle name="Comma" xfId="1" builtinId="3"/>
    <cellStyle name="Comma 2" xfId="7"/>
    <cellStyle name="Comma 3" xfId="13"/>
    <cellStyle name="Comma 4" xfId="18"/>
    <cellStyle name="Comma 5" xfId="20"/>
    <cellStyle name="Comma 6" xfId="48"/>
    <cellStyle name="Currency" xfId="2" builtinId="4"/>
    <cellStyle name="Heading 2" xfId="9" builtinId="17"/>
    <cellStyle name="Heading 3" xfId="10" builtinId="18"/>
    <cellStyle name="Hyperlink" xfId="50" builtinId="8"/>
    <cellStyle name="Normal" xfId="0" builtinId="0"/>
    <cellStyle name="Normal 2" xfId="4"/>
    <cellStyle name="Normal 2 2" xfId="6"/>
    <cellStyle name="Normal 3" xfId="11"/>
    <cellStyle name="Normal 4" xfId="17"/>
    <cellStyle name="Normal 5" xfId="19"/>
    <cellStyle name="Normal 6" xfId="47"/>
    <cellStyle name="Normal_Reviewer Checklist" xfId="3"/>
    <cellStyle name="Percent" xfId="49" builtinId="5"/>
    <cellStyle name="Percent 2" xfId="5"/>
    <cellStyle name="Percent 3" xfId="12"/>
    <cellStyle name="SAPBorder" xfId="21"/>
    <cellStyle name="SAPDataCell" xfId="14"/>
    <cellStyle name="SAPDataTotalCell" xfId="22"/>
    <cellStyle name="SAPDimensionCell" xfId="15"/>
    <cellStyle name="SAPEditableDataCell" xfId="23"/>
    <cellStyle name="SAPEditableDataTotalCell" xfId="24"/>
    <cellStyle name="SAPEmphasized" xfId="25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" xfId="35"/>
    <cellStyle name="SAPHierarchyCell0" xfId="36"/>
    <cellStyle name="SAPHierarchyCell1" xfId="37"/>
    <cellStyle name="SAPHierarchyCell2" xfId="38"/>
    <cellStyle name="SAPHierarchyCell3" xfId="39"/>
    <cellStyle name="SAPHierarchyCell4" xfId="40"/>
    <cellStyle name="SAPHierarchyOddCell" xfId="41"/>
    <cellStyle name="SAPLockedDataCell" xfId="42"/>
    <cellStyle name="SAPLockedDataTotalCell" xfId="43"/>
    <cellStyle name="SAPMemberCell" xfId="16"/>
    <cellStyle name="SAPMemberTotalCell" xfId="44"/>
    <cellStyle name="SAPReadonlyDataCell" xfId="45"/>
    <cellStyle name="SAPReadonlyDataTotalCell" xfId="46"/>
    <cellStyle name="Title" xfId="8" builtin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202240</xdr:colOff>
      <xdr:row>9</xdr:row>
      <xdr:rowOff>57150</xdr:rowOff>
    </xdr:from>
    <xdr:to>
      <xdr:col>22</xdr:col>
      <xdr:colOff>26862</xdr:colOff>
      <xdr:row>36</xdr:row>
      <xdr:rowOff>56127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9990" y="1743075"/>
          <a:ext cx="7749422" cy="462812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25</xdr:col>
      <xdr:colOff>265524</xdr:colOff>
      <xdr:row>55</xdr:row>
      <xdr:rowOff>37745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50" y="6657975"/>
          <a:ext cx="9409524" cy="2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ederalreserve.gov/releases/h15/current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ederalreserve.gov/releases/h15/201601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38"/>
  <sheetViews>
    <sheetView tabSelected="1" workbookViewId="0">
      <selection activeCell="D14" sqref="D14"/>
    </sheetView>
  </sheetViews>
  <sheetFormatPr defaultRowHeight="13.2" x14ac:dyDescent="0.25"/>
  <cols>
    <col min="1" max="1" width="5.44140625" style="1" customWidth="1"/>
    <col min="2" max="2" width="54.5546875" style="1" customWidth="1"/>
    <col min="3" max="3" width="10.6640625" style="1" customWidth="1"/>
    <col min="4" max="4" width="19.33203125" style="1" customWidth="1"/>
    <col min="5" max="5" width="16.5546875" style="1" customWidth="1"/>
  </cols>
  <sheetData>
    <row r="1" spans="1:5" x14ac:dyDescent="0.25">
      <c r="D1" s="2"/>
    </row>
    <row r="2" spans="1:5" ht="13.8" thickBot="1" x14ac:dyDescent="0.3">
      <c r="D2" s="2"/>
    </row>
    <row r="3" spans="1:5" ht="14.4" thickTop="1" thickBot="1" x14ac:dyDescent="0.3">
      <c r="D3" s="4" t="s">
        <v>311</v>
      </c>
      <c r="E3"/>
    </row>
    <row r="4" spans="1:5" ht="13.8" thickTop="1" x14ac:dyDescent="0.25">
      <c r="A4" s="3" t="s">
        <v>0</v>
      </c>
      <c r="B4" s="3"/>
      <c r="C4" s="3"/>
      <c r="D4"/>
      <c r="E4"/>
    </row>
    <row r="5" spans="1:5" ht="18" customHeight="1" x14ac:dyDescent="0.25">
      <c r="A5" s="357" t="s">
        <v>5</v>
      </c>
      <c r="B5" s="357"/>
      <c r="C5" s="357"/>
      <c r="D5" s="357"/>
      <c r="E5"/>
    </row>
    <row r="6" spans="1:5" x14ac:dyDescent="0.25">
      <c r="A6" s="356" t="s">
        <v>277</v>
      </c>
      <c r="B6" s="356"/>
      <c r="C6" s="356"/>
      <c r="D6" s="356"/>
      <c r="E6"/>
    </row>
    <row r="7" spans="1:5" x14ac:dyDescent="0.25">
      <c r="A7" s="354" t="s">
        <v>315</v>
      </c>
      <c r="B7" s="355"/>
      <c r="C7" s="354"/>
      <c r="D7" s="354"/>
      <c r="E7"/>
    </row>
    <row r="8" spans="1:5" x14ac:dyDescent="0.25">
      <c r="A8" s="356" t="s">
        <v>8</v>
      </c>
      <c r="B8" s="356"/>
      <c r="C8" s="356"/>
      <c r="D8" s="356"/>
      <c r="E8"/>
    </row>
    <row r="9" spans="1:5" x14ac:dyDescent="0.25">
      <c r="A9" s="356" t="s">
        <v>278</v>
      </c>
      <c r="B9" s="356"/>
      <c r="C9" s="356"/>
      <c r="D9" s="356"/>
      <c r="E9"/>
    </row>
    <row r="10" spans="1:5" x14ac:dyDescent="0.25">
      <c r="A10" s="3"/>
      <c r="B10" s="6"/>
      <c r="C10" s="3"/>
      <c r="D10" s="3"/>
      <c r="E10"/>
    </row>
    <row r="11" spans="1:5" x14ac:dyDescent="0.25">
      <c r="A11" s="7" t="s">
        <v>1</v>
      </c>
      <c r="B11" s="3"/>
      <c r="C11" s="3"/>
      <c r="D11" s="3"/>
      <c r="E11"/>
    </row>
    <row r="12" spans="1:5" x14ac:dyDescent="0.25">
      <c r="A12" s="8" t="s">
        <v>2</v>
      </c>
      <c r="B12" s="9" t="s">
        <v>3</v>
      </c>
      <c r="C12" s="10"/>
      <c r="D12" s="8" t="s">
        <v>4</v>
      </c>
      <c r="E12"/>
    </row>
    <row r="13" spans="1:5" x14ac:dyDescent="0.25">
      <c r="A13" s="11"/>
      <c r="B13" s="11"/>
      <c r="C13" s="11"/>
      <c r="D13" s="11"/>
      <c r="E13"/>
    </row>
    <row r="14" spans="1:5" x14ac:dyDescent="0.25">
      <c r="A14" s="12">
        <v>1</v>
      </c>
      <c r="B14" s="13" t="s">
        <v>9</v>
      </c>
      <c r="C14" s="13"/>
      <c r="D14" s="350">
        <f>'Change in InterestElec'!I23</f>
        <v>176605.63064400846</v>
      </c>
      <c r="E14" s="123"/>
    </row>
    <row r="15" spans="1:5" x14ac:dyDescent="0.25">
      <c r="A15" s="20">
        <v>2</v>
      </c>
      <c r="E15"/>
    </row>
    <row r="16" spans="1:5" ht="13.8" thickBot="1" x14ac:dyDescent="0.3">
      <c r="A16" s="12">
        <v>3</v>
      </c>
      <c r="B16" s="14" t="s">
        <v>6</v>
      </c>
      <c r="C16" s="15"/>
      <c r="D16" s="21">
        <f>-D14</f>
        <v>-176605.63064400846</v>
      </c>
      <c r="E16" s="123"/>
    </row>
    <row r="17" spans="1:5" ht="13.8" thickTop="1" x14ac:dyDescent="0.25">
      <c r="A17" s="15"/>
      <c r="B17" s="15"/>
      <c r="C17" s="15"/>
      <c r="D17" s="15"/>
      <c r="E17"/>
    </row>
    <row r="18" spans="1:5" x14ac:dyDescent="0.25">
      <c r="A18" s="16"/>
      <c r="B18" s="16"/>
      <c r="C18" s="16"/>
      <c r="D18" s="16"/>
      <c r="E18"/>
    </row>
    <row r="19" spans="1:5" x14ac:dyDescent="0.25">
      <c r="A19" s="17"/>
      <c r="B19" s="17"/>
      <c r="C19" s="17"/>
      <c r="D19" s="17"/>
      <c r="E19"/>
    </row>
    <row r="20" spans="1:5" x14ac:dyDescent="0.25">
      <c r="A20" s="17"/>
      <c r="B20" s="17"/>
      <c r="C20" s="17"/>
      <c r="D20" s="17"/>
      <c r="E20"/>
    </row>
    <row r="21" spans="1:5" x14ac:dyDescent="0.25">
      <c r="A21" s="17"/>
      <c r="B21" s="17"/>
      <c r="C21" s="17"/>
      <c r="D21" s="17"/>
      <c r="E21"/>
    </row>
    <row r="22" spans="1:5" x14ac:dyDescent="0.25">
      <c r="A22" s="17"/>
      <c r="B22" s="17"/>
      <c r="C22" s="17"/>
      <c r="D22" s="17"/>
      <c r="E22"/>
    </row>
    <row r="23" spans="1:5" x14ac:dyDescent="0.25">
      <c r="A23" s="17"/>
      <c r="B23" s="17"/>
      <c r="C23" s="17"/>
      <c r="D23" s="17"/>
      <c r="E23"/>
    </row>
    <row r="24" spans="1:5" x14ac:dyDescent="0.25">
      <c r="A24" s="17"/>
      <c r="B24" s="17"/>
      <c r="C24" s="17"/>
      <c r="D24" s="17"/>
      <c r="E24"/>
    </row>
    <row r="29" spans="1:5" x14ac:dyDescent="0.25">
      <c r="E29"/>
    </row>
    <row r="30" spans="1:5" x14ac:dyDescent="0.25">
      <c r="E30"/>
    </row>
    <row r="31" spans="1:5" x14ac:dyDescent="0.25">
      <c r="E31"/>
    </row>
    <row r="32" spans="1:5" x14ac:dyDescent="0.25">
      <c r="D32" s="18"/>
      <c r="E32"/>
    </row>
    <row r="38" spans="1:5" x14ac:dyDescent="0.25">
      <c r="A38" s="19"/>
      <c r="E38"/>
    </row>
  </sheetData>
  <mergeCells count="4">
    <mergeCell ref="A9:D9"/>
    <mergeCell ref="A5:D5"/>
    <mergeCell ref="A6:D6"/>
    <mergeCell ref="A8:D8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" workbookViewId="0">
      <pane ySplit="7" topLeftCell="A24" activePane="bottomLeft" state="frozen"/>
      <selection activeCell="J1" sqref="J1"/>
      <selection pane="bottomLeft" activeCell="I46" sqref="I46"/>
    </sheetView>
  </sheetViews>
  <sheetFormatPr defaultColWidth="9.109375" defaultRowHeight="13.2" x14ac:dyDescent="0.25"/>
  <cols>
    <col min="1" max="1" width="16.6640625" style="24" customWidth="1"/>
    <col min="2" max="5" width="7.109375" style="24" customWidth="1"/>
    <col min="6" max="6" width="9.109375" style="234"/>
    <col min="7" max="9" width="6.109375" style="24" customWidth="1"/>
    <col min="10" max="16384" width="9.109375" style="24"/>
  </cols>
  <sheetData>
    <row r="1" spans="1:13" ht="18" x14ac:dyDescent="0.25">
      <c r="A1" s="154">
        <v>42388</v>
      </c>
    </row>
    <row r="2" spans="1:13" ht="18" x14ac:dyDescent="0.25">
      <c r="A2" s="155" t="s">
        <v>78</v>
      </c>
      <c r="L2" s="24" t="s">
        <v>313</v>
      </c>
    </row>
    <row r="3" spans="1:13" x14ac:dyDescent="0.25">
      <c r="A3" s="156"/>
    </row>
    <row r="4" spans="1:13" ht="16.8" thickBot="1" x14ac:dyDescent="0.3">
      <c r="A4" s="157" t="s">
        <v>79</v>
      </c>
      <c r="L4" s="352">
        <v>42752</v>
      </c>
      <c r="M4" s="353">
        <v>0.8</v>
      </c>
    </row>
    <row r="5" spans="1:13" ht="12.75" customHeight="1" x14ac:dyDescent="0.25">
      <c r="A5" s="372" t="s">
        <v>80</v>
      </c>
      <c r="B5" s="159">
        <v>2016</v>
      </c>
      <c r="C5" s="159">
        <v>2016</v>
      </c>
      <c r="D5" s="159">
        <v>2016</v>
      </c>
      <c r="E5" s="159">
        <v>2016</v>
      </c>
      <c r="F5" s="351">
        <v>2016</v>
      </c>
      <c r="G5" s="361" t="s">
        <v>82</v>
      </c>
      <c r="H5" s="362"/>
      <c r="I5" s="160">
        <v>2015</v>
      </c>
    </row>
    <row r="6" spans="1:13" ht="13.8" thickBot="1" x14ac:dyDescent="0.3">
      <c r="A6" s="373"/>
      <c r="B6" s="161" t="s">
        <v>81</v>
      </c>
      <c r="C6" s="161" t="s">
        <v>81</v>
      </c>
      <c r="D6" s="161" t="s">
        <v>81</v>
      </c>
      <c r="E6" s="161" t="s">
        <v>81</v>
      </c>
      <c r="F6" s="235" t="s">
        <v>81</v>
      </c>
      <c r="G6" s="363"/>
      <c r="H6" s="364"/>
      <c r="I6" s="162" t="s">
        <v>83</v>
      </c>
    </row>
    <row r="7" spans="1:13" x14ac:dyDescent="0.25">
      <c r="A7" s="373"/>
      <c r="B7" s="161">
        <v>11</v>
      </c>
      <c r="C7" s="161">
        <v>12</v>
      </c>
      <c r="D7" s="161">
        <v>13</v>
      </c>
      <c r="E7" s="161">
        <v>14</v>
      </c>
      <c r="F7" s="235">
        <v>15</v>
      </c>
      <c r="G7" s="161" t="s">
        <v>81</v>
      </c>
      <c r="H7" s="161" t="s">
        <v>81</v>
      </c>
      <c r="I7" s="162"/>
    </row>
    <row r="8" spans="1:13" ht="13.8" thickBot="1" x14ac:dyDescent="0.3">
      <c r="A8" s="374"/>
      <c r="B8" s="164"/>
      <c r="C8" s="164"/>
      <c r="D8" s="164"/>
      <c r="E8" s="164"/>
      <c r="F8" s="236"/>
      <c r="G8" s="164">
        <v>15</v>
      </c>
      <c r="H8" s="164">
        <v>8</v>
      </c>
      <c r="I8" s="165"/>
    </row>
    <row r="9" spans="1:13" ht="13.8" thickBot="1" x14ac:dyDescent="0.3">
      <c r="A9" s="166" t="s">
        <v>84</v>
      </c>
      <c r="B9" s="167" t="s">
        <v>111</v>
      </c>
      <c r="C9" s="167" t="s">
        <v>111</v>
      </c>
      <c r="D9" s="167" t="s">
        <v>111</v>
      </c>
      <c r="E9" s="167" t="s">
        <v>111</v>
      </c>
      <c r="F9" s="237" t="s">
        <v>111</v>
      </c>
      <c r="G9" s="167" t="s">
        <v>111</v>
      </c>
      <c r="H9" s="167" t="s">
        <v>189</v>
      </c>
      <c r="I9" s="168" t="s">
        <v>129</v>
      </c>
    </row>
    <row r="10" spans="1:13" ht="13.8" thickBot="1" x14ac:dyDescent="0.3">
      <c r="A10" s="169" t="s">
        <v>88</v>
      </c>
      <c r="B10" s="170" t="s">
        <v>89</v>
      </c>
      <c r="C10" s="170" t="s">
        <v>89</v>
      </c>
      <c r="D10" s="170" t="s">
        <v>89</v>
      </c>
      <c r="E10" s="170" t="s">
        <v>89</v>
      </c>
      <c r="F10" s="238" t="s">
        <v>89</v>
      </c>
      <c r="G10" s="170" t="s">
        <v>89</v>
      </c>
      <c r="H10" s="170" t="s">
        <v>89</v>
      </c>
      <c r="I10" s="171" t="s">
        <v>89</v>
      </c>
    </row>
    <row r="11" spans="1:13" ht="13.8" thickBot="1" x14ac:dyDescent="0.3">
      <c r="A11" s="166" t="s">
        <v>90</v>
      </c>
      <c r="B11" s="167" t="s">
        <v>89</v>
      </c>
      <c r="C11" s="167" t="s">
        <v>89</v>
      </c>
      <c r="D11" s="167" t="s">
        <v>89</v>
      </c>
      <c r="E11" s="167" t="s">
        <v>89</v>
      </c>
      <c r="F11" s="237" t="s">
        <v>89</v>
      </c>
      <c r="G11" s="167" t="s">
        <v>89</v>
      </c>
      <c r="H11" s="167" t="s">
        <v>89</v>
      </c>
      <c r="I11" s="168" t="s">
        <v>89</v>
      </c>
    </row>
    <row r="12" spans="1:13" ht="13.8" thickBot="1" x14ac:dyDescent="0.3">
      <c r="A12" s="169" t="s">
        <v>91</v>
      </c>
      <c r="B12" s="170" t="s">
        <v>190</v>
      </c>
      <c r="C12" s="170" t="s">
        <v>111</v>
      </c>
      <c r="D12" s="170" t="s">
        <v>191</v>
      </c>
      <c r="E12" s="170" t="s">
        <v>192</v>
      </c>
      <c r="F12" s="238" t="s">
        <v>111</v>
      </c>
      <c r="G12" s="170" t="s">
        <v>191</v>
      </c>
      <c r="H12" s="170" t="s">
        <v>193</v>
      </c>
      <c r="I12" s="171" t="s">
        <v>194</v>
      </c>
    </row>
    <row r="13" spans="1:13" ht="13.8" thickBot="1" x14ac:dyDescent="0.3">
      <c r="A13" s="166" t="s">
        <v>95</v>
      </c>
      <c r="B13" s="167" t="s">
        <v>195</v>
      </c>
      <c r="C13" s="167" t="s">
        <v>196</v>
      </c>
      <c r="D13" s="167" t="s">
        <v>196</v>
      </c>
      <c r="E13" s="167" t="s">
        <v>197</v>
      </c>
      <c r="F13" s="237" t="s">
        <v>197</v>
      </c>
      <c r="G13" s="167" t="s">
        <v>196</v>
      </c>
      <c r="H13" s="167" t="s">
        <v>195</v>
      </c>
      <c r="I13" s="168" t="s">
        <v>193</v>
      </c>
    </row>
    <row r="14" spans="1:13" ht="13.8" thickBot="1" x14ac:dyDescent="0.3">
      <c r="A14" s="169" t="s">
        <v>97</v>
      </c>
      <c r="B14" s="170" t="s">
        <v>198</v>
      </c>
      <c r="C14" s="170" t="s">
        <v>199</v>
      </c>
      <c r="D14" s="170" t="s">
        <v>200</v>
      </c>
      <c r="E14" s="170" t="s">
        <v>201</v>
      </c>
      <c r="F14" s="238" t="s">
        <v>136</v>
      </c>
      <c r="G14" s="170" t="s">
        <v>202</v>
      </c>
      <c r="H14" s="170" t="s">
        <v>202</v>
      </c>
      <c r="I14" s="171" t="s">
        <v>111</v>
      </c>
    </row>
    <row r="15" spans="1:13" ht="13.8" thickBot="1" x14ac:dyDescent="0.3">
      <c r="A15" s="166" t="s">
        <v>99</v>
      </c>
      <c r="B15" s="167" t="s">
        <v>89</v>
      </c>
      <c r="C15" s="167" t="s">
        <v>89</v>
      </c>
      <c r="D15" s="167" t="s">
        <v>89</v>
      </c>
      <c r="E15" s="167" t="s">
        <v>89</v>
      </c>
      <c r="F15" s="237" t="s">
        <v>89</v>
      </c>
      <c r="G15" s="167" t="s">
        <v>89</v>
      </c>
      <c r="H15" s="167" t="s">
        <v>89</v>
      </c>
      <c r="I15" s="168" t="s">
        <v>89</v>
      </c>
    </row>
    <row r="16" spans="1:13" ht="13.8" thickBot="1" x14ac:dyDescent="0.3">
      <c r="A16" s="169" t="s">
        <v>91</v>
      </c>
      <c r="B16" s="170" t="s">
        <v>100</v>
      </c>
      <c r="C16" s="170" t="s">
        <v>193</v>
      </c>
      <c r="D16" s="170" t="s">
        <v>192</v>
      </c>
      <c r="E16" s="170" t="s">
        <v>111</v>
      </c>
      <c r="F16" s="238" t="s">
        <v>100</v>
      </c>
      <c r="G16" s="170" t="s">
        <v>192</v>
      </c>
      <c r="H16" s="170" t="s">
        <v>203</v>
      </c>
      <c r="I16" s="171" t="s">
        <v>107</v>
      </c>
    </row>
    <row r="17" spans="1:9" ht="13.8" thickBot="1" x14ac:dyDescent="0.3">
      <c r="A17" s="166" t="s">
        <v>95</v>
      </c>
      <c r="B17" s="167" t="s">
        <v>204</v>
      </c>
      <c r="C17" s="167" t="s">
        <v>199</v>
      </c>
      <c r="D17" s="167" t="s">
        <v>135</v>
      </c>
      <c r="E17" s="167" t="s">
        <v>200</v>
      </c>
      <c r="F17" s="237" t="s">
        <v>201</v>
      </c>
      <c r="G17" s="167" t="s">
        <v>200</v>
      </c>
      <c r="H17" s="167" t="s">
        <v>201</v>
      </c>
      <c r="I17" s="168" t="s">
        <v>196</v>
      </c>
    </row>
    <row r="18" spans="1:9" ht="13.8" thickBot="1" x14ac:dyDescent="0.3">
      <c r="A18" s="169" t="s">
        <v>97</v>
      </c>
      <c r="B18" s="170" t="s">
        <v>205</v>
      </c>
      <c r="C18" s="170" t="s">
        <v>132</v>
      </c>
      <c r="D18" s="170" t="s">
        <v>206</v>
      </c>
      <c r="E18" s="170" t="s">
        <v>207</v>
      </c>
      <c r="F18" s="238" t="s">
        <v>132</v>
      </c>
      <c r="G18" s="170" t="s">
        <v>206</v>
      </c>
      <c r="H18" s="170" t="s">
        <v>208</v>
      </c>
      <c r="I18" s="171" t="s">
        <v>133</v>
      </c>
    </row>
    <row r="19" spans="1:9" ht="13.8" thickBot="1" x14ac:dyDescent="0.3">
      <c r="A19" s="166" t="s">
        <v>104</v>
      </c>
      <c r="B19" s="167" t="s">
        <v>89</v>
      </c>
      <c r="C19" s="167" t="s">
        <v>89</v>
      </c>
      <c r="D19" s="167" t="s">
        <v>89</v>
      </c>
      <c r="E19" s="167" t="s">
        <v>89</v>
      </c>
      <c r="F19" s="237" t="s">
        <v>89</v>
      </c>
      <c r="G19" s="167" t="s">
        <v>89</v>
      </c>
      <c r="H19" s="167" t="s">
        <v>89</v>
      </c>
      <c r="I19" s="168" t="s">
        <v>89</v>
      </c>
    </row>
    <row r="20" spans="1:9" ht="13.8" thickBot="1" x14ac:dyDescent="0.3">
      <c r="A20" s="169" t="s">
        <v>91</v>
      </c>
      <c r="B20" s="170" t="s">
        <v>201</v>
      </c>
      <c r="C20" s="170" t="s">
        <v>201</v>
      </c>
      <c r="D20" s="170" t="s">
        <v>201</v>
      </c>
      <c r="E20" s="170" t="s">
        <v>201</v>
      </c>
      <c r="F20" s="238" t="s">
        <v>201</v>
      </c>
      <c r="G20" s="170" t="s">
        <v>201</v>
      </c>
      <c r="H20" s="170" t="s">
        <v>136</v>
      </c>
      <c r="I20" s="171" t="s">
        <v>195</v>
      </c>
    </row>
    <row r="21" spans="1:9" ht="13.8" thickBot="1" x14ac:dyDescent="0.3">
      <c r="A21" s="166" t="s">
        <v>97</v>
      </c>
      <c r="B21" s="167" t="s">
        <v>209</v>
      </c>
      <c r="C21" s="167" t="s">
        <v>209</v>
      </c>
      <c r="D21" s="167" t="s">
        <v>209</v>
      </c>
      <c r="E21" s="167" t="s">
        <v>209</v>
      </c>
      <c r="F21" s="237" t="s">
        <v>209</v>
      </c>
      <c r="G21" s="167" t="s">
        <v>209</v>
      </c>
      <c r="H21" s="167" t="s">
        <v>209</v>
      </c>
      <c r="I21" s="168" t="s">
        <v>205</v>
      </c>
    </row>
    <row r="22" spans="1:9" ht="13.8" thickBot="1" x14ac:dyDescent="0.3">
      <c r="A22" s="169" t="s">
        <v>109</v>
      </c>
      <c r="B22" s="170" t="s">
        <v>210</v>
      </c>
      <c r="C22" s="170" t="s">
        <v>210</v>
      </c>
      <c r="D22" s="170" t="s">
        <v>210</v>
      </c>
      <c r="E22" s="170" t="s">
        <v>210</v>
      </c>
      <c r="F22" s="238" t="s">
        <v>210</v>
      </c>
      <c r="G22" s="170" t="s">
        <v>210</v>
      </c>
      <c r="H22" s="170" t="s">
        <v>210</v>
      </c>
      <c r="I22" s="171" t="s">
        <v>211</v>
      </c>
    </row>
    <row r="23" spans="1:9" ht="13.8" thickBot="1" x14ac:dyDescent="0.3">
      <c r="A23" s="166" t="s">
        <v>112</v>
      </c>
      <c r="B23" s="167" t="s">
        <v>212</v>
      </c>
      <c r="C23" s="167" t="s">
        <v>212</v>
      </c>
      <c r="D23" s="167" t="s">
        <v>212</v>
      </c>
      <c r="E23" s="167" t="s">
        <v>212</v>
      </c>
      <c r="F23" s="237" t="s">
        <v>212</v>
      </c>
      <c r="G23" s="167" t="s">
        <v>212</v>
      </c>
      <c r="H23" s="167" t="s">
        <v>212</v>
      </c>
      <c r="I23" s="168" t="s">
        <v>213</v>
      </c>
    </row>
    <row r="24" spans="1:9" ht="13.8" thickBot="1" x14ac:dyDescent="0.3">
      <c r="A24" s="169" t="s">
        <v>114</v>
      </c>
      <c r="B24" s="170" t="s">
        <v>214</v>
      </c>
      <c r="C24" s="170" t="s">
        <v>214</v>
      </c>
      <c r="D24" s="170" t="s">
        <v>214</v>
      </c>
      <c r="E24" s="170" t="s">
        <v>214</v>
      </c>
      <c r="F24" s="238" t="s">
        <v>214</v>
      </c>
      <c r="G24" s="170" t="s">
        <v>214</v>
      </c>
      <c r="H24" s="170" t="s">
        <v>214</v>
      </c>
      <c r="I24" s="171" t="s">
        <v>215</v>
      </c>
    </row>
    <row r="25" spans="1:9" ht="13.8" thickBot="1" x14ac:dyDescent="0.3">
      <c r="A25" s="166" t="s">
        <v>116</v>
      </c>
      <c r="B25" s="167" t="s">
        <v>89</v>
      </c>
      <c r="C25" s="167" t="s">
        <v>89</v>
      </c>
      <c r="D25" s="167" t="s">
        <v>89</v>
      </c>
      <c r="E25" s="167" t="s">
        <v>89</v>
      </c>
      <c r="F25" s="237" t="s">
        <v>89</v>
      </c>
      <c r="G25" s="167" t="s">
        <v>89</v>
      </c>
      <c r="H25" s="167" t="s">
        <v>89</v>
      </c>
      <c r="I25" s="168" t="s">
        <v>89</v>
      </c>
    </row>
    <row r="26" spans="1:9" ht="13.8" thickBot="1" x14ac:dyDescent="0.3">
      <c r="A26" s="169" t="s">
        <v>117</v>
      </c>
      <c r="B26" s="170" t="s">
        <v>89</v>
      </c>
      <c r="C26" s="170" t="s">
        <v>89</v>
      </c>
      <c r="D26" s="170" t="s">
        <v>89</v>
      </c>
      <c r="E26" s="170" t="s">
        <v>89</v>
      </c>
      <c r="F26" s="238" t="s">
        <v>89</v>
      </c>
      <c r="G26" s="170" t="s">
        <v>89</v>
      </c>
      <c r="H26" s="170" t="s">
        <v>89</v>
      </c>
      <c r="I26" s="171" t="s">
        <v>89</v>
      </c>
    </row>
    <row r="27" spans="1:9" ht="13.8" thickBot="1" x14ac:dyDescent="0.3">
      <c r="A27" s="166" t="s">
        <v>118</v>
      </c>
      <c r="B27" s="167" t="s">
        <v>105</v>
      </c>
      <c r="C27" s="167" t="s">
        <v>216</v>
      </c>
      <c r="D27" s="167" t="s">
        <v>216</v>
      </c>
      <c r="E27" s="167" t="s">
        <v>216</v>
      </c>
      <c r="F27" s="237" t="s">
        <v>105</v>
      </c>
      <c r="G27" s="167" t="s">
        <v>130</v>
      </c>
      <c r="H27" s="167" t="s">
        <v>126</v>
      </c>
      <c r="I27" s="168" t="s">
        <v>103</v>
      </c>
    </row>
    <row r="28" spans="1:9" ht="13.8" thickBot="1" x14ac:dyDescent="0.3">
      <c r="A28" s="169" t="s">
        <v>97</v>
      </c>
      <c r="B28" s="170" t="s">
        <v>130</v>
      </c>
      <c r="C28" s="170" t="s">
        <v>130</v>
      </c>
      <c r="D28" s="170" t="s">
        <v>216</v>
      </c>
      <c r="E28" s="170" t="s">
        <v>217</v>
      </c>
      <c r="F28" s="238" t="s">
        <v>125</v>
      </c>
      <c r="G28" s="170" t="s">
        <v>216</v>
      </c>
      <c r="H28" s="170" t="s">
        <v>130</v>
      </c>
      <c r="I28" s="171" t="s">
        <v>125</v>
      </c>
    </row>
    <row r="29" spans="1:9" ht="13.8" thickBot="1" x14ac:dyDescent="0.3">
      <c r="A29" s="166" t="s">
        <v>109</v>
      </c>
      <c r="B29" s="167" t="s">
        <v>200</v>
      </c>
      <c r="C29" s="167" t="s">
        <v>202</v>
      </c>
      <c r="D29" s="167" t="s">
        <v>199</v>
      </c>
      <c r="E29" s="167" t="s">
        <v>218</v>
      </c>
      <c r="F29" s="237" t="s">
        <v>111</v>
      </c>
      <c r="G29" s="167" t="s">
        <v>198</v>
      </c>
      <c r="H29" s="167" t="s">
        <v>202</v>
      </c>
      <c r="I29" s="168" t="s">
        <v>136</v>
      </c>
    </row>
    <row r="30" spans="1:9" ht="13.8" thickBot="1" x14ac:dyDescent="0.3">
      <c r="A30" s="169" t="s">
        <v>124</v>
      </c>
      <c r="B30" s="170" t="s">
        <v>219</v>
      </c>
      <c r="C30" s="170" t="s">
        <v>220</v>
      </c>
      <c r="D30" s="170" t="s">
        <v>206</v>
      </c>
      <c r="E30" s="170" t="s">
        <v>221</v>
      </c>
      <c r="F30" s="238" t="s">
        <v>200</v>
      </c>
      <c r="G30" s="170" t="s">
        <v>132</v>
      </c>
      <c r="H30" s="170" t="s">
        <v>137</v>
      </c>
      <c r="I30" s="171" t="s">
        <v>137</v>
      </c>
    </row>
    <row r="31" spans="1:9" ht="13.8" thickBot="1" x14ac:dyDescent="0.3">
      <c r="A31" s="166" t="s">
        <v>127</v>
      </c>
      <c r="B31" s="167" t="s">
        <v>89</v>
      </c>
      <c r="C31" s="167" t="s">
        <v>89</v>
      </c>
      <c r="D31" s="167" t="s">
        <v>89</v>
      </c>
      <c r="E31" s="167" t="s">
        <v>89</v>
      </c>
      <c r="F31" s="237" t="s">
        <v>89</v>
      </c>
      <c r="G31" s="167" t="s">
        <v>89</v>
      </c>
      <c r="H31" s="167" t="s">
        <v>89</v>
      </c>
      <c r="I31" s="168" t="s">
        <v>89</v>
      </c>
    </row>
    <row r="32" spans="1:9" ht="13.8" thickBot="1" x14ac:dyDescent="0.3">
      <c r="A32" s="172" t="s">
        <v>128</v>
      </c>
      <c r="B32" s="170" t="s">
        <v>89</v>
      </c>
      <c r="C32" s="170" t="s">
        <v>89</v>
      </c>
      <c r="D32" s="170" t="s">
        <v>89</v>
      </c>
      <c r="E32" s="170" t="s">
        <v>89</v>
      </c>
      <c r="F32" s="238" t="s">
        <v>89</v>
      </c>
      <c r="G32" s="170" t="s">
        <v>89</v>
      </c>
      <c r="H32" s="170" t="s">
        <v>89</v>
      </c>
      <c r="I32" s="171" t="s">
        <v>89</v>
      </c>
    </row>
    <row r="33" spans="1:11" ht="13.8" thickBot="1" x14ac:dyDescent="0.3">
      <c r="A33" s="166" t="s">
        <v>91</v>
      </c>
      <c r="B33" s="167" t="s">
        <v>105</v>
      </c>
      <c r="C33" s="167" t="s">
        <v>216</v>
      </c>
      <c r="D33" s="167" t="s">
        <v>216</v>
      </c>
      <c r="E33" s="167" t="s">
        <v>216</v>
      </c>
      <c r="F33" s="237" t="s">
        <v>105</v>
      </c>
      <c r="G33" s="167" t="s">
        <v>130</v>
      </c>
      <c r="H33" s="167" t="s">
        <v>126</v>
      </c>
      <c r="I33" s="168" t="s">
        <v>103</v>
      </c>
    </row>
    <row r="34" spans="1:11" ht="13.8" thickBot="1" x14ac:dyDescent="0.3">
      <c r="A34" s="169" t="s">
        <v>97</v>
      </c>
      <c r="B34" s="170" t="s">
        <v>130</v>
      </c>
      <c r="C34" s="170" t="s">
        <v>130</v>
      </c>
      <c r="D34" s="170" t="s">
        <v>216</v>
      </c>
      <c r="E34" s="170" t="s">
        <v>217</v>
      </c>
      <c r="F34" s="238" t="s">
        <v>129</v>
      </c>
      <c r="G34" s="170" t="s">
        <v>125</v>
      </c>
      <c r="H34" s="170" t="s">
        <v>130</v>
      </c>
      <c r="I34" s="171" t="s">
        <v>125</v>
      </c>
    </row>
    <row r="35" spans="1:11" ht="13.8" thickBot="1" x14ac:dyDescent="0.3">
      <c r="A35" s="166" t="s">
        <v>109</v>
      </c>
      <c r="B35" s="167" t="s">
        <v>201</v>
      </c>
      <c r="C35" s="167" t="s">
        <v>200</v>
      </c>
      <c r="D35" s="167" t="s">
        <v>202</v>
      </c>
      <c r="E35" s="167" t="s">
        <v>198</v>
      </c>
      <c r="F35" s="237" t="s">
        <v>110</v>
      </c>
      <c r="G35" s="167" t="s">
        <v>135</v>
      </c>
      <c r="H35" s="167" t="s">
        <v>200</v>
      </c>
      <c r="I35" s="168" t="s">
        <v>222</v>
      </c>
    </row>
    <row r="36" spans="1:11" ht="13.8" thickBot="1" x14ac:dyDescent="0.3">
      <c r="A36" s="232" t="s">
        <v>124</v>
      </c>
      <c r="B36" s="230" t="s">
        <v>137</v>
      </c>
      <c r="C36" s="230" t="s">
        <v>205</v>
      </c>
      <c r="D36" s="230" t="s">
        <v>220</v>
      </c>
      <c r="E36" s="230" t="s">
        <v>223</v>
      </c>
      <c r="F36" s="240">
        <v>0.49</v>
      </c>
      <c r="G36" s="230" t="s">
        <v>206</v>
      </c>
      <c r="H36" s="230" t="s">
        <v>224</v>
      </c>
      <c r="I36" s="233" t="s">
        <v>224</v>
      </c>
    </row>
    <row r="37" spans="1:11" ht="13.8" thickBot="1" x14ac:dyDescent="0.3">
      <c r="A37" s="166" t="s">
        <v>131</v>
      </c>
      <c r="B37" s="167" t="s">
        <v>225</v>
      </c>
      <c r="C37" s="167" t="s">
        <v>226</v>
      </c>
      <c r="D37" s="167" t="s">
        <v>140</v>
      </c>
      <c r="E37" s="167" t="s">
        <v>210</v>
      </c>
      <c r="F37" s="237" t="s">
        <v>227</v>
      </c>
      <c r="G37" s="167" t="s">
        <v>140</v>
      </c>
      <c r="H37" s="167" t="s">
        <v>228</v>
      </c>
      <c r="I37" s="168" t="s">
        <v>229</v>
      </c>
    </row>
    <row r="38" spans="1:11" ht="13.8" thickBot="1" x14ac:dyDescent="0.3">
      <c r="A38" s="169" t="s">
        <v>139</v>
      </c>
      <c r="B38" s="170" t="s">
        <v>230</v>
      </c>
      <c r="C38" s="170" t="s">
        <v>231</v>
      </c>
      <c r="D38" s="170" t="s">
        <v>232</v>
      </c>
      <c r="E38" s="170" t="s">
        <v>233</v>
      </c>
      <c r="F38" s="238" t="s">
        <v>234</v>
      </c>
      <c r="G38" s="170" t="s">
        <v>232</v>
      </c>
      <c r="H38" s="170" t="s">
        <v>235</v>
      </c>
      <c r="I38" s="171" t="s">
        <v>236</v>
      </c>
      <c r="K38" s="24" t="s">
        <v>314</v>
      </c>
    </row>
    <row r="39" spans="1:11" ht="13.8" thickBot="1" x14ac:dyDescent="0.3">
      <c r="A39" s="166" t="s">
        <v>146</v>
      </c>
      <c r="B39" s="167" t="s">
        <v>237</v>
      </c>
      <c r="C39" s="167" t="s">
        <v>238</v>
      </c>
      <c r="D39" s="167" t="s">
        <v>239</v>
      </c>
      <c r="E39" s="167" t="s">
        <v>240</v>
      </c>
      <c r="F39" s="237" t="s">
        <v>241</v>
      </c>
      <c r="G39" s="167" t="s">
        <v>240</v>
      </c>
      <c r="H39" s="167" t="s">
        <v>242</v>
      </c>
      <c r="I39" s="168" t="s">
        <v>243</v>
      </c>
    </row>
    <row r="40" spans="1:11" ht="13.8" thickBot="1" x14ac:dyDescent="0.3">
      <c r="A40" s="169" t="s">
        <v>155</v>
      </c>
      <c r="B40" s="170" t="s">
        <v>244</v>
      </c>
      <c r="C40" s="170" t="s">
        <v>245</v>
      </c>
      <c r="D40" s="170" t="s">
        <v>246</v>
      </c>
      <c r="E40" s="170" t="s">
        <v>247</v>
      </c>
      <c r="F40" s="238" t="s">
        <v>161</v>
      </c>
      <c r="G40" s="170" t="s">
        <v>247</v>
      </c>
      <c r="H40" s="170" t="s">
        <v>248</v>
      </c>
      <c r="I40" s="171" t="s">
        <v>249</v>
      </c>
    </row>
    <row r="41" spans="1:11" ht="13.8" thickBot="1" x14ac:dyDescent="0.3">
      <c r="A41" s="166" t="s">
        <v>163</v>
      </c>
      <c r="B41" s="167" t="s">
        <v>176</v>
      </c>
      <c r="C41" s="167" t="s">
        <v>175</v>
      </c>
      <c r="D41" s="167" t="s">
        <v>250</v>
      </c>
      <c r="E41" s="167" t="s">
        <v>251</v>
      </c>
      <c r="F41" s="237" t="s">
        <v>252</v>
      </c>
      <c r="G41" s="167" t="s">
        <v>251</v>
      </c>
      <c r="H41" s="167" t="s">
        <v>177</v>
      </c>
      <c r="I41" s="168" t="s">
        <v>173</v>
      </c>
    </row>
    <row r="42" spans="1:11" ht="13.8" thickBot="1" x14ac:dyDescent="0.3">
      <c r="A42" s="169" t="s">
        <v>171</v>
      </c>
      <c r="B42" s="170" t="s">
        <v>253</v>
      </c>
      <c r="C42" s="170" t="s">
        <v>254</v>
      </c>
      <c r="D42" s="170" t="s">
        <v>182</v>
      </c>
      <c r="E42" s="170" t="s">
        <v>254</v>
      </c>
      <c r="F42" s="238" t="s">
        <v>184</v>
      </c>
      <c r="G42" s="170" t="s">
        <v>255</v>
      </c>
      <c r="H42" s="170" t="s">
        <v>256</v>
      </c>
      <c r="I42" s="171" t="s">
        <v>257</v>
      </c>
    </row>
    <row r="43" spans="1:11" ht="13.8" thickBot="1" x14ac:dyDescent="0.3">
      <c r="A43" s="173" t="s">
        <v>180</v>
      </c>
      <c r="B43" s="174" t="s">
        <v>258</v>
      </c>
      <c r="C43" s="174" t="s">
        <v>259</v>
      </c>
      <c r="D43" s="174" t="s">
        <v>260</v>
      </c>
      <c r="E43" s="174" t="s">
        <v>261</v>
      </c>
      <c r="F43" s="239" t="s">
        <v>262</v>
      </c>
      <c r="G43" s="174" t="s">
        <v>263</v>
      </c>
      <c r="H43" s="174" t="s">
        <v>264</v>
      </c>
      <c r="I43" s="175" t="s">
        <v>265</v>
      </c>
    </row>
    <row r="45" spans="1:11" x14ac:dyDescent="0.25">
      <c r="A45" s="24" t="s">
        <v>291</v>
      </c>
    </row>
  </sheetData>
  <mergeCells count="2">
    <mergeCell ref="A5:A8"/>
    <mergeCell ref="G5:H6"/>
  </mergeCells>
  <hyperlinks>
    <hyperlink ref="A32" r:id="rId1" location="fn10" tooltip="Footnote 10" display="http://www.federalreserve.gov/releases/h15/current/ - fn10"/>
  </hyperlinks>
  <pageMargins left="0.7" right="0.7" top="0.75" bottom="0.75" header="0.3" footer="0.3"/>
  <pageSetup scale="83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workbookViewId="0">
      <pane ySplit="1" topLeftCell="A2" activePane="bottomLeft" state="frozen"/>
      <selection activeCell="J1" sqref="J1"/>
      <selection pane="bottomLeft" activeCell="J1" sqref="J1"/>
    </sheetView>
  </sheetViews>
  <sheetFormatPr defaultRowHeight="11.4" x14ac:dyDescent="0.2"/>
  <cols>
    <col min="1" max="1" width="13.33203125" style="39" customWidth="1"/>
    <col min="2" max="2" width="15.33203125" style="39" customWidth="1"/>
    <col min="3" max="3" width="14.88671875" style="39" customWidth="1"/>
    <col min="4" max="4" width="15.109375" style="39" customWidth="1"/>
    <col min="5" max="5" width="15.6640625" style="39" customWidth="1"/>
    <col min="6" max="6" width="13.44140625" style="39" bestFit="1" customWidth="1"/>
    <col min="7" max="7" width="13.44140625" style="39" customWidth="1"/>
    <col min="8" max="8" width="14.88671875" style="39" customWidth="1"/>
    <col min="9" max="9" width="14.5546875" style="39" customWidth="1"/>
    <col min="10" max="10" width="13.109375" style="39" hidden="1" customWidth="1"/>
    <col min="11" max="11" width="12.88671875" style="39" hidden="1" customWidth="1"/>
    <col min="12" max="255" width="9.109375" style="39"/>
    <col min="256" max="256" width="19.6640625" style="39" customWidth="1"/>
    <col min="257" max="257" width="24.44140625" style="39" customWidth="1"/>
    <col min="258" max="258" width="14.88671875" style="39" customWidth="1"/>
    <col min="259" max="259" width="16.44140625" style="39" customWidth="1"/>
    <col min="260" max="260" width="19.6640625" style="39" customWidth="1"/>
    <col min="261" max="261" width="9.109375" style="39"/>
    <col min="262" max="262" width="13.44140625" style="39" bestFit="1" customWidth="1"/>
    <col min="263" max="263" width="19.44140625" style="39" customWidth="1"/>
    <col min="264" max="264" width="20.5546875" style="39" customWidth="1"/>
    <col min="265" max="265" width="14.5546875" style="39" customWidth="1"/>
    <col min="266" max="266" width="10.44140625" style="39" bestFit="1" customWidth="1"/>
    <col min="267" max="267" width="12.88671875" style="39" bestFit="1" customWidth="1"/>
    <col min="268" max="511" width="9.109375" style="39"/>
    <col min="512" max="512" width="19.6640625" style="39" customWidth="1"/>
    <col min="513" max="513" width="24.44140625" style="39" customWidth="1"/>
    <col min="514" max="514" width="14.88671875" style="39" customWidth="1"/>
    <col min="515" max="515" width="16.44140625" style="39" customWidth="1"/>
    <col min="516" max="516" width="19.6640625" style="39" customWidth="1"/>
    <col min="517" max="517" width="9.109375" style="39"/>
    <col min="518" max="518" width="13.44140625" style="39" bestFit="1" customWidth="1"/>
    <col min="519" max="519" width="19.44140625" style="39" customWidth="1"/>
    <col min="520" max="520" width="20.5546875" style="39" customWidth="1"/>
    <col min="521" max="521" width="14.5546875" style="39" customWidth="1"/>
    <col min="522" max="522" width="10.44140625" style="39" bestFit="1" customWidth="1"/>
    <col min="523" max="523" width="12.88671875" style="39" bestFit="1" customWidth="1"/>
    <col min="524" max="767" width="9.109375" style="39"/>
    <col min="768" max="768" width="19.6640625" style="39" customWidth="1"/>
    <col min="769" max="769" width="24.44140625" style="39" customWidth="1"/>
    <col min="770" max="770" width="14.88671875" style="39" customWidth="1"/>
    <col min="771" max="771" width="16.44140625" style="39" customWidth="1"/>
    <col min="772" max="772" width="19.6640625" style="39" customWidth="1"/>
    <col min="773" max="773" width="9.109375" style="39"/>
    <col min="774" max="774" width="13.44140625" style="39" bestFit="1" customWidth="1"/>
    <col min="775" max="775" width="19.44140625" style="39" customWidth="1"/>
    <col min="776" max="776" width="20.5546875" style="39" customWidth="1"/>
    <col min="777" max="777" width="14.5546875" style="39" customWidth="1"/>
    <col min="778" max="778" width="10.44140625" style="39" bestFit="1" customWidth="1"/>
    <col min="779" max="779" width="12.88671875" style="39" bestFit="1" customWidth="1"/>
    <col min="780" max="1023" width="9.109375" style="39"/>
    <col min="1024" max="1024" width="19.6640625" style="39" customWidth="1"/>
    <col min="1025" max="1025" width="24.44140625" style="39" customWidth="1"/>
    <col min="1026" max="1026" width="14.88671875" style="39" customWidth="1"/>
    <col min="1027" max="1027" width="16.44140625" style="39" customWidth="1"/>
    <col min="1028" max="1028" width="19.6640625" style="39" customWidth="1"/>
    <col min="1029" max="1029" width="9.109375" style="39"/>
    <col min="1030" max="1030" width="13.44140625" style="39" bestFit="1" customWidth="1"/>
    <col min="1031" max="1031" width="19.44140625" style="39" customWidth="1"/>
    <col min="1032" max="1032" width="20.5546875" style="39" customWidth="1"/>
    <col min="1033" max="1033" width="14.5546875" style="39" customWidth="1"/>
    <col min="1034" max="1034" width="10.44140625" style="39" bestFit="1" customWidth="1"/>
    <col min="1035" max="1035" width="12.88671875" style="39" bestFit="1" customWidth="1"/>
    <col min="1036" max="1279" width="9.109375" style="39"/>
    <col min="1280" max="1280" width="19.6640625" style="39" customWidth="1"/>
    <col min="1281" max="1281" width="24.44140625" style="39" customWidth="1"/>
    <col min="1282" max="1282" width="14.88671875" style="39" customWidth="1"/>
    <col min="1283" max="1283" width="16.44140625" style="39" customWidth="1"/>
    <col min="1284" max="1284" width="19.6640625" style="39" customWidth="1"/>
    <col min="1285" max="1285" width="9.109375" style="39"/>
    <col min="1286" max="1286" width="13.44140625" style="39" bestFit="1" customWidth="1"/>
    <col min="1287" max="1287" width="19.44140625" style="39" customWidth="1"/>
    <col min="1288" max="1288" width="20.5546875" style="39" customWidth="1"/>
    <col min="1289" max="1289" width="14.5546875" style="39" customWidth="1"/>
    <col min="1290" max="1290" width="10.44140625" style="39" bestFit="1" customWidth="1"/>
    <col min="1291" max="1291" width="12.88671875" style="39" bestFit="1" customWidth="1"/>
    <col min="1292" max="1535" width="9.109375" style="39"/>
    <col min="1536" max="1536" width="19.6640625" style="39" customWidth="1"/>
    <col min="1537" max="1537" width="24.44140625" style="39" customWidth="1"/>
    <col min="1538" max="1538" width="14.88671875" style="39" customWidth="1"/>
    <col min="1539" max="1539" width="16.44140625" style="39" customWidth="1"/>
    <col min="1540" max="1540" width="19.6640625" style="39" customWidth="1"/>
    <col min="1541" max="1541" width="9.109375" style="39"/>
    <col min="1542" max="1542" width="13.44140625" style="39" bestFit="1" customWidth="1"/>
    <col min="1543" max="1543" width="19.44140625" style="39" customWidth="1"/>
    <col min="1544" max="1544" width="20.5546875" style="39" customWidth="1"/>
    <col min="1545" max="1545" width="14.5546875" style="39" customWidth="1"/>
    <col min="1546" max="1546" width="10.44140625" style="39" bestFit="1" customWidth="1"/>
    <col min="1547" max="1547" width="12.88671875" style="39" bestFit="1" customWidth="1"/>
    <col min="1548" max="1791" width="9.109375" style="39"/>
    <col min="1792" max="1792" width="19.6640625" style="39" customWidth="1"/>
    <col min="1793" max="1793" width="24.44140625" style="39" customWidth="1"/>
    <col min="1794" max="1794" width="14.88671875" style="39" customWidth="1"/>
    <col min="1795" max="1795" width="16.44140625" style="39" customWidth="1"/>
    <col min="1796" max="1796" width="19.6640625" style="39" customWidth="1"/>
    <col min="1797" max="1797" width="9.109375" style="39"/>
    <col min="1798" max="1798" width="13.44140625" style="39" bestFit="1" customWidth="1"/>
    <col min="1799" max="1799" width="19.44140625" style="39" customWidth="1"/>
    <col min="1800" max="1800" width="20.5546875" style="39" customWidth="1"/>
    <col min="1801" max="1801" width="14.5546875" style="39" customWidth="1"/>
    <col min="1802" max="1802" width="10.44140625" style="39" bestFit="1" customWidth="1"/>
    <col min="1803" max="1803" width="12.88671875" style="39" bestFit="1" customWidth="1"/>
    <col min="1804" max="2047" width="9.109375" style="39"/>
    <col min="2048" max="2048" width="19.6640625" style="39" customWidth="1"/>
    <col min="2049" max="2049" width="24.44140625" style="39" customWidth="1"/>
    <col min="2050" max="2050" width="14.88671875" style="39" customWidth="1"/>
    <col min="2051" max="2051" width="16.44140625" style="39" customWidth="1"/>
    <col min="2052" max="2052" width="19.6640625" style="39" customWidth="1"/>
    <col min="2053" max="2053" width="9.109375" style="39"/>
    <col min="2054" max="2054" width="13.44140625" style="39" bestFit="1" customWidth="1"/>
    <col min="2055" max="2055" width="19.44140625" style="39" customWidth="1"/>
    <col min="2056" max="2056" width="20.5546875" style="39" customWidth="1"/>
    <col min="2057" max="2057" width="14.5546875" style="39" customWidth="1"/>
    <col min="2058" max="2058" width="10.44140625" style="39" bestFit="1" customWidth="1"/>
    <col min="2059" max="2059" width="12.88671875" style="39" bestFit="1" customWidth="1"/>
    <col min="2060" max="2303" width="9.109375" style="39"/>
    <col min="2304" max="2304" width="19.6640625" style="39" customWidth="1"/>
    <col min="2305" max="2305" width="24.44140625" style="39" customWidth="1"/>
    <col min="2306" max="2306" width="14.88671875" style="39" customWidth="1"/>
    <col min="2307" max="2307" width="16.44140625" style="39" customWidth="1"/>
    <col min="2308" max="2308" width="19.6640625" style="39" customWidth="1"/>
    <col min="2309" max="2309" width="9.109375" style="39"/>
    <col min="2310" max="2310" width="13.44140625" style="39" bestFit="1" customWidth="1"/>
    <col min="2311" max="2311" width="19.44140625" style="39" customWidth="1"/>
    <col min="2312" max="2312" width="20.5546875" style="39" customWidth="1"/>
    <col min="2313" max="2313" width="14.5546875" style="39" customWidth="1"/>
    <col min="2314" max="2314" width="10.44140625" style="39" bestFit="1" customWidth="1"/>
    <col min="2315" max="2315" width="12.88671875" style="39" bestFit="1" customWidth="1"/>
    <col min="2316" max="2559" width="9.109375" style="39"/>
    <col min="2560" max="2560" width="19.6640625" style="39" customWidth="1"/>
    <col min="2561" max="2561" width="24.44140625" style="39" customWidth="1"/>
    <col min="2562" max="2562" width="14.88671875" style="39" customWidth="1"/>
    <col min="2563" max="2563" width="16.44140625" style="39" customWidth="1"/>
    <col min="2564" max="2564" width="19.6640625" style="39" customWidth="1"/>
    <col min="2565" max="2565" width="9.109375" style="39"/>
    <col min="2566" max="2566" width="13.44140625" style="39" bestFit="1" customWidth="1"/>
    <col min="2567" max="2567" width="19.44140625" style="39" customWidth="1"/>
    <col min="2568" max="2568" width="20.5546875" style="39" customWidth="1"/>
    <col min="2569" max="2569" width="14.5546875" style="39" customWidth="1"/>
    <col min="2570" max="2570" width="10.44140625" style="39" bestFit="1" customWidth="1"/>
    <col min="2571" max="2571" width="12.88671875" style="39" bestFit="1" customWidth="1"/>
    <col min="2572" max="2815" width="9.109375" style="39"/>
    <col min="2816" max="2816" width="19.6640625" style="39" customWidth="1"/>
    <col min="2817" max="2817" width="24.44140625" style="39" customWidth="1"/>
    <col min="2818" max="2818" width="14.88671875" style="39" customWidth="1"/>
    <col min="2819" max="2819" width="16.44140625" style="39" customWidth="1"/>
    <col min="2820" max="2820" width="19.6640625" style="39" customWidth="1"/>
    <col min="2821" max="2821" width="9.109375" style="39"/>
    <col min="2822" max="2822" width="13.44140625" style="39" bestFit="1" customWidth="1"/>
    <col min="2823" max="2823" width="19.44140625" style="39" customWidth="1"/>
    <col min="2824" max="2824" width="20.5546875" style="39" customWidth="1"/>
    <col min="2825" max="2825" width="14.5546875" style="39" customWidth="1"/>
    <col min="2826" max="2826" width="10.44140625" style="39" bestFit="1" customWidth="1"/>
    <col min="2827" max="2827" width="12.88671875" style="39" bestFit="1" customWidth="1"/>
    <col min="2828" max="3071" width="9.109375" style="39"/>
    <col min="3072" max="3072" width="19.6640625" style="39" customWidth="1"/>
    <col min="3073" max="3073" width="24.44140625" style="39" customWidth="1"/>
    <col min="3074" max="3074" width="14.88671875" style="39" customWidth="1"/>
    <col min="3075" max="3075" width="16.44140625" style="39" customWidth="1"/>
    <col min="3076" max="3076" width="19.6640625" style="39" customWidth="1"/>
    <col min="3077" max="3077" width="9.109375" style="39"/>
    <col min="3078" max="3078" width="13.44140625" style="39" bestFit="1" customWidth="1"/>
    <col min="3079" max="3079" width="19.44140625" style="39" customWidth="1"/>
    <col min="3080" max="3080" width="20.5546875" style="39" customWidth="1"/>
    <col min="3081" max="3081" width="14.5546875" style="39" customWidth="1"/>
    <col min="3082" max="3082" width="10.44140625" style="39" bestFit="1" customWidth="1"/>
    <col min="3083" max="3083" width="12.88671875" style="39" bestFit="1" customWidth="1"/>
    <col min="3084" max="3327" width="9.109375" style="39"/>
    <col min="3328" max="3328" width="19.6640625" style="39" customWidth="1"/>
    <col min="3329" max="3329" width="24.44140625" style="39" customWidth="1"/>
    <col min="3330" max="3330" width="14.88671875" style="39" customWidth="1"/>
    <col min="3331" max="3331" width="16.44140625" style="39" customWidth="1"/>
    <col min="3332" max="3332" width="19.6640625" style="39" customWidth="1"/>
    <col min="3333" max="3333" width="9.109375" style="39"/>
    <col min="3334" max="3334" width="13.44140625" style="39" bestFit="1" customWidth="1"/>
    <col min="3335" max="3335" width="19.44140625" style="39" customWidth="1"/>
    <col min="3336" max="3336" width="20.5546875" style="39" customWidth="1"/>
    <col min="3337" max="3337" width="14.5546875" style="39" customWidth="1"/>
    <col min="3338" max="3338" width="10.44140625" style="39" bestFit="1" customWidth="1"/>
    <col min="3339" max="3339" width="12.88671875" style="39" bestFit="1" customWidth="1"/>
    <col min="3340" max="3583" width="9.109375" style="39"/>
    <col min="3584" max="3584" width="19.6640625" style="39" customWidth="1"/>
    <col min="3585" max="3585" width="24.44140625" style="39" customWidth="1"/>
    <col min="3586" max="3586" width="14.88671875" style="39" customWidth="1"/>
    <col min="3587" max="3587" width="16.44140625" style="39" customWidth="1"/>
    <col min="3588" max="3588" width="19.6640625" style="39" customWidth="1"/>
    <col min="3589" max="3589" width="9.109375" style="39"/>
    <col min="3590" max="3590" width="13.44140625" style="39" bestFit="1" customWidth="1"/>
    <col min="3591" max="3591" width="19.44140625" style="39" customWidth="1"/>
    <col min="3592" max="3592" width="20.5546875" style="39" customWidth="1"/>
    <col min="3593" max="3593" width="14.5546875" style="39" customWidth="1"/>
    <col min="3594" max="3594" width="10.44140625" style="39" bestFit="1" customWidth="1"/>
    <col min="3595" max="3595" width="12.88671875" style="39" bestFit="1" customWidth="1"/>
    <col min="3596" max="3839" width="9.109375" style="39"/>
    <col min="3840" max="3840" width="19.6640625" style="39" customWidth="1"/>
    <col min="3841" max="3841" width="24.44140625" style="39" customWidth="1"/>
    <col min="3842" max="3842" width="14.88671875" style="39" customWidth="1"/>
    <col min="3843" max="3843" width="16.44140625" style="39" customWidth="1"/>
    <col min="3844" max="3844" width="19.6640625" style="39" customWidth="1"/>
    <col min="3845" max="3845" width="9.109375" style="39"/>
    <col min="3846" max="3846" width="13.44140625" style="39" bestFit="1" customWidth="1"/>
    <col min="3847" max="3847" width="19.44140625" style="39" customWidth="1"/>
    <col min="3848" max="3848" width="20.5546875" style="39" customWidth="1"/>
    <col min="3849" max="3849" width="14.5546875" style="39" customWidth="1"/>
    <col min="3850" max="3850" width="10.44140625" style="39" bestFit="1" customWidth="1"/>
    <col min="3851" max="3851" width="12.88671875" style="39" bestFit="1" customWidth="1"/>
    <col min="3852" max="4095" width="9.109375" style="39"/>
    <col min="4096" max="4096" width="19.6640625" style="39" customWidth="1"/>
    <col min="4097" max="4097" width="24.44140625" style="39" customWidth="1"/>
    <col min="4098" max="4098" width="14.88671875" style="39" customWidth="1"/>
    <col min="4099" max="4099" width="16.44140625" style="39" customWidth="1"/>
    <col min="4100" max="4100" width="19.6640625" style="39" customWidth="1"/>
    <col min="4101" max="4101" width="9.109375" style="39"/>
    <col min="4102" max="4102" width="13.44140625" style="39" bestFit="1" customWidth="1"/>
    <col min="4103" max="4103" width="19.44140625" style="39" customWidth="1"/>
    <col min="4104" max="4104" width="20.5546875" style="39" customWidth="1"/>
    <col min="4105" max="4105" width="14.5546875" style="39" customWidth="1"/>
    <col min="4106" max="4106" width="10.44140625" style="39" bestFit="1" customWidth="1"/>
    <col min="4107" max="4107" width="12.88671875" style="39" bestFit="1" customWidth="1"/>
    <col min="4108" max="4351" width="9.109375" style="39"/>
    <col min="4352" max="4352" width="19.6640625" style="39" customWidth="1"/>
    <col min="4353" max="4353" width="24.44140625" style="39" customWidth="1"/>
    <col min="4354" max="4354" width="14.88671875" style="39" customWidth="1"/>
    <col min="4355" max="4355" width="16.44140625" style="39" customWidth="1"/>
    <col min="4356" max="4356" width="19.6640625" style="39" customWidth="1"/>
    <col min="4357" max="4357" width="9.109375" style="39"/>
    <col min="4358" max="4358" width="13.44140625" style="39" bestFit="1" customWidth="1"/>
    <col min="4359" max="4359" width="19.44140625" style="39" customWidth="1"/>
    <col min="4360" max="4360" width="20.5546875" style="39" customWidth="1"/>
    <col min="4361" max="4361" width="14.5546875" style="39" customWidth="1"/>
    <col min="4362" max="4362" width="10.44140625" style="39" bestFit="1" customWidth="1"/>
    <col min="4363" max="4363" width="12.88671875" style="39" bestFit="1" customWidth="1"/>
    <col min="4364" max="4607" width="9.109375" style="39"/>
    <col min="4608" max="4608" width="19.6640625" style="39" customWidth="1"/>
    <col min="4609" max="4609" width="24.44140625" style="39" customWidth="1"/>
    <col min="4610" max="4610" width="14.88671875" style="39" customWidth="1"/>
    <col min="4611" max="4611" width="16.44140625" style="39" customWidth="1"/>
    <col min="4612" max="4612" width="19.6640625" style="39" customWidth="1"/>
    <col min="4613" max="4613" width="9.109375" style="39"/>
    <col min="4614" max="4614" width="13.44140625" style="39" bestFit="1" customWidth="1"/>
    <col min="4615" max="4615" width="19.44140625" style="39" customWidth="1"/>
    <col min="4616" max="4616" width="20.5546875" style="39" customWidth="1"/>
    <col min="4617" max="4617" width="14.5546875" style="39" customWidth="1"/>
    <col min="4618" max="4618" width="10.44140625" style="39" bestFit="1" customWidth="1"/>
    <col min="4619" max="4619" width="12.88671875" style="39" bestFit="1" customWidth="1"/>
    <col min="4620" max="4863" width="9.109375" style="39"/>
    <col min="4864" max="4864" width="19.6640625" style="39" customWidth="1"/>
    <col min="4865" max="4865" width="24.44140625" style="39" customWidth="1"/>
    <col min="4866" max="4866" width="14.88671875" style="39" customWidth="1"/>
    <col min="4867" max="4867" width="16.44140625" style="39" customWidth="1"/>
    <col min="4868" max="4868" width="19.6640625" style="39" customWidth="1"/>
    <col min="4869" max="4869" width="9.109375" style="39"/>
    <col min="4870" max="4870" width="13.44140625" style="39" bestFit="1" customWidth="1"/>
    <col min="4871" max="4871" width="19.44140625" style="39" customWidth="1"/>
    <col min="4872" max="4872" width="20.5546875" style="39" customWidth="1"/>
    <col min="4873" max="4873" width="14.5546875" style="39" customWidth="1"/>
    <col min="4874" max="4874" width="10.44140625" style="39" bestFit="1" customWidth="1"/>
    <col min="4875" max="4875" width="12.88671875" style="39" bestFit="1" customWidth="1"/>
    <col min="4876" max="5119" width="9.109375" style="39"/>
    <col min="5120" max="5120" width="19.6640625" style="39" customWidth="1"/>
    <col min="5121" max="5121" width="24.44140625" style="39" customWidth="1"/>
    <col min="5122" max="5122" width="14.88671875" style="39" customWidth="1"/>
    <col min="5123" max="5123" width="16.44140625" style="39" customWidth="1"/>
    <col min="5124" max="5124" width="19.6640625" style="39" customWidth="1"/>
    <col min="5125" max="5125" width="9.109375" style="39"/>
    <col min="5126" max="5126" width="13.44140625" style="39" bestFit="1" customWidth="1"/>
    <col min="5127" max="5127" width="19.44140625" style="39" customWidth="1"/>
    <col min="5128" max="5128" width="20.5546875" style="39" customWidth="1"/>
    <col min="5129" max="5129" width="14.5546875" style="39" customWidth="1"/>
    <col min="5130" max="5130" width="10.44140625" style="39" bestFit="1" customWidth="1"/>
    <col min="5131" max="5131" width="12.88671875" style="39" bestFit="1" customWidth="1"/>
    <col min="5132" max="5375" width="9.109375" style="39"/>
    <col min="5376" max="5376" width="19.6640625" style="39" customWidth="1"/>
    <col min="5377" max="5377" width="24.44140625" style="39" customWidth="1"/>
    <col min="5378" max="5378" width="14.88671875" style="39" customWidth="1"/>
    <col min="5379" max="5379" width="16.44140625" style="39" customWidth="1"/>
    <col min="5380" max="5380" width="19.6640625" style="39" customWidth="1"/>
    <col min="5381" max="5381" width="9.109375" style="39"/>
    <col min="5382" max="5382" width="13.44140625" style="39" bestFit="1" customWidth="1"/>
    <col min="5383" max="5383" width="19.44140625" style="39" customWidth="1"/>
    <col min="5384" max="5384" width="20.5546875" style="39" customWidth="1"/>
    <col min="5385" max="5385" width="14.5546875" style="39" customWidth="1"/>
    <col min="5386" max="5386" width="10.44140625" style="39" bestFit="1" customWidth="1"/>
    <col min="5387" max="5387" width="12.88671875" style="39" bestFit="1" customWidth="1"/>
    <col min="5388" max="5631" width="9.109375" style="39"/>
    <col min="5632" max="5632" width="19.6640625" style="39" customWidth="1"/>
    <col min="5633" max="5633" width="24.44140625" style="39" customWidth="1"/>
    <col min="5634" max="5634" width="14.88671875" style="39" customWidth="1"/>
    <col min="5635" max="5635" width="16.44140625" style="39" customWidth="1"/>
    <col min="5636" max="5636" width="19.6640625" style="39" customWidth="1"/>
    <col min="5637" max="5637" width="9.109375" style="39"/>
    <col min="5638" max="5638" width="13.44140625" style="39" bestFit="1" customWidth="1"/>
    <col min="5639" max="5639" width="19.44140625" style="39" customWidth="1"/>
    <col min="5640" max="5640" width="20.5546875" style="39" customWidth="1"/>
    <col min="5641" max="5641" width="14.5546875" style="39" customWidth="1"/>
    <col min="5642" max="5642" width="10.44140625" style="39" bestFit="1" customWidth="1"/>
    <col min="5643" max="5643" width="12.88671875" style="39" bestFit="1" customWidth="1"/>
    <col min="5644" max="5887" width="9.109375" style="39"/>
    <col min="5888" max="5888" width="19.6640625" style="39" customWidth="1"/>
    <col min="5889" max="5889" width="24.44140625" style="39" customWidth="1"/>
    <col min="5890" max="5890" width="14.88671875" style="39" customWidth="1"/>
    <col min="5891" max="5891" width="16.44140625" style="39" customWidth="1"/>
    <col min="5892" max="5892" width="19.6640625" style="39" customWidth="1"/>
    <col min="5893" max="5893" width="9.109375" style="39"/>
    <col min="5894" max="5894" width="13.44140625" style="39" bestFit="1" customWidth="1"/>
    <col min="5895" max="5895" width="19.44140625" style="39" customWidth="1"/>
    <col min="5896" max="5896" width="20.5546875" style="39" customWidth="1"/>
    <col min="5897" max="5897" width="14.5546875" style="39" customWidth="1"/>
    <col min="5898" max="5898" width="10.44140625" style="39" bestFit="1" customWidth="1"/>
    <col min="5899" max="5899" width="12.88671875" style="39" bestFit="1" customWidth="1"/>
    <col min="5900" max="6143" width="9.109375" style="39"/>
    <col min="6144" max="6144" width="19.6640625" style="39" customWidth="1"/>
    <col min="6145" max="6145" width="24.44140625" style="39" customWidth="1"/>
    <col min="6146" max="6146" width="14.88671875" style="39" customWidth="1"/>
    <col min="6147" max="6147" width="16.44140625" style="39" customWidth="1"/>
    <col min="6148" max="6148" width="19.6640625" style="39" customWidth="1"/>
    <col min="6149" max="6149" width="9.109375" style="39"/>
    <col min="6150" max="6150" width="13.44140625" style="39" bestFit="1" customWidth="1"/>
    <col min="6151" max="6151" width="19.44140625" style="39" customWidth="1"/>
    <col min="6152" max="6152" width="20.5546875" style="39" customWidth="1"/>
    <col min="6153" max="6153" width="14.5546875" style="39" customWidth="1"/>
    <col min="6154" max="6154" width="10.44140625" style="39" bestFit="1" customWidth="1"/>
    <col min="6155" max="6155" width="12.88671875" style="39" bestFit="1" customWidth="1"/>
    <col min="6156" max="6399" width="9.109375" style="39"/>
    <col min="6400" max="6400" width="19.6640625" style="39" customWidth="1"/>
    <col min="6401" max="6401" width="24.44140625" style="39" customWidth="1"/>
    <col min="6402" max="6402" width="14.88671875" style="39" customWidth="1"/>
    <col min="6403" max="6403" width="16.44140625" style="39" customWidth="1"/>
    <col min="6404" max="6404" width="19.6640625" style="39" customWidth="1"/>
    <col min="6405" max="6405" width="9.109375" style="39"/>
    <col min="6406" max="6406" width="13.44140625" style="39" bestFit="1" customWidth="1"/>
    <col min="6407" max="6407" width="19.44140625" style="39" customWidth="1"/>
    <col min="6408" max="6408" width="20.5546875" style="39" customWidth="1"/>
    <col min="6409" max="6409" width="14.5546875" style="39" customWidth="1"/>
    <col min="6410" max="6410" width="10.44140625" style="39" bestFit="1" customWidth="1"/>
    <col min="6411" max="6411" width="12.88671875" style="39" bestFit="1" customWidth="1"/>
    <col min="6412" max="6655" width="9.109375" style="39"/>
    <col min="6656" max="6656" width="19.6640625" style="39" customWidth="1"/>
    <col min="6657" max="6657" width="24.44140625" style="39" customWidth="1"/>
    <col min="6658" max="6658" width="14.88671875" style="39" customWidth="1"/>
    <col min="6659" max="6659" width="16.44140625" style="39" customWidth="1"/>
    <col min="6660" max="6660" width="19.6640625" style="39" customWidth="1"/>
    <col min="6661" max="6661" width="9.109375" style="39"/>
    <col min="6662" max="6662" width="13.44140625" style="39" bestFit="1" customWidth="1"/>
    <col min="6663" max="6663" width="19.44140625" style="39" customWidth="1"/>
    <col min="6664" max="6664" width="20.5546875" style="39" customWidth="1"/>
    <col min="6665" max="6665" width="14.5546875" style="39" customWidth="1"/>
    <col min="6666" max="6666" width="10.44140625" style="39" bestFit="1" customWidth="1"/>
    <col min="6667" max="6667" width="12.88671875" style="39" bestFit="1" customWidth="1"/>
    <col min="6668" max="6911" width="9.109375" style="39"/>
    <col min="6912" max="6912" width="19.6640625" style="39" customWidth="1"/>
    <col min="6913" max="6913" width="24.44140625" style="39" customWidth="1"/>
    <col min="6914" max="6914" width="14.88671875" style="39" customWidth="1"/>
    <col min="6915" max="6915" width="16.44140625" style="39" customWidth="1"/>
    <col min="6916" max="6916" width="19.6640625" style="39" customWidth="1"/>
    <col min="6917" max="6917" width="9.109375" style="39"/>
    <col min="6918" max="6918" width="13.44140625" style="39" bestFit="1" customWidth="1"/>
    <col min="6919" max="6919" width="19.44140625" style="39" customWidth="1"/>
    <col min="6920" max="6920" width="20.5546875" style="39" customWidth="1"/>
    <col min="6921" max="6921" width="14.5546875" style="39" customWidth="1"/>
    <col min="6922" max="6922" width="10.44140625" style="39" bestFit="1" customWidth="1"/>
    <col min="6923" max="6923" width="12.88671875" style="39" bestFit="1" customWidth="1"/>
    <col min="6924" max="7167" width="9.109375" style="39"/>
    <col min="7168" max="7168" width="19.6640625" style="39" customWidth="1"/>
    <col min="7169" max="7169" width="24.44140625" style="39" customWidth="1"/>
    <col min="7170" max="7170" width="14.88671875" style="39" customWidth="1"/>
    <col min="7171" max="7171" width="16.44140625" style="39" customWidth="1"/>
    <col min="7172" max="7172" width="19.6640625" style="39" customWidth="1"/>
    <col min="7173" max="7173" width="9.109375" style="39"/>
    <col min="7174" max="7174" width="13.44140625" style="39" bestFit="1" customWidth="1"/>
    <col min="7175" max="7175" width="19.44140625" style="39" customWidth="1"/>
    <col min="7176" max="7176" width="20.5546875" style="39" customWidth="1"/>
    <col min="7177" max="7177" width="14.5546875" style="39" customWidth="1"/>
    <col min="7178" max="7178" width="10.44140625" style="39" bestFit="1" customWidth="1"/>
    <col min="7179" max="7179" width="12.88671875" style="39" bestFit="1" customWidth="1"/>
    <col min="7180" max="7423" width="9.109375" style="39"/>
    <col min="7424" max="7424" width="19.6640625" style="39" customWidth="1"/>
    <col min="7425" max="7425" width="24.44140625" style="39" customWidth="1"/>
    <col min="7426" max="7426" width="14.88671875" style="39" customWidth="1"/>
    <col min="7427" max="7427" width="16.44140625" style="39" customWidth="1"/>
    <col min="7428" max="7428" width="19.6640625" style="39" customWidth="1"/>
    <col min="7429" max="7429" width="9.109375" style="39"/>
    <col min="7430" max="7430" width="13.44140625" style="39" bestFit="1" customWidth="1"/>
    <col min="7431" max="7431" width="19.44140625" style="39" customWidth="1"/>
    <col min="7432" max="7432" width="20.5546875" style="39" customWidth="1"/>
    <col min="7433" max="7433" width="14.5546875" style="39" customWidth="1"/>
    <col min="7434" max="7434" width="10.44140625" style="39" bestFit="1" customWidth="1"/>
    <col min="7435" max="7435" width="12.88671875" style="39" bestFit="1" customWidth="1"/>
    <col min="7436" max="7679" width="9.109375" style="39"/>
    <col min="7680" max="7680" width="19.6640625" style="39" customWidth="1"/>
    <col min="7681" max="7681" width="24.44140625" style="39" customWidth="1"/>
    <col min="7682" max="7682" width="14.88671875" style="39" customWidth="1"/>
    <col min="7683" max="7683" width="16.44140625" style="39" customWidth="1"/>
    <col min="7684" max="7684" width="19.6640625" style="39" customWidth="1"/>
    <col min="7685" max="7685" width="9.109375" style="39"/>
    <col min="7686" max="7686" width="13.44140625" style="39" bestFit="1" customWidth="1"/>
    <col min="7687" max="7687" width="19.44140625" style="39" customWidth="1"/>
    <col min="7688" max="7688" width="20.5546875" style="39" customWidth="1"/>
    <col min="7689" max="7689" width="14.5546875" style="39" customWidth="1"/>
    <col min="7690" max="7690" width="10.44140625" style="39" bestFit="1" customWidth="1"/>
    <col min="7691" max="7691" width="12.88671875" style="39" bestFit="1" customWidth="1"/>
    <col min="7692" max="7935" width="9.109375" style="39"/>
    <col min="7936" max="7936" width="19.6640625" style="39" customWidth="1"/>
    <col min="7937" max="7937" width="24.44140625" style="39" customWidth="1"/>
    <col min="7938" max="7938" width="14.88671875" style="39" customWidth="1"/>
    <col min="7939" max="7939" width="16.44140625" style="39" customWidth="1"/>
    <col min="7940" max="7940" width="19.6640625" style="39" customWidth="1"/>
    <col min="7941" max="7941" width="9.109375" style="39"/>
    <col min="7942" max="7942" width="13.44140625" style="39" bestFit="1" customWidth="1"/>
    <col min="7943" max="7943" width="19.44140625" style="39" customWidth="1"/>
    <col min="7944" max="7944" width="20.5546875" style="39" customWidth="1"/>
    <col min="7945" max="7945" width="14.5546875" style="39" customWidth="1"/>
    <col min="7946" max="7946" width="10.44140625" style="39" bestFit="1" customWidth="1"/>
    <col min="7947" max="7947" width="12.88671875" style="39" bestFit="1" customWidth="1"/>
    <col min="7948" max="8191" width="9.109375" style="39"/>
    <col min="8192" max="8192" width="19.6640625" style="39" customWidth="1"/>
    <col min="8193" max="8193" width="24.44140625" style="39" customWidth="1"/>
    <col min="8194" max="8194" width="14.88671875" style="39" customWidth="1"/>
    <col min="8195" max="8195" width="16.44140625" style="39" customWidth="1"/>
    <col min="8196" max="8196" width="19.6640625" style="39" customWidth="1"/>
    <col min="8197" max="8197" width="9.109375" style="39"/>
    <col min="8198" max="8198" width="13.44140625" style="39" bestFit="1" customWidth="1"/>
    <col min="8199" max="8199" width="19.44140625" style="39" customWidth="1"/>
    <col min="8200" max="8200" width="20.5546875" style="39" customWidth="1"/>
    <col min="8201" max="8201" width="14.5546875" style="39" customWidth="1"/>
    <col min="8202" max="8202" width="10.44140625" style="39" bestFit="1" customWidth="1"/>
    <col min="8203" max="8203" width="12.88671875" style="39" bestFit="1" customWidth="1"/>
    <col min="8204" max="8447" width="9.109375" style="39"/>
    <col min="8448" max="8448" width="19.6640625" style="39" customWidth="1"/>
    <col min="8449" max="8449" width="24.44140625" style="39" customWidth="1"/>
    <col min="8450" max="8450" width="14.88671875" style="39" customWidth="1"/>
    <col min="8451" max="8451" width="16.44140625" style="39" customWidth="1"/>
    <col min="8452" max="8452" width="19.6640625" style="39" customWidth="1"/>
    <col min="8453" max="8453" width="9.109375" style="39"/>
    <col min="8454" max="8454" width="13.44140625" style="39" bestFit="1" customWidth="1"/>
    <col min="8455" max="8455" width="19.44140625" style="39" customWidth="1"/>
    <col min="8456" max="8456" width="20.5546875" style="39" customWidth="1"/>
    <col min="8457" max="8457" width="14.5546875" style="39" customWidth="1"/>
    <col min="8458" max="8458" width="10.44140625" style="39" bestFit="1" customWidth="1"/>
    <col min="8459" max="8459" width="12.88671875" style="39" bestFit="1" customWidth="1"/>
    <col min="8460" max="8703" width="9.109375" style="39"/>
    <col min="8704" max="8704" width="19.6640625" style="39" customWidth="1"/>
    <col min="8705" max="8705" width="24.44140625" style="39" customWidth="1"/>
    <col min="8706" max="8706" width="14.88671875" style="39" customWidth="1"/>
    <col min="8707" max="8707" width="16.44140625" style="39" customWidth="1"/>
    <col min="8708" max="8708" width="19.6640625" style="39" customWidth="1"/>
    <col min="8709" max="8709" width="9.109375" style="39"/>
    <col min="8710" max="8710" width="13.44140625" style="39" bestFit="1" customWidth="1"/>
    <col min="8711" max="8711" width="19.44140625" style="39" customWidth="1"/>
    <col min="8712" max="8712" width="20.5546875" style="39" customWidth="1"/>
    <col min="8713" max="8713" width="14.5546875" style="39" customWidth="1"/>
    <col min="8714" max="8714" width="10.44140625" style="39" bestFit="1" customWidth="1"/>
    <col min="8715" max="8715" width="12.88671875" style="39" bestFit="1" customWidth="1"/>
    <col min="8716" max="8959" width="9.109375" style="39"/>
    <col min="8960" max="8960" width="19.6640625" style="39" customWidth="1"/>
    <col min="8961" max="8961" width="24.44140625" style="39" customWidth="1"/>
    <col min="8962" max="8962" width="14.88671875" style="39" customWidth="1"/>
    <col min="8963" max="8963" width="16.44140625" style="39" customWidth="1"/>
    <col min="8964" max="8964" width="19.6640625" style="39" customWidth="1"/>
    <col min="8965" max="8965" width="9.109375" style="39"/>
    <col min="8966" max="8966" width="13.44140625" style="39" bestFit="1" customWidth="1"/>
    <col min="8967" max="8967" width="19.44140625" style="39" customWidth="1"/>
    <col min="8968" max="8968" width="20.5546875" style="39" customWidth="1"/>
    <col min="8969" max="8969" width="14.5546875" style="39" customWidth="1"/>
    <col min="8970" max="8970" width="10.44140625" style="39" bestFit="1" customWidth="1"/>
    <col min="8971" max="8971" width="12.88671875" style="39" bestFit="1" customWidth="1"/>
    <col min="8972" max="9215" width="9.109375" style="39"/>
    <col min="9216" max="9216" width="19.6640625" style="39" customWidth="1"/>
    <col min="9217" max="9217" width="24.44140625" style="39" customWidth="1"/>
    <col min="9218" max="9218" width="14.88671875" style="39" customWidth="1"/>
    <col min="9219" max="9219" width="16.44140625" style="39" customWidth="1"/>
    <col min="9220" max="9220" width="19.6640625" style="39" customWidth="1"/>
    <col min="9221" max="9221" width="9.109375" style="39"/>
    <col min="9222" max="9222" width="13.44140625" style="39" bestFit="1" customWidth="1"/>
    <col min="9223" max="9223" width="19.44140625" style="39" customWidth="1"/>
    <col min="9224" max="9224" width="20.5546875" style="39" customWidth="1"/>
    <col min="9225" max="9225" width="14.5546875" style="39" customWidth="1"/>
    <col min="9226" max="9226" width="10.44140625" style="39" bestFit="1" customWidth="1"/>
    <col min="9227" max="9227" width="12.88671875" style="39" bestFit="1" customWidth="1"/>
    <col min="9228" max="9471" width="9.109375" style="39"/>
    <col min="9472" max="9472" width="19.6640625" style="39" customWidth="1"/>
    <col min="9473" max="9473" width="24.44140625" style="39" customWidth="1"/>
    <col min="9474" max="9474" width="14.88671875" style="39" customWidth="1"/>
    <col min="9475" max="9475" width="16.44140625" style="39" customWidth="1"/>
    <col min="9476" max="9476" width="19.6640625" style="39" customWidth="1"/>
    <col min="9477" max="9477" width="9.109375" style="39"/>
    <col min="9478" max="9478" width="13.44140625" style="39" bestFit="1" customWidth="1"/>
    <col min="9479" max="9479" width="19.44140625" style="39" customWidth="1"/>
    <col min="9480" max="9480" width="20.5546875" style="39" customWidth="1"/>
    <col min="9481" max="9481" width="14.5546875" style="39" customWidth="1"/>
    <col min="9482" max="9482" width="10.44140625" style="39" bestFit="1" customWidth="1"/>
    <col min="9483" max="9483" width="12.88671875" style="39" bestFit="1" customWidth="1"/>
    <col min="9484" max="9727" width="9.109375" style="39"/>
    <col min="9728" max="9728" width="19.6640625" style="39" customWidth="1"/>
    <col min="9729" max="9729" width="24.44140625" style="39" customWidth="1"/>
    <col min="9730" max="9730" width="14.88671875" style="39" customWidth="1"/>
    <col min="9731" max="9731" width="16.44140625" style="39" customWidth="1"/>
    <col min="9732" max="9732" width="19.6640625" style="39" customWidth="1"/>
    <col min="9733" max="9733" width="9.109375" style="39"/>
    <col min="9734" max="9734" width="13.44140625" style="39" bestFit="1" customWidth="1"/>
    <col min="9735" max="9735" width="19.44140625" style="39" customWidth="1"/>
    <col min="9736" max="9736" width="20.5546875" style="39" customWidth="1"/>
    <col min="9737" max="9737" width="14.5546875" style="39" customWidth="1"/>
    <col min="9738" max="9738" width="10.44140625" style="39" bestFit="1" customWidth="1"/>
    <col min="9739" max="9739" width="12.88671875" style="39" bestFit="1" customWidth="1"/>
    <col min="9740" max="9983" width="9.109375" style="39"/>
    <col min="9984" max="9984" width="19.6640625" style="39" customWidth="1"/>
    <col min="9985" max="9985" width="24.44140625" style="39" customWidth="1"/>
    <col min="9986" max="9986" width="14.88671875" style="39" customWidth="1"/>
    <col min="9987" max="9987" width="16.44140625" style="39" customWidth="1"/>
    <col min="9988" max="9988" width="19.6640625" style="39" customWidth="1"/>
    <col min="9989" max="9989" width="9.109375" style="39"/>
    <col min="9990" max="9990" width="13.44140625" style="39" bestFit="1" customWidth="1"/>
    <col min="9991" max="9991" width="19.44140625" style="39" customWidth="1"/>
    <col min="9992" max="9992" width="20.5546875" style="39" customWidth="1"/>
    <col min="9993" max="9993" width="14.5546875" style="39" customWidth="1"/>
    <col min="9994" max="9994" width="10.44140625" style="39" bestFit="1" customWidth="1"/>
    <col min="9995" max="9995" width="12.88671875" style="39" bestFit="1" customWidth="1"/>
    <col min="9996" max="10239" width="9.109375" style="39"/>
    <col min="10240" max="10240" width="19.6640625" style="39" customWidth="1"/>
    <col min="10241" max="10241" width="24.44140625" style="39" customWidth="1"/>
    <col min="10242" max="10242" width="14.88671875" style="39" customWidth="1"/>
    <col min="10243" max="10243" width="16.44140625" style="39" customWidth="1"/>
    <col min="10244" max="10244" width="19.6640625" style="39" customWidth="1"/>
    <col min="10245" max="10245" width="9.109375" style="39"/>
    <col min="10246" max="10246" width="13.44140625" style="39" bestFit="1" customWidth="1"/>
    <col min="10247" max="10247" width="19.44140625" style="39" customWidth="1"/>
    <col min="10248" max="10248" width="20.5546875" style="39" customWidth="1"/>
    <col min="10249" max="10249" width="14.5546875" style="39" customWidth="1"/>
    <col min="10250" max="10250" width="10.44140625" style="39" bestFit="1" customWidth="1"/>
    <col min="10251" max="10251" width="12.88671875" style="39" bestFit="1" customWidth="1"/>
    <col min="10252" max="10495" width="9.109375" style="39"/>
    <col min="10496" max="10496" width="19.6640625" style="39" customWidth="1"/>
    <col min="10497" max="10497" width="24.44140625" style="39" customWidth="1"/>
    <col min="10498" max="10498" width="14.88671875" style="39" customWidth="1"/>
    <col min="10499" max="10499" width="16.44140625" style="39" customWidth="1"/>
    <col min="10500" max="10500" width="19.6640625" style="39" customWidth="1"/>
    <col min="10501" max="10501" width="9.109375" style="39"/>
    <col min="10502" max="10502" width="13.44140625" style="39" bestFit="1" customWidth="1"/>
    <col min="10503" max="10503" width="19.44140625" style="39" customWidth="1"/>
    <col min="10504" max="10504" width="20.5546875" style="39" customWidth="1"/>
    <col min="10505" max="10505" width="14.5546875" style="39" customWidth="1"/>
    <col min="10506" max="10506" width="10.44140625" style="39" bestFit="1" customWidth="1"/>
    <col min="10507" max="10507" width="12.88671875" style="39" bestFit="1" customWidth="1"/>
    <col min="10508" max="10751" width="9.109375" style="39"/>
    <col min="10752" max="10752" width="19.6640625" style="39" customWidth="1"/>
    <col min="10753" max="10753" width="24.44140625" style="39" customWidth="1"/>
    <col min="10754" max="10754" width="14.88671875" style="39" customWidth="1"/>
    <col min="10755" max="10755" width="16.44140625" style="39" customWidth="1"/>
    <col min="10756" max="10756" width="19.6640625" style="39" customWidth="1"/>
    <col min="10757" max="10757" width="9.109375" style="39"/>
    <col min="10758" max="10758" width="13.44140625" style="39" bestFit="1" customWidth="1"/>
    <col min="10759" max="10759" width="19.44140625" style="39" customWidth="1"/>
    <col min="10760" max="10760" width="20.5546875" style="39" customWidth="1"/>
    <col min="10761" max="10761" width="14.5546875" style="39" customWidth="1"/>
    <col min="10762" max="10762" width="10.44140625" style="39" bestFit="1" customWidth="1"/>
    <col min="10763" max="10763" width="12.88671875" style="39" bestFit="1" customWidth="1"/>
    <col min="10764" max="11007" width="9.109375" style="39"/>
    <col min="11008" max="11008" width="19.6640625" style="39" customWidth="1"/>
    <col min="11009" max="11009" width="24.44140625" style="39" customWidth="1"/>
    <col min="11010" max="11010" width="14.88671875" style="39" customWidth="1"/>
    <col min="11011" max="11011" width="16.44140625" style="39" customWidth="1"/>
    <col min="11012" max="11012" width="19.6640625" style="39" customWidth="1"/>
    <col min="11013" max="11013" width="9.109375" style="39"/>
    <col min="11014" max="11014" width="13.44140625" style="39" bestFit="1" customWidth="1"/>
    <col min="11015" max="11015" width="19.44140625" style="39" customWidth="1"/>
    <col min="11016" max="11016" width="20.5546875" style="39" customWidth="1"/>
    <col min="11017" max="11017" width="14.5546875" style="39" customWidth="1"/>
    <col min="11018" max="11018" width="10.44140625" style="39" bestFit="1" customWidth="1"/>
    <col min="11019" max="11019" width="12.88671875" style="39" bestFit="1" customWidth="1"/>
    <col min="11020" max="11263" width="9.109375" style="39"/>
    <col min="11264" max="11264" width="19.6640625" style="39" customWidth="1"/>
    <col min="11265" max="11265" width="24.44140625" style="39" customWidth="1"/>
    <col min="11266" max="11266" width="14.88671875" style="39" customWidth="1"/>
    <col min="11267" max="11267" width="16.44140625" style="39" customWidth="1"/>
    <col min="11268" max="11268" width="19.6640625" style="39" customWidth="1"/>
    <col min="11269" max="11269" width="9.109375" style="39"/>
    <col min="11270" max="11270" width="13.44140625" style="39" bestFit="1" customWidth="1"/>
    <col min="11271" max="11271" width="19.44140625" style="39" customWidth="1"/>
    <col min="11272" max="11272" width="20.5546875" style="39" customWidth="1"/>
    <col min="11273" max="11273" width="14.5546875" style="39" customWidth="1"/>
    <col min="11274" max="11274" width="10.44140625" style="39" bestFit="1" customWidth="1"/>
    <col min="11275" max="11275" width="12.88671875" style="39" bestFit="1" customWidth="1"/>
    <col min="11276" max="11519" width="9.109375" style="39"/>
    <col min="11520" max="11520" width="19.6640625" style="39" customWidth="1"/>
    <col min="11521" max="11521" width="24.44140625" style="39" customWidth="1"/>
    <col min="11522" max="11522" width="14.88671875" style="39" customWidth="1"/>
    <col min="11523" max="11523" width="16.44140625" style="39" customWidth="1"/>
    <col min="11524" max="11524" width="19.6640625" style="39" customWidth="1"/>
    <col min="11525" max="11525" width="9.109375" style="39"/>
    <col min="11526" max="11526" width="13.44140625" style="39" bestFit="1" customWidth="1"/>
    <col min="11527" max="11527" width="19.44140625" style="39" customWidth="1"/>
    <col min="11528" max="11528" width="20.5546875" style="39" customWidth="1"/>
    <col min="11529" max="11529" width="14.5546875" style="39" customWidth="1"/>
    <col min="11530" max="11530" width="10.44140625" style="39" bestFit="1" customWidth="1"/>
    <col min="11531" max="11531" width="12.88671875" style="39" bestFit="1" customWidth="1"/>
    <col min="11532" max="11775" width="9.109375" style="39"/>
    <col min="11776" max="11776" width="19.6640625" style="39" customWidth="1"/>
    <col min="11777" max="11777" width="24.44140625" style="39" customWidth="1"/>
    <col min="11778" max="11778" width="14.88671875" style="39" customWidth="1"/>
    <col min="11779" max="11779" width="16.44140625" style="39" customWidth="1"/>
    <col min="11780" max="11780" width="19.6640625" style="39" customWidth="1"/>
    <col min="11781" max="11781" width="9.109375" style="39"/>
    <col min="11782" max="11782" width="13.44140625" style="39" bestFit="1" customWidth="1"/>
    <col min="11783" max="11783" width="19.44140625" style="39" customWidth="1"/>
    <col min="11784" max="11784" width="20.5546875" style="39" customWidth="1"/>
    <col min="11785" max="11785" width="14.5546875" style="39" customWidth="1"/>
    <col min="11786" max="11786" width="10.44140625" style="39" bestFit="1" customWidth="1"/>
    <col min="11787" max="11787" width="12.88671875" style="39" bestFit="1" customWidth="1"/>
    <col min="11788" max="12031" width="9.109375" style="39"/>
    <col min="12032" max="12032" width="19.6640625" style="39" customWidth="1"/>
    <col min="12033" max="12033" width="24.44140625" style="39" customWidth="1"/>
    <col min="12034" max="12034" width="14.88671875" style="39" customWidth="1"/>
    <col min="12035" max="12035" width="16.44140625" style="39" customWidth="1"/>
    <col min="12036" max="12036" width="19.6640625" style="39" customWidth="1"/>
    <col min="12037" max="12037" width="9.109375" style="39"/>
    <col min="12038" max="12038" width="13.44140625" style="39" bestFit="1" customWidth="1"/>
    <col min="12039" max="12039" width="19.44140625" style="39" customWidth="1"/>
    <col min="12040" max="12040" width="20.5546875" style="39" customWidth="1"/>
    <col min="12041" max="12041" width="14.5546875" style="39" customWidth="1"/>
    <col min="12042" max="12042" width="10.44140625" style="39" bestFit="1" customWidth="1"/>
    <col min="12043" max="12043" width="12.88671875" style="39" bestFit="1" customWidth="1"/>
    <col min="12044" max="12287" width="9.109375" style="39"/>
    <col min="12288" max="12288" width="19.6640625" style="39" customWidth="1"/>
    <col min="12289" max="12289" width="24.44140625" style="39" customWidth="1"/>
    <col min="12290" max="12290" width="14.88671875" style="39" customWidth="1"/>
    <col min="12291" max="12291" width="16.44140625" style="39" customWidth="1"/>
    <col min="12292" max="12292" width="19.6640625" style="39" customWidth="1"/>
    <col min="12293" max="12293" width="9.109375" style="39"/>
    <col min="12294" max="12294" width="13.44140625" style="39" bestFit="1" customWidth="1"/>
    <col min="12295" max="12295" width="19.44140625" style="39" customWidth="1"/>
    <col min="12296" max="12296" width="20.5546875" style="39" customWidth="1"/>
    <col min="12297" max="12297" width="14.5546875" style="39" customWidth="1"/>
    <col min="12298" max="12298" width="10.44140625" style="39" bestFit="1" customWidth="1"/>
    <col min="12299" max="12299" width="12.88671875" style="39" bestFit="1" customWidth="1"/>
    <col min="12300" max="12543" width="9.109375" style="39"/>
    <col min="12544" max="12544" width="19.6640625" style="39" customWidth="1"/>
    <col min="12545" max="12545" width="24.44140625" style="39" customWidth="1"/>
    <col min="12546" max="12546" width="14.88671875" style="39" customWidth="1"/>
    <col min="12547" max="12547" width="16.44140625" style="39" customWidth="1"/>
    <col min="12548" max="12548" width="19.6640625" style="39" customWidth="1"/>
    <col min="12549" max="12549" width="9.109375" style="39"/>
    <col min="12550" max="12550" width="13.44140625" style="39" bestFit="1" customWidth="1"/>
    <col min="12551" max="12551" width="19.44140625" style="39" customWidth="1"/>
    <col min="12552" max="12552" width="20.5546875" style="39" customWidth="1"/>
    <col min="12553" max="12553" width="14.5546875" style="39" customWidth="1"/>
    <col min="12554" max="12554" width="10.44140625" style="39" bestFit="1" customWidth="1"/>
    <col min="12555" max="12555" width="12.88671875" style="39" bestFit="1" customWidth="1"/>
    <col min="12556" max="12799" width="9.109375" style="39"/>
    <col min="12800" max="12800" width="19.6640625" style="39" customWidth="1"/>
    <col min="12801" max="12801" width="24.44140625" style="39" customWidth="1"/>
    <col min="12802" max="12802" width="14.88671875" style="39" customWidth="1"/>
    <col min="12803" max="12803" width="16.44140625" style="39" customWidth="1"/>
    <col min="12804" max="12804" width="19.6640625" style="39" customWidth="1"/>
    <col min="12805" max="12805" width="9.109375" style="39"/>
    <col min="12806" max="12806" width="13.44140625" style="39" bestFit="1" customWidth="1"/>
    <col min="12807" max="12807" width="19.44140625" style="39" customWidth="1"/>
    <col min="12808" max="12808" width="20.5546875" style="39" customWidth="1"/>
    <col min="12809" max="12809" width="14.5546875" style="39" customWidth="1"/>
    <col min="12810" max="12810" width="10.44140625" style="39" bestFit="1" customWidth="1"/>
    <col min="12811" max="12811" width="12.88671875" style="39" bestFit="1" customWidth="1"/>
    <col min="12812" max="13055" width="9.109375" style="39"/>
    <col min="13056" max="13056" width="19.6640625" style="39" customWidth="1"/>
    <col min="13057" max="13057" width="24.44140625" style="39" customWidth="1"/>
    <col min="13058" max="13058" width="14.88671875" style="39" customWidth="1"/>
    <col min="13059" max="13059" width="16.44140625" style="39" customWidth="1"/>
    <col min="13060" max="13060" width="19.6640625" style="39" customWidth="1"/>
    <col min="13061" max="13061" width="9.109375" style="39"/>
    <col min="13062" max="13062" width="13.44140625" style="39" bestFit="1" customWidth="1"/>
    <col min="13063" max="13063" width="19.44140625" style="39" customWidth="1"/>
    <col min="13064" max="13064" width="20.5546875" style="39" customWidth="1"/>
    <col min="13065" max="13065" width="14.5546875" style="39" customWidth="1"/>
    <col min="13066" max="13066" width="10.44140625" style="39" bestFit="1" customWidth="1"/>
    <col min="13067" max="13067" width="12.88671875" style="39" bestFit="1" customWidth="1"/>
    <col min="13068" max="13311" width="9.109375" style="39"/>
    <col min="13312" max="13312" width="19.6640625" style="39" customWidth="1"/>
    <col min="13313" max="13313" width="24.44140625" style="39" customWidth="1"/>
    <col min="13314" max="13314" width="14.88671875" style="39" customWidth="1"/>
    <col min="13315" max="13315" width="16.44140625" style="39" customWidth="1"/>
    <col min="13316" max="13316" width="19.6640625" style="39" customWidth="1"/>
    <col min="13317" max="13317" width="9.109375" style="39"/>
    <col min="13318" max="13318" width="13.44140625" style="39" bestFit="1" customWidth="1"/>
    <col min="13319" max="13319" width="19.44140625" style="39" customWidth="1"/>
    <col min="13320" max="13320" width="20.5546875" style="39" customWidth="1"/>
    <col min="13321" max="13321" width="14.5546875" style="39" customWidth="1"/>
    <col min="13322" max="13322" width="10.44140625" style="39" bestFit="1" customWidth="1"/>
    <col min="13323" max="13323" width="12.88671875" style="39" bestFit="1" customWidth="1"/>
    <col min="13324" max="13567" width="9.109375" style="39"/>
    <col min="13568" max="13568" width="19.6640625" style="39" customWidth="1"/>
    <col min="13569" max="13569" width="24.44140625" style="39" customWidth="1"/>
    <col min="13570" max="13570" width="14.88671875" style="39" customWidth="1"/>
    <col min="13571" max="13571" width="16.44140625" style="39" customWidth="1"/>
    <col min="13572" max="13572" width="19.6640625" style="39" customWidth="1"/>
    <col min="13573" max="13573" width="9.109375" style="39"/>
    <col min="13574" max="13574" width="13.44140625" style="39" bestFit="1" customWidth="1"/>
    <col min="13575" max="13575" width="19.44140625" style="39" customWidth="1"/>
    <col min="13576" max="13576" width="20.5546875" style="39" customWidth="1"/>
    <col min="13577" max="13577" width="14.5546875" style="39" customWidth="1"/>
    <col min="13578" max="13578" width="10.44140625" style="39" bestFit="1" customWidth="1"/>
    <col min="13579" max="13579" width="12.88671875" style="39" bestFit="1" customWidth="1"/>
    <col min="13580" max="13823" width="9.109375" style="39"/>
    <col min="13824" max="13824" width="19.6640625" style="39" customWidth="1"/>
    <col min="13825" max="13825" width="24.44140625" style="39" customWidth="1"/>
    <col min="13826" max="13826" width="14.88671875" style="39" customWidth="1"/>
    <col min="13827" max="13827" width="16.44140625" style="39" customWidth="1"/>
    <col min="13828" max="13828" width="19.6640625" style="39" customWidth="1"/>
    <col min="13829" max="13829" width="9.109375" style="39"/>
    <col min="13830" max="13830" width="13.44140625" style="39" bestFit="1" customWidth="1"/>
    <col min="13831" max="13831" width="19.44140625" style="39" customWidth="1"/>
    <col min="13832" max="13832" width="20.5546875" style="39" customWidth="1"/>
    <col min="13833" max="13833" width="14.5546875" style="39" customWidth="1"/>
    <col min="13834" max="13834" width="10.44140625" style="39" bestFit="1" customWidth="1"/>
    <col min="13835" max="13835" width="12.88671875" style="39" bestFit="1" customWidth="1"/>
    <col min="13836" max="14079" width="9.109375" style="39"/>
    <col min="14080" max="14080" width="19.6640625" style="39" customWidth="1"/>
    <col min="14081" max="14081" width="24.44140625" style="39" customWidth="1"/>
    <col min="14082" max="14082" width="14.88671875" style="39" customWidth="1"/>
    <col min="14083" max="14083" width="16.44140625" style="39" customWidth="1"/>
    <col min="14084" max="14084" width="19.6640625" style="39" customWidth="1"/>
    <col min="14085" max="14085" width="9.109375" style="39"/>
    <col min="14086" max="14086" width="13.44140625" style="39" bestFit="1" customWidth="1"/>
    <col min="14087" max="14087" width="19.44140625" style="39" customWidth="1"/>
    <col min="14088" max="14088" width="20.5546875" style="39" customWidth="1"/>
    <col min="14089" max="14089" width="14.5546875" style="39" customWidth="1"/>
    <col min="14090" max="14090" width="10.44140625" style="39" bestFit="1" customWidth="1"/>
    <col min="14091" max="14091" width="12.88671875" style="39" bestFit="1" customWidth="1"/>
    <col min="14092" max="14335" width="9.109375" style="39"/>
    <col min="14336" max="14336" width="19.6640625" style="39" customWidth="1"/>
    <col min="14337" max="14337" width="24.44140625" style="39" customWidth="1"/>
    <col min="14338" max="14338" width="14.88671875" style="39" customWidth="1"/>
    <col min="14339" max="14339" width="16.44140625" style="39" customWidth="1"/>
    <col min="14340" max="14340" width="19.6640625" style="39" customWidth="1"/>
    <col min="14341" max="14341" width="9.109375" style="39"/>
    <col min="14342" max="14342" width="13.44140625" style="39" bestFit="1" customWidth="1"/>
    <col min="14343" max="14343" width="19.44140625" style="39" customWidth="1"/>
    <col min="14344" max="14344" width="20.5546875" style="39" customWidth="1"/>
    <col min="14345" max="14345" width="14.5546875" style="39" customWidth="1"/>
    <col min="14346" max="14346" width="10.44140625" style="39" bestFit="1" customWidth="1"/>
    <col min="14347" max="14347" width="12.88671875" style="39" bestFit="1" customWidth="1"/>
    <col min="14348" max="14591" width="9.109375" style="39"/>
    <col min="14592" max="14592" width="19.6640625" style="39" customWidth="1"/>
    <col min="14593" max="14593" width="24.44140625" style="39" customWidth="1"/>
    <col min="14594" max="14594" width="14.88671875" style="39" customWidth="1"/>
    <col min="14595" max="14595" width="16.44140625" style="39" customWidth="1"/>
    <col min="14596" max="14596" width="19.6640625" style="39" customWidth="1"/>
    <col min="14597" max="14597" width="9.109375" style="39"/>
    <col min="14598" max="14598" width="13.44140625" style="39" bestFit="1" customWidth="1"/>
    <col min="14599" max="14599" width="19.44140625" style="39" customWidth="1"/>
    <col min="14600" max="14600" width="20.5546875" style="39" customWidth="1"/>
    <col min="14601" max="14601" width="14.5546875" style="39" customWidth="1"/>
    <col min="14602" max="14602" width="10.44140625" style="39" bestFit="1" customWidth="1"/>
    <col min="14603" max="14603" width="12.88671875" style="39" bestFit="1" customWidth="1"/>
    <col min="14604" max="14847" width="9.109375" style="39"/>
    <col min="14848" max="14848" width="19.6640625" style="39" customWidth="1"/>
    <col min="14849" max="14849" width="24.44140625" style="39" customWidth="1"/>
    <col min="14850" max="14850" width="14.88671875" style="39" customWidth="1"/>
    <col min="14851" max="14851" width="16.44140625" style="39" customWidth="1"/>
    <col min="14852" max="14852" width="19.6640625" style="39" customWidth="1"/>
    <col min="14853" max="14853" width="9.109375" style="39"/>
    <col min="14854" max="14854" width="13.44140625" style="39" bestFit="1" customWidth="1"/>
    <col min="14855" max="14855" width="19.44140625" style="39" customWidth="1"/>
    <col min="14856" max="14856" width="20.5546875" style="39" customWidth="1"/>
    <col min="14857" max="14857" width="14.5546875" style="39" customWidth="1"/>
    <col min="14858" max="14858" width="10.44140625" style="39" bestFit="1" customWidth="1"/>
    <col min="14859" max="14859" width="12.88671875" style="39" bestFit="1" customWidth="1"/>
    <col min="14860" max="15103" width="9.109375" style="39"/>
    <col min="15104" max="15104" width="19.6640625" style="39" customWidth="1"/>
    <col min="15105" max="15105" width="24.44140625" style="39" customWidth="1"/>
    <col min="15106" max="15106" width="14.88671875" style="39" customWidth="1"/>
    <col min="15107" max="15107" width="16.44140625" style="39" customWidth="1"/>
    <col min="15108" max="15108" width="19.6640625" style="39" customWidth="1"/>
    <col min="15109" max="15109" width="9.109375" style="39"/>
    <col min="15110" max="15110" width="13.44140625" style="39" bestFit="1" customWidth="1"/>
    <col min="15111" max="15111" width="19.44140625" style="39" customWidth="1"/>
    <col min="15112" max="15112" width="20.5546875" style="39" customWidth="1"/>
    <col min="15113" max="15113" width="14.5546875" style="39" customWidth="1"/>
    <col min="15114" max="15114" width="10.44140625" style="39" bestFit="1" customWidth="1"/>
    <col min="15115" max="15115" width="12.88671875" style="39" bestFit="1" customWidth="1"/>
    <col min="15116" max="15359" width="9.109375" style="39"/>
    <col min="15360" max="15360" width="19.6640625" style="39" customWidth="1"/>
    <col min="15361" max="15361" width="24.44140625" style="39" customWidth="1"/>
    <col min="15362" max="15362" width="14.88671875" style="39" customWidth="1"/>
    <col min="15363" max="15363" width="16.44140625" style="39" customWidth="1"/>
    <col min="15364" max="15364" width="19.6640625" style="39" customWidth="1"/>
    <col min="15365" max="15365" width="9.109375" style="39"/>
    <col min="15366" max="15366" width="13.44140625" style="39" bestFit="1" customWidth="1"/>
    <col min="15367" max="15367" width="19.44140625" style="39" customWidth="1"/>
    <col min="15368" max="15368" width="20.5546875" style="39" customWidth="1"/>
    <col min="15369" max="15369" width="14.5546875" style="39" customWidth="1"/>
    <col min="15370" max="15370" width="10.44140625" style="39" bestFit="1" customWidth="1"/>
    <col min="15371" max="15371" width="12.88671875" style="39" bestFit="1" customWidth="1"/>
    <col min="15372" max="15615" width="9.109375" style="39"/>
    <col min="15616" max="15616" width="19.6640625" style="39" customWidth="1"/>
    <col min="15617" max="15617" width="24.44140625" style="39" customWidth="1"/>
    <col min="15618" max="15618" width="14.88671875" style="39" customWidth="1"/>
    <col min="15619" max="15619" width="16.44140625" style="39" customWidth="1"/>
    <col min="15620" max="15620" width="19.6640625" style="39" customWidth="1"/>
    <col min="15621" max="15621" width="9.109375" style="39"/>
    <col min="15622" max="15622" width="13.44140625" style="39" bestFit="1" customWidth="1"/>
    <col min="15623" max="15623" width="19.44140625" style="39" customWidth="1"/>
    <col min="15624" max="15624" width="20.5546875" style="39" customWidth="1"/>
    <col min="15625" max="15625" width="14.5546875" style="39" customWidth="1"/>
    <col min="15626" max="15626" width="10.44140625" style="39" bestFit="1" customWidth="1"/>
    <col min="15627" max="15627" width="12.88671875" style="39" bestFit="1" customWidth="1"/>
    <col min="15628" max="15871" width="9.109375" style="39"/>
    <col min="15872" max="15872" width="19.6640625" style="39" customWidth="1"/>
    <col min="15873" max="15873" width="24.44140625" style="39" customWidth="1"/>
    <col min="15874" max="15874" width="14.88671875" style="39" customWidth="1"/>
    <col min="15875" max="15875" width="16.44140625" style="39" customWidth="1"/>
    <col min="15876" max="15876" width="19.6640625" style="39" customWidth="1"/>
    <col min="15877" max="15877" width="9.109375" style="39"/>
    <col min="15878" max="15878" width="13.44140625" style="39" bestFit="1" customWidth="1"/>
    <col min="15879" max="15879" width="19.44140625" style="39" customWidth="1"/>
    <col min="15880" max="15880" width="20.5546875" style="39" customWidth="1"/>
    <col min="15881" max="15881" width="14.5546875" style="39" customWidth="1"/>
    <col min="15882" max="15882" width="10.44140625" style="39" bestFit="1" customWidth="1"/>
    <col min="15883" max="15883" width="12.88671875" style="39" bestFit="1" customWidth="1"/>
    <col min="15884" max="16127" width="9.109375" style="39"/>
    <col min="16128" max="16128" width="19.6640625" style="39" customWidth="1"/>
    <col min="16129" max="16129" width="24.44140625" style="39" customWidth="1"/>
    <col min="16130" max="16130" width="14.88671875" style="39" customWidth="1"/>
    <col min="16131" max="16131" width="16.44140625" style="39" customWidth="1"/>
    <col min="16132" max="16132" width="19.6640625" style="39" customWidth="1"/>
    <col min="16133" max="16133" width="9.109375" style="39"/>
    <col min="16134" max="16134" width="13.44140625" style="39" bestFit="1" customWidth="1"/>
    <col min="16135" max="16135" width="19.44140625" style="39" customWidth="1"/>
    <col min="16136" max="16136" width="20.5546875" style="39" customWidth="1"/>
    <col min="16137" max="16137" width="14.5546875" style="39" customWidth="1"/>
    <col min="16138" max="16138" width="10.44140625" style="39" bestFit="1" customWidth="1"/>
    <col min="16139" max="16139" width="12.88671875" style="39" bestFit="1" customWidth="1"/>
    <col min="16140" max="16384" width="9.109375" style="39"/>
  </cols>
  <sheetData>
    <row r="2" spans="1:11" ht="12" x14ac:dyDescent="0.25">
      <c r="A2" s="106"/>
      <c r="B2" s="375" t="s">
        <v>275</v>
      </c>
      <c r="C2" s="376"/>
      <c r="D2" s="376"/>
      <c r="E2" s="376"/>
      <c r="F2" s="377"/>
      <c r="G2" s="104" t="s">
        <v>16</v>
      </c>
      <c r="H2" s="104" t="s">
        <v>17</v>
      </c>
    </row>
    <row r="3" spans="1:11" x14ac:dyDescent="0.2">
      <c r="A3" s="106" t="s">
        <v>56</v>
      </c>
      <c r="B3" s="107" t="s">
        <v>266</v>
      </c>
      <c r="C3" s="107" t="s">
        <v>267</v>
      </c>
      <c r="D3" s="107" t="s">
        <v>67</v>
      </c>
      <c r="E3" s="107" t="s">
        <v>268</v>
      </c>
      <c r="F3" s="108" t="s">
        <v>269</v>
      </c>
      <c r="G3" s="117">
        <f>'E&amp;G Split'!F16</f>
        <v>0.77888287503037801</v>
      </c>
      <c r="H3" s="117">
        <f>'E&amp;G Split'!G16</f>
        <v>0.22111712496962171</v>
      </c>
      <c r="J3" s="39">
        <f>0.0049/12</f>
        <v>4.083333333333333E-4</v>
      </c>
    </row>
    <row r="4" spans="1:11" x14ac:dyDescent="0.2">
      <c r="A4" s="109" t="s">
        <v>270</v>
      </c>
      <c r="B4" s="110">
        <v>0</v>
      </c>
      <c r="C4" s="110">
        <v>0</v>
      </c>
      <c r="D4" s="110">
        <v>0</v>
      </c>
      <c r="E4" s="110">
        <v>-22869443.239999998</v>
      </c>
      <c r="F4" s="111"/>
      <c r="G4" s="118"/>
      <c r="H4" s="118"/>
    </row>
    <row r="5" spans="1:11" x14ac:dyDescent="0.2">
      <c r="A5" s="112">
        <v>42278</v>
      </c>
      <c r="B5" s="110">
        <v>2239390.09</v>
      </c>
      <c r="C5" s="110">
        <v>3339087.71</v>
      </c>
      <c r="D5" s="110">
        <f>+B5-C5</f>
        <v>-1099697.6200000001</v>
      </c>
      <c r="E5" s="110">
        <f t="shared" ref="E5:E16" si="0">+E4+D5</f>
        <v>-23969140.859999999</v>
      </c>
      <c r="F5" s="113">
        <f t="shared" ref="F5:F16" si="1">+(E4+E5)/2</f>
        <v>-23419292.049999997</v>
      </c>
      <c r="G5" s="119">
        <f>+F5*$G$3</f>
        <v>-18240885.523080073</v>
      </c>
      <c r="H5" s="119">
        <f>+F5*$H$3</f>
        <v>-5178406.5269199172</v>
      </c>
      <c r="I5" s="125"/>
      <c r="J5" s="126">
        <f>+F5*$J$3</f>
        <v>-9562.8775870833306</v>
      </c>
    </row>
    <row r="6" spans="1:11" x14ac:dyDescent="0.2">
      <c r="A6" s="112">
        <v>42309</v>
      </c>
      <c r="B6" s="110">
        <v>1706778.89</v>
      </c>
      <c r="C6" s="110">
        <v>2592488.54</v>
      </c>
      <c r="D6" s="110">
        <f t="shared" ref="D6:D16" si="2">+B6-C6</f>
        <v>-885709.65000000014</v>
      </c>
      <c r="E6" s="110">
        <f t="shared" si="0"/>
        <v>-24854850.509999998</v>
      </c>
      <c r="F6" s="113">
        <f t="shared" si="1"/>
        <v>-24411995.684999999</v>
      </c>
      <c r="G6" s="119">
        <f t="shared" ref="G6:G21" si="3">+F6*$G$3</f>
        <v>-19014085.384361982</v>
      </c>
      <c r="H6" s="119">
        <f t="shared" ref="H6:H21" si="4">+F6*$H$3</f>
        <v>-5397910.3006380107</v>
      </c>
      <c r="I6" s="125"/>
      <c r="J6" s="126">
        <f t="shared" ref="J6:J16" si="5">+F6*$J$3</f>
        <v>-9968.2315713749995</v>
      </c>
    </row>
    <row r="7" spans="1:11" x14ac:dyDescent="0.2">
      <c r="A7" s="112">
        <v>42339</v>
      </c>
      <c r="B7" s="110">
        <v>1749484.9</v>
      </c>
      <c r="C7" s="110">
        <v>2208941.14</v>
      </c>
      <c r="D7" s="110">
        <f t="shared" si="2"/>
        <v>-459456.24000000022</v>
      </c>
      <c r="E7" s="110">
        <f t="shared" si="0"/>
        <v>-25314306.75</v>
      </c>
      <c r="F7" s="113">
        <f t="shared" si="1"/>
        <v>-25084578.629999999</v>
      </c>
      <c r="G7" s="119">
        <f t="shared" si="3"/>
        <v>-19537948.72225998</v>
      </c>
      <c r="H7" s="119">
        <f t="shared" si="4"/>
        <v>-5546629.9077400118</v>
      </c>
      <c r="I7" s="125"/>
      <c r="J7" s="126">
        <f t="shared" si="5"/>
        <v>-10242.869607249999</v>
      </c>
    </row>
    <row r="8" spans="1:11" x14ac:dyDescent="0.2">
      <c r="A8" s="112">
        <v>42370</v>
      </c>
      <c r="B8" s="110">
        <v>1676722.13</v>
      </c>
      <c r="C8" s="110">
        <v>2164621.9700000002</v>
      </c>
      <c r="D8" s="110">
        <f t="shared" si="2"/>
        <v>-487899.84000000032</v>
      </c>
      <c r="E8" s="110">
        <f t="shared" si="0"/>
        <v>-25802206.59</v>
      </c>
      <c r="F8" s="113">
        <f t="shared" si="1"/>
        <v>-25558256.670000002</v>
      </c>
      <c r="G8" s="119">
        <f t="shared" si="3"/>
        <v>-19906888.435893938</v>
      </c>
      <c r="H8" s="119">
        <f t="shared" si="4"/>
        <v>-5651368.2341060583</v>
      </c>
      <c r="I8" s="125"/>
      <c r="J8" s="126">
        <f t="shared" si="5"/>
        <v>-10436.288140250001</v>
      </c>
    </row>
    <row r="9" spans="1:11" x14ac:dyDescent="0.2">
      <c r="A9" s="112">
        <v>42401</v>
      </c>
      <c r="B9" s="110">
        <v>1754785.98</v>
      </c>
      <c r="C9" s="110">
        <v>2560924.81</v>
      </c>
      <c r="D9" s="110">
        <f t="shared" si="2"/>
        <v>-806138.83000000007</v>
      </c>
      <c r="E9" s="110">
        <f t="shared" si="0"/>
        <v>-26608345.420000002</v>
      </c>
      <c r="F9" s="113">
        <f t="shared" si="1"/>
        <v>-26205276.005000003</v>
      </c>
      <c r="G9" s="119">
        <f t="shared" si="3"/>
        <v>-20410840.715738982</v>
      </c>
      <c r="H9" s="119">
        <f t="shared" si="4"/>
        <v>-5794435.2892610151</v>
      </c>
      <c r="I9" s="125"/>
      <c r="J9" s="126">
        <f t="shared" si="5"/>
        <v>-10700.487702041666</v>
      </c>
      <c r="K9" s="105"/>
    </row>
    <row r="10" spans="1:11" x14ac:dyDescent="0.2">
      <c r="A10" s="112">
        <v>42430</v>
      </c>
      <c r="B10" s="110">
        <v>1732869.48</v>
      </c>
      <c r="C10" s="110">
        <v>2903502</v>
      </c>
      <c r="D10" s="110">
        <f t="shared" si="2"/>
        <v>-1170632.52</v>
      </c>
      <c r="E10" s="110">
        <f t="shared" si="0"/>
        <v>-27778977.940000001</v>
      </c>
      <c r="F10" s="113">
        <f t="shared" si="1"/>
        <v>-27193661.68</v>
      </c>
      <c r="G10" s="119">
        <f t="shared" si="3"/>
        <v>-21180677.391921818</v>
      </c>
      <c r="H10" s="119">
        <f t="shared" si="4"/>
        <v>-6012984.2880781731</v>
      </c>
      <c r="I10" s="125"/>
      <c r="J10" s="126">
        <f t="shared" si="5"/>
        <v>-11104.078519333332</v>
      </c>
      <c r="K10" s="105"/>
    </row>
    <row r="11" spans="1:11" x14ac:dyDescent="0.2">
      <c r="A11" s="112">
        <v>42461</v>
      </c>
      <c r="B11" s="110">
        <v>2020182.66</v>
      </c>
      <c r="C11" s="110">
        <v>3024146.72</v>
      </c>
      <c r="D11" s="110">
        <f t="shared" si="2"/>
        <v>-1003964.0600000003</v>
      </c>
      <c r="E11" s="110">
        <f t="shared" si="0"/>
        <v>-28782942</v>
      </c>
      <c r="F11" s="113">
        <f t="shared" si="1"/>
        <v>-28280959.969999999</v>
      </c>
      <c r="G11" s="119">
        <f t="shared" si="3"/>
        <v>-22027555.410052631</v>
      </c>
      <c r="H11" s="119">
        <f t="shared" si="4"/>
        <v>-6253404.5599473584</v>
      </c>
      <c r="I11" s="125"/>
      <c r="J11" s="126">
        <f t="shared" si="5"/>
        <v>-11548.058654416665</v>
      </c>
    </row>
    <row r="12" spans="1:11" x14ac:dyDescent="0.2">
      <c r="A12" s="112">
        <v>42491</v>
      </c>
      <c r="B12" s="110">
        <v>1673856.96</v>
      </c>
      <c r="C12" s="110">
        <v>3134947.43</v>
      </c>
      <c r="D12" s="110">
        <f t="shared" si="2"/>
        <v>-1461090.4700000002</v>
      </c>
      <c r="E12" s="110">
        <f t="shared" si="0"/>
        <v>-30244032.469999999</v>
      </c>
      <c r="F12" s="113">
        <f t="shared" si="1"/>
        <v>-29513487.234999999</v>
      </c>
      <c r="G12" s="119">
        <f t="shared" si="3"/>
        <v>-22987549.789769161</v>
      </c>
      <c r="H12" s="119">
        <f t="shared" si="4"/>
        <v>-6525937.4452308305</v>
      </c>
      <c r="I12" s="125"/>
      <c r="J12" s="126">
        <f t="shared" si="5"/>
        <v>-12051.340620958332</v>
      </c>
    </row>
    <row r="13" spans="1:11" x14ac:dyDescent="0.2">
      <c r="A13" s="112">
        <v>42522</v>
      </c>
      <c r="B13" s="110">
        <v>2171139.6</v>
      </c>
      <c r="C13" s="110">
        <v>3509089.47</v>
      </c>
      <c r="D13" s="110">
        <f t="shared" si="2"/>
        <v>-1337949.8700000001</v>
      </c>
      <c r="E13" s="110">
        <f t="shared" si="0"/>
        <v>-31581982.34</v>
      </c>
      <c r="F13" s="113">
        <f t="shared" si="1"/>
        <v>-30913007.405000001</v>
      </c>
      <c r="G13" s="119">
        <f t="shared" si="3"/>
        <v>-24077612.083441764</v>
      </c>
      <c r="H13" s="119">
        <f t="shared" si="4"/>
        <v>-6835395.3215582268</v>
      </c>
      <c r="I13" s="125"/>
      <c r="J13" s="126">
        <f t="shared" si="5"/>
        <v>-12622.811357041666</v>
      </c>
    </row>
    <row r="14" spans="1:11" x14ac:dyDescent="0.2">
      <c r="A14" s="112">
        <v>42552</v>
      </c>
      <c r="B14" s="110">
        <v>2226686.17</v>
      </c>
      <c r="C14" s="110">
        <v>3208415.02</v>
      </c>
      <c r="D14" s="110">
        <f t="shared" si="2"/>
        <v>-981728.85000000009</v>
      </c>
      <c r="E14" s="110">
        <f t="shared" si="0"/>
        <v>-32563711.190000001</v>
      </c>
      <c r="F14" s="113">
        <f t="shared" si="1"/>
        <v>-32072846.765000001</v>
      </c>
      <c r="G14" s="119">
        <f t="shared" si="3"/>
        <v>-24980991.098731957</v>
      </c>
      <c r="H14" s="119">
        <f t="shared" si="4"/>
        <v>-7091855.666268033</v>
      </c>
      <c r="I14" s="125"/>
      <c r="J14" s="126">
        <f t="shared" si="5"/>
        <v>-13096.412429041666</v>
      </c>
    </row>
    <row r="15" spans="1:11" x14ac:dyDescent="0.2">
      <c r="A15" s="112">
        <v>42583</v>
      </c>
      <c r="B15" s="110">
        <v>2312402.5499999998</v>
      </c>
      <c r="C15" s="110">
        <v>3587246.87</v>
      </c>
      <c r="D15" s="110">
        <f t="shared" si="2"/>
        <v>-1274844.3200000003</v>
      </c>
      <c r="E15" s="110">
        <f t="shared" si="0"/>
        <v>-33838555.510000005</v>
      </c>
      <c r="F15" s="113">
        <f t="shared" si="1"/>
        <v>-33201133.350000001</v>
      </c>
      <c r="G15" s="119">
        <f t="shared" si="3"/>
        <v>-25859794.197914965</v>
      </c>
      <c r="H15" s="119">
        <f t="shared" si="4"/>
        <v>-7341339.1520850258</v>
      </c>
      <c r="I15" s="125"/>
      <c r="J15" s="126">
        <f t="shared" si="5"/>
        <v>-13557.129451249999</v>
      </c>
    </row>
    <row r="16" spans="1:11" x14ac:dyDescent="0.2">
      <c r="A16" s="112">
        <v>42614</v>
      </c>
      <c r="B16" s="110">
        <v>2589964.3199999998</v>
      </c>
      <c r="C16" s="110">
        <v>3430516.4</v>
      </c>
      <c r="D16" s="110">
        <f t="shared" si="2"/>
        <v>-840552.08000000007</v>
      </c>
      <c r="E16" s="110">
        <f t="shared" si="0"/>
        <v>-34679107.590000004</v>
      </c>
      <c r="F16" s="113">
        <f t="shared" si="1"/>
        <v>-34258831.550000004</v>
      </c>
      <c r="G16" s="119">
        <f t="shared" si="3"/>
        <v>-26683617.212845426</v>
      </c>
      <c r="H16" s="119">
        <f t="shared" si="4"/>
        <v>-7575214.33715457</v>
      </c>
      <c r="I16" s="125"/>
      <c r="J16" s="126">
        <f t="shared" si="5"/>
        <v>-13989.022882916668</v>
      </c>
    </row>
    <row r="17" spans="1:11" x14ac:dyDescent="0.2">
      <c r="A17" s="109" t="s">
        <v>271</v>
      </c>
      <c r="B17" s="110">
        <v>0</v>
      </c>
      <c r="C17" s="110">
        <v>0</v>
      </c>
      <c r="D17" s="110">
        <v>0</v>
      </c>
      <c r="E17" s="110">
        <v>-8460763.9299999997</v>
      </c>
      <c r="F17" s="111"/>
      <c r="G17" s="119">
        <f t="shared" si="3"/>
        <v>0</v>
      </c>
      <c r="H17" s="119">
        <f t="shared" si="4"/>
        <v>0</v>
      </c>
      <c r="I17" s="125"/>
      <c r="J17" s="126">
        <f>SUM(J5:J16)</f>
        <v>-138879.60852295833</v>
      </c>
    </row>
    <row r="18" spans="1:11" x14ac:dyDescent="0.2">
      <c r="A18" s="109" t="s">
        <v>272</v>
      </c>
      <c r="B18" s="110">
        <v>0</v>
      </c>
      <c r="C18" s="110">
        <v>0</v>
      </c>
      <c r="D18" s="110">
        <v>0</v>
      </c>
      <c r="E18" s="110">
        <v>-8462882.6600000001</v>
      </c>
      <c r="F18" s="111"/>
      <c r="G18" s="119">
        <f t="shared" si="3"/>
        <v>0</v>
      </c>
      <c r="H18" s="119">
        <f t="shared" si="4"/>
        <v>0</v>
      </c>
    </row>
    <row r="19" spans="1:11" x14ac:dyDescent="0.2">
      <c r="A19" s="109" t="s">
        <v>273</v>
      </c>
      <c r="B19" s="110">
        <v>0</v>
      </c>
      <c r="C19" s="110">
        <v>0</v>
      </c>
      <c r="D19" s="110">
        <v>0</v>
      </c>
      <c r="E19" s="110">
        <v>-8462882.6600000001</v>
      </c>
      <c r="F19" s="111"/>
      <c r="G19" s="119">
        <f t="shared" si="3"/>
        <v>0</v>
      </c>
      <c r="H19" s="119">
        <f t="shared" si="4"/>
        <v>0</v>
      </c>
      <c r="J19" s="126">
        <f>'Change in InterestElec'!I23</f>
        <v>176605.63064400846</v>
      </c>
      <c r="K19" s="39" t="s">
        <v>276</v>
      </c>
    </row>
    <row r="20" spans="1:11" x14ac:dyDescent="0.2">
      <c r="A20" s="109" t="s">
        <v>274</v>
      </c>
      <c r="B20" s="110">
        <v>0</v>
      </c>
      <c r="C20" s="110">
        <v>0</v>
      </c>
      <c r="D20" s="110">
        <v>0</v>
      </c>
      <c r="E20" s="110">
        <v>-8462882.6600000001</v>
      </c>
      <c r="F20" s="111"/>
      <c r="G20" s="119">
        <f t="shared" si="3"/>
        <v>0</v>
      </c>
      <c r="H20" s="119">
        <f t="shared" si="4"/>
        <v>0</v>
      </c>
      <c r="J20" s="126">
        <f>+'Change in InterestGas'!I23</f>
        <v>50136.587352658156</v>
      </c>
      <c r="K20" s="39" t="s">
        <v>17</v>
      </c>
    </row>
    <row r="21" spans="1:11" x14ac:dyDescent="0.2">
      <c r="A21" s="114" t="s">
        <v>14</v>
      </c>
      <c r="B21" s="115">
        <f>SUM(B4:B20)</f>
        <v>23854263.73</v>
      </c>
      <c r="C21" s="115">
        <f>SUM(C4:C20)</f>
        <v>35663928.079999998</v>
      </c>
      <c r="D21" s="115">
        <f>SUM(D4:D20)</f>
        <v>-11809664.350000001</v>
      </c>
      <c r="E21" s="115">
        <v>-8460763.9299999997</v>
      </c>
      <c r="F21" s="116"/>
      <c r="G21" s="120">
        <f t="shared" si="3"/>
        <v>0</v>
      </c>
      <c r="H21" s="120">
        <f t="shared" si="4"/>
        <v>0</v>
      </c>
      <c r="J21" s="126">
        <f>+J20+J19</f>
        <v>226742.21799666662</v>
      </c>
    </row>
    <row r="22" spans="1:11" x14ac:dyDescent="0.2">
      <c r="J22" s="39" t="s">
        <v>14</v>
      </c>
    </row>
  </sheetData>
  <mergeCells count="1">
    <mergeCell ref="B2:F2"/>
  </mergeCells>
  <pageMargins left="0.75" right="0.75" top="0.7" bottom="0.6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8"/>
  <sheetViews>
    <sheetView workbookViewId="0">
      <selection activeCell="B22" sqref="B22"/>
    </sheetView>
  </sheetViews>
  <sheetFormatPr defaultRowHeight="13.2" x14ac:dyDescent="0.25"/>
  <cols>
    <col min="1" max="1" width="5.44140625" style="1" customWidth="1"/>
    <col min="2" max="2" width="48.88671875" style="1" customWidth="1"/>
    <col min="3" max="3" width="7.33203125" style="1" customWidth="1"/>
    <col min="4" max="4" width="15.5546875" style="1" customWidth="1"/>
    <col min="5" max="5" width="12.5546875" style="1" customWidth="1"/>
    <col min="6" max="6" width="18" bestFit="1" customWidth="1"/>
  </cols>
  <sheetData>
    <row r="1" spans="1:6" x14ac:dyDescent="0.25">
      <c r="D1" s="2"/>
    </row>
    <row r="2" spans="1:6" ht="13.8" thickBot="1" x14ac:dyDescent="0.3">
      <c r="D2" s="2"/>
    </row>
    <row r="3" spans="1:6" ht="14.4" thickTop="1" thickBot="1" x14ac:dyDescent="0.3">
      <c r="D3" s="4" t="s">
        <v>312</v>
      </c>
      <c r="E3"/>
    </row>
    <row r="4" spans="1:6" ht="13.8" thickTop="1" x14ac:dyDescent="0.25">
      <c r="A4" s="3" t="s">
        <v>0</v>
      </c>
      <c r="B4" s="3"/>
      <c r="C4" s="3"/>
      <c r="D4"/>
      <c r="E4"/>
    </row>
    <row r="5" spans="1:6" x14ac:dyDescent="0.25">
      <c r="A5" s="5" t="s">
        <v>7</v>
      </c>
      <c r="B5" s="5"/>
      <c r="C5" s="5"/>
      <c r="D5" s="5"/>
      <c r="E5"/>
    </row>
    <row r="6" spans="1:6" x14ac:dyDescent="0.25">
      <c r="A6" s="356" t="str">
        <f>'Lead E'!A6:D6</f>
        <v>2017 GENERAL RATE CASE</v>
      </c>
      <c r="B6" s="356"/>
      <c r="C6" s="356"/>
      <c r="D6" s="356"/>
      <c r="E6"/>
    </row>
    <row r="7" spans="1:6" x14ac:dyDescent="0.25">
      <c r="A7" s="356" t="str">
        <f>'Lead E'!A7:D7</f>
        <v>SUPPLEMENTAL FILING</v>
      </c>
      <c r="B7" s="356"/>
      <c r="C7" s="356"/>
      <c r="D7" s="356"/>
      <c r="E7"/>
    </row>
    <row r="8" spans="1:6" x14ac:dyDescent="0.25">
      <c r="A8" s="356" t="str">
        <f>'Lead E'!A8:D8</f>
        <v>Interest on Customer Deposits</v>
      </c>
      <c r="B8" s="356"/>
      <c r="C8" s="356"/>
      <c r="D8" s="356"/>
      <c r="E8"/>
    </row>
    <row r="9" spans="1:6" x14ac:dyDescent="0.25">
      <c r="A9" s="356" t="str">
        <f>'Lead E'!A9:D9</f>
        <v>For The Twelve Months Ended September 30, 2016</v>
      </c>
      <c r="B9" s="356"/>
      <c r="C9" s="356"/>
      <c r="D9" s="356"/>
      <c r="E9"/>
    </row>
    <row r="10" spans="1:6" x14ac:dyDescent="0.25">
      <c r="A10" s="3"/>
      <c r="B10" s="6"/>
      <c r="C10" s="3"/>
      <c r="D10" s="3"/>
      <c r="E10"/>
    </row>
    <row r="11" spans="1:6" x14ac:dyDescent="0.25">
      <c r="A11" s="7" t="s">
        <v>1</v>
      </c>
      <c r="B11" s="3"/>
      <c r="C11" s="3"/>
      <c r="D11" s="3"/>
      <c r="E11"/>
    </row>
    <row r="12" spans="1:6" x14ac:dyDescent="0.25">
      <c r="A12" s="8" t="s">
        <v>2</v>
      </c>
      <c r="B12" s="9" t="s">
        <v>3</v>
      </c>
      <c r="C12" s="10"/>
      <c r="D12" s="8" t="s">
        <v>4</v>
      </c>
      <c r="E12"/>
    </row>
    <row r="13" spans="1:6" x14ac:dyDescent="0.25">
      <c r="A13" s="11"/>
      <c r="B13" s="11"/>
      <c r="C13" s="11"/>
      <c r="D13" s="11"/>
      <c r="E13"/>
    </row>
    <row r="14" spans="1:6" x14ac:dyDescent="0.25">
      <c r="A14" s="12">
        <v>1</v>
      </c>
      <c r="B14" s="13" t="s">
        <v>9</v>
      </c>
      <c r="C14" s="13"/>
      <c r="D14" s="1">
        <f>'Change in InterestGas'!I23</f>
        <v>50136.587352658156</v>
      </c>
    </row>
    <row r="15" spans="1:6" x14ac:dyDescent="0.25">
      <c r="A15" s="20">
        <v>2</v>
      </c>
      <c r="E15"/>
    </row>
    <row r="16" spans="1:6" ht="13.8" thickBot="1" x14ac:dyDescent="0.3">
      <c r="A16" s="12">
        <v>3</v>
      </c>
      <c r="B16" s="14" t="s">
        <v>6</v>
      </c>
      <c r="C16" s="15"/>
      <c r="D16" s="21">
        <f>-D14</f>
        <v>-50136.587352658156</v>
      </c>
      <c r="E16" s="123"/>
      <c r="F16" s="124"/>
    </row>
    <row r="17" spans="1:5" ht="13.8" thickTop="1" x14ac:dyDescent="0.25">
      <c r="A17" s="15"/>
      <c r="B17" s="15"/>
      <c r="C17" s="15"/>
      <c r="D17" s="15"/>
      <c r="E17"/>
    </row>
    <row r="18" spans="1:5" x14ac:dyDescent="0.25">
      <c r="A18" s="22"/>
      <c r="B18" s="22"/>
      <c r="C18" s="22"/>
      <c r="D18" s="22"/>
      <c r="E18"/>
    </row>
    <row r="19" spans="1:5" x14ac:dyDescent="0.25">
      <c r="A19" s="23"/>
      <c r="B19" s="23"/>
      <c r="C19" s="23"/>
      <c r="D19" s="23"/>
      <c r="E19"/>
    </row>
    <row r="20" spans="1:5" x14ac:dyDescent="0.25">
      <c r="A20" s="23"/>
      <c r="B20" s="23"/>
      <c r="C20" s="23"/>
      <c r="D20" s="23"/>
      <c r="E20"/>
    </row>
    <row r="21" spans="1:5" x14ac:dyDescent="0.25">
      <c r="A21" s="23"/>
      <c r="B21" s="23"/>
      <c r="C21" s="23"/>
      <c r="D21" s="23"/>
      <c r="E21"/>
    </row>
    <row r="22" spans="1:5" x14ac:dyDescent="0.25">
      <c r="A22" s="23"/>
      <c r="B22" s="23"/>
      <c r="C22" s="23"/>
      <c r="D22" s="23"/>
      <c r="E22"/>
    </row>
    <row r="23" spans="1:5" x14ac:dyDescent="0.25">
      <c r="A23" s="23"/>
      <c r="B23" s="23"/>
      <c r="C23" s="23"/>
      <c r="D23" s="23"/>
      <c r="E23"/>
    </row>
    <row r="24" spans="1:5" x14ac:dyDescent="0.25">
      <c r="A24" s="23"/>
      <c r="B24" s="23"/>
      <c r="C24" s="23"/>
      <c r="D24" s="23"/>
      <c r="E24"/>
    </row>
    <row r="29" spans="1:5" x14ac:dyDescent="0.25">
      <c r="E29"/>
    </row>
    <row r="30" spans="1:5" x14ac:dyDescent="0.25">
      <c r="E30"/>
    </row>
    <row r="31" spans="1:5" x14ac:dyDescent="0.25">
      <c r="E31"/>
    </row>
    <row r="32" spans="1:5" x14ac:dyDescent="0.25">
      <c r="D32" s="18"/>
      <c r="E32"/>
    </row>
    <row r="38" spans="1:5" x14ac:dyDescent="0.25">
      <c r="A38" s="19"/>
      <c r="E38"/>
    </row>
  </sheetData>
  <mergeCells count="4">
    <mergeCell ref="A6:D6"/>
    <mergeCell ref="A8:D8"/>
    <mergeCell ref="A9:D9"/>
    <mergeCell ref="A7:D7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30" zoomScaleNormal="130" workbookViewId="0">
      <pane xSplit="2" ySplit="7" topLeftCell="C8" activePane="bottomRight" state="frozen"/>
      <selection activeCell="J1" sqref="J1"/>
      <selection pane="topRight" activeCell="J1" sqref="J1"/>
      <selection pane="bottomLeft" activeCell="J1" sqref="J1"/>
      <selection pane="bottomRight" activeCell="F31" sqref="F31"/>
    </sheetView>
  </sheetViews>
  <sheetFormatPr defaultRowHeight="13.2" outlineLevelCol="1" x14ac:dyDescent="0.25"/>
  <cols>
    <col min="1" max="1" width="4" style="32" customWidth="1"/>
    <col min="2" max="2" width="12.44140625" style="32" customWidth="1"/>
    <col min="3" max="3" width="9.5546875" style="32" customWidth="1"/>
    <col min="4" max="4" width="9.109375" style="32" customWidth="1" outlineLevel="1"/>
    <col min="5" max="5" width="10.88671875" style="32" customWidth="1" outlineLevel="1"/>
    <col min="6" max="6" width="11.33203125" style="32" customWidth="1"/>
    <col min="7" max="7" width="9.109375" style="32"/>
    <col min="8" max="8" width="10.109375" style="32" customWidth="1"/>
    <col min="9" max="9" width="11.109375" style="32" customWidth="1"/>
    <col min="10" max="10" width="9.109375" style="32"/>
    <col min="11" max="11" width="14" style="32" bestFit="1" customWidth="1"/>
    <col min="12" max="12" width="9.109375" style="32"/>
    <col min="13" max="13" width="12" style="32" bestFit="1" customWidth="1"/>
    <col min="14" max="257" width="9.109375" style="32"/>
    <col min="258" max="258" width="11.88671875" style="32" bestFit="1" customWidth="1"/>
    <col min="259" max="259" width="12.33203125" style="32" bestFit="1" customWidth="1"/>
    <col min="260" max="260" width="9.109375" style="32"/>
    <col min="261" max="261" width="0" style="32" hidden="1" customWidth="1"/>
    <col min="262" max="262" width="18.6640625" style="32" customWidth="1"/>
    <col min="263" max="264" width="9.109375" style="32"/>
    <col min="265" max="265" width="12.33203125" style="32" customWidth="1"/>
    <col min="266" max="513" width="9.109375" style="32"/>
    <col min="514" max="514" width="11.88671875" style="32" bestFit="1" customWidth="1"/>
    <col min="515" max="515" width="12.33203125" style="32" bestFit="1" customWidth="1"/>
    <col min="516" max="516" width="9.109375" style="32"/>
    <col min="517" max="517" width="0" style="32" hidden="1" customWidth="1"/>
    <col min="518" max="518" width="18.6640625" style="32" customWidth="1"/>
    <col min="519" max="520" width="9.109375" style="32"/>
    <col min="521" max="521" width="12.33203125" style="32" customWidth="1"/>
    <col min="522" max="769" width="9.109375" style="32"/>
    <col min="770" max="770" width="11.88671875" style="32" bestFit="1" customWidth="1"/>
    <col min="771" max="771" width="12.33203125" style="32" bestFit="1" customWidth="1"/>
    <col min="772" max="772" width="9.109375" style="32"/>
    <col min="773" max="773" width="0" style="32" hidden="1" customWidth="1"/>
    <col min="774" max="774" width="18.6640625" style="32" customWidth="1"/>
    <col min="775" max="776" width="9.109375" style="32"/>
    <col min="777" max="777" width="12.33203125" style="32" customWidth="1"/>
    <col min="778" max="1025" width="9.109375" style="32"/>
    <col min="1026" max="1026" width="11.88671875" style="32" bestFit="1" customWidth="1"/>
    <col min="1027" max="1027" width="12.33203125" style="32" bestFit="1" customWidth="1"/>
    <col min="1028" max="1028" width="9.109375" style="32"/>
    <col min="1029" max="1029" width="0" style="32" hidden="1" customWidth="1"/>
    <col min="1030" max="1030" width="18.6640625" style="32" customWidth="1"/>
    <col min="1031" max="1032" width="9.109375" style="32"/>
    <col min="1033" max="1033" width="12.33203125" style="32" customWidth="1"/>
    <col min="1034" max="1281" width="9.109375" style="32"/>
    <col min="1282" max="1282" width="11.88671875" style="32" bestFit="1" customWidth="1"/>
    <col min="1283" max="1283" width="12.33203125" style="32" bestFit="1" customWidth="1"/>
    <col min="1284" max="1284" width="9.109375" style="32"/>
    <col min="1285" max="1285" width="0" style="32" hidden="1" customWidth="1"/>
    <col min="1286" max="1286" width="18.6640625" style="32" customWidth="1"/>
    <col min="1287" max="1288" width="9.109375" style="32"/>
    <col min="1289" max="1289" width="12.33203125" style="32" customWidth="1"/>
    <col min="1290" max="1537" width="9.109375" style="32"/>
    <col min="1538" max="1538" width="11.88671875" style="32" bestFit="1" customWidth="1"/>
    <col min="1539" max="1539" width="12.33203125" style="32" bestFit="1" customWidth="1"/>
    <col min="1540" max="1540" width="9.109375" style="32"/>
    <col min="1541" max="1541" width="0" style="32" hidden="1" customWidth="1"/>
    <col min="1542" max="1542" width="18.6640625" style="32" customWidth="1"/>
    <col min="1543" max="1544" width="9.109375" style="32"/>
    <col min="1545" max="1545" width="12.33203125" style="32" customWidth="1"/>
    <col min="1546" max="1793" width="9.109375" style="32"/>
    <col min="1794" max="1794" width="11.88671875" style="32" bestFit="1" customWidth="1"/>
    <col min="1795" max="1795" width="12.33203125" style="32" bestFit="1" customWidth="1"/>
    <col min="1796" max="1796" width="9.109375" style="32"/>
    <col min="1797" max="1797" width="0" style="32" hidden="1" customWidth="1"/>
    <col min="1798" max="1798" width="18.6640625" style="32" customWidth="1"/>
    <col min="1799" max="1800" width="9.109375" style="32"/>
    <col min="1801" max="1801" width="12.33203125" style="32" customWidth="1"/>
    <col min="1802" max="2049" width="9.109375" style="32"/>
    <col min="2050" max="2050" width="11.88671875" style="32" bestFit="1" customWidth="1"/>
    <col min="2051" max="2051" width="12.33203125" style="32" bestFit="1" customWidth="1"/>
    <col min="2052" max="2052" width="9.109375" style="32"/>
    <col min="2053" max="2053" width="0" style="32" hidden="1" customWidth="1"/>
    <col min="2054" max="2054" width="18.6640625" style="32" customWidth="1"/>
    <col min="2055" max="2056" width="9.109375" style="32"/>
    <col min="2057" max="2057" width="12.33203125" style="32" customWidth="1"/>
    <col min="2058" max="2305" width="9.109375" style="32"/>
    <col min="2306" max="2306" width="11.88671875" style="32" bestFit="1" customWidth="1"/>
    <col min="2307" max="2307" width="12.33203125" style="32" bestFit="1" customWidth="1"/>
    <col min="2308" max="2308" width="9.109375" style="32"/>
    <col min="2309" max="2309" width="0" style="32" hidden="1" customWidth="1"/>
    <col min="2310" max="2310" width="18.6640625" style="32" customWidth="1"/>
    <col min="2311" max="2312" width="9.109375" style="32"/>
    <col min="2313" max="2313" width="12.33203125" style="32" customWidth="1"/>
    <col min="2314" max="2561" width="9.109375" style="32"/>
    <col min="2562" max="2562" width="11.88671875" style="32" bestFit="1" customWidth="1"/>
    <col min="2563" max="2563" width="12.33203125" style="32" bestFit="1" customWidth="1"/>
    <col min="2564" max="2564" width="9.109375" style="32"/>
    <col min="2565" max="2565" width="0" style="32" hidden="1" customWidth="1"/>
    <col min="2566" max="2566" width="18.6640625" style="32" customWidth="1"/>
    <col min="2567" max="2568" width="9.109375" style="32"/>
    <col min="2569" max="2569" width="12.33203125" style="32" customWidth="1"/>
    <col min="2570" max="2817" width="9.109375" style="32"/>
    <col min="2818" max="2818" width="11.88671875" style="32" bestFit="1" customWidth="1"/>
    <col min="2819" max="2819" width="12.33203125" style="32" bestFit="1" customWidth="1"/>
    <col min="2820" max="2820" width="9.109375" style="32"/>
    <col min="2821" max="2821" width="0" style="32" hidden="1" customWidth="1"/>
    <col min="2822" max="2822" width="18.6640625" style="32" customWidth="1"/>
    <col min="2823" max="2824" width="9.109375" style="32"/>
    <col min="2825" max="2825" width="12.33203125" style="32" customWidth="1"/>
    <col min="2826" max="3073" width="9.109375" style="32"/>
    <col min="3074" max="3074" width="11.88671875" style="32" bestFit="1" customWidth="1"/>
    <col min="3075" max="3075" width="12.33203125" style="32" bestFit="1" customWidth="1"/>
    <col min="3076" max="3076" width="9.109375" style="32"/>
    <col min="3077" max="3077" width="0" style="32" hidden="1" customWidth="1"/>
    <col min="3078" max="3078" width="18.6640625" style="32" customWidth="1"/>
    <col min="3079" max="3080" width="9.109375" style="32"/>
    <col min="3081" max="3081" width="12.33203125" style="32" customWidth="1"/>
    <col min="3082" max="3329" width="9.109375" style="32"/>
    <col min="3330" max="3330" width="11.88671875" style="32" bestFit="1" customWidth="1"/>
    <col min="3331" max="3331" width="12.33203125" style="32" bestFit="1" customWidth="1"/>
    <col min="3332" max="3332" width="9.109375" style="32"/>
    <col min="3333" max="3333" width="0" style="32" hidden="1" customWidth="1"/>
    <col min="3334" max="3334" width="18.6640625" style="32" customWidth="1"/>
    <col min="3335" max="3336" width="9.109375" style="32"/>
    <col min="3337" max="3337" width="12.33203125" style="32" customWidth="1"/>
    <col min="3338" max="3585" width="9.109375" style="32"/>
    <col min="3586" max="3586" width="11.88671875" style="32" bestFit="1" customWidth="1"/>
    <col min="3587" max="3587" width="12.33203125" style="32" bestFit="1" customWidth="1"/>
    <col min="3588" max="3588" width="9.109375" style="32"/>
    <col min="3589" max="3589" width="0" style="32" hidden="1" customWidth="1"/>
    <col min="3590" max="3590" width="18.6640625" style="32" customWidth="1"/>
    <col min="3591" max="3592" width="9.109375" style="32"/>
    <col min="3593" max="3593" width="12.33203125" style="32" customWidth="1"/>
    <col min="3594" max="3841" width="9.109375" style="32"/>
    <col min="3842" max="3842" width="11.88671875" style="32" bestFit="1" customWidth="1"/>
    <col min="3843" max="3843" width="12.33203125" style="32" bestFit="1" customWidth="1"/>
    <col min="3844" max="3844" width="9.109375" style="32"/>
    <col min="3845" max="3845" width="0" style="32" hidden="1" customWidth="1"/>
    <col min="3846" max="3846" width="18.6640625" style="32" customWidth="1"/>
    <col min="3847" max="3848" width="9.109375" style="32"/>
    <col min="3849" max="3849" width="12.33203125" style="32" customWidth="1"/>
    <col min="3850" max="4097" width="9.109375" style="32"/>
    <col min="4098" max="4098" width="11.88671875" style="32" bestFit="1" customWidth="1"/>
    <col min="4099" max="4099" width="12.33203125" style="32" bestFit="1" customWidth="1"/>
    <col min="4100" max="4100" width="9.109375" style="32"/>
    <col min="4101" max="4101" width="0" style="32" hidden="1" customWidth="1"/>
    <col min="4102" max="4102" width="18.6640625" style="32" customWidth="1"/>
    <col min="4103" max="4104" width="9.109375" style="32"/>
    <col min="4105" max="4105" width="12.33203125" style="32" customWidth="1"/>
    <col min="4106" max="4353" width="9.109375" style="32"/>
    <col min="4354" max="4354" width="11.88671875" style="32" bestFit="1" customWidth="1"/>
    <col min="4355" max="4355" width="12.33203125" style="32" bestFit="1" customWidth="1"/>
    <col min="4356" max="4356" width="9.109375" style="32"/>
    <col min="4357" max="4357" width="0" style="32" hidden="1" customWidth="1"/>
    <col min="4358" max="4358" width="18.6640625" style="32" customWidth="1"/>
    <col min="4359" max="4360" width="9.109375" style="32"/>
    <col min="4361" max="4361" width="12.33203125" style="32" customWidth="1"/>
    <col min="4362" max="4609" width="9.109375" style="32"/>
    <col min="4610" max="4610" width="11.88671875" style="32" bestFit="1" customWidth="1"/>
    <col min="4611" max="4611" width="12.33203125" style="32" bestFit="1" customWidth="1"/>
    <col min="4612" max="4612" width="9.109375" style="32"/>
    <col min="4613" max="4613" width="0" style="32" hidden="1" customWidth="1"/>
    <col min="4614" max="4614" width="18.6640625" style="32" customWidth="1"/>
    <col min="4615" max="4616" width="9.109375" style="32"/>
    <col min="4617" max="4617" width="12.33203125" style="32" customWidth="1"/>
    <col min="4618" max="4865" width="9.109375" style="32"/>
    <col min="4866" max="4866" width="11.88671875" style="32" bestFit="1" customWidth="1"/>
    <col min="4867" max="4867" width="12.33203125" style="32" bestFit="1" customWidth="1"/>
    <col min="4868" max="4868" width="9.109375" style="32"/>
    <col min="4869" max="4869" width="0" style="32" hidden="1" customWidth="1"/>
    <col min="4870" max="4870" width="18.6640625" style="32" customWidth="1"/>
    <col min="4871" max="4872" width="9.109375" style="32"/>
    <col min="4873" max="4873" width="12.33203125" style="32" customWidth="1"/>
    <col min="4874" max="5121" width="9.109375" style="32"/>
    <col min="5122" max="5122" width="11.88671875" style="32" bestFit="1" customWidth="1"/>
    <col min="5123" max="5123" width="12.33203125" style="32" bestFit="1" customWidth="1"/>
    <col min="5124" max="5124" width="9.109375" style="32"/>
    <col min="5125" max="5125" width="0" style="32" hidden="1" customWidth="1"/>
    <col min="5126" max="5126" width="18.6640625" style="32" customWidth="1"/>
    <col min="5127" max="5128" width="9.109375" style="32"/>
    <col min="5129" max="5129" width="12.33203125" style="32" customWidth="1"/>
    <col min="5130" max="5377" width="9.109375" style="32"/>
    <col min="5378" max="5378" width="11.88671875" style="32" bestFit="1" customWidth="1"/>
    <col min="5379" max="5379" width="12.33203125" style="32" bestFit="1" customWidth="1"/>
    <col min="5380" max="5380" width="9.109375" style="32"/>
    <col min="5381" max="5381" width="0" style="32" hidden="1" customWidth="1"/>
    <col min="5382" max="5382" width="18.6640625" style="32" customWidth="1"/>
    <col min="5383" max="5384" width="9.109375" style="32"/>
    <col min="5385" max="5385" width="12.33203125" style="32" customWidth="1"/>
    <col min="5386" max="5633" width="9.109375" style="32"/>
    <col min="5634" max="5634" width="11.88671875" style="32" bestFit="1" customWidth="1"/>
    <col min="5635" max="5635" width="12.33203125" style="32" bestFit="1" customWidth="1"/>
    <col min="5636" max="5636" width="9.109375" style="32"/>
    <col min="5637" max="5637" width="0" style="32" hidden="1" customWidth="1"/>
    <col min="5638" max="5638" width="18.6640625" style="32" customWidth="1"/>
    <col min="5639" max="5640" width="9.109375" style="32"/>
    <col min="5641" max="5641" width="12.33203125" style="32" customWidth="1"/>
    <col min="5642" max="5889" width="9.109375" style="32"/>
    <col min="5890" max="5890" width="11.88671875" style="32" bestFit="1" customWidth="1"/>
    <col min="5891" max="5891" width="12.33203125" style="32" bestFit="1" customWidth="1"/>
    <col min="5892" max="5892" width="9.109375" style="32"/>
    <col min="5893" max="5893" width="0" style="32" hidden="1" customWidth="1"/>
    <col min="5894" max="5894" width="18.6640625" style="32" customWidth="1"/>
    <col min="5895" max="5896" width="9.109375" style="32"/>
    <col min="5897" max="5897" width="12.33203125" style="32" customWidth="1"/>
    <col min="5898" max="6145" width="9.109375" style="32"/>
    <col min="6146" max="6146" width="11.88671875" style="32" bestFit="1" customWidth="1"/>
    <col min="6147" max="6147" width="12.33203125" style="32" bestFit="1" customWidth="1"/>
    <col min="6148" max="6148" width="9.109375" style="32"/>
    <col min="6149" max="6149" width="0" style="32" hidden="1" customWidth="1"/>
    <col min="6150" max="6150" width="18.6640625" style="32" customWidth="1"/>
    <col min="6151" max="6152" width="9.109375" style="32"/>
    <col min="6153" max="6153" width="12.33203125" style="32" customWidth="1"/>
    <col min="6154" max="6401" width="9.109375" style="32"/>
    <col min="6402" max="6402" width="11.88671875" style="32" bestFit="1" customWidth="1"/>
    <col min="6403" max="6403" width="12.33203125" style="32" bestFit="1" customWidth="1"/>
    <col min="6404" max="6404" width="9.109375" style="32"/>
    <col min="6405" max="6405" width="0" style="32" hidden="1" customWidth="1"/>
    <col min="6406" max="6406" width="18.6640625" style="32" customWidth="1"/>
    <col min="6407" max="6408" width="9.109375" style="32"/>
    <col min="6409" max="6409" width="12.33203125" style="32" customWidth="1"/>
    <col min="6410" max="6657" width="9.109375" style="32"/>
    <col min="6658" max="6658" width="11.88671875" style="32" bestFit="1" customWidth="1"/>
    <col min="6659" max="6659" width="12.33203125" style="32" bestFit="1" customWidth="1"/>
    <col min="6660" max="6660" width="9.109375" style="32"/>
    <col min="6661" max="6661" width="0" style="32" hidden="1" customWidth="1"/>
    <col min="6662" max="6662" width="18.6640625" style="32" customWidth="1"/>
    <col min="6663" max="6664" width="9.109375" style="32"/>
    <col min="6665" max="6665" width="12.33203125" style="32" customWidth="1"/>
    <col min="6666" max="6913" width="9.109375" style="32"/>
    <col min="6914" max="6914" width="11.88671875" style="32" bestFit="1" customWidth="1"/>
    <col min="6915" max="6915" width="12.33203125" style="32" bestFit="1" customWidth="1"/>
    <col min="6916" max="6916" width="9.109375" style="32"/>
    <col min="6917" max="6917" width="0" style="32" hidden="1" customWidth="1"/>
    <col min="6918" max="6918" width="18.6640625" style="32" customWidth="1"/>
    <col min="6919" max="6920" width="9.109375" style="32"/>
    <col min="6921" max="6921" width="12.33203125" style="32" customWidth="1"/>
    <col min="6922" max="7169" width="9.109375" style="32"/>
    <col min="7170" max="7170" width="11.88671875" style="32" bestFit="1" customWidth="1"/>
    <col min="7171" max="7171" width="12.33203125" style="32" bestFit="1" customWidth="1"/>
    <col min="7172" max="7172" width="9.109375" style="32"/>
    <col min="7173" max="7173" width="0" style="32" hidden="1" customWidth="1"/>
    <col min="7174" max="7174" width="18.6640625" style="32" customWidth="1"/>
    <col min="7175" max="7176" width="9.109375" style="32"/>
    <col min="7177" max="7177" width="12.33203125" style="32" customWidth="1"/>
    <col min="7178" max="7425" width="9.109375" style="32"/>
    <col min="7426" max="7426" width="11.88671875" style="32" bestFit="1" customWidth="1"/>
    <col min="7427" max="7427" width="12.33203125" style="32" bestFit="1" customWidth="1"/>
    <col min="7428" max="7428" width="9.109375" style="32"/>
    <col min="7429" max="7429" width="0" style="32" hidden="1" customWidth="1"/>
    <col min="7430" max="7430" width="18.6640625" style="32" customWidth="1"/>
    <col min="7431" max="7432" width="9.109375" style="32"/>
    <col min="7433" max="7433" width="12.33203125" style="32" customWidth="1"/>
    <col min="7434" max="7681" width="9.109375" style="32"/>
    <col min="7682" max="7682" width="11.88671875" style="32" bestFit="1" customWidth="1"/>
    <col min="7683" max="7683" width="12.33203125" style="32" bestFit="1" customWidth="1"/>
    <col min="7684" max="7684" width="9.109375" style="32"/>
    <col min="7685" max="7685" width="0" style="32" hidden="1" customWidth="1"/>
    <col min="7686" max="7686" width="18.6640625" style="32" customWidth="1"/>
    <col min="7687" max="7688" width="9.109375" style="32"/>
    <col min="7689" max="7689" width="12.33203125" style="32" customWidth="1"/>
    <col min="7690" max="7937" width="9.109375" style="32"/>
    <col min="7938" max="7938" width="11.88671875" style="32" bestFit="1" customWidth="1"/>
    <col min="7939" max="7939" width="12.33203125" style="32" bestFit="1" customWidth="1"/>
    <col min="7940" max="7940" width="9.109375" style="32"/>
    <col min="7941" max="7941" width="0" style="32" hidden="1" customWidth="1"/>
    <col min="7942" max="7942" width="18.6640625" style="32" customWidth="1"/>
    <col min="7943" max="7944" width="9.109375" style="32"/>
    <col min="7945" max="7945" width="12.33203125" style="32" customWidth="1"/>
    <col min="7946" max="8193" width="9.109375" style="32"/>
    <col min="8194" max="8194" width="11.88671875" style="32" bestFit="1" customWidth="1"/>
    <col min="8195" max="8195" width="12.33203125" style="32" bestFit="1" customWidth="1"/>
    <col min="8196" max="8196" width="9.109375" style="32"/>
    <col min="8197" max="8197" width="0" style="32" hidden="1" customWidth="1"/>
    <col min="8198" max="8198" width="18.6640625" style="32" customWidth="1"/>
    <col min="8199" max="8200" width="9.109375" style="32"/>
    <col min="8201" max="8201" width="12.33203125" style="32" customWidth="1"/>
    <col min="8202" max="8449" width="9.109375" style="32"/>
    <col min="8450" max="8450" width="11.88671875" style="32" bestFit="1" customWidth="1"/>
    <col min="8451" max="8451" width="12.33203125" style="32" bestFit="1" customWidth="1"/>
    <col min="8452" max="8452" width="9.109375" style="32"/>
    <col min="8453" max="8453" width="0" style="32" hidden="1" customWidth="1"/>
    <col min="8454" max="8454" width="18.6640625" style="32" customWidth="1"/>
    <col min="8455" max="8456" width="9.109375" style="32"/>
    <col min="8457" max="8457" width="12.33203125" style="32" customWidth="1"/>
    <col min="8458" max="8705" width="9.109375" style="32"/>
    <col min="8706" max="8706" width="11.88671875" style="32" bestFit="1" customWidth="1"/>
    <col min="8707" max="8707" width="12.33203125" style="32" bestFit="1" customWidth="1"/>
    <col min="8708" max="8708" width="9.109375" style="32"/>
    <col min="8709" max="8709" width="0" style="32" hidden="1" customWidth="1"/>
    <col min="8710" max="8710" width="18.6640625" style="32" customWidth="1"/>
    <col min="8711" max="8712" width="9.109375" style="32"/>
    <col min="8713" max="8713" width="12.33203125" style="32" customWidth="1"/>
    <col min="8714" max="8961" width="9.109375" style="32"/>
    <col min="8962" max="8962" width="11.88671875" style="32" bestFit="1" customWidth="1"/>
    <col min="8963" max="8963" width="12.33203125" style="32" bestFit="1" customWidth="1"/>
    <col min="8964" max="8964" width="9.109375" style="32"/>
    <col min="8965" max="8965" width="0" style="32" hidden="1" customWidth="1"/>
    <col min="8966" max="8966" width="18.6640625" style="32" customWidth="1"/>
    <col min="8967" max="8968" width="9.109375" style="32"/>
    <col min="8969" max="8969" width="12.33203125" style="32" customWidth="1"/>
    <col min="8970" max="9217" width="9.109375" style="32"/>
    <col min="9218" max="9218" width="11.88671875" style="32" bestFit="1" customWidth="1"/>
    <col min="9219" max="9219" width="12.33203125" style="32" bestFit="1" customWidth="1"/>
    <col min="9220" max="9220" width="9.109375" style="32"/>
    <col min="9221" max="9221" width="0" style="32" hidden="1" customWidth="1"/>
    <col min="9222" max="9222" width="18.6640625" style="32" customWidth="1"/>
    <col min="9223" max="9224" width="9.109375" style="32"/>
    <col min="9225" max="9225" width="12.33203125" style="32" customWidth="1"/>
    <col min="9226" max="9473" width="9.109375" style="32"/>
    <col min="9474" max="9474" width="11.88671875" style="32" bestFit="1" customWidth="1"/>
    <col min="9475" max="9475" width="12.33203125" style="32" bestFit="1" customWidth="1"/>
    <col min="9476" max="9476" width="9.109375" style="32"/>
    <col min="9477" max="9477" width="0" style="32" hidden="1" customWidth="1"/>
    <col min="9478" max="9478" width="18.6640625" style="32" customWidth="1"/>
    <col min="9479" max="9480" width="9.109375" style="32"/>
    <col min="9481" max="9481" width="12.33203125" style="32" customWidth="1"/>
    <col min="9482" max="9729" width="9.109375" style="32"/>
    <col min="9730" max="9730" width="11.88671875" style="32" bestFit="1" customWidth="1"/>
    <col min="9731" max="9731" width="12.33203125" style="32" bestFit="1" customWidth="1"/>
    <col min="9732" max="9732" width="9.109375" style="32"/>
    <col min="9733" max="9733" width="0" style="32" hidden="1" customWidth="1"/>
    <col min="9734" max="9734" width="18.6640625" style="32" customWidth="1"/>
    <col min="9735" max="9736" width="9.109375" style="32"/>
    <col min="9737" max="9737" width="12.33203125" style="32" customWidth="1"/>
    <col min="9738" max="9985" width="9.109375" style="32"/>
    <col min="9986" max="9986" width="11.88671875" style="32" bestFit="1" customWidth="1"/>
    <col min="9987" max="9987" width="12.33203125" style="32" bestFit="1" customWidth="1"/>
    <col min="9988" max="9988" width="9.109375" style="32"/>
    <col min="9989" max="9989" width="0" style="32" hidden="1" customWidth="1"/>
    <col min="9990" max="9990" width="18.6640625" style="32" customWidth="1"/>
    <col min="9991" max="9992" width="9.109375" style="32"/>
    <col min="9993" max="9993" width="12.33203125" style="32" customWidth="1"/>
    <col min="9994" max="10241" width="9.109375" style="32"/>
    <col min="10242" max="10242" width="11.88671875" style="32" bestFit="1" customWidth="1"/>
    <col min="10243" max="10243" width="12.33203125" style="32" bestFit="1" customWidth="1"/>
    <col min="10244" max="10244" width="9.109375" style="32"/>
    <col min="10245" max="10245" width="0" style="32" hidden="1" customWidth="1"/>
    <col min="10246" max="10246" width="18.6640625" style="32" customWidth="1"/>
    <col min="10247" max="10248" width="9.109375" style="32"/>
    <col min="10249" max="10249" width="12.33203125" style="32" customWidth="1"/>
    <col min="10250" max="10497" width="9.109375" style="32"/>
    <col min="10498" max="10498" width="11.88671875" style="32" bestFit="1" customWidth="1"/>
    <col min="10499" max="10499" width="12.33203125" style="32" bestFit="1" customWidth="1"/>
    <col min="10500" max="10500" width="9.109375" style="32"/>
    <col min="10501" max="10501" width="0" style="32" hidden="1" customWidth="1"/>
    <col min="10502" max="10502" width="18.6640625" style="32" customWidth="1"/>
    <col min="10503" max="10504" width="9.109375" style="32"/>
    <col min="10505" max="10505" width="12.33203125" style="32" customWidth="1"/>
    <col min="10506" max="10753" width="9.109375" style="32"/>
    <col min="10754" max="10754" width="11.88671875" style="32" bestFit="1" customWidth="1"/>
    <col min="10755" max="10755" width="12.33203125" style="32" bestFit="1" customWidth="1"/>
    <col min="10756" max="10756" width="9.109375" style="32"/>
    <col min="10757" max="10757" width="0" style="32" hidden="1" customWidth="1"/>
    <col min="10758" max="10758" width="18.6640625" style="32" customWidth="1"/>
    <col min="10759" max="10760" width="9.109375" style="32"/>
    <col min="10761" max="10761" width="12.33203125" style="32" customWidth="1"/>
    <col min="10762" max="11009" width="9.109375" style="32"/>
    <col min="11010" max="11010" width="11.88671875" style="32" bestFit="1" customWidth="1"/>
    <col min="11011" max="11011" width="12.33203125" style="32" bestFit="1" customWidth="1"/>
    <col min="11012" max="11012" width="9.109375" style="32"/>
    <col min="11013" max="11013" width="0" style="32" hidden="1" customWidth="1"/>
    <col min="11014" max="11014" width="18.6640625" style="32" customWidth="1"/>
    <col min="11015" max="11016" width="9.109375" style="32"/>
    <col min="11017" max="11017" width="12.33203125" style="32" customWidth="1"/>
    <col min="11018" max="11265" width="9.109375" style="32"/>
    <col min="11266" max="11266" width="11.88671875" style="32" bestFit="1" customWidth="1"/>
    <col min="11267" max="11267" width="12.33203125" style="32" bestFit="1" customWidth="1"/>
    <col min="11268" max="11268" width="9.109375" style="32"/>
    <col min="11269" max="11269" width="0" style="32" hidden="1" customWidth="1"/>
    <col min="11270" max="11270" width="18.6640625" style="32" customWidth="1"/>
    <col min="11271" max="11272" width="9.109375" style="32"/>
    <col min="11273" max="11273" width="12.33203125" style="32" customWidth="1"/>
    <col min="11274" max="11521" width="9.109375" style="32"/>
    <col min="11522" max="11522" width="11.88671875" style="32" bestFit="1" customWidth="1"/>
    <col min="11523" max="11523" width="12.33203125" style="32" bestFit="1" customWidth="1"/>
    <col min="11524" max="11524" width="9.109375" style="32"/>
    <col min="11525" max="11525" width="0" style="32" hidden="1" customWidth="1"/>
    <col min="11526" max="11526" width="18.6640625" style="32" customWidth="1"/>
    <col min="11527" max="11528" width="9.109375" style="32"/>
    <col min="11529" max="11529" width="12.33203125" style="32" customWidth="1"/>
    <col min="11530" max="11777" width="9.109375" style="32"/>
    <col min="11778" max="11778" width="11.88671875" style="32" bestFit="1" customWidth="1"/>
    <col min="11779" max="11779" width="12.33203125" style="32" bestFit="1" customWidth="1"/>
    <col min="11780" max="11780" width="9.109375" style="32"/>
    <col min="11781" max="11781" width="0" style="32" hidden="1" customWidth="1"/>
    <col min="11782" max="11782" width="18.6640625" style="32" customWidth="1"/>
    <col min="11783" max="11784" width="9.109375" style="32"/>
    <col min="11785" max="11785" width="12.33203125" style="32" customWidth="1"/>
    <col min="11786" max="12033" width="9.109375" style="32"/>
    <col min="12034" max="12034" width="11.88671875" style="32" bestFit="1" customWidth="1"/>
    <col min="12035" max="12035" width="12.33203125" style="32" bestFit="1" customWidth="1"/>
    <col min="12036" max="12036" width="9.109375" style="32"/>
    <col min="12037" max="12037" width="0" style="32" hidden="1" customWidth="1"/>
    <col min="12038" max="12038" width="18.6640625" style="32" customWidth="1"/>
    <col min="12039" max="12040" width="9.109375" style="32"/>
    <col min="12041" max="12041" width="12.33203125" style="32" customWidth="1"/>
    <col min="12042" max="12289" width="9.109375" style="32"/>
    <col min="12290" max="12290" width="11.88671875" style="32" bestFit="1" customWidth="1"/>
    <col min="12291" max="12291" width="12.33203125" style="32" bestFit="1" customWidth="1"/>
    <col min="12292" max="12292" width="9.109375" style="32"/>
    <col min="12293" max="12293" width="0" style="32" hidden="1" customWidth="1"/>
    <col min="12294" max="12294" width="18.6640625" style="32" customWidth="1"/>
    <col min="12295" max="12296" width="9.109375" style="32"/>
    <col min="12297" max="12297" width="12.33203125" style="32" customWidth="1"/>
    <col min="12298" max="12545" width="9.109375" style="32"/>
    <col min="12546" max="12546" width="11.88671875" style="32" bestFit="1" customWidth="1"/>
    <col min="12547" max="12547" width="12.33203125" style="32" bestFit="1" customWidth="1"/>
    <col min="12548" max="12548" width="9.109375" style="32"/>
    <col min="12549" max="12549" width="0" style="32" hidden="1" customWidth="1"/>
    <col min="12550" max="12550" width="18.6640625" style="32" customWidth="1"/>
    <col min="12551" max="12552" width="9.109375" style="32"/>
    <col min="12553" max="12553" width="12.33203125" style="32" customWidth="1"/>
    <col min="12554" max="12801" width="9.109375" style="32"/>
    <col min="12802" max="12802" width="11.88671875" style="32" bestFit="1" customWidth="1"/>
    <col min="12803" max="12803" width="12.33203125" style="32" bestFit="1" customWidth="1"/>
    <col min="12804" max="12804" width="9.109375" style="32"/>
    <col min="12805" max="12805" width="0" style="32" hidden="1" customWidth="1"/>
    <col min="12806" max="12806" width="18.6640625" style="32" customWidth="1"/>
    <col min="12807" max="12808" width="9.109375" style="32"/>
    <col min="12809" max="12809" width="12.33203125" style="32" customWidth="1"/>
    <col min="12810" max="13057" width="9.109375" style="32"/>
    <col min="13058" max="13058" width="11.88671875" style="32" bestFit="1" customWidth="1"/>
    <col min="13059" max="13059" width="12.33203125" style="32" bestFit="1" customWidth="1"/>
    <col min="13060" max="13060" width="9.109375" style="32"/>
    <col min="13061" max="13061" width="0" style="32" hidden="1" customWidth="1"/>
    <col min="13062" max="13062" width="18.6640625" style="32" customWidth="1"/>
    <col min="13063" max="13064" width="9.109375" style="32"/>
    <col min="13065" max="13065" width="12.33203125" style="32" customWidth="1"/>
    <col min="13066" max="13313" width="9.109375" style="32"/>
    <col min="13314" max="13314" width="11.88671875" style="32" bestFit="1" customWidth="1"/>
    <col min="13315" max="13315" width="12.33203125" style="32" bestFit="1" customWidth="1"/>
    <col min="13316" max="13316" width="9.109375" style="32"/>
    <col min="13317" max="13317" width="0" style="32" hidden="1" customWidth="1"/>
    <col min="13318" max="13318" width="18.6640625" style="32" customWidth="1"/>
    <col min="13319" max="13320" width="9.109375" style="32"/>
    <col min="13321" max="13321" width="12.33203125" style="32" customWidth="1"/>
    <col min="13322" max="13569" width="9.109375" style="32"/>
    <col min="13570" max="13570" width="11.88671875" style="32" bestFit="1" customWidth="1"/>
    <col min="13571" max="13571" width="12.33203125" style="32" bestFit="1" customWidth="1"/>
    <col min="13572" max="13572" width="9.109375" style="32"/>
    <col min="13573" max="13573" width="0" style="32" hidden="1" customWidth="1"/>
    <col min="13574" max="13574" width="18.6640625" style="32" customWidth="1"/>
    <col min="13575" max="13576" width="9.109375" style="32"/>
    <col min="13577" max="13577" width="12.33203125" style="32" customWidth="1"/>
    <col min="13578" max="13825" width="9.109375" style="32"/>
    <col min="13826" max="13826" width="11.88671875" style="32" bestFit="1" customWidth="1"/>
    <col min="13827" max="13827" width="12.33203125" style="32" bestFit="1" customWidth="1"/>
    <col min="13828" max="13828" width="9.109375" style="32"/>
    <col min="13829" max="13829" width="0" style="32" hidden="1" customWidth="1"/>
    <col min="13830" max="13830" width="18.6640625" style="32" customWidth="1"/>
    <col min="13831" max="13832" width="9.109375" style="32"/>
    <col min="13833" max="13833" width="12.33203125" style="32" customWidth="1"/>
    <col min="13834" max="14081" width="9.109375" style="32"/>
    <col min="14082" max="14082" width="11.88671875" style="32" bestFit="1" customWidth="1"/>
    <col min="14083" max="14083" width="12.33203125" style="32" bestFit="1" customWidth="1"/>
    <col min="14084" max="14084" width="9.109375" style="32"/>
    <col min="14085" max="14085" width="0" style="32" hidden="1" customWidth="1"/>
    <col min="14086" max="14086" width="18.6640625" style="32" customWidth="1"/>
    <col min="14087" max="14088" width="9.109375" style="32"/>
    <col min="14089" max="14089" width="12.33203125" style="32" customWidth="1"/>
    <col min="14090" max="14337" width="9.109375" style="32"/>
    <col min="14338" max="14338" width="11.88671875" style="32" bestFit="1" customWidth="1"/>
    <col min="14339" max="14339" width="12.33203125" style="32" bestFit="1" customWidth="1"/>
    <col min="14340" max="14340" width="9.109375" style="32"/>
    <col min="14341" max="14341" width="0" style="32" hidden="1" customWidth="1"/>
    <col min="14342" max="14342" width="18.6640625" style="32" customWidth="1"/>
    <col min="14343" max="14344" width="9.109375" style="32"/>
    <col min="14345" max="14345" width="12.33203125" style="32" customWidth="1"/>
    <col min="14346" max="14593" width="9.109375" style="32"/>
    <col min="14594" max="14594" width="11.88671875" style="32" bestFit="1" customWidth="1"/>
    <col min="14595" max="14595" width="12.33203125" style="32" bestFit="1" customWidth="1"/>
    <col min="14596" max="14596" width="9.109375" style="32"/>
    <col min="14597" max="14597" width="0" style="32" hidden="1" customWidth="1"/>
    <col min="14598" max="14598" width="18.6640625" style="32" customWidth="1"/>
    <col min="14599" max="14600" width="9.109375" style="32"/>
    <col min="14601" max="14601" width="12.33203125" style="32" customWidth="1"/>
    <col min="14602" max="14849" width="9.109375" style="32"/>
    <col min="14850" max="14850" width="11.88671875" style="32" bestFit="1" customWidth="1"/>
    <col min="14851" max="14851" width="12.33203125" style="32" bestFit="1" customWidth="1"/>
    <col min="14852" max="14852" width="9.109375" style="32"/>
    <col min="14853" max="14853" width="0" style="32" hidden="1" customWidth="1"/>
    <col min="14854" max="14854" width="18.6640625" style="32" customWidth="1"/>
    <col min="14855" max="14856" width="9.109375" style="32"/>
    <col min="14857" max="14857" width="12.33203125" style="32" customWidth="1"/>
    <col min="14858" max="15105" width="9.109375" style="32"/>
    <col min="15106" max="15106" width="11.88671875" style="32" bestFit="1" customWidth="1"/>
    <col min="15107" max="15107" width="12.33203125" style="32" bestFit="1" customWidth="1"/>
    <col min="15108" max="15108" width="9.109375" style="32"/>
    <col min="15109" max="15109" width="0" style="32" hidden="1" customWidth="1"/>
    <col min="15110" max="15110" width="18.6640625" style="32" customWidth="1"/>
    <col min="15111" max="15112" width="9.109375" style="32"/>
    <col min="15113" max="15113" width="12.33203125" style="32" customWidth="1"/>
    <col min="15114" max="15361" width="9.109375" style="32"/>
    <col min="15362" max="15362" width="11.88671875" style="32" bestFit="1" customWidth="1"/>
    <col min="15363" max="15363" width="12.33203125" style="32" bestFit="1" customWidth="1"/>
    <col min="15364" max="15364" width="9.109375" style="32"/>
    <col min="15365" max="15365" width="0" style="32" hidden="1" customWidth="1"/>
    <col min="15366" max="15366" width="18.6640625" style="32" customWidth="1"/>
    <col min="15367" max="15368" width="9.109375" style="32"/>
    <col min="15369" max="15369" width="12.33203125" style="32" customWidth="1"/>
    <col min="15370" max="15617" width="9.109375" style="32"/>
    <col min="15618" max="15618" width="11.88671875" style="32" bestFit="1" customWidth="1"/>
    <col min="15619" max="15619" width="12.33203125" style="32" bestFit="1" customWidth="1"/>
    <col min="15620" max="15620" width="9.109375" style="32"/>
    <col min="15621" max="15621" width="0" style="32" hidden="1" customWidth="1"/>
    <col min="15622" max="15622" width="18.6640625" style="32" customWidth="1"/>
    <col min="15623" max="15624" width="9.109375" style="32"/>
    <col min="15625" max="15625" width="12.33203125" style="32" customWidth="1"/>
    <col min="15626" max="15873" width="9.109375" style="32"/>
    <col min="15874" max="15874" width="11.88671875" style="32" bestFit="1" customWidth="1"/>
    <col min="15875" max="15875" width="12.33203125" style="32" bestFit="1" customWidth="1"/>
    <col min="15876" max="15876" width="9.109375" style="32"/>
    <col min="15877" max="15877" width="0" style="32" hidden="1" customWidth="1"/>
    <col min="15878" max="15878" width="18.6640625" style="32" customWidth="1"/>
    <col min="15879" max="15880" width="9.109375" style="32"/>
    <col min="15881" max="15881" width="12.33203125" style="32" customWidth="1"/>
    <col min="15882" max="16129" width="9.109375" style="32"/>
    <col min="16130" max="16130" width="11.88671875" style="32" bestFit="1" customWidth="1"/>
    <col min="16131" max="16131" width="12.33203125" style="32" bestFit="1" customWidth="1"/>
    <col min="16132" max="16132" width="9.109375" style="32"/>
    <col min="16133" max="16133" width="0" style="32" hidden="1" customWidth="1"/>
    <col min="16134" max="16134" width="18.6640625" style="32" customWidth="1"/>
    <col min="16135" max="16136" width="9.109375" style="32"/>
    <col min="16137" max="16137" width="12.33203125" style="32" customWidth="1"/>
    <col min="16138" max="16384" width="9.109375" style="32"/>
  </cols>
  <sheetData>
    <row r="1" spans="1:14" x14ac:dyDescent="0.25">
      <c r="A1" s="32" t="s">
        <v>307</v>
      </c>
    </row>
    <row r="3" spans="1:14" ht="26.4" x14ac:dyDescent="0.25">
      <c r="B3" s="79" t="s">
        <v>52</v>
      </c>
      <c r="C3" s="80" t="s">
        <v>53</v>
      </c>
      <c r="D3" s="347" t="s">
        <v>309</v>
      </c>
      <c r="E3" s="347"/>
      <c r="F3" s="344" t="s">
        <v>54</v>
      </c>
      <c r="G3" s="347" t="s">
        <v>310</v>
      </c>
      <c r="H3" s="347"/>
      <c r="I3" s="81" t="s">
        <v>55</v>
      </c>
    </row>
    <row r="4" spans="1:14" x14ac:dyDescent="0.25">
      <c r="B4" s="82" t="s">
        <v>56</v>
      </c>
      <c r="C4" s="83" t="s">
        <v>57</v>
      </c>
      <c r="D4" s="84" t="s">
        <v>58</v>
      </c>
      <c r="E4" s="84" t="s">
        <v>59</v>
      </c>
      <c r="F4" s="83" t="s">
        <v>60</v>
      </c>
      <c r="G4" s="84" t="s">
        <v>58</v>
      </c>
      <c r="H4" s="84" t="s">
        <v>59</v>
      </c>
      <c r="I4" s="84" t="s">
        <v>61</v>
      </c>
    </row>
    <row r="5" spans="1:14" x14ac:dyDescent="0.25">
      <c r="B5" s="82"/>
      <c r="C5" s="83" t="s">
        <v>62</v>
      </c>
      <c r="D5" s="84" t="s">
        <v>62</v>
      </c>
      <c r="E5" s="84" t="s">
        <v>62</v>
      </c>
      <c r="F5" s="83" t="s">
        <v>63</v>
      </c>
      <c r="G5" s="84" t="s">
        <v>62</v>
      </c>
      <c r="H5" s="84" t="s">
        <v>62</v>
      </c>
      <c r="I5" s="84" t="s">
        <v>64</v>
      </c>
    </row>
    <row r="6" spans="1:14" x14ac:dyDescent="0.25">
      <c r="B6" s="82"/>
      <c r="C6" s="83" t="s">
        <v>65</v>
      </c>
      <c r="D6" s="84" t="s">
        <v>66</v>
      </c>
      <c r="E6" s="84" t="s">
        <v>66</v>
      </c>
      <c r="F6" s="83" t="s">
        <v>67</v>
      </c>
      <c r="G6" s="84" t="s">
        <v>66</v>
      </c>
      <c r="H6" s="84" t="s">
        <v>66</v>
      </c>
      <c r="I6" s="84" t="s">
        <v>68</v>
      </c>
    </row>
    <row r="7" spans="1:14" ht="19.5" customHeight="1" x14ac:dyDescent="0.25">
      <c r="B7" s="348" t="s">
        <v>69</v>
      </c>
      <c r="C7" s="349" t="s">
        <v>70</v>
      </c>
      <c r="D7" s="85" t="s">
        <v>71</v>
      </c>
      <c r="E7" s="85" t="s">
        <v>72</v>
      </c>
      <c r="F7" s="349" t="s">
        <v>73</v>
      </c>
      <c r="G7" s="85" t="s">
        <v>74</v>
      </c>
      <c r="H7" s="85" t="s">
        <v>75</v>
      </c>
      <c r="I7" s="85" t="s">
        <v>76</v>
      </c>
    </row>
    <row r="8" spans="1:14" x14ac:dyDescent="0.25">
      <c r="B8" s="86"/>
      <c r="C8" s="86"/>
      <c r="D8" s="86"/>
      <c r="E8" s="339"/>
      <c r="F8" s="82"/>
      <c r="G8" s="86"/>
      <c r="H8" s="86"/>
      <c r="I8" s="86"/>
    </row>
    <row r="9" spans="1:14" x14ac:dyDescent="0.25">
      <c r="B9" s="88"/>
      <c r="C9" s="89"/>
      <c r="D9" s="89"/>
      <c r="E9" s="340"/>
      <c r="F9" s="345"/>
      <c r="G9" s="89"/>
      <c r="H9" s="90"/>
      <c r="I9" s="90"/>
      <c r="J9" s="90"/>
    </row>
    <row r="10" spans="1:14" x14ac:dyDescent="0.25">
      <c r="B10" s="112">
        <v>42278</v>
      </c>
      <c r="C10" s="341">
        <f>SAP!K4</f>
        <v>690.45370091639177</v>
      </c>
      <c r="D10" s="127">
        <f>'2015IntRates'!$E$36/100</f>
        <v>1.6000000000000001E-3</v>
      </c>
      <c r="E10" s="97">
        <f t="shared" ref="E10:E21" si="0">+D10/12</f>
        <v>1.3333333333333334E-4</v>
      </c>
      <c r="F10" s="346">
        <f>-'Balance Calculation'!H5</f>
        <v>5178406.5269199172</v>
      </c>
      <c r="G10" s="127">
        <f>'2016IntRates'!$M$4/100</f>
        <v>8.0000000000000002E-3</v>
      </c>
      <c r="H10" s="93">
        <f t="shared" ref="H10:H21" si="1">+G10/12</f>
        <v>6.6666666666666664E-4</v>
      </c>
      <c r="I10" s="94">
        <f t="shared" ref="I10:I21" si="2">+F10*H10</f>
        <v>3452.2710179466112</v>
      </c>
      <c r="J10" s="90"/>
      <c r="K10" s="241">
        <f>+F10*E10</f>
        <v>690.45420358932233</v>
      </c>
      <c r="L10" s="40">
        <f>+I10-K10</f>
        <v>2761.8168143572889</v>
      </c>
    </row>
    <row r="11" spans="1:14" x14ac:dyDescent="0.25">
      <c r="B11" s="112">
        <v>42309</v>
      </c>
      <c r="C11" s="341">
        <f>SAP!K5</f>
        <v>719.7207635773708</v>
      </c>
      <c r="D11" s="127">
        <f>'2015IntRates'!$E$36/100</f>
        <v>1.6000000000000001E-3</v>
      </c>
      <c r="E11" s="97">
        <f t="shared" si="0"/>
        <v>1.3333333333333334E-4</v>
      </c>
      <c r="F11" s="346">
        <f>-'Balance Calculation'!H6</f>
        <v>5397910.3006380107</v>
      </c>
      <c r="G11" s="127">
        <f>+G10</f>
        <v>8.0000000000000002E-3</v>
      </c>
      <c r="H11" s="91">
        <f t="shared" si="1"/>
        <v>6.6666666666666664E-4</v>
      </c>
      <c r="I11" s="95">
        <f t="shared" si="2"/>
        <v>3598.6068670920072</v>
      </c>
      <c r="J11" s="90"/>
      <c r="K11" s="241">
        <f t="shared" ref="K11:K12" si="3">+F11*E11</f>
        <v>719.72137341840141</v>
      </c>
      <c r="L11" s="40">
        <f t="shared" ref="L11:L21" si="4">+I11-K11</f>
        <v>2878.8854936736057</v>
      </c>
    </row>
    <row r="12" spans="1:14" x14ac:dyDescent="0.25">
      <c r="B12" s="112">
        <v>42339</v>
      </c>
      <c r="C12" s="341">
        <f>SAP!K6</f>
        <v>739.55054734464647</v>
      </c>
      <c r="D12" s="127">
        <f>'2015IntRates'!$E$36/100</f>
        <v>1.6000000000000001E-3</v>
      </c>
      <c r="E12" s="97">
        <f t="shared" si="0"/>
        <v>1.3333333333333334E-4</v>
      </c>
      <c r="F12" s="346">
        <f>-'Balance Calculation'!H7</f>
        <v>5546629.9077400118</v>
      </c>
      <c r="G12" s="127">
        <f t="shared" ref="G12:G21" si="5">+G11</f>
        <v>8.0000000000000002E-3</v>
      </c>
      <c r="H12" s="91">
        <f t="shared" si="1"/>
        <v>6.6666666666666664E-4</v>
      </c>
      <c r="I12" s="95">
        <f t="shared" si="2"/>
        <v>3697.7532718266743</v>
      </c>
      <c r="J12" s="90"/>
      <c r="K12" s="241">
        <f t="shared" si="3"/>
        <v>739.55065436533494</v>
      </c>
      <c r="L12" s="40">
        <f t="shared" si="4"/>
        <v>2958.2026174613393</v>
      </c>
    </row>
    <row r="13" spans="1:14" x14ac:dyDescent="0.25">
      <c r="B13" s="112">
        <v>42370</v>
      </c>
      <c r="C13" s="341">
        <f>SAP!K7</f>
        <v>1505.5113240956646</v>
      </c>
      <c r="D13" s="91">
        <f>'2016IntRates'!$F$36/100</f>
        <v>4.8999999999999998E-3</v>
      </c>
      <c r="E13" s="97">
        <f t="shared" si="0"/>
        <v>4.083333333333333E-4</v>
      </c>
      <c r="F13" s="346">
        <f>-'Balance Calculation'!H8</f>
        <v>5651368.2341060583</v>
      </c>
      <c r="G13" s="127">
        <f t="shared" si="5"/>
        <v>8.0000000000000002E-3</v>
      </c>
      <c r="H13" s="91">
        <f t="shared" si="1"/>
        <v>6.6666666666666664E-4</v>
      </c>
      <c r="I13" s="95">
        <f t="shared" si="2"/>
        <v>3767.5788227373719</v>
      </c>
      <c r="J13" s="90"/>
      <c r="K13" s="241">
        <f>+C13</f>
        <v>1505.5113240956646</v>
      </c>
      <c r="L13" s="40">
        <f t="shared" si="4"/>
        <v>2262.0674986417071</v>
      </c>
      <c r="M13" s="32">
        <f>+$F$14*E14/31*16</f>
        <v>1221.1928136507083</v>
      </c>
      <c r="N13" s="32">
        <f>+$F$14*H14/31*15</f>
        <v>1869.1726739551661</v>
      </c>
    </row>
    <row r="14" spans="1:14" x14ac:dyDescent="0.25">
      <c r="B14" s="112">
        <v>42401</v>
      </c>
      <c r="C14" s="341">
        <f>SAP!K8</f>
        <v>2366.0615845661873</v>
      </c>
      <c r="D14" s="127">
        <f>+D13</f>
        <v>4.8999999999999998E-3</v>
      </c>
      <c r="E14" s="97">
        <f t="shared" si="0"/>
        <v>4.083333333333333E-4</v>
      </c>
      <c r="F14" s="346">
        <f>-'Balance Calculation'!H9</f>
        <v>5794435.2892610151</v>
      </c>
      <c r="G14" s="127">
        <f t="shared" si="5"/>
        <v>8.0000000000000002E-3</v>
      </c>
      <c r="H14" s="91">
        <f t="shared" si="1"/>
        <v>6.6666666666666664E-4</v>
      </c>
      <c r="I14" s="95">
        <f t="shared" si="2"/>
        <v>3862.9568595073433</v>
      </c>
      <c r="J14" s="90"/>
      <c r="K14" s="241">
        <f>+F14*H14</f>
        <v>3862.9568595073433</v>
      </c>
      <c r="L14" s="40">
        <f t="shared" si="4"/>
        <v>0</v>
      </c>
    </row>
    <row r="15" spans="1:14" x14ac:dyDescent="0.25">
      <c r="B15" s="112">
        <v>42430</v>
      </c>
      <c r="C15" s="341">
        <f>SAP!K9</f>
        <v>2455.3022450326771</v>
      </c>
      <c r="D15" s="127">
        <f t="shared" ref="D15:D21" si="6">+D14</f>
        <v>4.8999999999999998E-3</v>
      </c>
      <c r="E15" s="97">
        <f t="shared" si="0"/>
        <v>4.083333333333333E-4</v>
      </c>
      <c r="F15" s="346">
        <f>-'Balance Calculation'!H10</f>
        <v>6012984.2880781731</v>
      </c>
      <c r="G15" s="127">
        <f t="shared" si="5"/>
        <v>8.0000000000000002E-3</v>
      </c>
      <c r="H15" s="91">
        <f t="shared" si="1"/>
        <v>6.6666666666666664E-4</v>
      </c>
      <c r="I15" s="95">
        <f t="shared" si="2"/>
        <v>4008.6561920521153</v>
      </c>
      <c r="J15" s="90"/>
      <c r="K15" s="241">
        <f>+F15*H15</f>
        <v>4008.6561920521153</v>
      </c>
      <c r="L15" s="40">
        <f t="shared" si="4"/>
        <v>0</v>
      </c>
    </row>
    <row r="16" spans="1:14" x14ac:dyDescent="0.25">
      <c r="B16" s="112">
        <v>42461</v>
      </c>
      <c r="C16" s="341">
        <f>SAP!K17</f>
        <v>2553.4738261766897</v>
      </c>
      <c r="D16" s="127">
        <f t="shared" si="6"/>
        <v>4.8999999999999998E-3</v>
      </c>
      <c r="E16" s="97">
        <f t="shared" si="0"/>
        <v>4.083333333333333E-4</v>
      </c>
      <c r="F16" s="346">
        <f>-'Balance Calculation'!H11</f>
        <v>6253404.5599473584</v>
      </c>
      <c r="G16" s="127">
        <f t="shared" si="5"/>
        <v>8.0000000000000002E-3</v>
      </c>
      <c r="H16" s="91">
        <f t="shared" si="1"/>
        <v>6.6666666666666664E-4</v>
      </c>
      <c r="I16" s="95">
        <f t="shared" si="2"/>
        <v>4168.9363732982392</v>
      </c>
      <c r="J16" s="90"/>
      <c r="K16" s="241">
        <f t="shared" ref="K16:K21" si="7">+F16*H16</f>
        <v>4168.9363732982392</v>
      </c>
      <c r="L16" s="40">
        <f t="shared" si="4"/>
        <v>0</v>
      </c>
    </row>
    <row r="17" spans="2:14" x14ac:dyDescent="0.25">
      <c r="B17" s="112">
        <v>42491</v>
      </c>
      <c r="C17" s="341">
        <f>SAP!K10</f>
        <v>2664.7576528314012</v>
      </c>
      <c r="D17" s="127">
        <f t="shared" si="6"/>
        <v>4.8999999999999998E-3</v>
      </c>
      <c r="E17" s="97">
        <f t="shared" si="0"/>
        <v>4.083333333333333E-4</v>
      </c>
      <c r="F17" s="346">
        <f>-'Balance Calculation'!H12</f>
        <v>6525937.4452308305</v>
      </c>
      <c r="G17" s="127">
        <f t="shared" si="5"/>
        <v>8.0000000000000002E-3</v>
      </c>
      <c r="H17" s="91">
        <f t="shared" si="1"/>
        <v>6.6666666666666664E-4</v>
      </c>
      <c r="I17" s="95">
        <f t="shared" si="2"/>
        <v>4350.6249634872202</v>
      </c>
      <c r="J17" s="90"/>
      <c r="K17" s="241">
        <f t="shared" si="7"/>
        <v>4350.6249634872202</v>
      </c>
      <c r="L17" s="40">
        <f t="shared" si="4"/>
        <v>0</v>
      </c>
    </row>
    <row r="18" spans="2:14" x14ac:dyDescent="0.25">
      <c r="B18" s="112">
        <v>42522</v>
      </c>
      <c r="C18" s="341">
        <f>SAP!K11</f>
        <v>2791.1194562377905</v>
      </c>
      <c r="D18" s="127">
        <f t="shared" si="6"/>
        <v>4.8999999999999998E-3</v>
      </c>
      <c r="E18" s="97">
        <f t="shared" si="0"/>
        <v>4.083333333333333E-4</v>
      </c>
      <c r="F18" s="346">
        <f>-'Balance Calculation'!H13</f>
        <v>6835395.3215582268</v>
      </c>
      <c r="G18" s="127">
        <f t="shared" si="5"/>
        <v>8.0000000000000002E-3</v>
      </c>
      <c r="H18" s="91">
        <f t="shared" si="1"/>
        <v>6.6666666666666664E-4</v>
      </c>
      <c r="I18" s="95">
        <f t="shared" si="2"/>
        <v>4556.9302143721507</v>
      </c>
      <c r="J18" s="90"/>
      <c r="K18" s="241">
        <f t="shared" si="7"/>
        <v>4556.9302143721507</v>
      </c>
      <c r="L18" s="40">
        <f t="shared" si="4"/>
        <v>0</v>
      </c>
    </row>
    <row r="19" spans="2:14" x14ac:dyDescent="0.25">
      <c r="B19" s="112">
        <v>42552</v>
      </c>
      <c r="C19" s="341">
        <f>SAP!K12</f>
        <v>2895.8405266234035</v>
      </c>
      <c r="D19" s="127">
        <f t="shared" si="6"/>
        <v>4.8999999999999998E-3</v>
      </c>
      <c r="E19" s="97">
        <f t="shared" si="0"/>
        <v>4.083333333333333E-4</v>
      </c>
      <c r="F19" s="346">
        <f>-'Balance Calculation'!H14</f>
        <v>7091855.666268033</v>
      </c>
      <c r="G19" s="127">
        <f t="shared" si="5"/>
        <v>8.0000000000000002E-3</v>
      </c>
      <c r="H19" s="91">
        <f t="shared" si="1"/>
        <v>6.6666666666666664E-4</v>
      </c>
      <c r="I19" s="95">
        <f t="shared" si="2"/>
        <v>4727.9037775120214</v>
      </c>
      <c r="J19" s="90"/>
      <c r="K19" s="241">
        <f t="shared" si="7"/>
        <v>4727.9037775120214</v>
      </c>
      <c r="L19" s="40">
        <f t="shared" si="4"/>
        <v>0</v>
      </c>
    </row>
    <row r="20" spans="2:14" x14ac:dyDescent="0.25">
      <c r="B20" s="112">
        <v>42583</v>
      </c>
      <c r="C20" s="341">
        <f>SAP!K13</f>
        <v>2997.7136084394074</v>
      </c>
      <c r="D20" s="127">
        <f t="shared" si="6"/>
        <v>4.8999999999999998E-3</v>
      </c>
      <c r="E20" s="97">
        <f t="shared" si="0"/>
        <v>4.083333333333333E-4</v>
      </c>
      <c r="F20" s="346">
        <f>-'Balance Calculation'!H15</f>
        <v>7341339.1520850258</v>
      </c>
      <c r="G20" s="127">
        <f t="shared" si="5"/>
        <v>8.0000000000000002E-3</v>
      </c>
      <c r="H20" s="91">
        <f t="shared" si="1"/>
        <v>6.6666666666666664E-4</v>
      </c>
      <c r="I20" s="95">
        <f t="shared" si="2"/>
        <v>4894.226101390017</v>
      </c>
      <c r="J20" s="90"/>
      <c r="K20" s="241">
        <f t="shared" si="7"/>
        <v>4894.226101390017</v>
      </c>
      <c r="L20" s="40">
        <f t="shared" si="4"/>
        <v>0</v>
      </c>
    </row>
    <row r="21" spans="2:14" x14ac:dyDescent="0.25">
      <c r="B21" s="112">
        <v>42614</v>
      </c>
      <c r="C21" s="341">
        <f>SAP!K14</f>
        <v>3093.2118835425376</v>
      </c>
      <c r="D21" s="127">
        <f t="shared" si="6"/>
        <v>4.8999999999999998E-3</v>
      </c>
      <c r="E21" s="97">
        <f t="shared" si="0"/>
        <v>4.083333333333333E-4</v>
      </c>
      <c r="F21" s="346">
        <f>-'Balance Calculation'!H16</f>
        <v>7575214.33715457</v>
      </c>
      <c r="G21" s="127">
        <f t="shared" si="5"/>
        <v>8.0000000000000002E-3</v>
      </c>
      <c r="H21" s="91">
        <f t="shared" si="1"/>
        <v>6.6666666666666664E-4</v>
      </c>
      <c r="I21" s="95">
        <f t="shared" si="2"/>
        <v>5050.1428914363796</v>
      </c>
      <c r="J21" s="90"/>
      <c r="K21" s="241">
        <f t="shared" si="7"/>
        <v>5050.1428914363796</v>
      </c>
      <c r="L21" s="40">
        <f t="shared" si="4"/>
        <v>0</v>
      </c>
    </row>
    <row r="22" spans="2:14" x14ac:dyDescent="0.25">
      <c r="B22" s="96"/>
      <c r="C22" s="332"/>
      <c r="D22" s="91"/>
      <c r="E22" s="91"/>
      <c r="F22" s="91"/>
      <c r="G22" s="91"/>
      <c r="H22" s="91"/>
      <c r="I22" s="97"/>
      <c r="J22" s="90"/>
      <c r="L22" s="40"/>
    </row>
    <row r="23" spans="2:14" x14ac:dyDescent="0.25">
      <c r="B23" s="98" t="s">
        <v>77</v>
      </c>
      <c r="C23" s="342">
        <f>SUM(C10:C21)</f>
        <v>25472.717119384171</v>
      </c>
      <c r="D23" s="99"/>
      <c r="E23" s="99"/>
      <c r="F23" s="99"/>
      <c r="G23" s="100"/>
      <c r="H23" s="100"/>
      <c r="I23" s="343">
        <f>SUM(I10:I22)</f>
        <v>50136.587352658156</v>
      </c>
      <c r="L23" s="40">
        <f>SUM(L10:L22)</f>
        <v>10860.972424133941</v>
      </c>
      <c r="M23" s="335">
        <f>+C23+L23</f>
        <v>36333.689543518114</v>
      </c>
      <c r="N23" s="336" t="s">
        <v>20</v>
      </c>
    </row>
    <row r="24" spans="2:14" x14ac:dyDescent="0.25">
      <c r="G24" s="90"/>
      <c r="H24" s="90"/>
    </row>
    <row r="25" spans="2:14" x14ac:dyDescent="0.25">
      <c r="G25" s="90"/>
      <c r="H25" s="90"/>
      <c r="I25" s="122"/>
    </row>
    <row r="26" spans="2:14" x14ac:dyDescent="0.25">
      <c r="G26" s="90"/>
      <c r="H26" s="90"/>
    </row>
    <row r="30" spans="2:14" x14ac:dyDescent="0.25">
      <c r="F30" s="102"/>
    </row>
  </sheetData>
  <pageMargins left="0.75" right="0.75" top="0.82" bottom="0.76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xSplit="2" ySplit="7" topLeftCell="C8" activePane="bottomRight" state="frozen"/>
      <selection activeCell="J1" sqref="J1"/>
      <selection pane="topRight" activeCell="J1" sqref="J1"/>
      <selection pane="bottomLeft" activeCell="J1" sqref="J1"/>
      <selection pane="bottomRight" activeCell="G10" sqref="G10"/>
    </sheetView>
  </sheetViews>
  <sheetFormatPr defaultRowHeight="13.2" x14ac:dyDescent="0.25"/>
  <cols>
    <col min="1" max="1" width="4.109375" style="32" customWidth="1"/>
    <col min="2" max="2" width="12.44140625" style="32" customWidth="1"/>
    <col min="3" max="3" width="11.33203125" style="32" customWidth="1"/>
    <col min="4" max="4" width="8.109375" style="32" customWidth="1"/>
    <col min="5" max="5" width="9.109375" style="32" customWidth="1"/>
    <col min="6" max="6" width="15.109375" style="32" customWidth="1"/>
    <col min="7" max="8" width="9.109375" style="32"/>
    <col min="9" max="9" width="12.44140625" style="32" bestFit="1" customWidth="1"/>
    <col min="10" max="10" width="9.109375" style="32"/>
    <col min="11" max="11" width="14.5546875" style="32" customWidth="1"/>
    <col min="12" max="12" width="14" style="32" bestFit="1" customWidth="1"/>
    <col min="13" max="13" width="11.33203125" style="32" bestFit="1" customWidth="1"/>
    <col min="14" max="257" width="9.109375" style="32"/>
    <col min="258" max="258" width="11.88671875" style="32" bestFit="1" customWidth="1"/>
    <col min="259" max="259" width="12.33203125" style="32" bestFit="1" customWidth="1"/>
    <col min="260" max="260" width="9.109375" style="32"/>
    <col min="261" max="261" width="0" style="32" hidden="1" customWidth="1"/>
    <col min="262" max="262" width="18.6640625" style="32" customWidth="1"/>
    <col min="263" max="264" width="9.109375" style="32"/>
    <col min="265" max="265" width="12.33203125" style="32" customWidth="1"/>
    <col min="266" max="513" width="9.109375" style="32"/>
    <col min="514" max="514" width="11.88671875" style="32" bestFit="1" customWidth="1"/>
    <col min="515" max="515" width="12.33203125" style="32" bestFit="1" customWidth="1"/>
    <col min="516" max="516" width="9.109375" style="32"/>
    <col min="517" max="517" width="0" style="32" hidden="1" customWidth="1"/>
    <col min="518" max="518" width="18.6640625" style="32" customWidth="1"/>
    <col min="519" max="520" width="9.109375" style="32"/>
    <col min="521" max="521" width="12.33203125" style="32" customWidth="1"/>
    <col min="522" max="769" width="9.109375" style="32"/>
    <col min="770" max="770" width="11.88671875" style="32" bestFit="1" customWidth="1"/>
    <col min="771" max="771" width="12.33203125" style="32" bestFit="1" customWidth="1"/>
    <col min="772" max="772" width="9.109375" style="32"/>
    <col min="773" max="773" width="0" style="32" hidden="1" customWidth="1"/>
    <col min="774" max="774" width="18.6640625" style="32" customWidth="1"/>
    <col min="775" max="776" width="9.109375" style="32"/>
    <col min="777" max="777" width="12.33203125" style="32" customWidth="1"/>
    <col min="778" max="1025" width="9.109375" style="32"/>
    <col min="1026" max="1026" width="11.88671875" style="32" bestFit="1" customWidth="1"/>
    <col min="1027" max="1027" width="12.33203125" style="32" bestFit="1" customWidth="1"/>
    <col min="1028" max="1028" width="9.109375" style="32"/>
    <col min="1029" max="1029" width="0" style="32" hidden="1" customWidth="1"/>
    <col min="1030" max="1030" width="18.6640625" style="32" customWidth="1"/>
    <col min="1031" max="1032" width="9.109375" style="32"/>
    <col min="1033" max="1033" width="12.33203125" style="32" customWidth="1"/>
    <col min="1034" max="1281" width="9.109375" style="32"/>
    <col min="1282" max="1282" width="11.88671875" style="32" bestFit="1" customWidth="1"/>
    <col min="1283" max="1283" width="12.33203125" style="32" bestFit="1" customWidth="1"/>
    <col min="1284" max="1284" width="9.109375" style="32"/>
    <col min="1285" max="1285" width="0" style="32" hidden="1" customWidth="1"/>
    <col min="1286" max="1286" width="18.6640625" style="32" customWidth="1"/>
    <col min="1287" max="1288" width="9.109375" style="32"/>
    <col min="1289" max="1289" width="12.33203125" style="32" customWidth="1"/>
    <col min="1290" max="1537" width="9.109375" style="32"/>
    <col min="1538" max="1538" width="11.88671875" style="32" bestFit="1" customWidth="1"/>
    <col min="1539" max="1539" width="12.33203125" style="32" bestFit="1" customWidth="1"/>
    <col min="1540" max="1540" width="9.109375" style="32"/>
    <col min="1541" max="1541" width="0" style="32" hidden="1" customWidth="1"/>
    <col min="1542" max="1542" width="18.6640625" style="32" customWidth="1"/>
    <col min="1543" max="1544" width="9.109375" style="32"/>
    <col min="1545" max="1545" width="12.33203125" style="32" customWidth="1"/>
    <col min="1546" max="1793" width="9.109375" style="32"/>
    <col min="1794" max="1794" width="11.88671875" style="32" bestFit="1" customWidth="1"/>
    <col min="1795" max="1795" width="12.33203125" style="32" bestFit="1" customWidth="1"/>
    <col min="1796" max="1796" width="9.109375" style="32"/>
    <col min="1797" max="1797" width="0" style="32" hidden="1" customWidth="1"/>
    <col min="1798" max="1798" width="18.6640625" style="32" customWidth="1"/>
    <col min="1799" max="1800" width="9.109375" style="32"/>
    <col min="1801" max="1801" width="12.33203125" style="32" customWidth="1"/>
    <col min="1802" max="2049" width="9.109375" style="32"/>
    <col min="2050" max="2050" width="11.88671875" style="32" bestFit="1" customWidth="1"/>
    <col min="2051" max="2051" width="12.33203125" style="32" bestFit="1" customWidth="1"/>
    <col min="2052" max="2052" width="9.109375" style="32"/>
    <col min="2053" max="2053" width="0" style="32" hidden="1" customWidth="1"/>
    <col min="2054" max="2054" width="18.6640625" style="32" customWidth="1"/>
    <col min="2055" max="2056" width="9.109375" style="32"/>
    <col min="2057" max="2057" width="12.33203125" style="32" customWidth="1"/>
    <col min="2058" max="2305" width="9.109375" style="32"/>
    <col min="2306" max="2306" width="11.88671875" style="32" bestFit="1" customWidth="1"/>
    <col min="2307" max="2307" width="12.33203125" style="32" bestFit="1" customWidth="1"/>
    <col min="2308" max="2308" width="9.109375" style="32"/>
    <col min="2309" max="2309" width="0" style="32" hidden="1" customWidth="1"/>
    <col min="2310" max="2310" width="18.6640625" style="32" customWidth="1"/>
    <col min="2311" max="2312" width="9.109375" style="32"/>
    <col min="2313" max="2313" width="12.33203125" style="32" customWidth="1"/>
    <col min="2314" max="2561" width="9.109375" style="32"/>
    <col min="2562" max="2562" width="11.88671875" style="32" bestFit="1" customWidth="1"/>
    <col min="2563" max="2563" width="12.33203125" style="32" bestFit="1" customWidth="1"/>
    <col min="2564" max="2564" width="9.109375" style="32"/>
    <col min="2565" max="2565" width="0" style="32" hidden="1" customWidth="1"/>
    <col min="2566" max="2566" width="18.6640625" style="32" customWidth="1"/>
    <col min="2567" max="2568" width="9.109375" style="32"/>
    <col min="2569" max="2569" width="12.33203125" style="32" customWidth="1"/>
    <col min="2570" max="2817" width="9.109375" style="32"/>
    <col min="2818" max="2818" width="11.88671875" style="32" bestFit="1" customWidth="1"/>
    <col min="2819" max="2819" width="12.33203125" style="32" bestFit="1" customWidth="1"/>
    <col min="2820" max="2820" width="9.109375" style="32"/>
    <col min="2821" max="2821" width="0" style="32" hidden="1" customWidth="1"/>
    <col min="2822" max="2822" width="18.6640625" style="32" customWidth="1"/>
    <col min="2823" max="2824" width="9.109375" style="32"/>
    <col min="2825" max="2825" width="12.33203125" style="32" customWidth="1"/>
    <col min="2826" max="3073" width="9.109375" style="32"/>
    <col min="3074" max="3074" width="11.88671875" style="32" bestFit="1" customWidth="1"/>
    <col min="3075" max="3075" width="12.33203125" style="32" bestFit="1" customWidth="1"/>
    <col min="3076" max="3076" width="9.109375" style="32"/>
    <col min="3077" max="3077" width="0" style="32" hidden="1" customWidth="1"/>
    <col min="3078" max="3078" width="18.6640625" style="32" customWidth="1"/>
    <col min="3079" max="3080" width="9.109375" style="32"/>
    <col min="3081" max="3081" width="12.33203125" style="32" customWidth="1"/>
    <col min="3082" max="3329" width="9.109375" style="32"/>
    <col min="3330" max="3330" width="11.88671875" style="32" bestFit="1" customWidth="1"/>
    <col min="3331" max="3331" width="12.33203125" style="32" bestFit="1" customWidth="1"/>
    <col min="3332" max="3332" width="9.109375" style="32"/>
    <col min="3333" max="3333" width="0" style="32" hidden="1" customWidth="1"/>
    <col min="3334" max="3334" width="18.6640625" style="32" customWidth="1"/>
    <col min="3335" max="3336" width="9.109375" style="32"/>
    <col min="3337" max="3337" width="12.33203125" style="32" customWidth="1"/>
    <col min="3338" max="3585" width="9.109375" style="32"/>
    <col min="3586" max="3586" width="11.88671875" style="32" bestFit="1" customWidth="1"/>
    <col min="3587" max="3587" width="12.33203125" style="32" bestFit="1" customWidth="1"/>
    <col min="3588" max="3588" width="9.109375" style="32"/>
    <col min="3589" max="3589" width="0" style="32" hidden="1" customWidth="1"/>
    <col min="3590" max="3590" width="18.6640625" style="32" customWidth="1"/>
    <col min="3591" max="3592" width="9.109375" style="32"/>
    <col min="3593" max="3593" width="12.33203125" style="32" customWidth="1"/>
    <col min="3594" max="3841" width="9.109375" style="32"/>
    <col min="3842" max="3842" width="11.88671875" style="32" bestFit="1" customWidth="1"/>
    <col min="3843" max="3843" width="12.33203125" style="32" bestFit="1" customWidth="1"/>
    <col min="3844" max="3844" width="9.109375" style="32"/>
    <col min="3845" max="3845" width="0" style="32" hidden="1" customWidth="1"/>
    <col min="3846" max="3846" width="18.6640625" style="32" customWidth="1"/>
    <col min="3847" max="3848" width="9.109375" style="32"/>
    <col min="3849" max="3849" width="12.33203125" style="32" customWidth="1"/>
    <col min="3850" max="4097" width="9.109375" style="32"/>
    <col min="4098" max="4098" width="11.88671875" style="32" bestFit="1" customWidth="1"/>
    <col min="4099" max="4099" width="12.33203125" style="32" bestFit="1" customWidth="1"/>
    <col min="4100" max="4100" width="9.109375" style="32"/>
    <col min="4101" max="4101" width="0" style="32" hidden="1" customWidth="1"/>
    <col min="4102" max="4102" width="18.6640625" style="32" customWidth="1"/>
    <col min="4103" max="4104" width="9.109375" style="32"/>
    <col min="4105" max="4105" width="12.33203125" style="32" customWidth="1"/>
    <col min="4106" max="4353" width="9.109375" style="32"/>
    <col min="4354" max="4354" width="11.88671875" style="32" bestFit="1" customWidth="1"/>
    <col min="4355" max="4355" width="12.33203125" style="32" bestFit="1" customWidth="1"/>
    <col min="4356" max="4356" width="9.109375" style="32"/>
    <col min="4357" max="4357" width="0" style="32" hidden="1" customWidth="1"/>
    <col min="4358" max="4358" width="18.6640625" style="32" customWidth="1"/>
    <col min="4359" max="4360" width="9.109375" style="32"/>
    <col min="4361" max="4361" width="12.33203125" style="32" customWidth="1"/>
    <col min="4362" max="4609" width="9.109375" style="32"/>
    <col min="4610" max="4610" width="11.88671875" style="32" bestFit="1" customWidth="1"/>
    <col min="4611" max="4611" width="12.33203125" style="32" bestFit="1" customWidth="1"/>
    <col min="4612" max="4612" width="9.109375" style="32"/>
    <col min="4613" max="4613" width="0" style="32" hidden="1" customWidth="1"/>
    <col min="4614" max="4614" width="18.6640625" style="32" customWidth="1"/>
    <col min="4615" max="4616" width="9.109375" style="32"/>
    <col min="4617" max="4617" width="12.33203125" style="32" customWidth="1"/>
    <col min="4618" max="4865" width="9.109375" style="32"/>
    <col min="4866" max="4866" width="11.88671875" style="32" bestFit="1" customWidth="1"/>
    <col min="4867" max="4867" width="12.33203125" style="32" bestFit="1" customWidth="1"/>
    <col min="4868" max="4868" width="9.109375" style="32"/>
    <col min="4869" max="4869" width="0" style="32" hidden="1" customWidth="1"/>
    <col min="4870" max="4870" width="18.6640625" style="32" customWidth="1"/>
    <col min="4871" max="4872" width="9.109375" style="32"/>
    <col min="4873" max="4873" width="12.33203125" style="32" customWidth="1"/>
    <col min="4874" max="5121" width="9.109375" style="32"/>
    <col min="5122" max="5122" width="11.88671875" style="32" bestFit="1" customWidth="1"/>
    <col min="5123" max="5123" width="12.33203125" style="32" bestFit="1" customWidth="1"/>
    <col min="5124" max="5124" width="9.109375" style="32"/>
    <col min="5125" max="5125" width="0" style="32" hidden="1" customWidth="1"/>
    <col min="5126" max="5126" width="18.6640625" style="32" customWidth="1"/>
    <col min="5127" max="5128" width="9.109375" style="32"/>
    <col min="5129" max="5129" width="12.33203125" style="32" customWidth="1"/>
    <col min="5130" max="5377" width="9.109375" style="32"/>
    <col min="5378" max="5378" width="11.88671875" style="32" bestFit="1" customWidth="1"/>
    <col min="5379" max="5379" width="12.33203125" style="32" bestFit="1" customWidth="1"/>
    <col min="5380" max="5380" width="9.109375" style="32"/>
    <col min="5381" max="5381" width="0" style="32" hidden="1" customWidth="1"/>
    <col min="5382" max="5382" width="18.6640625" style="32" customWidth="1"/>
    <col min="5383" max="5384" width="9.109375" style="32"/>
    <col min="5385" max="5385" width="12.33203125" style="32" customWidth="1"/>
    <col min="5386" max="5633" width="9.109375" style="32"/>
    <col min="5634" max="5634" width="11.88671875" style="32" bestFit="1" customWidth="1"/>
    <col min="5635" max="5635" width="12.33203125" style="32" bestFit="1" customWidth="1"/>
    <col min="5636" max="5636" width="9.109375" style="32"/>
    <col min="5637" max="5637" width="0" style="32" hidden="1" customWidth="1"/>
    <col min="5638" max="5638" width="18.6640625" style="32" customWidth="1"/>
    <col min="5639" max="5640" width="9.109375" style="32"/>
    <col min="5641" max="5641" width="12.33203125" style="32" customWidth="1"/>
    <col min="5642" max="5889" width="9.109375" style="32"/>
    <col min="5890" max="5890" width="11.88671875" style="32" bestFit="1" customWidth="1"/>
    <col min="5891" max="5891" width="12.33203125" style="32" bestFit="1" customWidth="1"/>
    <col min="5892" max="5892" width="9.109375" style="32"/>
    <col min="5893" max="5893" width="0" style="32" hidden="1" customWidth="1"/>
    <col min="5894" max="5894" width="18.6640625" style="32" customWidth="1"/>
    <col min="5895" max="5896" width="9.109375" style="32"/>
    <col min="5897" max="5897" width="12.33203125" style="32" customWidth="1"/>
    <col min="5898" max="6145" width="9.109375" style="32"/>
    <col min="6146" max="6146" width="11.88671875" style="32" bestFit="1" customWidth="1"/>
    <col min="6147" max="6147" width="12.33203125" style="32" bestFit="1" customWidth="1"/>
    <col min="6148" max="6148" width="9.109375" style="32"/>
    <col min="6149" max="6149" width="0" style="32" hidden="1" customWidth="1"/>
    <col min="6150" max="6150" width="18.6640625" style="32" customWidth="1"/>
    <col min="6151" max="6152" width="9.109375" style="32"/>
    <col min="6153" max="6153" width="12.33203125" style="32" customWidth="1"/>
    <col min="6154" max="6401" width="9.109375" style="32"/>
    <col min="6402" max="6402" width="11.88671875" style="32" bestFit="1" customWidth="1"/>
    <col min="6403" max="6403" width="12.33203125" style="32" bestFit="1" customWidth="1"/>
    <col min="6404" max="6404" width="9.109375" style="32"/>
    <col min="6405" max="6405" width="0" style="32" hidden="1" customWidth="1"/>
    <col min="6406" max="6406" width="18.6640625" style="32" customWidth="1"/>
    <col min="6407" max="6408" width="9.109375" style="32"/>
    <col min="6409" max="6409" width="12.33203125" style="32" customWidth="1"/>
    <col min="6410" max="6657" width="9.109375" style="32"/>
    <col min="6658" max="6658" width="11.88671875" style="32" bestFit="1" customWidth="1"/>
    <col min="6659" max="6659" width="12.33203125" style="32" bestFit="1" customWidth="1"/>
    <col min="6660" max="6660" width="9.109375" style="32"/>
    <col min="6661" max="6661" width="0" style="32" hidden="1" customWidth="1"/>
    <col min="6662" max="6662" width="18.6640625" style="32" customWidth="1"/>
    <col min="6663" max="6664" width="9.109375" style="32"/>
    <col min="6665" max="6665" width="12.33203125" style="32" customWidth="1"/>
    <col min="6666" max="6913" width="9.109375" style="32"/>
    <col min="6914" max="6914" width="11.88671875" style="32" bestFit="1" customWidth="1"/>
    <col min="6915" max="6915" width="12.33203125" style="32" bestFit="1" customWidth="1"/>
    <col min="6916" max="6916" width="9.109375" style="32"/>
    <col min="6917" max="6917" width="0" style="32" hidden="1" customWidth="1"/>
    <col min="6918" max="6918" width="18.6640625" style="32" customWidth="1"/>
    <col min="6919" max="6920" width="9.109375" style="32"/>
    <col min="6921" max="6921" width="12.33203125" style="32" customWidth="1"/>
    <col min="6922" max="7169" width="9.109375" style="32"/>
    <col min="7170" max="7170" width="11.88671875" style="32" bestFit="1" customWidth="1"/>
    <col min="7171" max="7171" width="12.33203125" style="32" bestFit="1" customWidth="1"/>
    <col min="7172" max="7172" width="9.109375" style="32"/>
    <col min="7173" max="7173" width="0" style="32" hidden="1" customWidth="1"/>
    <col min="7174" max="7174" width="18.6640625" style="32" customWidth="1"/>
    <col min="7175" max="7176" width="9.109375" style="32"/>
    <col min="7177" max="7177" width="12.33203125" style="32" customWidth="1"/>
    <col min="7178" max="7425" width="9.109375" style="32"/>
    <col min="7426" max="7426" width="11.88671875" style="32" bestFit="1" customWidth="1"/>
    <col min="7427" max="7427" width="12.33203125" style="32" bestFit="1" customWidth="1"/>
    <col min="7428" max="7428" width="9.109375" style="32"/>
    <col min="7429" max="7429" width="0" style="32" hidden="1" customWidth="1"/>
    <col min="7430" max="7430" width="18.6640625" style="32" customWidth="1"/>
    <col min="7431" max="7432" width="9.109375" style="32"/>
    <col min="7433" max="7433" width="12.33203125" style="32" customWidth="1"/>
    <col min="7434" max="7681" width="9.109375" style="32"/>
    <col min="7682" max="7682" width="11.88671875" style="32" bestFit="1" customWidth="1"/>
    <col min="7683" max="7683" width="12.33203125" style="32" bestFit="1" customWidth="1"/>
    <col min="7684" max="7684" width="9.109375" style="32"/>
    <col min="7685" max="7685" width="0" style="32" hidden="1" customWidth="1"/>
    <col min="7686" max="7686" width="18.6640625" style="32" customWidth="1"/>
    <col min="7687" max="7688" width="9.109375" style="32"/>
    <col min="7689" max="7689" width="12.33203125" style="32" customWidth="1"/>
    <col min="7690" max="7937" width="9.109375" style="32"/>
    <col min="7938" max="7938" width="11.88671875" style="32" bestFit="1" customWidth="1"/>
    <col min="7939" max="7939" width="12.33203125" style="32" bestFit="1" customWidth="1"/>
    <col min="7940" max="7940" width="9.109375" style="32"/>
    <col min="7941" max="7941" width="0" style="32" hidden="1" customWidth="1"/>
    <col min="7942" max="7942" width="18.6640625" style="32" customWidth="1"/>
    <col min="7943" max="7944" width="9.109375" style="32"/>
    <col min="7945" max="7945" width="12.33203125" style="32" customWidth="1"/>
    <col min="7946" max="8193" width="9.109375" style="32"/>
    <col min="8194" max="8194" width="11.88671875" style="32" bestFit="1" customWidth="1"/>
    <col min="8195" max="8195" width="12.33203125" style="32" bestFit="1" customWidth="1"/>
    <col min="8196" max="8196" width="9.109375" style="32"/>
    <col min="8197" max="8197" width="0" style="32" hidden="1" customWidth="1"/>
    <col min="8198" max="8198" width="18.6640625" style="32" customWidth="1"/>
    <col min="8199" max="8200" width="9.109375" style="32"/>
    <col min="8201" max="8201" width="12.33203125" style="32" customWidth="1"/>
    <col min="8202" max="8449" width="9.109375" style="32"/>
    <col min="8450" max="8450" width="11.88671875" style="32" bestFit="1" customWidth="1"/>
    <col min="8451" max="8451" width="12.33203125" style="32" bestFit="1" customWidth="1"/>
    <col min="8452" max="8452" width="9.109375" style="32"/>
    <col min="8453" max="8453" width="0" style="32" hidden="1" customWidth="1"/>
    <col min="8454" max="8454" width="18.6640625" style="32" customWidth="1"/>
    <col min="8455" max="8456" width="9.109375" style="32"/>
    <col min="8457" max="8457" width="12.33203125" style="32" customWidth="1"/>
    <col min="8458" max="8705" width="9.109375" style="32"/>
    <col min="8706" max="8706" width="11.88671875" style="32" bestFit="1" customWidth="1"/>
    <col min="8707" max="8707" width="12.33203125" style="32" bestFit="1" customWidth="1"/>
    <col min="8708" max="8708" width="9.109375" style="32"/>
    <col min="8709" max="8709" width="0" style="32" hidden="1" customWidth="1"/>
    <col min="8710" max="8710" width="18.6640625" style="32" customWidth="1"/>
    <col min="8711" max="8712" width="9.109375" style="32"/>
    <col min="8713" max="8713" width="12.33203125" style="32" customWidth="1"/>
    <col min="8714" max="8961" width="9.109375" style="32"/>
    <col min="8962" max="8962" width="11.88671875" style="32" bestFit="1" customWidth="1"/>
    <col min="8963" max="8963" width="12.33203125" style="32" bestFit="1" customWidth="1"/>
    <col min="8964" max="8964" width="9.109375" style="32"/>
    <col min="8965" max="8965" width="0" style="32" hidden="1" customWidth="1"/>
    <col min="8966" max="8966" width="18.6640625" style="32" customWidth="1"/>
    <col min="8967" max="8968" width="9.109375" style="32"/>
    <col min="8969" max="8969" width="12.33203125" style="32" customWidth="1"/>
    <col min="8970" max="9217" width="9.109375" style="32"/>
    <col min="9218" max="9218" width="11.88671875" style="32" bestFit="1" customWidth="1"/>
    <col min="9219" max="9219" width="12.33203125" style="32" bestFit="1" customWidth="1"/>
    <col min="9220" max="9220" width="9.109375" style="32"/>
    <col min="9221" max="9221" width="0" style="32" hidden="1" customWidth="1"/>
    <col min="9222" max="9222" width="18.6640625" style="32" customWidth="1"/>
    <col min="9223" max="9224" width="9.109375" style="32"/>
    <col min="9225" max="9225" width="12.33203125" style="32" customWidth="1"/>
    <col min="9226" max="9473" width="9.109375" style="32"/>
    <col min="9474" max="9474" width="11.88671875" style="32" bestFit="1" customWidth="1"/>
    <col min="9475" max="9475" width="12.33203125" style="32" bestFit="1" customWidth="1"/>
    <col min="9476" max="9476" width="9.109375" style="32"/>
    <col min="9477" max="9477" width="0" style="32" hidden="1" customWidth="1"/>
    <col min="9478" max="9478" width="18.6640625" style="32" customWidth="1"/>
    <col min="9479" max="9480" width="9.109375" style="32"/>
    <col min="9481" max="9481" width="12.33203125" style="32" customWidth="1"/>
    <col min="9482" max="9729" width="9.109375" style="32"/>
    <col min="9730" max="9730" width="11.88671875" style="32" bestFit="1" customWidth="1"/>
    <col min="9731" max="9731" width="12.33203125" style="32" bestFit="1" customWidth="1"/>
    <col min="9732" max="9732" width="9.109375" style="32"/>
    <col min="9733" max="9733" width="0" style="32" hidden="1" customWidth="1"/>
    <col min="9734" max="9734" width="18.6640625" style="32" customWidth="1"/>
    <col min="9735" max="9736" width="9.109375" style="32"/>
    <col min="9737" max="9737" width="12.33203125" style="32" customWidth="1"/>
    <col min="9738" max="9985" width="9.109375" style="32"/>
    <col min="9986" max="9986" width="11.88671875" style="32" bestFit="1" customWidth="1"/>
    <col min="9987" max="9987" width="12.33203125" style="32" bestFit="1" customWidth="1"/>
    <col min="9988" max="9988" width="9.109375" style="32"/>
    <col min="9989" max="9989" width="0" style="32" hidden="1" customWidth="1"/>
    <col min="9990" max="9990" width="18.6640625" style="32" customWidth="1"/>
    <col min="9991" max="9992" width="9.109375" style="32"/>
    <col min="9993" max="9993" width="12.33203125" style="32" customWidth="1"/>
    <col min="9994" max="10241" width="9.109375" style="32"/>
    <col min="10242" max="10242" width="11.88671875" style="32" bestFit="1" customWidth="1"/>
    <col min="10243" max="10243" width="12.33203125" style="32" bestFit="1" customWidth="1"/>
    <col min="10244" max="10244" width="9.109375" style="32"/>
    <col min="10245" max="10245" width="0" style="32" hidden="1" customWidth="1"/>
    <col min="10246" max="10246" width="18.6640625" style="32" customWidth="1"/>
    <col min="10247" max="10248" width="9.109375" style="32"/>
    <col min="10249" max="10249" width="12.33203125" style="32" customWidth="1"/>
    <col min="10250" max="10497" width="9.109375" style="32"/>
    <col min="10498" max="10498" width="11.88671875" style="32" bestFit="1" customWidth="1"/>
    <col min="10499" max="10499" width="12.33203125" style="32" bestFit="1" customWidth="1"/>
    <col min="10500" max="10500" width="9.109375" style="32"/>
    <col min="10501" max="10501" width="0" style="32" hidden="1" customWidth="1"/>
    <col min="10502" max="10502" width="18.6640625" style="32" customWidth="1"/>
    <col min="10503" max="10504" width="9.109375" style="32"/>
    <col min="10505" max="10505" width="12.33203125" style="32" customWidth="1"/>
    <col min="10506" max="10753" width="9.109375" style="32"/>
    <col min="10754" max="10754" width="11.88671875" style="32" bestFit="1" customWidth="1"/>
    <col min="10755" max="10755" width="12.33203125" style="32" bestFit="1" customWidth="1"/>
    <col min="10756" max="10756" width="9.109375" style="32"/>
    <col min="10757" max="10757" width="0" style="32" hidden="1" customWidth="1"/>
    <col min="10758" max="10758" width="18.6640625" style="32" customWidth="1"/>
    <col min="10759" max="10760" width="9.109375" style="32"/>
    <col min="10761" max="10761" width="12.33203125" style="32" customWidth="1"/>
    <col min="10762" max="11009" width="9.109375" style="32"/>
    <col min="11010" max="11010" width="11.88671875" style="32" bestFit="1" customWidth="1"/>
    <col min="11011" max="11011" width="12.33203125" style="32" bestFit="1" customWidth="1"/>
    <col min="11012" max="11012" width="9.109375" style="32"/>
    <col min="11013" max="11013" width="0" style="32" hidden="1" customWidth="1"/>
    <col min="11014" max="11014" width="18.6640625" style="32" customWidth="1"/>
    <col min="11015" max="11016" width="9.109375" style="32"/>
    <col min="11017" max="11017" width="12.33203125" style="32" customWidth="1"/>
    <col min="11018" max="11265" width="9.109375" style="32"/>
    <col min="11266" max="11266" width="11.88671875" style="32" bestFit="1" customWidth="1"/>
    <col min="11267" max="11267" width="12.33203125" style="32" bestFit="1" customWidth="1"/>
    <col min="11268" max="11268" width="9.109375" style="32"/>
    <col min="11269" max="11269" width="0" style="32" hidden="1" customWidth="1"/>
    <col min="11270" max="11270" width="18.6640625" style="32" customWidth="1"/>
    <col min="11271" max="11272" width="9.109375" style="32"/>
    <col min="11273" max="11273" width="12.33203125" style="32" customWidth="1"/>
    <col min="11274" max="11521" width="9.109375" style="32"/>
    <col min="11522" max="11522" width="11.88671875" style="32" bestFit="1" customWidth="1"/>
    <col min="11523" max="11523" width="12.33203125" style="32" bestFit="1" customWidth="1"/>
    <col min="11524" max="11524" width="9.109375" style="32"/>
    <col min="11525" max="11525" width="0" style="32" hidden="1" customWidth="1"/>
    <col min="11526" max="11526" width="18.6640625" style="32" customWidth="1"/>
    <col min="11527" max="11528" width="9.109375" style="32"/>
    <col min="11529" max="11529" width="12.33203125" style="32" customWidth="1"/>
    <col min="11530" max="11777" width="9.109375" style="32"/>
    <col min="11778" max="11778" width="11.88671875" style="32" bestFit="1" customWidth="1"/>
    <col min="11779" max="11779" width="12.33203125" style="32" bestFit="1" customWidth="1"/>
    <col min="11780" max="11780" width="9.109375" style="32"/>
    <col min="11781" max="11781" width="0" style="32" hidden="1" customWidth="1"/>
    <col min="11782" max="11782" width="18.6640625" style="32" customWidth="1"/>
    <col min="11783" max="11784" width="9.109375" style="32"/>
    <col min="11785" max="11785" width="12.33203125" style="32" customWidth="1"/>
    <col min="11786" max="12033" width="9.109375" style="32"/>
    <col min="12034" max="12034" width="11.88671875" style="32" bestFit="1" customWidth="1"/>
    <col min="12035" max="12035" width="12.33203125" style="32" bestFit="1" customWidth="1"/>
    <col min="12036" max="12036" width="9.109375" style="32"/>
    <col min="12037" max="12037" width="0" style="32" hidden="1" customWidth="1"/>
    <col min="12038" max="12038" width="18.6640625" style="32" customWidth="1"/>
    <col min="12039" max="12040" width="9.109375" style="32"/>
    <col min="12041" max="12041" width="12.33203125" style="32" customWidth="1"/>
    <col min="12042" max="12289" width="9.109375" style="32"/>
    <col min="12290" max="12290" width="11.88671875" style="32" bestFit="1" customWidth="1"/>
    <col min="12291" max="12291" width="12.33203125" style="32" bestFit="1" customWidth="1"/>
    <col min="12292" max="12292" width="9.109375" style="32"/>
    <col min="12293" max="12293" width="0" style="32" hidden="1" customWidth="1"/>
    <col min="12294" max="12294" width="18.6640625" style="32" customWidth="1"/>
    <col min="12295" max="12296" width="9.109375" style="32"/>
    <col min="12297" max="12297" width="12.33203125" style="32" customWidth="1"/>
    <col min="12298" max="12545" width="9.109375" style="32"/>
    <col min="12546" max="12546" width="11.88671875" style="32" bestFit="1" customWidth="1"/>
    <col min="12547" max="12547" width="12.33203125" style="32" bestFit="1" customWidth="1"/>
    <col min="12548" max="12548" width="9.109375" style="32"/>
    <col min="12549" max="12549" width="0" style="32" hidden="1" customWidth="1"/>
    <col min="12550" max="12550" width="18.6640625" style="32" customWidth="1"/>
    <col min="12551" max="12552" width="9.109375" style="32"/>
    <col min="12553" max="12553" width="12.33203125" style="32" customWidth="1"/>
    <col min="12554" max="12801" width="9.109375" style="32"/>
    <col min="12802" max="12802" width="11.88671875" style="32" bestFit="1" customWidth="1"/>
    <col min="12803" max="12803" width="12.33203125" style="32" bestFit="1" customWidth="1"/>
    <col min="12804" max="12804" width="9.109375" style="32"/>
    <col min="12805" max="12805" width="0" style="32" hidden="1" customWidth="1"/>
    <col min="12806" max="12806" width="18.6640625" style="32" customWidth="1"/>
    <col min="12807" max="12808" width="9.109375" style="32"/>
    <col min="12809" max="12809" width="12.33203125" style="32" customWidth="1"/>
    <col min="12810" max="13057" width="9.109375" style="32"/>
    <col min="13058" max="13058" width="11.88671875" style="32" bestFit="1" customWidth="1"/>
    <col min="13059" max="13059" width="12.33203125" style="32" bestFit="1" customWidth="1"/>
    <col min="13060" max="13060" width="9.109375" style="32"/>
    <col min="13061" max="13061" width="0" style="32" hidden="1" customWidth="1"/>
    <col min="13062" max="13062" width="18.6640625" style="32" customWidth="1"/>
    <col min="13063" max="13064" width="9.109375" style="32"/>
    <col min="13065" max="13065" width="12.33203125" style="32" customWidth="1"/>
    <col min="13066" max="13313" width="9.109375" style="32"/>
    <col min="13314" max="13314" width="11.88671875" style="32" bestFit="1" customWidth="1"/>
    <col min="13315" max="13315" width="12.33203125" style="32" bestFit="1" customWidth="1"/>
    <col min="13316" max="13316" width="9.109375" style="32"/>
    <col min="13317" max="13317" width="0" style="32" hidden="1" customWidth="1"/>
    <col min="13318" max="13318" width="18.6640625" style="32" customWidth="1"/>
    <col min="13319" max="13320" width="9.109375" style="32"/>
    <col min="13321" max="13321" width="12.33203125" style="32" customWidth="1"/>
    <col min="13322" max="13569" width="9.109375" style="32"/>
    <col min="13570" max="13570" width="11.88671875" style="32" bestFit="1" customWidth="1"/>
    <col min="13571" max="13571" width="12.33203125" style="32" bestFit="1" customWidth="1"/>
    <col min="13572" max="13572" width="9.109375" style="32"/>
    <col min="13573" max="13573" width="0" style="32" hidden="1" customWidth="1"/>
    <col min="13574" max="13574" width="18.6640625" style="32" customWidth="1"/>
    <col min="13575" max="13576" width="9.109375" style="32"/>
    <col min="13577" max="13577" width="12.33203125" style="32" customWidth="1"/>
    <col min="13578" max="13825" width="9.109375" style="32"/>
    <col min="13826" max="13826" width="11.88671875" style="32" bestFit="1" customWidth="1"/>
    <col min="13827" max="13827" width="12.33203125" style="32" bestFit="1" customWidth="1"/>
    <col min="13828" max="13828" width="9.109375" style="32"/>
    <col min="13829" max="13829" width="0" style="32" hidden="1" customWidth="1"/>
    <col min="13830" max="13830" width="18.6640625" style="32" customWidth="1"/>
    <col min="13831" max="13832" width="9.109375" style="32"/>
    <col min="13833" max="13833" width="12.33203125" style="32" customWidth="1"/>
    <col min="13834" max="14081" width="9.109375" style="32"/>
    <col min="14082" max="14082" width="11.88671875" style="32" bestFit="1" customWidth="1"/>
    <col min="14083" max="14083" width="12.33203125" style="32" bestFit="1" customWidth="1"/>
    <col min="14084" max="14084" width="9.109375" style="32"/>
    <col min="14085" max="14085" width="0" style="32" hidden="1" customWidth="1"/>
    <col min="14086" max="14086" width="18.6640625" style="32" customWidth="1"/>
    <col min="14087" max="14088" width="9.109375" style="32"/>
    <col min="14089" max="14089" width="12.33203125" style="32" customWidth="1"/>
    <col min="14090" max="14337" width="9.109375" style="32"/>
    <col min="14338" max="14338" width="11.88671875" style="32" bestFit="1" customWidth="1"/>
    <col min="14339" max="14339" width="12.33203125" style="32" bestFit="1" customWidth="1"/>
    <col min="14340" max="14340" width="9.109375" style="32"/>
    <col min="14341" max="14341" width="0" style="32" hidden="1" customWidth="1"/>
    <col min="14342" max="14342" width="18.6640625" style="32" customWidth="1"/>
    <col min="14343" max="14344" width="9.109375" style="32"/>
    <col min="14345" max="14345" width="12.33203125" style="32" customWidth="1"/>
    <col min="14346" max="14593" width="9.109375" style="32"/>
    <col min="14594" max="14594" width="11.88671875" style="32" bestFit="1" customWidth="1"/>
    <col min="14595" max="14595" width="12.33203125" style="32" bestFit="1" customWidth="1"/>
    <col min="14596" max="14596" width="9.109375" style="32"/>
    <col min="14597" max="14597" width="0" style="32" hidden="1" customWidth="1"/>
    <col min="14598" max="14598" width="18.6640625" style="32" customWidth="1"/>
    <col min="14599" max="14600" width="9.109375" style="32"/>
    <col min="14601" max="14601" width="12.33203125" style="32" customWidth="1"/>
    <col min="14602" max="14849" width="9.109375" style="32"/>
    <col min="14850" max="14850" width="11.88671875" style="32" bestFit="1" customWidth="1"/>
    <col min="14851" max="14851" width="12.33203125" style="32" bestFit="1" customWidth="1"/>
    <col min="14852" max="14852" width="9.109375" style="32"/>
    <col min="14853" max="14853" width="0" style="32" hidden="1" customWidth="1"/>
    <col min="14854" max="14854" width="18.6640625" style="32" customWidth="1"/>
    <col min="14855" max="14856" width="9.109375" style="32"/>
    <col min="14857" max="14857" width="12.33203125" style="32" customWidth="1"/>
    <col min="14858" max="15105" width="9.109375" style="32"/>
    <col min="15106" max="15106" width="11.88671875" style="32" bestFit="1" customWidth="1"/>
    <col min="15107" max="15107" width="12.33203125" style="32" bestFit="1" customWidth="1"/>
    <col min="15108" max="15108" width="9.109375" style="32"/>
    <col min="15109" max="15109" width="0" style="32" hidden="1" customWidth="1"/>
    <col min="15110" max="15110" width="18.6640625" style="32" customWidth="1"/>
    <col min="15111" max="15112" width="9.109375" style="32"/>
    <col min="15113" max="15113" width="12.33203125" style="32" customWidth="1"/>
    <col min="15114" max="15361" width="9.109375" style="32"/>
    <col min="15362" max="15362" width="11.88671875" style="32" bestFit="1" customWidth="1"/>
    <col min="15363" max="15363" width="12.33203125" style="32" bestFit="1" customWidth="1"/>
    <col min="15364" max="15364" width="9.109375" style="32"/>
    <col min="15365" max="15365" width="0" style="32" hidden="1" customWidth="1"/>
    <col min="15366" max="15366" width="18.6640625" style="32" customWidth="1"/>
    <col min="15367" max="15368" width="9.109375" style="32"/>
    <col min="15369" max="15369" width="12.33203125" style="32" customWidth="1"/>
    <col min="15370" max="15617" width="9.109375" style="32"/>
    <col min="15618" max="15618" width="11.88671875" style="32" bestFit="1" customWidth="1"/>
    <col min="15619" max="15619" width="12.33203125" style="32" bestFit="1" customWidth="1"/>
    <col min="15620" max="15620" width="9.109375" style="32"/>
    <col min="15621" max="15621" width="0" style="32" hidden="1" customWidth="1"/>
    <col min="15622" max="15622" width="18.6640625" style="32" customWidth="1"/>
    <col min="15623" max="15624" width="9.109375" style="32"/>
    <col min="15625" max="15625" width="12.33203125" style="32" customWidth="1"/>
    <col min="15626" max="15873" width="9.109375" style="32"/>
    <col min="15874" max="15874" width="11.88671875" style="32" bestFit="1" customWidth="1"/>
    <col min="15875" max="15875" width="12.33203125" style="32" bestFit="1" customWidth="1"/>
    <col min="15876" max="15876" width="9.109375" style="32"/>
    <col min="15877" max="15877" width="0" style="32" hidden="1" customWidth="1"/>
    <col min="15878" max="15878" width="18.6640625" style="32" customWidth="1"/>
    <col min="15879" max="15880" width="9.109375" style="32"/>
    <col min="15881" max="15881" width="12.33203125" style="32" customWidth="1"/>
    <col min="15882" max="16129" width="9.109375" style="32"/>
    <col min="16130" max="16130" width="11.88671875" style="32" bestFit="1" customWidth="1"/>
    <col min="16131" max="16131" width="12.33203125" style="32" bestFit="1" customWidth="1"/>
    <col min="16132" max="16132" width="9.109375" style="32"/>
    <col min="16133" max="16133" width="0" style="32" hidden="1" customWidth="1"/>
    <col min="16134" max="16134" width="18.6640625" style="32" customWidth="1"/>
    <col min="16135" max="16136" width="9.109375" style="32"/>
    <col min="16137" max="16137" width="12.33203125" style="32" customWidth="1"/>
    <col min="16138" max="16384" width="9.109375" style="32"/>
  </cols>
  <sheetData>
    <row r="1" spans="1:14" x14ac:dyDescent="0.25">
      <c r="A1" s="32" t="s">
        <v>308</v>
      </c>
    </row>
    <row r="3" spans="1:14" ht="26.4" x14ac:dyDescent="0.25">
      <c r="B3" s="79" t="s">
        <v>52</v>
      </c>
      <c r="C3" s="80" t="s">
        <v>53</v>
      </c>
      <c r="D3" s="347" t="s">
        <v>309</v>
      </c>
      <c r="E3" s="347"/>
      <c r="F3" s="344" t="s">
        <v>54</v>
      </c>
      <c r="G3" s="347" t="s">
        <v>310</v>
      </c>
      <c r="H3" s="347"/>
      <c r="I3" s="81" t="s">
        <v>55</v>
      </c>
    </row>
    <row r="4" spans="1:14" x14ac:dyDescent="0.25">
      <c r="B4" s="82" t="s">
        <v>56</v>
      </c>
      <c r="C4" s="83" t="s">
        <v>57</v>
      </c>
      <c r="D4" s="84" t="s">
        <v>58</v>
      </c>
      <c r="E4" s="84" t="s">
        <v>59</v>
      </c>
      <c r="F4" s="83" t="s">
        <v>60</v>
      </c>
      <c r="G4" s="84" t="s">
        <v>58</v>
      </c>
      <c r="H4" s="84" t="s">
        <v>59</v>
      </c>
      <c r="I4" s="84" t="s">
        <v>61</v>
      </c>
    </row>
    <row r="5" spans="1:14" x14ac:dyDescent="0.25">
      <c r="B5" s="82"/>
      <c r="C5" s="83" t="s">
        <v>62</v>
      </c>
      <c r="D5" s="84" t="s">
        <v>62</v>
      </c>
      <c r="E5" s="84" t="s">
        <v>62</v>
      </c>
      <c r="F5" s="83" t="s">
        <v>63</v>
      </c>
      <c r="G5" s="84" t="s">
        <v>62</v>
      </c>
      <c r="H5" s="84" t="s">
        <v>62</v>
      </c>
      <c r="I5" s="84" t="s">
        <v>64</v>
      </c>
    </row>
    <row r="6" spans="1:14" x14ac:dyDescent="0.25">
      <c r="B6" s="82"/>
      <c r="C6" s="83" t="s">
        <v>65</v>
      </c>
      <c r="D6" s="84" t="s">
        <v>66</v>
      </c>
      <c r="E6" s="84" t="s">
        <v>66</v>
      </c>
      <c r="F6" s="83" t="s">
        <v>67</v>
      </c>
      <c r="G6" s="84" t="s">
        <v>66</v>
      </c>
      <c r="H6" s="84" t="s">
        <v>66</v>
      </c>
      <c r="I6" s="84" t="s">
        <v>68</v>
      </c>
    </row>
    <row r="7" spans="1:14" x14ac:dyDescent="0.25">
      <c r="B7" s="348" t="s">
        <v>69</v>
      </c>
      <c r="C7" s="349" t="s">
        <v>70</v>
      </c>
      <c r="D7" s="85" t="s">
        <v>71</v>
      </c>
      <c r="E7" s="85" t="s">
        <v>72</v>
      </c>
      <c r="F7" s="349" t="s">
        <v>73</v>
      </c>
      <c r="G7" s="85" t="s">
        <v>74</v>
      </c>
      <c r="H7" s="85" t="s">
        <v>75</v>
      </c>
      <c r="I7" s="85" t="s">
        <v>76</v>
      </c>
    </row>
    <row r="8" spans="1:14" x14ac:dyDescent="0.25">
      <c r="B8" s="86"/>
      <c r="C8" s="86"/>
      <c r="D8" s="86"/>
      <c r="E8" s="86"/>
      <c r="F8" s="86"/>
      <c r="G8" s="86"/>
      <c r="H8" s="87"/>
      <c r="I8" s="87"/>
    </row>
    <row r="9" spans="1:14" x14ac:dyDescent="0.25">
      <c r="B9" s="88"/>
      <c r="C9" s="89"/>
      <c r="D9" s="89"/>
      <c r="E9" s="89"/>
      <c r="F9" s="89"/>
      <c r="G9" s="89"/>
      <c r="H9" s="90"/>
      <c r="I9" s="90"/>
      <c r="J9" s="90"/>
    </row>
    <row r="10" spans="1:14" x14ac:dyDescent="0.25">
      <c r="B10" s="112">
        <v>42278</v>
      </c>
      <c r="C10" s="331">
        <f>SAP!J4</f>
        <v>2432.1162990836074</v>
      </c>
      <c r="D10" s="127">
        <f>'2015IntRates'!$E$36/100</f>
        <v>1.6000000000000001E-3</v>
      </c>
      <c r="E10" s="91">
        <f t="shared" ref="E10:E21" si="0">+D10/12</f>
        <v>1.3333333333333334E-4</v>
      </c>
      <c r="F10" s="92">
        <f>-'Balance Calculation'!G5</f>
        <v>18240885.523080073</v>
      </c>
      <c r="G10" s="127">
        <f>'2016IntRates'!$M$4/100</f>
        <v>8.0000000000000002E-3</v>
      </c>
      <c r="H10" s="93">
        <f t="shared" ref="H10:H21" si="1">+G10/12</f>
        <v>6.6666666666666664E-4</v>
      </c>
      <c r="I10" s="94">
        <f>+F10*H10</f>
        <v>12160.590348720048</v>
      </c>
      <c r="J10" s="90"/>
      <c r="K10" s="241">
        <f>+F10*E10</f>
        <v>2432.11806974401</v>
      </c>
      <c r="L10" s="40">
        <f>+I10-K10</f>
        <v>9728.4722789760381</v>
      </c>
    </row>
    <row r="11" spans="1:14" x14ac:dyDescent="0.25">
      <c r="B11" s="112">
        <v>42309</v>
      </c>
      <c r="C11" s="331">
        <f>SAP!J5</f>
        <v>2535.2092364226282</v>
      </c>
      <c r="D11" s="127">
        <f>'2015IntRates'!$E$36/100</f>
        <v>1.6000000000000001E-3</v>
      </c>
      <c r="E11" s="91">
        <f t="shared" si="0"/>
        <v>1.3333333333333334E-4</v>
      </c>
      <c r="F11" s="92">
        <f>-'Balance Calculation'!G6</f>
        <v>19014085.384361982</v>
      </c>
      <c r="G11" s="127">
        <f>+G10</f>
        <v>8.0000000000000002E-3</v>
      </c>
      <c r="H11" s="91">
        <f t="shared" si="1"/>
        <v>6.6666666666666664E-4</v>
      </c>
      <c r="I11" s="95">
        <f t="shared" ref="I11:I21" si="2">+F11*H11</f>
        <v>12676.056922907988</v>
      </c>
      <c r="J11" s="90"/>
      <c r="K11" s="241">
        <f t="shared" ref="K11:K12" si="3">+F11*E11</f>
        <v>2535.2113845815979</v>
      </c>
      <c r="L11" s="40">
        <f t="shared" ref="L11:L21" si="4">+I11-K11</f>
        <v>10140.84553832639</v>
      </c>
    </row>
    <row r="12" spans="1:14" x14ac:dyDescent="0.25">
      <c r="B12" s="112">
        <v>42339</v>
      </c>
      <c r="C12" s="331">
        <f>SAP!J6</f>
        <v>2605.0594526553527</v>
      </c>
      <c r="D12" s="127">
        <f>'2015IntRates'!$E$36/100</f>
        <v>1.6000000000000001E-3</v>
      </c>
      <c r="E12" s="91">
        <f t="shared" si="0"/>
        <v>1.3333333333333334E-4</v>
      </c>
      <c r="F12" s="92">
        <f>-'Balance Calculation'!G7</f>
        <v>19537948.72225998</v>
      </c>
      <c r="G12" s="127">
        <f t="shared" ref="G12:G21" si="5">+G11</f>
        <v>8.0000000000000002E-3</v>
      </c>
      <c r="H12" s="91">
        <f t="shared" si="1"/>
        <v>6.6666666666666664E-4</v>
      </c>
      <c r="I12" s="95">
        <f t="shared" si="2"/>
        <v>13025.299148173319</v>
      </c>
      <c r="J12" s="90"/>
      <c r="K12" s="241">
        <f t="shared" si="3"/>
        <v>2605.0598296346643</v>
      </c>
      <c r="L12" s="40">
        <f t="shared" si="4"/>
        <v>10420.239318538654</v>
      </c>
    </row>
    <row r="13" spans="1:14" x14ac:dyDescent="0.25">
      <c r="B13" s="112">
        <v>42370</v>
      </c>
      <c r="C13" s="331">
        <f>SAP!J7</f>
        <v>5303.1486759043337</v>
      </c>
      <c r="D13" s="91">
        <f>'2016IntRates'!$F$36/100</f>
        <v>4.8999999999999998E-3</v>
      </c>
      <c r="E13" s="91">
        <f t="shared" si="0"/>
        <v>4.083333333333333E-4</v>
      </c>
      <c r="F13" s="92">
        <f>-'Balance Calculation'!G8</f>
        <v>19906888.435893938</v>
      </c>
      <c r="G13" s="127">
        <f t="shared" si="5"/>
        <v>8.0000000000000002E-3</v>
      </c>
      <c r="H13" s="91">
        <f t="shared" si="1"/>
        <v>6.6666666666666664E-4</v>
      </c>
      <c r="I13" s="95">
        <f t="shared" si="2"/>
        <v>13271.258957262626</v>
      </c>
      <c r="J13" s="90"/>
      <c r="K13" s="241">
        <f>+C13</f>
        <v>5303.1486759043337</v>
      </c>
      <c r="L13" s="40">
        <f t="shared" si="4"/>
        <v>7968.110281358292</v>
      </c>
      <c r="M13" s="32">
        <f>+$F$14*E14/31*16</f>
        <v>4301.6395486933761</v>
      </c>
      <c r="N13" s="32">
        <f>+$F$14*H14/31*15</f>
        <v>6584.1421663674128</v>
      </c>
    </row>
    <row r="14" spans="1:14" x14ac:dyDescent="0.25">
      <c r="B14" s="112">
        <v>42401</v>
      </c>
      <c r="C14" s="331">
        <f>SAP!J8</f>
        <v>8334.4284154338093</v>
      </c>
      <c r="D14" s="127">
        <f>+D13</f>
        <v>4.8999999999999998E-3</v>
      </c>
      <c r="E14" s="91">
        <f t="shared" si="0"/>
        <v>4.083333333333333E-4</v>
      </c>
      <c r="F14" s="92">
        <f>-'Balance Calculation'!G9</f>
        <v>20410840.715738982</v>
      </c>
      <c r="G14" s="127">
        <f t="shared" si="5"/>
        <v>8.0000000000000002E-3</v>
      </c>
      <c r="H14" s="91">
        <f t="shared" si="1"/>
        <v>6.6666666666666664E-4</v>
      </c>
      <c r="I14" s="95">
        <f t="shared" si="2"/>
        <v>13607.227143825987</v>
      </c>
      <c r="J14" s="90"/>
      <c r="K14" s="241">
        <f>+F14*H14</f>
        <v>13607.227143825987</v>
      </c>
      <c r="L14" s="40">
        <f t="shared" si="4"/>
        <v>0</v>
      </c>
    </row>
    <row r="15" spans="1:14" x14ac:dyDescent="0.25">
      <c r="B15" s="112">
        <v>42430</v>
      </c>
      <c r="C15" s="331">
        <f>SAP!J9</f>
        <v>8648.7777549673192</v>
      </c>
      <c r="D15" s="127">
        <f t="shared" ref="D15:D21" si="6">+D14</f>
        <v>4.8999999999999998E-3</v>
      </c>
      <c r="E15" s="91">
        <f t="shared" si="0"/>
        <v>4.083333333333333E-4</v>
      </c>
      <c r="F15" s="92">
        <f>-'Balance Calculation'!G10</f>
        <v>21180677.391921818</v>
      </c>
      <c r="G15" s="127">
        <f t="shared" si="5"/>
        <v>8.0000000000000002E-3</v>
      </c>
      <c r="H15" s="91">
        <f t="shared" si="1"/>
        <v>6.6666666666666664E-4</v>
      </c>
      <c r="I15" s="95">
        <f t="shared" si="2"/>
        <v>14120.451594614546</v>
      </c>
      <c r="J15" s="90"/>
      <c r="K15" s="241">
        <f>+F15*H15</f>
        <v>14120.451594614546</v>
      </c>
      <c r="L15" s="40">
        <f t="shared" si="4"/>
        <v>0</v>
      </c>
    </row>
    <row r="16" spans="1:14" x14ac:dyDescent="0.25">
      <c r="B16" s="112">
        <v>42461</v>
      </c>
      <c r="C16" s="331">
        <f>SAP!J17</f>
        <v>8994.586173823307</v>
      </c>
      <c r="D16" s="127">
        <f t="shared" si="6"/>
        <v>4.8999999999999998E-3</v>
      </c>
      <c r="E16" s="91">
        <f t="shared" si="0"/>
        <v>4.083333333333333E-4</v>
      </c>
      <c r="F16" s="92">
        <f>-'Balance Calculation'!G11</f>
        <v>22027555.410052631</v>
      </c>
      <c r="G16" s="127">
        <f t="shared" si="5"/>
        <v>8.0000000000000002E-3</v>
      </c>
      <c r="H16" s="91">
        <f t="shared" si="1"/>
        <v>6.6666666666666664E-4</v>
      </c>
      <c r="I16" s="95">
        <f t="shared" si="2"/>
        <v>14685.036940035086</v>
      </c>
      <c r="J16" s="90"/>
      <c r="K16" s="241">
        <f t="shared" ref="K16:K21" si="7">+F16*H16</f>
        <v>14685.036940035086</v>
      </c>
      <c r="L16" s="40">
        <f t="shared" si="4"/>
        <v>0</v>
      </c>
    </row>
    <row r="17" spans="2:14" x14ac:dyDescent="0.25">
      <c r="B17" s="112">
        <v>42491</v>
      </c>
      <c r="C17" s="331">
        <f>SAP!J10</f>
        <v>9386.5823471685962</v>
      </c>
      <c r="D17" s="127">
        <f t="shared" si="6"/>
        <v>4.8999999999999998E-3</v>
      </c>
      <c r="E17" s="91">
        <f t="shared" si="0"/>
        <v>4.083333333333333E-4</v>
      </c>
      <c r="F17" s="92">
        <f>-'Balance Calculation'!G12</f>
        <v>22987549.789769161</v>
      </c>
      <c r="G17" s="127">
        <f t="shared" si="5"/>
        <v>8.0000000000000002E-3</v>
      </c>
      <c r="H17" s="91">
        <f t="shared" si="1"/>
        <v>6.6666666666666664E-4</v>
      </c>
      <c r="I17" s="95">
        <f t="shared" si="2"/>
        <v>15325.033193179441</v>
      </c>
      <c r="J17" s="90"/>
      <c r="K17" s="241">
        <f t="shared" si="7"/>
        <v>15325.033193179441</v>
      </c>
      <c r="L17" s="40">
        <f t="shared" si="4"/>
        <v>0</v>
      </c>
    </row>
    <row r="18" spans="2:14" x14ac:dyDescent="0.25">
      <c r="B18" s="112">
        <v>42522</v>
      </c>
      <c r="C18" s="331">
        <f>SAP!J11</f>
        <v>9831.6905437622063</v>
      </c>
      <c r="D18" s="127">
        <f t="shared" si="6"/>
        <v>4.8999999999999998E-3</v>
      </c>
      <c r="E18" s="91">
        <f t="shared" si="0"/>
        <v>4.083333333333333E-4</v>
      </c>
      <c r="F18" s="92">
        <f>-'Balance Calculation'!G13</f>
        <v>24077612.083441764</v>
      </c>
      <c r="G18" s="127">
        <f t="shared" si="5"/>
        <v>8.0000000000000002E-3</v>
      </c>
      <c r="H18" s="91">
        <f t="shared" si="1"/>
        <v>6.6666666666666664E-4</v>
      </c>
      <c r="I18" s="95">
        <f t="shared" si="2"/>
        <v>16051.741388961176</v>
      </c>
      <c r="J18" s="90"/>
      <c r="K18" s="241">
        <f t="shared" si="7"/>
        <v>16051.741388961176</v>
      </c>
      <c r="L18" s="40">
        <f t="shared" si="4"/>
        <v>0</v>
      </c>
    </row>
    <row r="19" spans="2:14" x14ac:dyDescent="0.25">
      <c r="B19" s="112">
        <v>42552</v>
      </c>
      <c r="C19" s="331">
        <f>SAP!J12</f>
        <v>10200.569473376592</v>
      </c>
      <c r="D19" s="127">
        <f t="shared" si="6"/>
        <v>4.8999999999999998E-3</v>
      </c>
      <c r="E19" s="329">
        <f t="shared" si="0"/>
        <v>4.083333333333333E-4</v>
      </c>
      <c r="F19" s="92">
        <f>-'Balance Calculation'!G14</f>
        <v>24980991.098731957</v>
      </c>
      <c r="G19" s="127">
        <f t="shared" si="5"/>
        <v>8.0000000000000002E-3</v>
      </c>
      <c r="H19" s="91">
        <f t="shared" si="1"/>
        <v>6.6666666666666664E-4</v>
      </c>
      <c r="I19" s="95">
        <f t="shared" si="2"/>
        <v>16653.994065821305</v>
      </c>
      <c r="J19" s="90"/>
      <c r="K19" s="241">
        <f t="shared" si="7"/>
        <v>16653.994065821305</v>
      </c>
      <c r="L19" s="40">
        <f t="shared" si="4"/>
        <v>0</v>
      </c>
    </row>
    <row r="20" spans="2:14" x14ac:dyDescent="0.25">
      <c r="B20" s="112">
        <v>42583</v>
      </c>
      <c r="C20" s="331">
        <f>SAP!J13</f>
        <v>10559.416391560588</v>
      </c>
      <c r="D20" s="127">
        <f t="shared" si="6"/>
        <v>4.8999999999999998E-3</v>
      </c>
      <c r="E20" s="329">
        <f t="shared" si="0"/>
        <v>4.083333333333333E-4</v>
      </c>
      <c r="F20" s="92">
        <f>-'Balance Calculation'!G15</f>
        <v>25859794.197914965</v>
      </c>
      <c r="G20" s="127">
        <f t="shared" si="5"/>
        <v>8.0000000000000002E-3</v>
      </c>
      <c r="H20" s="91">
        <f t="shared" si="1"/>
        <v>6.6666666666666664E-4</v>
      </c>
      <c r="I20" s="95">
        <f t="shared" si="2"/>
        <v>17239.862798609978</v>
      </c>
      <c r="J20" s="90"/>
      <c r="K20" s="241">
        <f t="shared" si="7"/>
        <v>17239.862798609978</v>
      </c>
      <c r="L20" s="40">
        <f t="shared" si="4"/>
        <v>0</v>
      </c>
    </row>
    <row r="21" spans="2:14" x14ac:dyDescent="0.25">
      <c r="B21" s="112">
        <v>42614</v>
      </c>
      <c r="C21" s="331">
        <f>SAP!J14</f>
        <v>10895.80811645746</v>
      </c>
      <c r="D21" s="127">
        <f t="shared" si="6"/>
        <v>4.8999999999999998E-3</v>
      </c>
      <c r="E21" s="329">
        <f t="shared" si="0"/>
        <v>4.083333333333333E-4</v>
      </c>
      <c r="F21" s="92">
        <f>-'Balance Calculation'!G16</f>
        <v>26683617.212845426</v>
      </c>
      <c r="G21" s="127">
        <f t="shared" si="5"/>
        <v>8.0000000000000002E-3</v>
      </c>
      <c r="H21" s="91">
        <f t="shared" si="1"/>
        <v>6.6666666666666664E-4</v>
      </c>
      <c r="I21" s="95">
        <f t="shared" si="2"/>
        <v>17789.078141896949</v>
      </c>
      <c r="J21" s="90"/>
      <c r="K21" s="241">
        <f t="shared" si="7"/>
        <v>17789.078141896949</v>
      </c>
      <c r="L21" s="40">
        <f t="shared" si="4"/>
        <v>0</v>
      </c>
    </row>
    <row r="22" spans="2:14" x14ac:dyDescent="0.25">
      <c r="B22" s="96"/>
      <c r="C22" s="332"/>
      <c r="D22" s="91"/>
      <c r="E22" s="91"/>
      <c r="F22" s="91"/>
      <c r="G22" s="91"/>
      <c r="H22" s="91"/>
      <c r="I22" s="97"/>
      <c r="J22" s="90"/>
      <c r="L22" s="40"/>
    </row>
    <row r="23" spans="2:14" x14ac:dyDescent="0.25">
      <c r="B23" s="98" t="s">
        <v>77</v>
      </c>
      <c r="C23" s="333">
        <f>SUM(C10:C21)</f>
        <v>89727.392880615793</v>
      </c>
      <c r="D23" s="100"/>
      <c r="E23" s="99"/>
      <c r="F23" s="99"/>
      <c r="G23" s="100"/>
      <c r="H23" s="100"/>
      <c r="I23" s="101">
        <f>SUM(I10:I22)</f>
        <v>176605.63064400846</v>
      </c>
      <c r="L23" s="40">
        <f>SUM(L10:L22)</f>
        <v>38257.667417199373</v>
      </c>
      <c r="M23" s="335">
        <f>+C23+L23</f>
        <v>127985.06029781516</v>
      </c>
      <c r="N23" s="336" t="s">
        <v>20</v>
      </c>
    </row>
    <row r="24" spans="2:14" x14ac:dyDescent="0.25">
      <c r="G24" s="90"/>
      <c r="H24" s="90"/>
    </row>
    <row r="25" spans="2:14" x14ac:dyDescent="0.25">
      <c r="G25" s="90"/>
      <c r="H25" s="90"/>
    </row>
    <row r="26" spans="2:14" x14ac:dyDescent="0.25">
      <c r="G26" s="90"/>
      <c r="H26" s="90"/>
    </row>
    <row r="30" spans="2:14" x14ac:dyDescent="0.25">
      <c r="F30" s="102"/>
    </row>
  </sheetData>
  <pageMargins left="0.75" right="0.75" top="0.82" bottom="0.76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M46"/>
  <sheetViews>
    <sheetView workbookViewId="0">
      <selection activeCell="E30" sqref="E30"/>
    </sheetView>
  </sheetViews>
  <sheetFormatPr defaultRowHeight="13.2" outlineLevelRow="1" x14ac:dyDescent="0.25"/>
  <cols>
    <col min="1" max="1" width="9" bestFit="1" customWidth="1"/>
    <col min="2" max="2" width="24.6640625" customWidth="1"/>
    <col min="3" max="3" width="10.88671875" customWidth="1"/>
    <col min="4" max="4" width="22.6640625" customWidth="1"/>
    <col min="5" max="5" width="24.109375" customWidth="1"/>
    <col min="6" max="7" width="9.5546875" customWidth="1"/>
    <col min="8" max="8" width="11.33203125" customWidth="1"/>
    <col min="9" max="9" width="12.5546875" style="26" bestFit="1" customWidth="1"/>
    <col min="10" max="10" width="10.33203125" bestFit="1" customWidth="1"/>
    <col min="13" max="13" width="0" hidden="1" customWidth="1"/>
  </cols>
  <sheetData>
    <row r="2" spans="1:11" ht="26.4" x14ac:dyDescent="0.25">
      <c r="C2" s="47" t="s">
        <v>46</v>
      </c>
      <c r="D2" s="46"/>
      <c r="E2" s="46"/>
      <c r="F2" s="46"/>
      <c r="G2" s="46"/>
    </row>
    <row r="3" spans="1:11" x14ac:dyDescent="0.25">
      <c r="A3" s="24" t="s">
        <v>10</v>
      </c>
      <c r="B3" s="24" t="s">
        <v>11</v>
      </c>
      <c r="C3" s="24" t="s">
        <v>40</v>
      </c>
      <c r="D3" s="24" t="s">
        <v>12</v>
      </c>
      <c r="E3" s="24" t="s">
        <v>47</v>
      </c>
      <c r="F3" s="24" t="s">
        <v>41</v>
      </c>
      <c r="G3" s="24" t="s">
        <v>42</v>
      </c>
      <c r="H3" s="64" t="s">
        <v>43</v>
      </c>
      <c r="I3" s="64" t="s">
        <v>13</v>
      </c>
      <c r="J3" s="24" t="s">
        <v>16</v>
      </c>
      <c r="K3" s="24" t="s">
        <v>17</v>
      </c>
    </row>
    <row r="4" spans="1:11" x14ac:dyDescent="0.25">
      <c r="A4">
        <v>43100673</v>
      </c>
      <c r="B4" t="s">
        <v>279</v>
      </c>
      <c r="C4">
        <v>63400500</v>
      </c>
      <c r="D4" t="s">
        <v>279</v>
      </c>
      <c r="E4" t="s">
        <v>48</v>
      </c>
      <c r="F4" t="s">
        <v>45</v>
      </c>
      <c r="G4">
        <v>23701173</v>
      </c>
      <c r="H4" s="196">
        <v>42308</v>
      </c>
      <c r="I4" s="26">
        <v>3122.57</v>
      </c>
      <c r="J4" s="103">
        <f>+I4*$D$23</f>
        <v>2432.1162990836074</v>
      </c>
      <c r="K4" s="103">
        <f>+I4*$D$24</f>
        <v>690.45370091639177</v>
      </c>
    </row>
    <row r="5" spans="1:11" x14ac:dyDescent="0.25">
      <c r="A5">
        <v>43100673</v>
      </c>
      <c r="B5" t="s">
        <v>280</v>
      </c>
      <c r="C5">
        <v>63400500</v>
      </c>
      <c r="D5" t="s">
        <v>280</v>
      </c>
      <c r="E5" t="s">
        <v>48</v>
      </c>
      <c r="F5" t="s">
        <v>45</v>
      </c>
      <c r="G5">
        <v>23701173</v>
      </c>
      <c r="H5" s="196">
        <v>42338</v>
      </c>
      <c r="I5" s="26">
        <v>3254.93</v>
      </c>
      <c r="J5" s="103">
        <f>+I5*$D$23</f>
        <v>2535.2092364226282</v>
      </c>
      <c r="K5" s="103">
        <f>+I5*$D$24</f>
        <v>719.7207635773708</v>
      </c>
    </row>
    <row r="6" spans="1:11" x14ac:dyDescent="0.25">
      <c r="A6">
        <v>43100673</v>
      </c>
      <c r="B6" t="s">
        <v>281</v>
      </c>
      <c r="C6">
        <v>63400500</v>
      </c>
      <c r="D6" t="s">
        <v>281</v>
      </c>
      <c r="E6" t="s">
        <v>48</v>
      </c>
      <c r="F6" t="s">
        <v>45</v>
      </c>
      <c r="G6">
        <v>23701173</v>
      </c>
      <c r="H6" s="196">
        <v>42369</v>
      </c>
      <c r="I6" s="26">
        <v>3344.61</v>
      </c>
      <c r="J6" s="103">
        <f>+I6*$D$23</f>
        <v>2605.0594526553527</v>
      </c>
      <c r="K6" s="103">
        <f>+I6*$D$24</f>
        <v>739.55054734464647</v>
      </c>
    </row>
    <row r="7" spans="1:11" x14ac:dyDescent="0.25">
      <c r="A7">
        <v>43100673</v>
      </c>
      <c r="B7" t="s">
        <v>282</v>
      </c>
      <c r="C7">
        <v>63400500</v>
      </c>
      <c r="D7" t="s">
        <v>282</v>
      </c>
      <c r="E7" t="s">
        <v>48</v>
      </c>
      <c r="F7" t="s">
        <v>45</v>
      </c>
      <c r="G7">
        <v>23701173</v>
      </c>
      <c r="H7" s="196">
        <v>42400</v>
      </c>
      <c r="I7" s="26">
        <v>6808.66</v>
      </c>
      <c r="J7" s="103">
        <f t="shared" ref="J7:J13" si="0">+I7*$D$23</f>
        <v>5303.1486759043337</v>
      </c>
      <c r="K7" s="103">
        <f t="shared" ref="K7:K14" si="1">+I7*$D$24</f>
        <v>1505.5113240956646</v>
      </c>
    </row>
    <row r="8" spans="1:11" x14ac:dyDescent="0.25">
      <c r="A8">
        <v>43100673</v>
      </c>
      <c r="B8" t="s">
        <v>283</v>
      </c>
      <c r="C8">
        <v>63400500</v>
      </c>
      <c r="D8" t="s">
        <v>283</v>
      </c>
      <c r="E8" t="s">
        <v>48</v>
      </c>
      <c r="F8" t="s">
        <v>45</v>
      </c>
      <c r="G8">
        <v>23701173</v>
      </c>
      <c r="H8" s="196">
        <v>42429</v>
      </c>
      <c r="I8" s="26">
        <v>10700.49</v>
      </c>
      <c r="J8" s="103">
        <f t="shared" si="0"/>
        <v>8334.4284154338093</v>
      </c>
      <c r="K8" s="103">
        <f t="shared" si="1"/>
        <v>2366.0615845661873</v>
      </c>
    </row>
    <row r="9" spans="1:11" x14ac:dyDescent="0.25">
      <c r="A9">
        <v>43100673</v>
      </c>
      <c r="B9" t="s">
        <v>284</v>
      </c>
      <c r="C9">
        <v>63400500</v>
      </c>
      <c r="D9" t="s">
        <v>284</v>
      </c>
      <c r="E9" t="s">
        <v>48</v>
      </c>
      <c r="F9" t="s">
        <v>45</v>
      </c>
      <c r="G9">
        <v>23701173</v>
      </c>
      <c r="H9" s="196">
        <v>42460</v>
      </c>
      <c r="I9" s="26">
        <v>11104.08</v>
      </c>
      <c r="J9" s="103">
        <f t="shared" si="0"/>
        <v>8648.7777549673192</v>
      </c>
      <c r="K9" s="103">
        <f t="shared" si="1"/>
        <v>2455.3022450326771</v>
      </c>
    </row>
    <row r="10" spans="1:11" x14ac:dyDescent="0.25">
      <c r="A10">
        <v>43100673</v>
      </c>
      <c r="B10" t="s">
        <v>285</v>
      </c>
      <c r="C10">
        <v>63400500</v>
      </c>
      <c r="D10" t="s">
        <v>285</v>
      </c>
      <c r="E10" t="s">
        <v>48</v>
      </c>
      <c r="F10" t="s">
        <v>45</v>
      </c>
      <c r="G10">
        <v>23701173</v>
      </c>
      <c r="H10" s="196">
        <v>42521</v>
      </c>
      <c r="I10" s="26">
        <v>12051.34</v>
      </c>
      <c r="J10" s="103">
        <f t="shared" si="0"/>
        <v>9386.5823471685962</v>
      </c>
      <c r="K10" s="103">
        <f t="shared" si="1"/>
        <v>2664.7576528314012</v>
      </c>
    </row>
    <row r="11" spans="1:11" x14ac:dyDescent="0.25">
      <c r="A11">
        <v>43100673</v>
      </c>
      <c r="B11" t="s">
        <v>286</v>
      </c>
      <c r="C11">
        <v>63400500</v>
      </c>
      <c r="D11" t="s">
        <v>286</v>
      </c>
      <c r="E11" t="s">
        <v>48</v>
      </c>
      <c r="F11" t="s">
        <v>45</v>
      </c>
      <c r="G11">
        <v>23701173</v>
      </c>
      <c r="H11" s="196">
        <v>42551</v>
      </c>
      <c r="I11" s="26">
        <v>12622.81</v>
      </c>
      <c r="J11" s="103">
        <f t="shared" si="0"/>
        <v>9831.6905437622063</v>
      </c>
      <c r="K11" s="103">
        <f t="shared" si="1"/>
        <v>2791.1194562377905</v>
      </c>
    </row>
    <row r="12" spans="1:11" x14ac:dyDescent="0.25">
      <c r="A12">
        <v>43100673</v>
      </c>
      <c r="B12" t="s">
        <v>287</v>
      </c>
      <c r="C12">
        <v>63400500</v>
      </c>
      <c r="D12" t="s">
        <v>287</v>
      </c>
      <c r="E12" t="s">
        <v>48</v>
      </c>
      <c r="F12" t="s">
        <v>45</v>
      </c>
      <c r="G12">
        <v>23701173</v>
      </c>
      <c r="H12" s="196">
        <v>42582</v>
      </c>
      <c r="I12" s="26">
        <v>13096.41</v>
      </c>
      <c r="J12" s="103">
        <f t="shared" si="0"/>
        <v>10200.569473376592</v>
      </c>
      <c r="K12" s="103">
        <f t="shared" si="1"/>
        <v>2895.8405266234035</v>
      </c>
    </row>
    <row r="13" spans="1:11" x14ac:dyDescent="0.25">
      <c r="A13" s="25">
        <v>43100673</v>
      </c>
      <c r="B13" s="25" t="s">
        <v>288</v>
      </c>
      <c r="C13" s="25">
        <v>63400500</v>
      </c>
      <c r="D13" s="25" t="s">
        <v>288</v>
      </c>
      <c r="E13" s="25" t="s">
        <v>48</v>
      </c>
      <c r="F13" s="25" t="s">
        <v>45</v>
      </c>
      <c r="G13" s="25">
        <v>23701173</v>
      </c>
      <c r="H13" s="197">
        <v>42613</v>
      </c>
      <c r="I13" s="198">
        <v>13557.13</v>
      </c>
      <c r="J13" s="103">
        <f t="shared" si="0"/>
        <v>10559.416391560588</v>
      </c>
      <c r="K13" s="103">
        <f t="shared" si="1"/>
        <v>2997.7136084394074</v>
      </c>
    </row>
    <row r="14" spans="1:11" x14ac:dyDescent="0.25">
      <c r="A14" s="71">
        <v>43100673</v>
      </c>
      <c r="B14" s="71" t="s">
        <v>289</v>
      </c>
      <c r="C14" s="71">
        <v>63400500</v>
      </c>
      <c r="D14" s="71" t="s">
        <v>289</v>
      </c>
      <c r="E14" s="71" t="s">
        <v>48</v>
      </c>
      <c r="F14" s="71" t="s">
        <v>45</v>
      </c>
      <c r="G14" s="71">
        <v>23701173</v>
      </c>
      <c r="H14" s="199">
        <v>42643</v>
      </c>
      <c r="I14" s="200">
        <v>13989.02</v>
      </c>
      <c r="J14" s="121">
        <f>+I14*$D$23</f>
        <v>10895.80811645746</v>
      </c>
      <c r="K14" s="121">
        <f t="shared" si="1"/>
        <v>3093.2118835425376</v>
      </c>
    </row>
    <row r="15" spans="1:11" x14ac:dyDescent="0.25">
      <c r="A15" s="45"/>
      <c r="B15" s="45"/>
      <c r="C15" s="45"/>
      <c r="D15" s="78" t="s">
        <v>49</v>
      </c>
      <c r="E15" s="74"/>
      <c r="F15" s="74"/>
      <c r="G15" s="74"/>
      <c r="H15" s="75"/>
      <c r="I15" s="76">
        <f>SUM(I4:I14)</f>
        <v>103652.05000000002</v>
      </c>
    </row>
    <row r="16" spans="1:11" s="24" customFormat="1" x14ac:dyDescent="0.25">
      <c r="A16" s="45"/>
      <c r="B16" s="45"/>
      <c r="C16" s="45"/>
      <c r="D16" s="45"/>
      <c r="E16" s="45"/>
      <c r="F16" s="45"/>
      <c r="G16" s="45"/>
      <c r="H16" s="65"/>
      <c r="I16" s="77"/>
    </row>
    <row r="17" spans="1:13" ht="26.4" x14ac:dyDescent="0.25">
      <c r="A17">
        <v>43100601</v>
      </c>
      <c r="B17" t="s">
        <v>290</v>
      </c>
      <c r="C17">
        <v>63400500</v>
      </c>
      <c r="D17" t="s">
        <v>290</v>
      </c>
      <c r="E17" s="334" t="s">
        <v>44</v>
      </c>
      <c r="F17" s="25" t="s">
        <v>45</v>
      </c>
      <c r="G17">
        <v>23701173</v>
      </c>
      <c r="H17" s="63">
        <v>42490</v>
      </c>
      <c r="I17" s="70">
        <v>11548.06</v>
      </c>
      <c r="J17" s="103">
        <f t="shared" ref="J17" si="2">+I17*$D$23</f>
        <v>8994.586173823307</v>
      </c>
      <c r="K17" s="103">
        <f t="shared" ref="K17" si="3">+I17*$D$24</f>
        <v>2553.4738261766897</v>
      </c>
      <c r="M17" t="s">
        <v>50</v>
      </c>
    </row>
    <row r="18" spans="1:13" x14ac:dyDescent="0.25">
      <c r="H18" s="63"/>
      <c r="I18" s="44"/>
      <c r="J18" s="103"/>
      <c r="K18" s="103"/>
      <c r="L18" s="44"/>
      <c r="M18" t="s">
        <v>50</v>
      </c>
    </row>
    <row r="19" spans="1:13" x14ac:dyDescent="0.25">
      <c r="A19" s="71"/>
      <c r="B19" s="71"/>
      <c r="C19" s="71"/>
      <c r="D19" s="71"/>
      <c r="E19" s="71"/>
      <c r="F19" s="71"/>
      <c r="G19" s="71"/>
      <c r="H19" s="72"/>
      <c r="I19" s="73"/>
      <c r="J19" s="121"/>
      <c r="K19" s="121"/>
      <c r="L19" s="44"/>
      <c r="M19" t="s">
        <v>50</v>
      </c>
    </row>
    <row r="20" spans="1:13" x14ac:dyDescent="0.25">
      <c r="A20" s="45"/>
      <c r="B20" s="45"/>
      <c r="C20" s="45"/>
      <c r="D20" s="78" t="s">
        <v>51</v>
      </c>
      <c r="E20" s="78"/>
      <c r="F20" s="74"/>
      <c r="G20" s="74"/>
      <c r="H20" s="75"/>
      <c r="I20" s="76">
        <f>SUM(I15:I19)</f>
        <v>115200.11000000002</v>
      </c>
      <c r="J20" s="44">
        <f>SUM(J4:J19)</f>
        <v>89727.392880615793</v>
      </c>
      <c r="K20" s="44">
        <f>SUM(K4:K19)</f>
        <v>25472.717119384171</v>
      </c>
    </row>
    <row r="21" spans="1:13" x14ac:dyDescent="0.25">
      <c r="E21" s="29"/>
      <c r="F21" s="25"/>
      <c r="G21" s="42"/>
      <c r="H21" s="63"/>
    </row>
    <row r="22" spans="1:13" x14ac:dyDescent="0.25">
      <c r="E22" s="29"/>
      <c r="F22" s="25"/>
      <c r="G22" s="42"/>
      <c r="H22" s="25"/>
    </row>
    <row r="23" spans="1:13" x14ac:dyDescent="0.25">
      <c r="C23" t="s">
        <v>18</v>
      </c>
      <c r="D23" s="27">
        <f>+'E&amp;G Split'!F16</f>
        <v>0.77888287503037801</v>
      </c>
      <c r="E23" s="29">
        <f>+I20*D23</f>
        <v>89727.392880615807</v>
      </c>
      <c r="F23" s="43"/>
      <c r="G23" s="42"/>
      <c r="H23" s="25"/>
    </row>
    <row r="24" spans="1:13" x14ac:dyDescent="0.25">
      <c r="C24" t="s">
        <v>19</v>
      </c>
      <c r="D24" s="27">
        <f>+'E&amp;G Split'!G16</f>
        <v>0.22111712496962171</v>
      </c>
      <c r="E24" s="29">
        <f>+I20*D24</f>
        <v>25472.717119384171</v>
      </c>
      <c r="F24" s="43"/>
      <c r="G24" s="42"/>
      <c r="H24" s="25"/>
    </row>
    <row r="25" spans="1:13" ht="13.8" thickBot="1" x14ac:dyDescent="0.3">
      <c r="C25" t="s">
        <v>21</v>
      </c>
      <c r="D25" s="28">
        <f>SUM(D23:D24)</f>
        <v>0.99999999999999978</v>
      </c>
      <c r="E25" s="30">
        <f>SUM(E21:E24)</f>
        <v>115200.10999999999</v>
      </c>
      <c r="F25" s="43"/>
      <c r="G25" s="42"/>
      <c r="H25" s="25"/>
    </row>
    <row r="26" spans="1:13" ht="13.8" thickTop="1" x14ac:dyDescent="0.25">
      <c r="D26" s="43"/>
      <c r="E26" s="42"/>
      <c r="F26" s="43"/>
      <c r="G26" s="42"/>
      <c r="H26" s="25"/>
    </row>
    <row r="27" spans="1:13" x14ac:dyDescent="0.25">
      <c r="D27" s="43"/>
      <c r="E27" s="42"/>
      <c r="F27" s="43"/>
      <c r="G27" s="42"/>
      <c r="H27" s="25"/>
    </row>
    <row r="28" spans="1:13" x14ac:dyDescent="0.25">
      <c r="D28" s="43"/>
      <c r="E28" s="42"/>
      <c r="F28" s="43"/>
      <c r="G28" s="42"/>
      <c r="H28" s="25"/>
    </row>
    <row r="29" spans="1:13" x14ac:dyDescent="0.25">
      <c r="D29" s="43"/>
      <c r="E29" s="42"/>
      <c r="F29" s="43"/>
      <c r="G29" s="42"/>
      <c r="H29" s="25"/>
    </row>
    <row r="30" spans="1:13" x14ac:dyDescent="0.25">
      <c r="D30" s="43"/>
      <c r="E30" s="42"/>
      <c r="F30" s="43"/>
      <c r="G30" s="42"/>
      <c r="H30" s="25"/>
    </row>
    <row r="31" spans="1:13" x14ac:dyDescent="0.25">
      <c r="D31" s="43"/>
      <c r="E31" s="42"/>
      <c r="F31" s="43"/>
      <c r="G31" s="42"/>
      <c r="H31" s="25"/>
    </row>
    <row r="32" spans="1:13" x14ac:dyDescent="0.25">
      <c r="D32" s="43"/>
      <c r="E32" s="42"/>
      <c r="F32" s="43"/>
      <c r="G32" s="42"/>
      <c r="H32" s="25"/>
    </row>
    <row r="33" spans="4:9" x14ac:dyDescent="0.25">
      <c r="D33" s="31" t="s">
        <v>20</v>
      </c>
      <c r="E33" s="31">
        <f>+I20-E25</f>
        <v>0</v>
      </c>
      <c r="F33" s="25"/>
      <c r="G33" s="25"/>
      <c r="H33" s="25"/>
    </row>
    <row r="34" spans="4:9" x14ac:dyDescent="0.25">
      <c r="E34" s="25"/>
      <c r="F34" s="25"/>
      <c r="H34" s="63"/>
      <c r="I34" s="70"/>
    </row>
    <row r="35" spans="4:9" x14ac:dyDescent="0.25">
      <c r="H35" s="196"/>
    </row>
    <row r="36" spans="4:9" x14ac:dyDescent="0.25">
      <c r="H36" s="196"/>
    </row>
    <row r="37" spans="4:9" x14ac:dyDescent="0.25">
      <c r="H37" s="196"/>
    </row>
    <row r="38" spans="4:9" x14ac:dyDescent="0.25">
      <c r="H38" s="196"/>
    </row>
    <row r="39" spans="4:9" x14ac:dyDescent="0.25">
      <c r="H39" s="196"/>
    </row>
    <row r="40" spans="4:9" x14ac:dyDescent="0.25">
      <c r="H40" s="196"/>
    </row>
    <row r="41" spans="4:9" x14ac:dyDescent="0.25">
      <c r="H41" s="196"/>
    </row>
    <row r="42" spans="4:9" x14ac:dyDescent="0.25">
      <c r="H42" s="196"/>
    </row>
    <row r="43" spans="4:9" x14ac:dyDescent="0.25">
      <c r="H43" s="196"/>
    </row>
    <row r="44" spans="4:9" outlineLevel="1" x14ac:dyDescent="0.25"/>
    <row r="45" spans="4:9" outlineLevel="1" x14ac:dyDescent="0.25"/>
    <row r="46" spans="4:9" outlineLevel="1" x14ac:dyDescent="0.25"/>
  </sheetData>
  <sortState ref="A5:I17">
    <sortCondition ref="H5"/>
  </sortState>
  <phoneticPr fontId="11" type="noConversion"/>
  <pageMargins left="0.53" right="0.53" top="0.89" bottom="1" header="0.5" footer="0.5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0"/>
  <sheetViews>
    <sheetView workbookViewId="0">
      <selection activeCell="J1" sqref="J1"/>
    </sheetView>
  </sheetViews>
  <sheetFormatPr defaultColWidth="9.109375" defaultRowHeight="13.2" x14ac:dyDescent="0.25"/>
  <cols>
    <col min="1" max="1" width="19.109375" style="32" bestFit="1" customWidth="1"/>
    <col min="2" max="3" width="12.88671875" style="33" bestFit="1" customWidth="1"/>
    <col min="4" max="4" width="11.33203125" style="33" bestFit="1" customWidth="1"/>
    <col min="5" max="5" width="4.33203125" style="33" customWidth="1"/>
    <col min="6" max="16384" width="9.109375" style="32"/>
  </cols>
  <sheetData>
    <row r="1" spans="1:11" x14ac:dyDescent="0.25">
      <c r="A1" s="32" t="s">
        <v>22</v>
      </c>
      <c r="B1" s="33" t="s">
        <v>16</v>
      </c>
      <c r="C1" s="33" t="s">
        <v>17</v>
      </c>
      <c r="D1" s="33" t="s">
        <v>14</v>
      </c>
      <c r="F1" s="33" t="s">
        <v>16</v>
      </c>
      <c r="G1" s="33" t="s">
        <v>17</v>
      </c>
      <c r="H1" s="33" t="s">
        <v>14</v>
      </c>
    </row>
    <row r="2" spans="1:11" x14ac:dyDescent="0.25">
      <c r="F2" s="33"/>
      <c r="G2" s="33"/>
      <c r="H2" s="33"/>
    </row>
    <row r="3" spans="1:11" x14ac:dyDescent="0.25">
      <c r="A3" s="34"/>
      <c r="E3" s="32"/>
      <c r="F3" s="37"/>
      <c r="G3" s="37"/>
      <c r="H3" s="37"/>
      <c r="I3" s="35"/>
      <c r="J3" s="35"/>
      <c r="K3" s="35"/>
    </row>
    <row r="4" spans="1:11" x14ac:dyDescent="0.25">
      <c r="A4" s="112">
        <v>42278</v>
      </c>
      <c r="B4" s="330">
        <f>'2015PO'!G10</f>
        <v>4783466.4659333285</v>
      </c>
      <c r="C4" s="33">
        <f>'2015PO'!H11</f>
        <v>1514498.2540666712</v>
      </c>
      <c r="D4" s="33">
        <f t="shared" ref="D4:D12" si="0">SUM(B4:C4)</f>
        <v>6297964.7199999997</v>
      </c>
      <c r="E4" s="32"/>
      <c r="F4" s="37">
        <f t="shared" ref="F4:F6" si="1">+B4/D4</f>
        <v>0.75952576405244276</v>
      </c>
      <c r="G4" s="37">
        <f t="shared" ref="G4:G6" si="2">+C4/D4</f>
        <v>0.24047423594755724</v>
      </c>
      <c r="H4" s="37">
        <f t="shared" ref="H4:H6" si="3">SUM(F4:G4)</f>
        <v>1</v>
      </c>
      <c r="I4" s="35"/>
      <c r="J4" s="35"/>
      <c r="K4" s="35"/>
    </row>
    <row r="5" spans="1:11" x14ac:dyDescent="0.25">
      <c r="A5" s="112">
        <v>42309</v>
      </c>
      <c r="B5" s="330">
        <f>'2015PO'!G25</f>
        <v>4605491.829665266</v>
      </c>
      <c r="C5" s="33">
        <f>'2015PO'!H26</f>
        <v>1429324.4603347341</v>
      </c>
      <c r="D5" s="33">
        <f t="shared" si="0"/>
        <v>6034816.29</v>
      </c>
      <c r="E5" s="32"/>
      <c r="F5" s="37">
        <f t="shared" si="1"/>
        <v>0.7631536087182641</v>
      </c>
      <c r="G5" s="37">
        <f t="shared" si="2"/>
        <v>0.23684639128173593</v>
      </c>
      <c r="H5" s="37">
        <f t="shared" si="3"/>
        <v>1</v>
      </c>
      <c r="I5" s="35"/>
      <c r="J5" s="35"/>
      <c r="K5" s="35"/>
    </row>
    <row r="6" spans="1:11" x14ac:dyDescent="0.25">
      <c r="A6" s="112">
        <v>42339</v>
      </c>
      <c r="B6" s="330">
        <f>'2015PO'!G41</f>
        <v>3619785.2275113608</v>
      </c>
      <c r="C6" s="33">
        <f>'2015PO'!H42</f>
        <v>927991.29248863924</v>
      </c>
      <c r="D6" s="33">
        <f t="shared" si="0"/>
        <v>4547776.5199999996</v>
      </c>
      <c r="E6" s="32"/>
      <c r="F6" s="37">
        <f t="shared" si="1"/>
        <v>0.79594615337680685</v>
      </c>
      <c r="G6" s="37">
        <f t="shared" si="2"/>
        <v>0.2040538466231932</v>
      </c>
      <c r="H6" s="37">
        <f t="shared" si="3"/>
        <v>1</v>
      </c>
      <c r="I6" s="35"/>
      <c r="J6" s="35"/>
      <c r="K6" s="35"/>
    </row>
    <row r="7" spans="1:11" x14ac:dyDescent="0.25">
      <c r="A7" s="112">
        <v>42370</v>
      </c>
      <c r="B7" s="330">
        <f>'2016PO '!H5</f>
        <v>4069607.4554376975</v>
      </c>
      <c r="C7" s="33">
        <f>'2016PO '!I6</f>
        <v>1079045.4445623031</v>
      </c>
      <c r="D7" s="33">
        <f t="shared" si="0"/>
        <v>5148652.9000000004</v>
      </c>
      <c r="E7" s="32"/>
      <c r="F7" s="37">
        <f t="shared" ref="F7:F12" si="4">+B7/D7</f>
        <v>0.79042179274460256</v>
      </c>
      <c r="G7" s="37">
        <f t="shared" ref="G7:G12" si="5">+C7/D7</f>
        <v>0.20957820725539744</v>
      </c>
      <c r="H7" s="37">
        <f t="shared" ref="H7:H12" si="6">SUM(F7:G7)</f>
        <v>1</v>
      </c>
      <c r="I7" s="35"/>
      <c r="J7" s="35"/>
      <c r="K7" s="35"/>
    </row>
    <row r="8" spans="1:11" x14ac:dyDescent="0.25">
      <c r="A8" s="112">
        <v>42401</v>
      </c>
      <c r="B8" s="330">
        <f>'2016PO '!H22</f>
        <v>3892824.4573874921</v>
      </c>
      <c r="C8" s="33">
        <f>'2016PO '!I23</f>
        <v>1063656.2726125086</v>
      </c>
      <c r="D8" s="33">
        <f t="shared" si="0"/>
        <v>4956480.7300000004</v>
      </c>
      <c r="E8" s="32"/>
      <c r="F8" s="37">
        <f t="shared" si="4"/>
        <v>0.78540090629737835</v>
      </c>
      <c r="G8" s="37">
        <f t="shared" si="5"/>
        <v>0.21459909370262165</v>
      </c>
      <c r="H8" s="37">
        <f t="shared" si="6"/>
        <v>1</v>
      </c>
      <c r="I8" s="35"/>
      <c r="J8" s="35"/>
      <c r="K8" s="35"/>
    </row>
    <row r="9" spans="1:11" x14ac:dyDescent="0.25">
      <c r="A9" s="112">
        <v>42430</v>
      </c>
      <c r="B9" s="330">
        <f>'2016PO '!H39</f>
        <v>3470442.4210674167</v>
      </c>
      <c r="C9" s="33">
        <f>'2016PO '!I40</f>
        <v>880211.91893258342</v>
      </c>
      <c r="D9" s="33">
        <f t="shared" si="0"/>
        <v>4350654.34</v>
      </c>
      <c r="E9" s="32"/>
      <c r="F9" s="37">
        <f t="shared" si="4"/>
        <v>0.79768286557727697</v>
      </c>
      <c r="G9" s="37">
        <f t="shared" si="5"/>
        <v>0.20231713442272306</v>
      </c>
      <c r="H9" s="37">
        <f t="shared" si="6"/>
        <v>1</v>
      </c>
      <c r="I9" s="35"/>
      <c r="J9" s="35"/>
      <c r="K9" s="35"/>
    </row>
    <row r="10" spans="1:11" x14ac:dyDescent="0.25">
      <c r="A10" s="112">
        <v>42461</v>
      </c>
      <c r="B10" s="330">
        <f>'2016PO '!H56</f>
        <v>4388376.6277228585</v>
      </c>
      <c r="C10" s="33">
        <f>'2016PO '!I57</f>
        <v>1189654.2722771417</v>
      </c>
      <c r="D10" s="33">
        <f t="shared" si="0"/>
        <v>5578030.9000000004</v>
      </c>
      <c r="E10" s="32"/>
      <c r="F10" s="37">
        <f t="shared" si="4"/>
        <v>0.78672504803135068</v>
      </c>
      <c r="G10" s="37">
        <f t="shared" si="5"/>
        <v>0.21327495196864929</v>
      </c>
      <c r="H10" s="37">
        <f t="shared" si="6"/>
        <v>1</v>
      </c>
      <c r="I10" s="35"/>
      <c r="J10" s="35"/>
      <c r="K10" s="35"/>
    </row>
    <row r="11" spans="1:11" x14ac:dyDescent="0.25">
      <c r="A11" s="112">
        <v>42491</v>
      </c>
      <c r="B11" s="330">
        <f>'2016PO '!H73</f>
        <v>3760808.5573372561</v>
      </c>
      <c r="C11" s="33">
        <f>'2016PO '!I74</f>
        <v>1001530.9626627433</v>
      </c>
      <c r="D11" s="33">
        <f t="shared" si="0"/>
        <v>4762339.5199999996</v>
      </c>
      <c r="E11" s="32"/>
      <c r="F11" s="37">
        <f t="shared" si="4"/>
        <v>0.78969769827272973</v>
      </c>
      <c r="G11" s="37">
        <f t="shared" si="5"/>
        <v>0.21030230172727024</v>
      </c>
      <c r="H11" s="37">
        <f t="shared" si="6"/>
        <v>1</v>
      </c>
      <c r="I11" s="35"/>
      <c r="J11" s="35"/>
      <c r="K11" s="35"/>
    </row>
    <row r="12" spans="1:11" x14ac:dyDescent="0.25">
      <c r="A12" s="112">
        <v>42522</v>
      </c>
      <c r="B12" s="330">
        <f>'2016PO '!H90</f>
        <v>3453869.1841021059</v>
      </c>
      <c r="C12" s="33">
        <f>'2016PO '!I91</f>
        <v>985531.90589789429</v>
      </c>
      <c r="D12" s="33">
        <f t="shared" si="0"/>
        <v>4439401.09</v>
      </c>
      <c r="E12" s="32"/>
      <c r="F12" s="37">
        <f t="shared" si="4"/>
        <v>0.77800340948740587</v>
      </c>
      <c r="G12" s="37">
        <f t="shared" si="5"/>
        <v>0.22199659051259418</v>
      </c>
      <c r="H12" s="37">
        <f t="shared" si="6"/>
        <v>1</v>
      </c>
      <c r="I12" s="35"/>
      <c r="J12" s="35"/>
      <c r="K12" s="35"/>
    </row>
    <row r="13" spans="1:11" x14ac:dyDescent="0.25">
      <c r="A13" s="112">
        <v>42552</v>
      </c>
      <c r="B13" s="330">
        <f>'2016PO '!H106</f>
        <v>3430594.1718575233</v>
      </c>
      <c r="C13" s="33">
        <f>'2016PO '!I107</f>
        <v>960340.84814247687</v>
      </c>
      <c r="D13" s="33">
        <f t="shared" ref="D13:D15" si="7">SUM(B13:C13)</f>
        <v>4390935.0200000005</v>
      </c>
      <c r="E13" s="32"/>
      <c r="F13" s="37">
        <f t="shared" ref="F13:F15" si="8">+B13/D13</f>
        <v>0.78129012527667119</v>
      </c>
      <c r="G13" s="37">
        <f t="shared" ref="G13:G15" si="9">+C13/D13</f>
        <v>0.2187098747233287</v>
      </c>
      <c r="H13" s="37">
        <f t="shared" ref="H13:H15" si="10">SUM(F13:G13)</f>
        <v>0.99999999999999989</v>
      </c>
    </row>
    <row r="14" spans="1:11" x14ac:dyDescent="0.25">
      <c r="A14" s="112">
        <v>42583</v>
      </c>
      <c r="B14" s="330">
        <f>'2016PO '!H124</f>
        <v>2914940.1837295643</v>
      </c>
      <c r="C14" s="33">
        <f>'2016PO '!I125</f>
        <v>1043025.8762704358</v>
      </c>
      <c r="D14" s="33">
        <f t="shared" si="7"/>
        <v>3957966.06</v>
      </c>
      <c r="E14" s="32"/>
      <c r="F14" s="37">
        <f t="shared" si="8"/>
        <v>0.73647427480203409</v>
      </c>
      <c r="G14" s="37">
        <f t="shared" si="9"/>
        <v>0.26352572519796585</v>
      </c>
      <c r="H14" s="37">
        <f t="shared" si="10"/>
        <v>1</v>
      </c>
    </row>
    <row r="15" spans="1:11" x14ac:dyDescent="0.25">
      <c r="A15" s="112">
        <v>42614</v>
      </c>
      <c r="B15" s="330">
        <f>'2016PO '!H142</f>
        <v>2771209.2698247805</v>
      </c>
      <c r="C15" s="33">
        <f>'2016PO '!I143</f>
        <v>746066.64017521974</v>
      </c>
      <c r="D15" s="33">
        <f t="shared" si="7"/>
        <v>3517275.91</v>
      </c>
      <c r="E15" s="32"/>
      <c r="F15" s="37">
        <f t="shared" si="8"/>
        <v>0.78788509651629246</v>
      </c>
      <c r="G15" s="37">
        <f t="shared" si="9"/>
        <v>0.21211490348370757</v>
      </c>
      <c r="H15" s="37">
        <f t="shared" si="10"/>
        <v>1</v>
      </c>
    </row>
    <row r="16" spans="1:11" ht="13.8" thickBot="1" x14ac:dyDescent="0.3">
      <c r="B16" s="36">
        <f>SUM(B4:B15)</f>
        <v>45161415.851576649</v>
      </c>
      <c r="C16" s="36">
        <f>SUM(C4:C15)</f>
        <v>12820878.148423351</v>
      </c>
      <c r="D16" s="36">
        <f>SUM(D4:D15)</f>
        <v>57982294.000000015</v>
      </c>
      <c r="F16" s="38">
        <f>+B16/D16</f>
        <v>0.77888287503037801</v>
      </c>
      <c r="G16" s="38">
        <f>+C16/D16</f>
        <v>0.22111712496962171</v>
      </c>
      <c r="H16" s="38">
        <f t="shared" ref="H16" si="11">SUM(F16:G16)</f>
        <v>0.99999999999999978</v>
      </c>
      <c r="I16" s="35"/>
      <c r="J16" s="35"/>
      <c r="K16" s="35"/>
    </row>
    <row r="17" spans="6:8" ht="13.8" thickTop="1" x14ac:dyDescent="0.25">
      <c r="F17" s="41"/>
      <c r="H17" s="41"/>
    </row>
    <row r="18" spans="6:8" x14ac:dyDescent="0.25">
      <c r="F18" s="41"/>
      <c r="H18" s="41"/>
    </row>
    <row r="19" spans="6:8" x14ac:dyDescent="0.25">
      <c r="F19" s="41"/>
      <c r="H19" s="41"/>
    </row>
    <row r="20" spans="6:8" x14ac:dyDescent="0.25">
      <c r="F20" s="41"/>
      <c r="H20" s="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U154"/>
  <sheetViews>
    <sheetView workbookViewId="0">
      <pane ySplit="3" topLeftCell="A4" activePane="bottomLeft" state="frozen"/>
      <selection activeCell="J1" sqref="J1"/>
      <selection pane="bottomLeft" activeCell="K12" sqref="K12"/>
    </sheetView>
  </sheetViews>
  <sheetFormatPr defaultColWidth="9.109375" defaultRowHeight="11.4" x14ac:dyDescent="0.2"/>
  <cols>
    <col min="1" max="1" width="11.109375" style="59" customWidth="1"/>
    <col min="2" max="2" width="12.5546875" style="59" customWidth="1"/>
    <col min="3" max="3" width="18.6640625" style="59" customWidth="1"/>
    <col min="4" max="4" width="21" style="59" customWidth="1"/>
    <col min="5" max="5" width="14" style="59" customWidth="1"/>
    <col min="6" max="7" width="18" style="59" customWidth="1"/>
    <col min="8" max="9" width="16.44140625" style="59" customWidth="1"/>
    <col min="10" max="10" width="13.5546875" style="59" bestFit="1" customWidth="1"/>
    <col min="11" max="11" width="16.5546875" style="59" customWidth="1"/>
    <col min="12" max="12" width="15.109375" style="59" customWidth="1"/>
    <col min="13" max="14" width="10.109375" style="59" bestFit="1" customWidth="1"/>
    <col min="15" max="15" width="11.33203125" style="59" bestFit="1" customWidth="1"/>
    <col min="16" max="16" width="14.5546875" style="59" bestFit="1" customWidth="1"/>
    <col min="17" max="17" width="12.33203125" style="59" bestFit="1" customWidth="1"/>
    <col min="18" max="18" width="14.5546875" style="59" bestFit="1" customWidth="1"/>
    <col min="19" max="16384" width="9.109375" style="59"/>
  </cols>
  <sheetData>
    <row r="1" spans="1:11" ht="12" x14ac:dyDescent="0.25">
      <c r="A1" s="128" t="s">
        <v>297</v>
      </c>
      <c r="B1" s="129"/>
      <c r="C1" s="130"/>
      <c r="G1" s="292" t="s">
        <v>298</v>
      </c>
      <c r="H1" s="293">
        <f>+H2+H3</f>
        <v>45161415.851576649</v>
      </c>
      <c r="I1" s="293">
        <f>+I2+I3</f>
        <v>12820878.148423351</v>
      </c>
    </row>
    <row r="2" spans="1:11" ht="12.6" thickBot="1" x14ac:dyDescent="0.3">
      <c r="A2" s="131" t="s">
        <v>27</v>
      </c>
      <c r="B2" s="132"/>
      <c r="C2" s="131"/>
      <c r="G2" s="292">
        <v>2015</v>
      </c>
      <c r="H2" s="293">
        <f>'2015PO'!G1</f>
        <v>13008743.523109956</v>
      </c>
      <c r="I2" s="293">
        <f>'2015PO'!H1</f>
        <v>3871814.0068900445</v>
      </c>
      <c r="J2" s="337"/>
      <c r="K2" s="337"/>
    </row>
    <row r="3" spans="1:11" ht="12.6" thickTop="1" x14ac:dyDescent="0.25">
      <c r="A3" s="133" t="s">
        <v>15</v>
      </c>
      <c r="B3" s="134"/>
      <c r="C3" s="135" t="s">
        <v>15</v>
      </c>
      <c r="D3" s="136" t="s">
        <v>25</v>
      </c>
      <c r="E3" s="52"/>
      <c r="G3" s="292">
        <v>2016</v>
      </c>
      <c r="H3" s="293">
        <f>SUM(H5:H143)</f>
        <v>32152672.328466695</v>
      </c>
      <c r="I3" s="293">
        <f>SUM(I5:I143)</f>
        <v>8949064.1415333077</v>
      </c>
      <c r="J3" s="338"/>
      <c r="K3" s="338"/>
    </row>
    <row r="4" spans="1:11" ht="12" x14ac:dyDescent="0.25">
      <c r="A4" s="137" t="s">
        <v>23</v>
      </c>
      <c r="B4" s="138" t="s">
        <v>24</v>
      </c>
      <c r="C4" s="139" t="s">
        <v>15</v>
      </c>
      <c r="D4" s="140" t="s">
        <v>28</v>
      </c>
      <c r="E4" s="51"/>
      <c r="F4" s="176" t="s">
        <v>29</v>
      </c>
      <c r="G4" s="177" t="s">
        <v>30</v>
      </c>
      <c r="H4" s="176" t="s">
        <v>31</v>
      </c>
      <c r="I4" s="177" t="s">
        <v>32</v>
      </c>
    </row>
    <row r="5" spans="1:11" ht="14.4" x14ac:dyDescent="0.3">
      <c r="A5" s="260" t="s">
        <v>26</v>
      </c>
      <c r="B5" s="259" t="s">
        <v>33</v>
      </c>
      <c r="C5" s="260" t="s">
        <v>34</v>
      </c>
      <c r="D5" s="261">
        <v>933.78</v>
      </c>
      <c r="E5" s="301"/>
      <c r="F5" s="283">
        <f>(D5/(D5+D6))*(D7+D8)</f>
        <v>-33472.326331865908</v>
      </c>
      <c r="G5" s="283">
        <f>D5+F5</f>
        <v>-32538.546331865909</v>
      </c>
      <c r="H5" s="284">
        <f>+G12</f>
        <v>4069607.4554376975</v>
      </c>
      <c r="I5" s="285"/>
    </row>
    <row r="6" spans="1:11" ht="14.4" x14ac:dyDescent="0.3">
      <c r="A6" s="273"/>
      <c r="B6" s="259" t="s">
        <v>35</v>
      </c>
      <c r="C6" s="260" t="s">
        <v>36</v>
      </c>
      <c r="D6" s="261">
        <v>1578.56</v>
      </c>
      <c r="E6" s="301"/>
      <c r="F6" s="283">
        <f>(D6/(D6+D5))*(D7+D8)</f>
        <v>-56585.143668134086</v>
      </c>
      <c r="G6" s="283">
        <f>D6+F6</f>
        <v>-55006.583668134088</v>
      </c>
      <c r="H6" s="285"/>
      <c r="I6" s="284">
        <f>+G13</f>
        <v>1079045.4445623031</v>
      </c>
    </row>
    <row r="7" spans="1:11" ht="13.2" x14ac:dyDescent="0.25">
      <c r="A7" s="273"/>
      <c r="B7" s="259" t="s">
        <v>37</v>
      </c>
      <c r="C7" s="260" t="s">
        <v>38</v>
      </c>
      <c r="D7" s="261">
        <v>-64297.52</v>
      </c>
      <c r="E7" s="301"/>
      <c r="F7" s="201"/>
      <c r="G7" s="284">
        <f>SUM(G5:G6)</f>
        <v>-87545.13</v>
      </c>
      <c r="H7" s="285"/>
      <c r="I7" s="285"/>
    </row>
    <row r="8" spans="1:11" ht="13.2" x14ac:dyDescent="0.25">
      <c r="A8" s="273"/>
      <c r="B8" s="260" t="s">
        <v>294</v>
      </c>
      <c r="C8" s="260" t="s">
        <v>295</v>
      </c>
      <c r="D8" s="265">
        <v>-25759.95</v>
      </c>
      <c r="E8" s="301"/>
      <c r="F8" s="201"/>
      <c r="G8" s="284"/>
      <c r="H8" s="285"/>
      <c r="I8" s="285"/>
    </row>
    <row r="9" spans="1:11" ht="12.6" thickBot="1" x14ac:dyDescent="0.3">
      <c r="A9" s="247" t="s">
        <v>39</v>
      </c>
      <c r="B9" s="247"/>
      <c r="C9" s="269"/>
      <c r="D9" s="285"/>
      <c r="E9" s="285"/>
      <c r="F9" s="285"/>
      <c r="G9" s="285"/>
      <c r="H9" s="285"/>
      <c r="I9" s="285"/>
    </row>
    <row r="10" spans="1:11" ht="12.6" thickTop="1" x14ac:dyDescent="0.25">
      <c r="A10" s="249" t="s">
        <v>15</v>
      </c>
      <c r="B10" s="250"/>
      <c r="C10" s="251" t="s">
        <v>15</v>
      </c>
      <c r="D10" s="252" t="s">
        <v>25</v>
      </c>
      <c r="E10" s="280"/>
      <c r="F10" s="285"/>
      <c r="G10" s="285"/>
      <c r="H10" s="285"/>
      <c r="I10" s="285"/>
    </row>
    <row r="11" spans="1:11" ht="12" x14ac:dyDescent="0.25">
      <c r="A11" s="253" t="s">
        <v>23</v>
      </c>
      <c r="B11" s="254" t="s">
        <v>24</v>
      </c>
      <c r="C11" s="255" t="s">
        <v>15</v>
      </c>
      <c r="D11" s="256" t="s">
        <v>28</v>
      </c>
      <c r="E11" s="270"/>
      <c r="F11" s="285"/>
      <c r="G11" s="285"/>
      <c r="H11" s="285"/>
      <c r="I11" s="285"/>
    </row>
    <row r="12" spans="1:11" ht="14.4" x14ac:dyDescent="0.3">
      <c r="A12" s="260" t="s">
        <v>26</v>
      </c>
      <c r="B12" s="259" t="s">
        <v>33</v>
      </c>
      <c r="C12" s="260" t="s">
        <v>34</v>
      </c>
      <c r="D12" s="261">
        <v>4503682.57</v>
      </c>
      <c r="E12" s="301"/>
      <c r="F12" s="283">
        <f>(D12/(D12+D13))*(D14+D15)</f>
        <v>-401536.56823043729</v>
      </c>
      <c r="G12" s="283">
        <f>D12+F12+G5</f>
        <v>4069607.4554376975</v>
      </c>
      <c r="H12" s="285"/>
      <c r="I12" s="285"/>
    </row>
    <row r="13" spans="1:11" ht="14.4" x14ac:dyDescent="0.3">
      <c r="A13" s="273"/>
      <c r="B13" s="259" t="s">
        <v>35</v>
      </c>
      <c r="C13" s="260" t="s">
        <v>36</v>
      </c>
      <c r="D13" s="261">
        <v>1245058.1599999999</v>
      </c>
      <c r="E13" s="301"/>
      <c r="F13" s="283">
        <f>(D13/(D13+D12))*(D14+D15)</f>
        <v>-111006.13176956268</v>
      </c>
      <c r="G13" s="283">
        <f>D13+F13+G6</f>
        <v>1079045.4445623031</v>
      </c>
      <c r="H13" s="285"/>
      <c r="I13" s="285"/>
    </row>
    <row r="14" spans="1:11" ht="13.2" x14ac:dyDescent="0.25">
      <c r="A14" s="273"/>
      <c r="B14" s="259" t="s">
        <v>37</v>
      </c>
      <c r="C14" s="260" t="s">
        <v>38</v>
      </c>
      <c r="D14" s="261">
        <v>-264890.19</v>
      </c>
      <c r="E14" s="301"/>
      <c r="F14" s="201"/>
      <c r="G14" s="284">
        <f>SUM(G12:G13)</f>
        <v>5148652.9000000004</v>
      </c>
      <c r="H14" s="285"/>
      <c r="I14" s="285"/>
    </row>
    <row r="15" spans="1:11" ht="13.2" x14ac:dyDescent="0.25">
      <c r="A15" s="273"/>
      <c r="B15" s="260" t="s">
        <v>294</v>
      </c>
      <c r="C15" s="260" t="s">
        <v>295</v>
      </c>
      <c r="D15" s="265">
        <v>-247652.51</v>
      </c>
      <c r="E15" s="301"/>
      <c r="F15" s="201"/>
      <c r="G15" s="284"/>
      <c r="H15" s="285"/>
      <c r="I15" s="285"/>
    </row>
    <row r="16" spans="1:11" ht="10.5" customHeight="1" x14ac:dyDescent="0.2">
      <c r="A16" s="62"/>
      <c r="B16" s="52"/>
      <c r="C16" s="52"/>
      <c r="D16" s="50"/>
      <c r="E16" s="50"/>
      <c r="F16" s="61"/>
      <c r="G16" s="61"/>
    </row>
    <row r="17" spans="1:9" ht="10.5" customHeight="1" x14ac:dyDescent="0.2"/>
    <row r="18" spans="1:9" ht="12" x14ac:dyDescent="0.25">
      <c r="A18" s="128" t="s">
        <v>299</v>
      </c>
      <c r="B18" s="129"/>
      <c r="C18" s="130"/>
    </row>
    <row r="19" spans="1:9" ht="12.6" thickBot="1" x14ac:dyDescent="0.3">
      <c r="A19" s="131" t="s">
        <v>27</v>
      </c>
      <c r="B19" s="132"/>
      <c r="C19" s="131"/>
    </row>
    <row r="20" spans="1:9" ht="12.6" thickTop="1" x14ac:dyDescent="0.25">
      <c r="A20" s="249" t="s">
        <v>15</v>
      </c>
      <c r="B20" s="250"/>
      <c r="C20" s="251" t="s">
        <v>15</v>
      </c>
      <c r="D20" s="252" t="s">
        <v>25</v>
      </c>
      <c r="E20" s="280"/>
      <c r="F20" s="285"/>
      <c r="G20" s="285"/>
      <c r="H20" s="285"/>
      <c r="I20" s="285"/>
    </row>
    <row r="21" spans="1:9" ht="12" x14ac:dyDescent="0.25">
      <c r="A21" s="253" t="s">
        <v>23</v>
      </c>
      <c r="B21" s="254" t="s">
        <v>24</v>
      </c>
      <c r="C21" s="255" t="s">
        <v>15</v>
      </c>
      <c r="D21" s="286" t="s">
        <v>28</v>
      </c>
      <c r="E21" s="270"/>
      <c r="F21" s="287" t="s">
        <v>29</v>
      </c>
      <c r="G21" s="288" t="s">
        <v>30</v>
      </c>
      <c r="H21" s="287" t="s">
        <v>31</v>
      </c>
      <c r="I21" s="288" t="s">
        <v>32</v>
      </c>
    </row>
    <row r="22" spans="1:9" ht="13.2" x14ac:dyDescent="0.25">
      <c r="A22" s="260" t="s">
        <v>26</v>
      </c>
      <c r="B22" s="259" t="s">
        <v>33</v>
      </c>
      <c r="C22" s="260" t="s">
        <v>34</v>
      </c>
      <c r="D22" s="261">
        <v>1146.8499999999999</v>
      </c>
      <c r="E22" s="301"/>
      <c r="F22" s="276">
        <f>(D22/(D22+D23))*(D24+D25)</f>
        <v>-33858.012588668273</v>
      </c>
      <c r="G22" s="276">
        <f>D22+F22</f>
        <v>-32711.162588668274</v>
      </c>
      <c r="H22" s="284">
        <f>+G30</f>
        <v>3892824.4573874921</v>
      </c>
      <c r="I22" s="285"/>
    </row>
    <row r="23" spans="1:9" ht="13.2" x14ac:dyDescent="0.25">
      <c r="A23" s="273"/>
      <c r="B23" s="259" t="s">
        <v>35</v>
      </c>
      <c r="C23" s="260" t="s">
        <v>36</v>
      </c>
      <c r="D23" s="261">
        <v>1996.89</v>
      </c>
      <c r="E23" s="301"/>
      <c r="F23" s="276">
        <f>D23/(D22+D23)*(D24+D25)</f>
        <v>-58953.417411331728</v>
      </c>
      <c r="G23" s="276">
        <f>D23+F23</f>
        <v>-56956.527411331728</v>
      </c>
      <c r="H23" s="285"/>
      <c r="I23" s="284">
        <f>+G31</f>
        <v>1063656.2726125086</v>
      </c>
    </row>
    <row r="24" spans="1:9" ht="13.2" x14ac:dyDescent="0.25">
      <c r="A24" s="273"/>
      <c r="B24" s="259" t="s">
        <v>37</v>
      </c>
      <c r="C24" s="260" t="s">
        <v>38</v>
      </c>
      <c r="D24" s="261">
        <v>-63676</v>
      </c>
      <c r="E24" s="301"/>
      <c r="F24" s="276"/>
      <c r="G24" s="284">
        <f>SUM(G22:G23)</f>
        <v>-89667.69</v>
      </c>
      <c r="H24" s="289"/>
      <c r="I24" s="285"/>
    </row>
    <row r="25" spans="1:9" ht="13.2" x14ac:dyDescent="0.25">
      <c r="A25" s="273"/>
      <c r="B25" s="260" t="s">
        <v>294</v>
      </c>
      <c r="C25" s="260" t="s">
        <v>295</v>
      </c>
      <c r="D25" s="265">
        <v>-29135.43</v>
      </c>
      <c r="E25" s="301"/>
      <c r="F25" s="276"/>
      <c r="G25" s="284"/>
      <c r="H25" s="289"/>
      <c r="I25" s="285"/>
    </row>
    <row r="26" spans="1:9" x14ac:dyDescent="0.2">
      <c r="A26" s="285"/>
      <c r="B26" s="285"/>
      <c r="C26" s="285"/>
      <c r="D26" s="290"/>
      <c r="E26" s="290"/>
      <c r="F26" s="285"/>
      <c r="G26" s="285"/>
      <c r="H26" s="289"/>
      <c r="I26" s="285"/>
    </row>
    <row r="27" spans="1:9" ht="12.6" thickBot="1" x14ac:dyDescent="0.3">
      <c r="A27" s="247" t="s">
        <v>39</v>
      </c>
      <c r="B27" s="247"/>
      <c r="C27" s="269"/>
      <c r="D27" s="285"/>
      <c r="E27" s="285"/>
      <c r="F27" s="285"/>
      <c r="G27" s="285"/>
      <c r="H27" s="289"/>
      <c r="I27" s="285"/>
    </row>
    <row r="28" spans="1:9" ht="12.6" thickTop="1" x14ac:dyDescent="0.25">
      <c r="A28" s="249" t="s">
        <v>15</v>
      </c>
      <c r="B28" s="250"/>
      <c r="C28" s="251" t="s">
        <v>15</v>
      </c>
      <c r="D28" s="252" t="s">
        <v>25</v>
      </c>
      <c r="E28" s="280"/>
      <c r="F28" s="285"/>
      <c r="G28" s="285"/>
      <c r="H28" s="289"/>
      <c r="I28" s="285"/>
    </row>
    <row r="29" spans="1:9" ht="12" x14ac:dyDescent="0.25">
      <c r="A29" s="253" t="s">
        <v>23</v>
      </c>
      <c r="B29" s="254" t="s">
        <v>24</v>
      </c>
      <c r="C29" s="255" t="s">
        <v>15</v>
      </c>
      <c r="D29" s="256" t="s">
        <v>28</v>
      </c>
      <c r="E29" s="270"/>
      <c r="F29" s="285"/>
      <c r="G29" s="285"/>
      <c r="H29" s="285"/>
      <c r="I29" s="285"/>
    </row>
    <row r="30" spans="1:9" ht="13.2" x14ac:dyDescent="0.25">
      <c r="A30" s="260" t="s">
        <v>26</v>
      </c>
      <c r="B30" s="259" t="s">
        <v>33</v>
      </c>
      <c r="C30" s="260" t="s">
        <v>34</v>
      </c>
      <c r="D30" s="261">
        <v>4346919.4000000004</v>
      </c>
      <c r="E30" s="301"/>
      <c r="F30" s="276">
        <f>(D30/(D30+D31))*(D32+D33)</f>
        <v>-421383.78002384037</v>
      </c>
      <c r="G30" s="276">
        <f>D30+F30+G22</f>
        <v>3892824.4573874921</v>
      </c>
      <c r="H30" s="291"/>
      <c r="I30" s="285"/>
    </row>
    <row r="31" spans="1:9" ht="13.2" x14ac:dyDescent="0.25">
      <c r="A31" s="273"/>
      <c r="B31" s="259" t="s">
        <v>35</v>
      </c>
      <c r="C31" s="260" t="s">
        <v>36</v>
      </c>
      <c r="D31" s="261">
        <v>1240904.17</v>
      </c>
      <c r="E31" s="301"/>
      <c r="F31" s="276">
        <f>D31/(D30+D31)*(D32+D33)</f>
        <v>-120291.36997615969</v>
      </c>
      <c r="G31" s="276">
        <f>D31+F31+G23</f>
        <v>1063656.2726125086</v>
      </c>
      <c r="H31" s="289"/>
      <c r="I31" s="285"/>
    </row>
    <row r="32" spans="1:9" ht="13.2" x14ac:dyDescent="0.25">
      <c r="A32" s="273"/>
      <c r="B32" s="259" t="s">
        <v>37</v>
      </c>
      <c r="C32" s="260" t="s">
        <v>38</v>
      </c>
      <c r="D32" s="261">
        <v>-267128.53000000003</v>
      </c>
      <c r="E32" s="301"/>
      <c r="F32" s="276"/>
      <c r="G32" s="284">
        <f>SUM(G30:G31)</f>
        <v>4956480.7300000004</v>
      </c>
      <c r="H32" s="289"/>
      <c r="I32" s="285"/>
    </row>
    <row r="33" spans="1:21" ht="13.2" x14ac:dyDescent="0.25">
      <c r="A33" s="273"/>
      <c r="B33" s="260" t="s">
        <v>294</v>
      </c>
      <c r="C33" s="260" t="s">
        <v>295</v>
      </c>
      <c r="D33" s="265">
        <v>-274546.62</v>
      </c>
      <c r="E33" s="301"/>
      <c r="F33" s="276"/>
      <c r="G33" s="284"/>
      <c r="H33" s="289"/>
      <c r="I33" s="285"/>
    </row>
    <row r="34" spans="1:21" ht="9" customHeight="1" x14ac:dyDescent="0.2">
      <c r="A34" s="62"/>
      <c r="B34" s="52"/>
      <c r="C34" s="52"/>
      <c r="D34" s="50"/>
      <c r="E34" s="50"/>
      <c r="F34" s="61"/>
      <c r="G34" s="61"/>
      <c r="H34" s="60"/>
    </row>
    <row r="35" spans="1:21" ht="9" customHeight="1" x14ac:dyDescent="0.2">
      <c r="B35" s="181"/>
    </row>
    <row r="36" spans="1:21" ht="12" x14ac:dyDescent="0.25">
      <c r="A36" s="128" t="s">
        <v>300</v>
      </c>
      <c r="B36" s="129"/>
      <c r="C36" s="130"/>
    </row>
    <row r="37" spans="1:21" ht="12" x14ac:dyDescent="0.25">
      <c r="A37" s="144" t="s">
        <v>15</v>
      </c>
      <c r="B37" s="145"/>
      <c r="C37" s="146" t="s">
        <v>15</v>
      </c>
      <c r="D37" s="147" t="s">
        <v>25</v>
      </c>
      <c r="E37" s="52"/>
      <c r="J37" s="52"/>
      <c r="K37" s="52"/>
      <c r="L37" s="52"/>
      <c r="M37" s="52"/>
      <c r="N37" s="52"/>
      <c r="O37" s="52"/>
      <c r="P37" s="52"/>
      <c r="Q37" s="48"/>
      <c r="R37" s="48"/>
    </row>
    <row r="38" spans="1:21" ht="12" x14ac:dyDescent="0.25">
      <c r="A38" s="137" t="s">
        <v>23</v>
      </c>
      <c r="B38" s="138" t="s">
        <v>24</v>
      </c>
      <c r="C38" s="148" t="s">
        <v>15</v>
      </c>
      <c r="D38" s="149" t="s">
        <v>28</v>
      </c>
      <c r="E38" s="302"/>
      <c r="F38" s="176" t="s">
        <v>29</v>
      </c>
      <c r="G38" s="177" t="s">
        <v>30</v>
      </c>
      <c r="H38" s="176" t="s">
        <v>31</v>
      </c>
      <c r="I38" s="177" t="s">
        <v>32</v>
      </c>
      <c r="J38" s="51"/>
      <c r="K38" s="51"/>
      <c r="L38" s="51"/>
      <c r="M38" s="51"/>
      <c r="N38" s="51"/>
      <c r="O38" s="51"/>
      <c r="P38" s="51"/>
      <c r="Q38" s="58"/>
      <c r="R38" s="58"/>
    </row>
    <row r="39" spans="1:21" ht="14.4" x14ac:dyDescent="0.3">
      <c r="A39" s="294" t="s">
        <v>26</v>
      </c>
      <c r="B39" s="294" t="s">
        <v>33</v>
      </c>
      <c r="C39" s="294" t="s">
        <v>34</v>
      </c>
      <c r="D39" s="283">
        <v>125.72</v>
      </c>
      <c r="E39" s="283"/>
      <c r="F39" s="295">
        <f>(D39/SUM(D39:D40))*(D41+D42)</f>
        <v>-8599.0896507900488</v>
      </c>
      <c r="G39" s="295">
        <f>D39+F39</f>
        <v>-8473.3696507900495</v>
      </c>
      <c r="H39" s="284">
        <f>+G47</f>
        <v>3470442.4210674167</v>
      </c>
      <c r="I39" s="285"/>
      <c r="J39" s="50"/>
      <c r="K39" s="50"/>
      <c r="L39" s="50"/>
      <c r="M39" s="50"/>
      <c r="N39" s="50"/>
      <c r="O39" s="50"/>
      <c r="P39" s="54"/>
      <c r="Q39" s="53"/>
      <c r="R39" s="53"/>
    </row>
    <row r="40" spans="1:21" ht="14.4" x14ac:dyDescent="0.3">
      <c r="A40" s="201"/>
      <c r="B40" s="294" t="s">
        <v>35</v>
      </c>
      <c r="C40" s="294" t="s">
        <v>36</v>
      </c>
      <c r="D40" s="283">
        <v>1284.32</v>
      </c>
      <c r="E40" s="283"/>
      <c r="F40" s="295">
        <f>(D41+D42)-F39</f>
        <v>-87845.870349209945</v>
      </c>
      <c r="G40" s="295">
        <f>D40+F40</f>
        <v>-86561.550349209938</v>
      </c>
      <c r="H40" s="285"/>
      <c r="I40" s="284">
        <f>+G48</f>
        <v>880211.91893258342</v>
      </c>
      <c r="J40" s="50"/>
      <c r="K40" s="50"/>
      <c r="L40" s="50"/>
      <c r="M40" s="50"/>
      <c r="N40" s="50"/>
      <c r="O40" s="50"/>
      <c r="P40" s="54"/>
      <c r="Q40" s="53"/>
      <c r="R40" s="53"/>
    </row>
    <row r="41" spans="1:21" ht="14.4" x14ac:dyDescent="0.3">
      <c r="A41" s="201"/>
      <c r="B41" s="294" t="s">
        <v>37</v>
      </c>
      <c r="C41" s="294" t="s">
        <v>38</v>
      </c>
      <c r="D41" s="283">
        <v>-63479.72</v>
      </c>
      <c r="E41" s="283"/>
      <c r="F41" s="201"/>
      <c r="G41" s="201"/>
      <c r="H41" s="266"/>
      <c r="I41" s="266"/>
      <c r="J41" s="50"/>
      <c r="K41" s="50"/>
      <c r="L41" s="50"/>
      <c r="M41" s="50"/>
      <c r="N41" s="50"/>
      <c r="O41" s="50"/>
      <c r="P41" s="54"/>
      <c r="Q41" s="53"/>
      <c r="R41" s="53"/>
    </row>
    <row r="42" spans="1:21" ht="14.4" x14ac:dyDescent="0.3">
      <c r="A42" s="201"/>
      <c r="B42" s="294" t="s">
        <v>294</v>
      </c>
      <c r="C42" s="294" t="s">
        <v>295</v>
      </c>
      <c r="D42" s="283">
        <v>-32965.24</v>
      </c>
      <c r="E42" s="283"/>
      <c r="F42" s="201"/>
      <c r="G42" s="201"/>
      <c r="H42" s="266"/>
      <c r="I42" s="266"/>
      <c r="J42" s="50"/>
      <c r="K42" s="50"/>
      <c r="L42" s="50"/>
      <c r="M42" s="50"/>
      <c r="N42" s="50"/>
      <c r="O42" s="50"/>
      <c r="P42" s="54"/>
      <c r="Q42" s="53"/>
      <c r="R42" s="53"/>
    </row>
    <row r="43" spans="1:21" x14ac:dyDescent="0.2">
      <c r="A43" s="285"/>
      <c r="B43" s="285"/>
      <c r="C43" s="285"/>
      <c r="D43" s="290"/>
      <c r="E43" s="290"/>
      <c r="F43" s="296"/>
      <c r="G43" s="296"/>
      <c r="H43" s="297"/>
      <c r="I43" s="296"/>
      <c r="J43" s="48"/>
      <c r="K43" s="48"/>
      <c r="L43" s="48"/>
      <c r="M43" s="48"/>
      <c r="N43" s="48"/>
      <c r="O43" s="48"/>
      <c r="P43" s="53"/>
      <c r="Q43" s="53"/>
      <c r="R43" s="53"/>
    </row>
    <row r="44" spans="1:21" ht="12.6" thickBot="1" x14ac:dyDescent="0.3">
      <c r="A44" s="247" t="s">
        <v>39</v>
      </c>
      <c r="B44" s="247"/>
      <c r="C44" s="269"/>
      <c r="D44" s="285"/>
      <c r="E44" s="285"/>
      <c r="F44" s="285"/>
      <c r="G44" s="285"/>
      <c r="H44" s="285"/>
      <c r="I44" s="285"/>
      <c r="P44" s="179"/>
      <c r="Q44" s="179"/>
      <c r="R44" s="179"/>
    </row>
    <row r="45" spans="1:21" ht="12.6" thickTop="1" x14ac:dyDescent="0.25">
      <c r="A45" s="249" t="s">
        <v>15</v>
      </c>
      <c r="B45" s="250"/>
      <c r="C45" s="278" t="s">
        <v>15</v>
      </c>
      <c r="D45" s="298" t="s">
        <v>25</v>
      </c>
      <c r="E45" s="280"/>
      <c r="F45" s="280"/>
      <c r="G45" s="280"/>
      <c r="H45" s="280"/>
      <c r="I45" s="280"/>
      <c r="J45" s="52"/>
      <c r="K45" s="52"/>
      <c r="L45" s="52"/>
      <c r="M45" s="52"/>
      <c r="N45" s="52"/>
      <c r="O45" s="52"/>
      <c r="P45" s="57"/>
      <c r="Q45" s="53"/>
      <c r="R45" s="53"/>
      <c r="S45" s="48"/>
      <c r="T45" s="48"/>
      <c r="U45" s="48"/>
    </row>
    <row r="46" spans="1:21" ht="12" x14ac:dyDescent="0.25">
      <c r="A46" s="253" t="s">
        <v>23</v>
      </c>
      <c r="B46" s="254" t="s">
        <v>24</v>
      </c>
      <c r="C46" s="274" t="s">
        <v>15</v>
      </c>
      <c r="D46" s="275" t="s">
        <v>28</v>
      </c>
      <c r="E46" s="270"/>
      <c r="F46" s="270"/>
      <c r="G46" s="270"/>
      <c r="H46" s="270"/>
      <c r="I46" s="270"/>
      <c r="J46" s="51"/>
      <c r="K46" s="51"/>
      <c r="L46" s="51"/>
      <c r="M46" s="51"/>
      <c r="N46" s="51"/>
      <c r="O46" s="51"/>
      <c r="P46" s="56"/>
      <c r="Q46" s="55"/>
      <c r="R46" s="55"/>
      <c r="S46" s="48"/>
      <c r="T46" s="48"/>
      <c r="U46" s="48"/>
    </row>
    <row r="47" spans="1:21" ht="14.4" x14ac:dyDescent="0.3">
      <c r="A47" s="252" t="s">
        <v>26</v>
      </c>
      <c r="B47" s="294" t="s">
        <v>33</v>
      </c>
      <c r="C47" s="294" t="s">
        <v>34</v>
      </c>
      <c r="D47" s="283">
        <v>3926680.16</v>
      </c>
      <c r="E47" s="283"/>
      <c r="F47" s="295">
        <f>(D47/SUM(D47:D48))*(D49+D50)</f>
        <v>-447764.3692817933</v>
      </c>
      <c r="G47" s="276">
        <f>D47+F47+G39</f>
        <v>3470442.4210674167</v>
      </c>
      <c r="H47" s="266"/>
      <c r="I47" s="266"/>
      <c r="J47" s="50"/>
      <c r="K47" s="50"/>
      <c r="L47" s="50"/>
      <c r="M47" s="50"/>
      <c r="N47" s="50"/>
      <c r="O47" s="50"/>
      <c r="P47" s="54"/>
      <c r="Q47" s="53"/>
      <c r="R47" s="53"/>
      <c r="S47" s="48"/>
      <c r="T47" s="48"/>
      <c r="U47" s="48"/>
    </row>
    <row r="48" spans="1:21" ht="14.4" x14ac:dyDescent="0.3">
      <c r="A48" s="264"/>
      <c r="B48" s="294" t="s">
        <v>35</v>
      </c>
      <c r="C48" s="294" t="s">
        <v>36</v>
      </c>
      <c r="D48" s="283">
        <v>1091204.97</v>
      </c>
      <c r="E48" s="283"/>
      <c r="F48" s="295">
        <f>(D49+D50)-F47</f>
        <v>-124431.50071820669</v>
      </c>
      <c r="G48" s="276">
        <f>D48+F48+G40</f>
        <v>880211.91893258342</v>
      </c>
      <c r="H48" s="266"/>
      <c r="I48" s="266"/>
      <c r="J48" s="50"/>
      <c r="K48" s="50"/>
      <c r="L48" s="50"/>
      <c r="M48" s="50"/>
      <c r="N48" s="50"/>
      <c r="O48" s="50"/>
      <c r="P48" s="54"/>
      <c r="Q48" s="53"/>
      <c r="R48" s="53"/>
      <c r="S48" s="48"/>
      <c r="T48" s="48"/>
      <c r="U48" s="48"/>
    </row>
    <row r="49" spans="1:21" ht="14.4" x14ac:dyDescent="0.3">
      <c r="A49" s="264"/>
      <c r="B49" s="294" t="s">
        <v>37</v>
      </c>
      <c r="C49" s="294" t="s">
        <v>38</v>
      </c>
      <c r="D49" s="283">
        <v>-261120.41</v>
      </c>
      <c r="E49" s="283"/>
      <c r="F49" s="266">
        <f>-D49</f>
        <v>261120.41</v>
      </c>
      <c r="G49" s="284">
        <f>SUM(G47:G48)</f>
        <v>4350654.34</v>
      </c>
      <c r="H49" s="266"/>
      <c r="I49" s="266"/>
      <c r="J49" s="50"/>
      <c r="K49" s="50"/>
      <c r="L49" s="50"/>
      <c r="M49" s="50"/>
      <c r="N49" s="50"/>
      <c r="O49" s="50"/>
      <c r="P49" s="54"/>
      <c r="Q49" s="53"/>
      <c r="R49" s="53"/>
      <c r="S49" s="48"/>
      <c r="T49" s="48"/>
      <c r="U49" s="48"/>
    </row>
    <row r="50" spans="1:21" ht="14.4" x14ac:dyDescent="0.3">
      <c r="A50" s="299"/>
      <c r="B50" s="294" t="s">
        <v>294</v>
      </c>
      <c r="C50" s="294" t="s">
        <v>295</v>
      </c>
      <c r="D50" s="283">
        <v>-311075.46000000002</v>
      </c>
      <c r="E50" s="283"/>
      <c r="F50" s="266"/>
      <c r="G50" s="284"/>
      <c r="H50" s="266"/>
      <c r="I50" s="266"/>
      <c r="J50" s="50"/>
      <c r="K50" s="50"/>
      <c r="L50" s="50"/>
      <c r="M50" s="50"/>
      <c r="N50" s="50"/>
      <c r="O50" s="50"/>
      <c r="P50" s="54"/>
      <c r="Q50" s="53"/>
      <c r="R50" s="53"/>
      <c r="S50" s="48"/>
      <c r="T50" s="48"/>
      <c r="U50" s="48"/>
    </row>
    <row r="51" spans="1:21" x14ac:dyDescent="0.2">
      <c r="D51" s="182"/>
      <c r="E51" s="182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3"/>
      <c r="R51" s="53"/>
      <c r="S51" s="48"/>
      <c r="T51" s="48"/>
      <c r="U51" s="48"/>
    </row>
    <row r="52" spans="1:21" ht="12" x14ac:dyDescent="0.25">
      <c r="A52" s="128" t="s">
        <v>301</v>
      </c>
      <c r="B52" s="129"/>
      <c r="C52" s="130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2.6" thickBot="1" x14ac:dyDescent="0.3">
      <c r="A53" s="131" t="s">
        <v>27</v>
      </c>
      <c r="B53" s="132"/>
      <c r="C53" s="131"/>
    </row>
    <row r="54" spans="1:21" ht="12.6" thickTop="1" x14ac:dyDescent="0.25">
      <c r="A54" s="133" t="s">
        <v>15</v>
      </c>
      <c r="B54" s="134"/>
      <c r="C54" s="135" t="s">
        <v>15</v>
      </c>
      <c r="D54" s="136" t="s">
        <v>25</v>
      </c>
      <c r="E54" s="52"/>
    </row>
    <row r="55" spans="1:21" ht="12" x14ac:dyDescent="0.25">
      <c r="A55" s="137" t="s">
        <v>23</v>
      </c>
      <c r="B55" s="138" t="s">
        <v>24</v>
      </c>
      <c r="C55" s="139" t="s">
        <v>15</v>
      </c>
      <c r="D55" s="152" t="s">
        <v>28</v>
      </c>
      <c r="E55" s="51"/>
      <c r="F55" s="176" t="s">
        <v>29</v>
      </c>
      <c r="G55" s="177" t="s">
        <v>30</v>
      </c>
      <c r="H55" s="176" t="s">
        <v>31</v>
      </c>
      <c r="I55" s="177" t="s">
        <v>32</v>
      </c>
    </row>
    <row r="56" spans="1:21" ht="13.2" x14ac:dyDescent="0.25">
      <c r="A56" s="252" t="s">
        <v>26</v>
      </c>
      <c r="B56" s="259" t="s">
        <v>33</v>
      </c>
      <c r="C56" s="260" t="s">
        <v>34</v>
      </c>
      <c r="D56" s="261">
        <v>1737.23</v>
      </c>
      <c r="E56" s="301"/>
      <c r="F56" s="295">
        <f>(D56/SUM(D56:D57))*(D58+D59)</f>
        <v>-58051.460227562828</v>
      </c>
      <c r="G56" s="295">
        <f>D56+F56</f>
        <v>-56314.230227562824</v>
      </c>
      <c r="H56" s="284">
        <f>+G56+G64</f>
        <v>4388376.6277228585</v>
      </c>
      <c r="I56" s="285"/>
    </row>
    <row r="57" spans="1:21" ht="13.2" x14ac:dyDescent="0.25">
      <c r="A57" s="264"/>
      <c r="B57" s="259" t="s">
        <v>35</v>
      </c>
      <c r="C57" s="260" t="s">
        <v>36</v>
      </c>
      <c r="D57" s="261">
        <v>1177.1300000000001</v>
      </c>
      <c r="E57" s="301"/>
      <c r="F57" s="295">
        <f>(D58+D59)-F56</f>
        <v>-39335.09977243717</v>
      </c>
      <c r="G57" s="295">
        <f>D57+F57</f>
        <v>-38157.969772437173</v>
      </c>
      <c r="H57" s="285"/>
      <c r="I57" s="284">
        <f>+G57+G65</f>
        <v>1189654.2722771417</v>
      </c>
    </row>
    <row r="58" spans="1:21" x14ac:dyDescent="0.2">
      <c r="A58" s="264"/>
      <c r="B58" s="259" t="s">
        <v>37</v>
      </c>
      <c r="C58" s="260" t="s">
        <v>38</v>
      </c>
      <c r="D58" s="261">
        <v>-63369.08</v>
      </c>
      <c r="E58" s="301"/>
      <c r="F58" s="266">
        <f>-D58</f>
        <v>63369.08</v>
      </c>
      <c r="G58" s="284">
        <f>SUM(G56:G57)</f>
        <v>-94472.2</v>
      </c>
      <c r="H58" s="266"/>
      <c r="I58" s="266"/>
    </row>
    <row r="59" spans="1:21" x14ac:dyDescent="0.2">
      <c r="A59" s="299"/>
      <c r="B59" s="260" t="s">
        <v>294</v>
      </c>
      <c r="C59" s="260" t="s">
        <v>295</v>
      </c>
      <c r="D59" s="265">
        <v>-34017.480000000003</v>
      </c>
      <c r="E59" s="301"/>
      <c r="F59" s="266"/>
      <c r="G59" s="284"/>
      <c r="H59" s="266"/>
      <c r="I59" s="266"/>
    </row>
    <row r="60" spans="1:21" x14ac:dyDescent="0.2">
      <c r="A60" s="285"/>
      <c r="B60" s="285"/>
      <c r="C60" s="285"/>
      <c r="D60" s="290"/>
      <c r="E60" s="290"/>
      <c r="F60" s="296"/>
      <c r="G60" s="296"/>
      <c r="H60" s="297"/>
      <c r="I60" s="296"/>
    </row>
    <row r="61" spans="1:21" ht="12.6" thickBot="1" x14ac:dyDescent="0.3">
      <c r="A61" s="247" t="s">
        <v>39</v>
      </c>
      <c r="B61" s="247"/>
      <c r="C61" s="269"/>
      <c r="D61" s="285"/>
      <c r="E61" s="285"/>
      <c r="F61" s="270"/>
      <c r="G61" s="270"/>
      <c r="H61" s="270"/>
      <c r="I61" s="270"/>
    </row>
    <row r="62" spans="1:21" ht="12.6" thickTop="1" x14ac:dyDescent="0.25">
      <c r="A62" s="249" t="s">
        <v>15</v>
      </c>
      <c r="B62" s="250"/>
      <c r="C62" s="251" t="s">
        <v>15</v>
      </c>
      <c r="D62" s="252" t="s">
        <v>25</v>
      </c>
      <c r="E62" s="280"/>
      <c r="F62" s="300"/>
      <c r="G62" s="284"/>
      <c r="H62" s="266"/>
      <c r="I62" s="266"/>
    </row>
    <row r="63" spans="1:21" ht="12" x14ac:dyDescent="0.25">
      <c r="A63" s="253" t="s">
        <v>23</v>
      </c>
      <c r="B63" s="254" t="s">
        <v>24</v>
      </c>
      <c r="C63" s="255" t="s">
        <v>15</v>
      </c>
      <c r="D63" s="256" t="s">
        <v>28</v>
      </c>
      <c r="E63" s="270"/>
      <c r="F63" s="300"/>
      <c r="G63" s="284"/>
      <c r="H63" s="266"/>
      <c r="I63" s="266"/>
    </row>
    <row r="64" spans="1:21" ht="13.2" x14ac:dyDescent="0.25">
      <c r="A64" s="252" t="s">
        <v>26</v>
      </c>
      <c r="B64" s="259" t="s">
        <v>33</v>
      </c>
      <c r="C64" s="260" t="s">
        <v>34</v>
      </c>
      <c r="D64" s="261">
        <v>4900078.41</v>
      </c>
      <c r="E64" s="301"/>
      <c r="F64" s="295">
        <f>(D64/SUM(D64:D65))*(D66+D67)</f>
        <v>-455387.55204957875</v>
      </c>
      <c r="G64" s="284">
        <f>+D64+F64</f>
        <v>4444690.8579504211</v>
      </c>
      <c r="H64" s="266"/>
      <c r="I64" s="266"/>
    </row>
    <row r="65" spans="1:9" ht="13.2" x14ac:dyDescent="0.25">
      <c r="A65" s="264"/>
      <c r="B65" s="259" t="s">
        <v>35</v>
      </c>
      <c r="C65" s="260" t="s">
        <v>36</v>
      </c>
      <c r="D65" s="261">
        <v>1353609.61</v>
      </c>
      <c r="E65" s="301"/>
      <c r="F65" s="295">
        <f>(D66+D67)-F64</f>
        <v>-125797.36795042129</v>
      </c>
      <c r="G65" s="284">
        <f>+D65+F65</f>
        <v>1227812.2420495788</v>
      </c>
      <c r="H65" s="284"/>
      <c r="I65" s="300"/>
    </row>
    <row r="66" spans="1:9" x14ac:dyDescent="0.2">
      <c r="A66" s="264"/>
      <c r="B66" s="259" t="s">
        <v>37</v>
      </c>
      <c r="C66" s="260" t="s">
        <v>38</v>
      </c>
      <c r="D66" s="261">
        <v>-257654.52</v>
      </c>
      <c r="E66" s="301"/>
      <c r="F66" s="266"/>
      <c r="G66" s="284">
        <f>SUM(G64:G65)</f>
        <v>5672503.0999999996</v>
      </c>
      <c r="H66" s="285"/>
      <c r="I66" s="300"/>
    </row>
    <row r="67" spans="1:9" x14ac:dyDescent="0.2">
      <c r="A67" s="299"/>
      <c r="B67" s="260" t="s">
        <v>294</v>
      </c>
      <c r="C67" s="260" t="s">
        <v>295</v>
      </c>
      <c r="D67" s="265">
        <v>-323530.40000000002</v>
      </c>
      <c r="E67" s="301"/>
      <c r="F67" s="266"/>
      <c r="G67" s="284"/>
      <c r="H67" s="285"/>
      <c r="I67" s="300"/>
    </row>
    <row r="68" spans="1:9" x14ac:dyDescent="0.2">
      <c r="A68" s="285"/>
      <c r="B68" s="285"/>
      <c r="C68" s="285"/>
      <c r="D68" s="290"/>
      <c r="E68" s="290"/>
      <c r="F68" s="285"/>
      <c r="G68" s="284"/>
      <c r="H68" s="284"/>
      <c r="I68" s="285"/>
    </row>
    <row r="69" spans="1:9" ht="12" x14ac:dyDescent="0.25">
      <c r="A69" s="128" t="s">
        <v>302</v>
      </c>
      <c r="B69" s="129"/>
      <c r="C69" s="130"/>
    </row>
    <row r="70" spans="1:9" ht="12.6" thickBot="1" x14ac:dyDescent="0.3">
      <c r="A70" s="131" t="s">
        <v>27</v>
      </c>
      <c r="B70" s="132"/>
      <c r="C70" s="131"/>
    </row>
    <row r="71" spans="1:9" ht="27" thickTop="1" x14ac:dyDescent="0.25">
      <c r="A71" s="133" t="s">
        <v>15</v>
      </c>
      <c r="B71" s="134"/>
      <c r="C71" s="135" t="s">
        <v>15</v>
      </c>
      <c r="D71" s="136" t="s">
        <v>25</v>
      </c>
      <c r="E71" s="305" t="s">
        <v>306</v>
      </c>
    </row>
    <row r="72" spans="1:9" ht="12" x14ac:dyDescent="0.25">
      <c r="A72" s="253" t="s">
        <v>23</v>
      </c>
      <c r="B72" s="254" t="s">
        <v>24</v>
      </c>
      <c r="C72" s="255" t="s">
        <v>15</v>
      </c>
      <c r="D72" s="256" t="s">
        <v>28</v>
      </c>
      <c r="E72" s="270"/>
      <c r="F72" s="287" t="s">
        <v>29</v>
      </c>
      <c r="G72" s="288" t="s">
        <v>30</v>
      </c>
      <c r="H72" s="287" t="s">
        <v>31</v>
      </c>
      <c r="I72" s="288" t="s">
        <v>32</v>
      </c>
    </row>
    <row r="73" spans="1:9" ht="14.4" x14ac:dyDescent="0.3">
      <c r="A73" s="252" t="s">
        <v>26</v>
      </c>
      <c r="B73" s="259" t="s">
        <v>33</v>
      </c>
      <c r="C73" s="260" t="s">
        <v>34</v>
      </c>
      <c r="D73" s="261">
        <v>1461.37</v>
      </c>
      <c r="E73" s="306">
        <f>D73/(D73+D74)</f>
        <v>0.57681863035326619</v>
      </c>
      <c r="F73" s="283">
        <f>D73+((D75+D76)*E73)</f>
        <v>-59955.139866666657</v>
      </c>
      <c r="G73" s="284">
        <f>+D73+F73</f>
        <v>-58493.769866666655</v>
      </c>
      <c r="H73" s="284">
        <f>+G81</f>
        <v>3760808.5573372561</v>
      </c>
      <c r="I73" s="285"/>
    </row>
    <row r="74" spans="1:9" ht="14.4" x14ac:dyDescent="0.3">
      <c r="A74" s="264"/>
      <c r="B74" s="259" t="s">
        <v>35</v>
      </c>
      <c r="C74" s="260" t="s">
        <v>36</v>
      </c>
      <c r="D74" s="261">
        <v>1072.1300000000001</v>
      </c>
      <c r="E74" s="306">
        <f>1-E73</f>
        <v>0.42318136964673381</v>
      </c>
      <c r="F74" s="283">
        <f>D74+(D76+D75)*E74</f>
        <v>-43985.92013333334</v>
      </c>
      <c r="G74" s="284">
        <f>+D74+F74</f>
        <v>-42913.790133333343</v>
      </c>
      <c r="H74" s="285"/>
      <c r="I74" s="284">
        <f>+G82</f>
        <v>1001530.9626627433</v>
      </c>
    </row>
    <row r="75" spans="1:9" x14ac:dyDescent="0.2">
      <c r="A75" s="264"/>
      <c r="B75" s="259" t="s">
        <v>37</v>
      </c>
      <c r="C75" s="260" t="s">
        <v>38</v>
      </c>
      <c r="D75" s="261">
        <v>-63365.279999999999</v>
      </c>
      <c r="E75" s="301"/>
      <c r="F75" s="266">
        <f>-D75</f>
        <v>63365.279999999999</v>
      </c>
      <c r="G75" s="284">
        <f>SUM(G73:G74)</f>
        <v>-101407.56</v>
      </c>
      <c r="H75" s="266"/>
      <c r="I75" s="266"/>
    </row>
    <row r="76" spans="1:9" x14ac:dyDescent="0.2">
      <c r="A76" s="299"/>
      <c r="B76" s="260" t="s">
        <v>294</v>
      </c>
      <c r="C76" s="260" t="s">
        <v>295</v>
      </c>
      <c r="D76" s="265">
        <v>-43109.279999999999</v>
      </c>
      <c r="E76" s="301"/>
      <c r="F76" s="266"/>
      <c r="G76" s="284"/>
      <c r="H76" s="266"/>
      <c r="I76" s="266"/>
    </row>
    <row r="77" spans="1:9" x14ac:dyDescent="0.2">
      <c r="A77" s="285"/>
      <c r="B77" s="285"/>
      <c r="C77" s="285"/>
      <c r="D77" s="290"/>
      <c r="E77" s="290"/>
      <c r="F77" s="285"/>
      <c r="G77" s="284"/>
      <c r="H77" s="284"/>
      <c r="I77" s="285"/>
    </row>
    <row r="78" spans="1:9" ht="12.6" thickBot="1" x14ac:dyDescent="0.3">
      <c r="A78" s="247" t="s">
        <v>39</v>
      </c>
      <c r="B78" s="247"/>
      <c r="C78" s="269"/>
      <c r="D78" s="285"/>
      <c r="E78" s="285"/>
      <c r="F78" s="285"/>
      <c r="G78" s="285"/>
      <c r="H78" s="285"/>
      <c r="I78" s="285"/>
    </row>
    <row r="79" spans="1:9" ht="12.6" thickTop="1" x14ac:dyDescent="0.25">
      <c r="A79" s="249" t="s">
        <v>15</v>
      </c>
      <c r="B79" s="250"/>
      <c r="C79" s="251" t="s">
        <v>15</v>
      </c>
      <c r="D79" s="252" t="s">
        <v>25</v>
      </c>
      <c r="E79" s="280"/>
      <c r="F79" s="285"/>
      <c r="G79" s="285"/>
      <c r="H79" s="285"/>
      <c r="I79" s="285"/>
    </row>
    <row r="80" spans="1:9" ht="12" x14ac:dyDescent="0.25">
      <c r="A80" s="253" t="s">
        <v>23</v>
      </c>
      <c r="B80" s="254" t="s">
        <v>24</v>
      </c>
      <c r="C80" s="255" t="s">
        <v>15</v>
      </c>
      <c r="D80" s="256" t="s">
        <v>28</v>
      </c>
      <c r="E80" s="270"/>
      <c r="F80" s="285"/>
      <c r="G80" s="285"/>
      <c r="H80" s="285"/>
      <c r="I80" s="285"/>
    </row>
    <row r="81" spans="1:10" ht="14.4" x14ac:dyDescent="0.3">
      <c r="A81" s="252" t="s">
        <v>26</v>
      </c>
      <c r="B81" s="259" t="s">
        <v>33</v>
      </c>
      <c r="C81" s="260" t="s">
        <v>34</v>
      </c>
      <c r="D81" s="261">
        <v>4305219.93</v>
      </c>
      <c r="E81" s="306">
        <f>D81/(D81+D82)</f>
        <v>0.78515071919751978</v>
      </c>
      <c r="F81" s="283">
        <f>D81+((D83+D84)*E81)</f>
        <v>3820763.697203923</v>
      </c>
      <c r="G81" s="284">
        <f>+F81+F73</f>
        <v>3760808.5573372561</v>
      </c>
      <c r="H81" s="284"/>
      <c r="I81" s="300"/>
    </row>
    <row r="82" spans="1:10" ht="14.4" x14ac:dyDescent="0.3">
      <c r="A82" s="264"/>
      <c r="B82" s="259" t="s">
        <v>35</v>
      </c>
      <c r="C82" s="260" t="s">
        <v>36</v>
      </c>
      <c r="D82" s="261">
        <v>1178083.8799999999</v>
      </c>
      <c r="E82" s="306">
        <f>1-E81</f>
        <v>0.21484928080248022</v>
      </c>
      <c r="F82" s="283">
        <f>D82+(D84+D83)*E82</f>
        <v>1045516.8827960766</v>
      </c>
      <c r="G82" s="284">
        <f>+F82+F74</f>
        <v>1001530.9626627433</v>
      </c>
      <c r="H82" s="284"/>
      <c r="I82" s="300"/>
    </row>
    <row r="83" spans="1:10" ht="13.2" x14ac:dyDescent="0.25">
      <c r="A83" s="264"/>
      <c r="B83" s="259" t="s">
        <v>37</v>
      </c>
      <c r="C83" s="260" t="s">
        <v>38</v>
      </c>
      <c r="D83" s="261">
        <v>-254971.08</v>
      </c>
      <c r="E83" s="201"/>
      <c r="F83" s="201"/>
      <c r="G83" s="284">
        <f>SUM(G81:G82)</f>
        <v>4762339.5199999996</v>
      </c>
      <c r="H83" s="285"/>
      <c r="I83" s="300"/>
    </row>
    <row r="84" spans="1:10" ht="13.2" x14ac:dyDescent="0.25">
      <c r="A84" s="285"/>
      <c r="B84" s="260" t="s">
        <v>294</v>
      </c>
      <c r="C84" s="260" t="s">
        <v>295</v>
      </c>
      <c r="D84" s="265">
        <v>-362052.15</v>
      </c>
      <c r="E84" s="201"/>
      <c r="F84" s="201"/>
      <c r="G84" s="284"/>
      <c r="H84" s="284"/>
      <c r="I84" s="285"/>
    </row>
    <row r="86" spans="1:10" ht="12" x14ac:dyDescent="0.25">
      <c r="A86" s="128" t="s">
        <v>303</v>
      </c>
      <c r="B86" s="129"/>
      <c r="C86" s="130"/>
    </row>
    <row r="87" spans="1:10" ht="12.6" thickBot="1" x14ac:dyDescent="0.3">
      <c r="A87" s="131" t="s">
        <v>27</v>
      </c>
      <c r="B87" s="132"/>
      <c r="C87" s="131"/>
      <c r="F87" s="48"/>
      <c r="G87" s="48"/>
      <c r="H87" s="48"/>
      <c r="I87" s="48"/>
      <c r="J87" s="48"/>
    </row>
    <row r="88" spans="1:10" ht="12.6" thickTop="1" x14ac:dyDescent="0.25">
      <c r="A88" s="249" t="s">
        <v>15</v>
      </c>
      <c r="B88" s="250"/>
      <c r="C88" s="278" t="s">
        <v>15</v>
      </c>
      <c r="D88" s="298" t="s">
        <v>25</v>
      </c>
      <c r="E88" s="280"/>
      <c r="F88" s="280"/>
      <c r="G88" s="280"/>
      <c r="H88" s="280"/>
      <c r="I88" s="280"/>
      <c r="J88" s="48"/>
    </row>
    <row r="89" spans="1:10" ht="12" x14ac:dyDescent="0.25">
      <c r="A89" s="253" t="s">
        <v>23</v>
      </c>
      <c r="B89" s="254" t="s">
        <v>24</v>
      </c>
      <c r="C89" s="274" t="s">
        <v>15</v>
      </c>
      <c r="D89" s="275" t="s">
        <v>28</v>
      </c>
      <c r="E89" s="307"/>
      <c r="F89" s="287" t="s">
        <v>29</v>
      </c>
      <c r="G89" s="288" t="s">
        <v>30</v>
      </c>
      <c r="H89" s="287" t="s">
        <v>31</v>
      </c>
      <c r="I89" s="288" t="s">
        <v>32</v>
      </c>
      <c r="J89" s="48"/>
    </row>
    <row r="90" spans="1:10" ht="14.4" x14ac:dyDescent="0.3">
      <c r="A90" s="252" t="s">
        <v>26</v>
      </c>
      <c r="B90" s="259" t="s">
        <v>33</v>
      </c>
      <c r="C90" s="260" t="s">
        <v>34</v>
      </c>
      <c r="D90" s="261">
        <v>1145.71</v>
      </c>
      <c r="E90" s="301"/>
      <c r="F90" s="283">
        <f>(D90/(D90+D91))*+(D92+D93)</f>
        <v>-49558.857741722481</v>
      </c>
      <c r="G90" s="295">
        <f>D90+F90</f>
        <v>-48413.147741722481</v>
      </c>
      <c r="H90" s="284">
        <f>+G98</f>
        <v>3453869.1841021059</v>
      </c>
      <c r="I90" s="285"/>
      <c r="J90" s="48"/>
    </row>
    <row r="91" spans="1:10" ht="14.4" x14ac:dyDescent="0.3">
      <c r="A91" s="264"/>
      <c r="B91" s="259" t="s">
        <v>35</v>
      </c>
      <c r="C91" s="260" t="s">
        <v>36</v>
      </c>
      <c r="D91" s="261">
        <v>1337.82</v>
      </c>
      <c r="E91" s="301"/>
      <c r="F91" s="283">
        <f>(D91/(D91+D90))*(D92+D93)</f>
        <v>-57868.772258277531</v>
      </c>
      <c r="G91" s="295">
        <f>D91+F91</f>
        <v>-56530.952258277532</v>
      </c>
      <c r="H91" s="285"/>
      <c r="I91" s="284">
        <f>+G99</f>
        <v>985531.90589789429</v>
      </c>
      <c r="J91" s="48"/>
    </row>
    <row r="92" spans="1:10" ht="14.4" x14ac:dyDescent="0.3">
      <c r="A92" s="264"/>
      <c r="B92" s="259" t="s">
        <v>37</v>
      </c>
      <c r="C92" s="260" t="s">
        <v>38</v>
      </c>
      <c r="D92" s="261">
        <v>-63340.37</v>
      </c>
      <c r="E92" s="301"/>
      <c r="F92" s="283"/>
      <c r="G92" s="201"/>
      <c r="H92" s="266"/>
      <c r="I92" s="266"/>
      <c r="J92" s="48"/>
    </row>
    <row r="93" spans="1:10" ht="14.4" x14ac:dyDescent="0.3">
      <c r="A93" s="299"/>
      <c r="B93" s="260" t="s">
        <v>294</v>
      </c>
      <c r="C93" s="260" t="s">
        <v>295</v>
      </c>
      <c r="D93" s="265">
        <v>-44087.26</v>
      </c>
      <c r="E93" s="301"/>
      <c r="F93" s="283"/>
      <c r="G93" s="201"/>
      <c r="H93" s="266"/>
      <c r="I93" s="266"/>
      <c r="J93" s="48"/>
    </row>
    <row r="94" spans="1:10" x14ac:dyDescent="0.2">
      <c r="A94" s="285"/>
      <c r="B94" s="285"/>
      <c r="C94" s="285"/>
      <c r="D94" s="290"/>
      <c r="E94" s="290"/>
      <c r="F94" s="296"/>
      <c r="G94" s="282"/>
      <c r="H94" s="282"/>
      <c r="I94" s="296"/>
      <c r="J94" s="48"/>
    </row>
    <row r="95" spans="1:10" ht="12.6" thickBot="1" x14ac:dyDescent="0.3">
      <c r="A95" s="247" t="s">
        <v>39</v>
      </c>
      <c r="B95" s="247"/>
      <c r="C95" s="269"/>
      <c r="D95" s="285"/>
      <c r="E95" s="285"/>
      <c r="F95" s="285"/>
      <c r="G95" s="296"/>
      <c r="H95" s="296"/>
      <c r="I95" s="296"/>
    </row>
    <row r="96" spans="1:10" ht="12.6" thickTop="1" x14ac:dyDescent="0.25">
      <c r="A96" s="249" t="s">
        <v>15</v>
      </c>
      <c r="B96" s="250"/>
      <c r="C96" s="278" t="s">
        <v>15</v>
      </c>
      <c r="D96" s="298" t="s">
        <v>25</v>
      </c>
      <c r="E96" s="280"/>
      <c r="F96" s="280"/>
      <c r="G96" s="280"/>
      <c r="H96" s="280"/>
      <c r="I96" s="280"/>
    </row>
    <row r="97" spans="1:12" ht="12" x14ac:dyDescent="0.25">
      <c r="A97" s="253" t="s">
        <v>23</v>
      </c>
      <c r="B97" s="254" t="s">
        <v>24</v>
      </c>
      <c r="C97" s="274" t="s">
        <v>15</v>
      </c>
      <c r="D97" s="275" t="s">
        <v>28</v>
      </c>
      <c r="E97" s="270"/>
      <c r="F97" s="270"/>
      <c r="G97" s="270"/>
      <c r="H97" s="270"/>
      <c r="I97" s="270"/>
    </row>
    <row r="98" spans="1:12" ht="14.4" x14ac:dyDescent="0.3">
      <c r="A98" s="252" t="s">
        <v>26</v>
      </c>
      <c r="B98" s="260" t="s">
        <v>26</v>
      </c>
      <c r="C98" s="259" t="s">
        <v>33</v>
      </c>
      <c r="D98" s="260" t="s">
        <v>34</v>
      </c>
      <c r="E98" s="261">
        <v>3996110.22</v>
      </c>
      <c r="F98" s="283">
        <f>(E98/(E98+E99))*+(E100+E101)</f>
        <v>-493827.88815617183</v>
      </c>
      <c r="G98" s="295">
        <f>+E98+F98+G90</f>
        <v>3453869.1841021059</v>
      </c>
      <c r="H98" s="285"/>
      <c r="I98" s="266"/>
    </row>
    <row r="99" spans="1:12" ht="14.4" x14ac:dyDescent="0.3">
      <c r="A99" s="264"/>
      <c r="B99" s="273"/>
      <c r="C99" s="259" t="s">
        <v>35</v>
      </c>
      <c r="D99" s="260" t="s">
        <v>36</v>
      </c>
      <c r="E99" s="261">
        <v>1188995.53</v>
      </c>
      <c r="F99" s="283">
        <f>(E99/(E99+E98))*(E100+E101)</f>
        <v>-146932.67184382823</v>
      </c>
      <c r="G99" s="295">
        <f>+E99+F99+G91</f>
        <v>985531.90589789429</v>
      </c>
      <c r="H99" s="285"/>
      <c r="I99" s="266"/>
    </row>
    <row r="100" spans="1:12" ht="13.2" x14ac:dyDescent="0.25">
      <c r="A100" s="264"/>
      <c r="B100" s="273"/>
      <c r="C100" s="259" t="s">
        <v>37</v>
      </c>
      <c r="D100" s="260" t="s">
        <v>38</v>
      </c>
      <c r="E100" s="261">
        <v>-252426.16</v>
      </c>
      <c r="F100" s="301"/>
      <c r="G100" s="201"/>
      <c r="H100" s="201"/>
      <c r="I100" s="266"/>
      <c r="K100" s="49"/>
      <c r="L100" s="49"/>
    </row>
    <row r="101" spans="1:12" ht="13.2" x14ac:dyDescent="0.25">
      <c r="A101" s="299"/>
      <c r="B101" s="273"/>
      <c r="C101" s="260" t="s">
        <v>294</v>
      </c>
      <c r="D101" s="260" t="s">
        <v>295</v>
      </c>
      <c r="E101" s="265">
        <v>-388334.4</v>
      </c>
      <c r="F101" s="301"/>
      <c r="G101" s="201"/>
      <c r="H101" s="201"/>
      <c r="I101" s="266"/>
      <c r="K101" s="49"/>
      <c r="L101" s="49"/>
    </row>
    <row r="102" spans="1:12" x14ac:dyDescent="0.2">
      <c r="D102" s="180"/>
      <c r="E102" s="180"/>
      <c r="G102" s="61"/>
      <c r="K102" s="48"/>
      <c r="L102" s="48"/>
    </row>
    <row r="103" spans="1:12" ht="18" thickBot="1" x14ac:dyDescent="0.4">
      <c r="A103" s="128" t="s">
        <v>304</v>
      </c>
      <c r="B103" s="183"/>
      <c r="C103" s="184"/>
      <c r="D103" s="24"/>
      <c r="E103" s="24"/>
      <c r="F103" s="185"/>
      <c r="G103" s="185"/>
      <c r="H103" s="185"/>
      <c r="K103" s="49"/>
      <c r="L103" s="48"/>
    </row>
    <row r="104" spans="1:12" ht="12" thickTop="1" x14ac:dyDescent="0.2">
      <c r="A104" s="186" t="s">
        <v>15</v>
      </c>
      <c r="B104" s="187"/>
      <c r="C104" s="188" t="s">
        <v>15</v>
      </c>
      <c r="D104" s="189"/>
      <c r="E104" s="303"/>
      <c r="F104" s="185"/>
      <c r="G104" s="185"/>
      <c r="H104" s="61">
        <f>+G104+G111</f>
        <v>0</v>
      </c>
    </row>
    <row r="105" spans="1:12" x14ac:dyDescent="0.2">
      <c r="A105" s="308" t="s">
        <v>23</v>
      </c>
      <c r="B105" s="309" t="s">
        <v>24</v>
      </c>
      <c r="C105" s="310" t="s">
        <v>15</v>
      </c>
      <c r="D105" s="311"/>
      <c r="E105" s="312"/>
      <c r="F105" s="313"/>
      <c r="G105" s="313"/>
      <c r="H105" s="287" t="s">
        <v>31</v>
      </c>
      <c r="I105" s="288" t="s">
        <v>32</v>
      </c>
    </row>
    <row r="106" spans="1:12" ht="14.4" x14ac:dyDescent="0.3">
      <c r="A106" s="314" t="s">
        <v>26</v>
      </c>
      <c r="B106" s="259" t="s">
        <v>33</v>
      </c>
      <c r="C106" s="260" t="s">
        <v>34</v>
      </c>
      <c r="D106" s="261">
        <v>245.49</v>
      </c>
      <c r="E106" s="301"/>
      <c r="F106" s="315">
        <f>D106/(D106+D107)*(D108+D109)+D106</f>
        <v>-16651.517346760898</v>
      </c>
      <c r="G106" s="316"/>
      <c r="H106" s="284">
        <f>+G115+F106</f>
        <v>3430594.1718575233</v>
      </c>
      <c r="I106" s="285"/>
    </row>
    <row r="107" spans="1:12" ht="14.4" x14ac:dyDescent="0.3">
      <c r="A107" s="317"/>
      <c r="B107" s="259" t="s">
        <v>35</v>
      </c>
      <c r="C107" s="260" t="s">
        <v>36</v>
      </c>
      <c r="D107" s="261">
        <v>1337.82</v>
      </c>
      <c r="E107" s="301"/>
      <c r="F107" s="315">
        <f>D107/(D107+D106)*(D108+D109)+D107</f>
        <v>-90743.952653239088</v>
      </c>
      <c r="G107" s="316"/>
      <c r="H107" s="285"/>
      <c r="I107" s="284">
        <f>+G116+F107</f>
        <v>960340.84814247687</v>
      </c>
    </row>
    <row r="108" spans="1:12" ht="13.2" x14ac:dyDescent="0.25">
      <c r="A108" s="317"/>
      <c r="B108" s="259" t="s">
        <v>37</v>
      </c>
      <c r="C108" s="260" t="s">
        <v>38</v>
      </c>
      <c r="D108" s="261">
        <v>-63320.33</v>
      </c>
      <c r="E108" s="301"/>
      <c r="F108" s="201"/>
      <c r="G108" s="318"/>
      <c r="H108" s="285"/>
      <c r="I108" s="285"/>
    </row>
    <row r="109" spans="1:12" ht="13.2" x14ac:dyDescent="0.25">
      <c r="A109" s="201"/>
      <c r="B109" s="260" t="s">
        <v>294</v>
      </c>
      <c r="C109" s="260" t="s">
        <v>295</v>
      </c>
      <c r="D109" s="265">
        <v>-45658.45</v>
      </c>
      <c r="E109" s="301"/>
      <c r="F109" s="201"/>
      <c r="G109" s="316">
        <f>SUM(G106:G107)</f>
        <v>0</v>
      </c>
      <c r="H109" s="285"/>
      <c r="I109" s="285"/>
    </row>
    <row r="110" spans="1:12" ht="13.2" x14ac:dyDescent="0.25">
      <c r="A110" s="201"/>
      <c r="B110" s="201"/>
      <c r="C110" s="201"/>
      <c r="D110" s="201"/>
      <c r="E110" s="201"/>
      <c r="F110" s="316"/>
      <c r="G110" s="316"/>
      <c r="H110" s="285"/>
      <c r="I110" s="285"/>
    </row>
    <row r="111" spans="1:12" ht="13.2" x14ac:dyDescent="0.25">
      <c r="A111" s="242" t="s">
        <v>304</v>
      </c>
      <c r="B111" s="243"/>
      <c r="C111" s="244"/>
      <c r="D111" s="201"/>
      <c r="E111" s="201"/>
      <c r="F111" s="316"/>
      <c r="G111" s="316"/>
      <c r="H111" s="285"/>
      <c r="I111" s="285"/>
    </row>
    <row r="112" spans="1:12" ht="18" thickBot="1" x14ac:dyDescent="0.4">
      <c r="A112" s="319" t="s">
        <v>39</v>
      </c>
      <c r="B112" s="319"/>
      <c r="C112" s="320"/>
      <c r="D112" s="201"/>
      <c r="E112" s="201"/>
      <c r="F112" s="316"/>
      <c r="G112" s="316"/>
      <c r="H112" s="285"/>
      <c r="I112" s="285"/>
    </row>
    <row r="113" spans="1:9" ht="12" thickTop="1" x14ac:dyDescent="0.2">
      <c r="A113" s="321" t="s">
        <v>15</v>
      </c>
      <c r="B113" s="322"/>
      <c r="C113" s="323" t="s">
        <v>15</v>
      </c>
      <c r="D113" s="314" t="s">
        <v>25</v>
      </c>
      <c r="E113" s="324"/>
      <c r="F113" s="316"/>
      <c r="G113" s="316"/>
      <c r="H113" s="285"/>
      <c r="I113" s="285"/>
    </row>
    <row r="114" spans="1:9" x14ac:dyDescent="0.2">
      <c r="A114" s="308" t="s">
        <v>23</v>
      </c>
      <c r="B114" s="309" t="s">
        <v>24</v>
      </c>
      <c r="C114" s="310" t="s">
        <v>15</v>
      </c>
      <c r="D114" s="311" t="s">
        <v>28</v>
      </c>
      <c r="E114" s="312"/>
      <c r="F114" s="316"/>
      <c r="G114" s="316"/>
      <c r="H114" s="285"/>
      <c r="I114" s="285"/>
    </row>
    <row r="115" spans="1:9" ht="14.4" x14ac:dyDescent="0.3">
      <c r="A115" s="314" t="s">
        <v>26</v>
      </c>
      <c r="B115" s="259" t="s">
        <v>33</v>
      </c>
      <c r="C115" s="260" t="s">
        <v>34</v>
      </c>
      <c r="D115" s="261">
        <v>3947933.37</v>
      </c>
      <c r="E115" s="301"/>
      <c r="F115" s="315">
        <f>D115/(D115+D116)*(D117+D118)+D115</f>
        <v>3447245.689204284</v>
      </c>
      <c r="G115" s="315">
        <f>+F115</f>
        <v>3447245.689204284</v>
      </c>
      <c r="H115" s="285"/>
      <c r="I115" s="284"/>
    </row>
    <row r="116" spans="1:9" ht="14.4" x14ac:dyDescent="0.3">
      <c r="A116" s="317"/>
      <c r="B116" s="259" t="s">
        <v>35</v>
      </c>
      <c r="C116" s="260" t="s">
        <v>36</v>
      </c>
      <c r="D116" s="261">
        <v>1203747.32</v>
      </c>
      <c r="E116" s="301"/>
      <c r="F116" s="315">
        <f>D116/(D116+D115)*(D117+D118)+D116</f>
        <v>1051084.800795716</v>
      </c>
      <c r="G116" s="315">
        <f>+F116</f>
        <v>1051084.800795716</v>
      </c>
      <c r="H116" s="285"/>
      <c r="I116" s="285"/>
    </row>
    <row r="117" spans="1:9" ht="13.2" x14ac:dyDescent="0.25">
      <c r="A117" s="317"/>
      <c r="B117" s="259" t="s">
        <v>37</v>
      </c>
      <c r="C117" s="260" t="s">
        <v>38</v>
      </c>
      <c r="D117" s="261">
        <v>-249308.93</v>
      </c>
      <c r="E117" s="301"/>
      <c r="F117" s="201"/>
      <c r="G117" s="318"/>
      <c r="H117" s="285"/>
      <c r="I117" s="285"/>
    </row>
    <row r="118" spans="1:9" ht="13.8" x14ac:dyDescent="0.3">
      <c r="A118" s="325"/>
      <c r="B118" s="260" t="s">
        <v>294</v>
      </c>
      <c r="C118" s="260" t="s">
        <v>295</v>
      </c>
      <c r="D118" s="265">
        <v>-404041.27</v>
      </c>
      <c r="E118" s="301"/>
      <c r="F118" s="201"/>
      <c r="G118" s="316">
        <f>SUM(G115:G116)</f>
        <v>4498330.49</v>
      </c>
      <c r="H118" s="285"/>
      <c r="I118" s="285"/>
    </row>
    <row r="120" spans="1:9" ht="12" x14ac:dyDescent="0.25">
      <c r="A120" s="128" t="s">
        <v>305</v>
      </c>
      <c r="B120" s="129"/>
      <c r="C120" s="130"/>
    </row>
    <row r="121" spans="1:9" ht="18" thickBot="1" x14ac:dyDescent="0.4">
      <c r="A121" s="184" t="s">
        <v>27</v>
      </c>
      <c r="B121" s="183"/>
      <c r="C121" s="184"/>
      <c r="D121" s="24"/>
      <c r="E121" s="24"/>
      <c r="F121" s="24"/>
      <c r="G121" s="24"/>
      <c r="H121" s="24"/>
    </row>
    <row r="122" spans="1:9" ht="13.8" thickTop="1" x14ac:dyDescent="0.25">
      <c r="A122" s="186" t="s">
        <v>15</v>
      </c>
      <c r="B122" s="187"/>
      <c r="C122" s="188" t="s">
        <v>15</v>
      </c>
      <c r="D122" s="189" t="s">
        <v>25</v>
      </c>
      <c r="E122" s="303"/>
      <c r="F122" s="24"/>
      <c r="G122" s="24"/>
      <c r="H122" s="24"/>
    </row>
    <row r="123" spans="1:9" ht="13.2" x14ac:dyDescent="0.25">
      <c r="A123" s="308" t="s">
        <v>23</v>
      </c>
      <c r="B123" s="309" t="s">
        <v>24</v>
      </c>
      <c r="C123" s="310" t="s">
        <v>15</v>
      </c>
      <c r="D123" s="311" t="s">
        <v>28</v>
      </c>
      <c r="E123" s="312"/>
      <c r="F123" s="201"/>
      <c r="G123" s="201"/>
      <c r="H123" s="287" t="s">
        <v>31</v>
      </c>
      <c r="I123" s="288" t="s">
        <v>32</v>
      </c>
    </row>
    <row r="124" spans="1:9" ht="14.4" x14ac:dyDescent="0.3">
      <c r="A124" s="260" t="s">
        <v>26</v>
      </c>
      <c r="B124" s="259" t="s">
        <v>33</v>
      </c>
      <c r="C124" s="260" t="s">
        <v>34</v>
      </c>
      <c r="D124" s="261">
        <v>246.04</v>
      </c>
      <c r="E124" s="301"/>
      <c r="F124" s="326">
        <f>(D124/(D124+D125))*(D126+D127)+D124</f>
        <v>-138435.72834010178</v>
      </c>
      <c r="G124" s="327">
        <v>-12192.656292851396</v>
      </c>
      <c r="H124" s="284">
        <f>+G132+F124</f>
        <v>2914940.1837295643</v>
      </c>
      <c r="I124" s="285"/>
    </row>
    <row r="125" spans="1:9" ht="14.4" x14ac:dyDescent="0.3">
      <c r="A125" s="273"/>
      <c r="B125" s="259" t="s">
        <v>35</v>
      </c>
      <c r="C125" s="260" t="s">
        <v>36</v>
      </c>
      <c r="D125" s="261">
        <v>-51.51</v>
      </c>
      <c r="E125" s="301"/>
      <c r="F125" s="326">
        <f>(D125/(D124+D125))*(D126+D127)+D125</f>
        <v>28982.378340101786</v>
      </c>
      <c r="G125" s="327">
        <v>-54205.073707148607</v>
      </c>
      <c r="H125" s="285"/>
      <c r="I125" s="284">
        <f>+G133+F125</f>
        <v>1043025.8762704358</v>
      </c>
    </row>
    <row r="126" spans="1:9" x14ac:dyDescent="0.2">
      <c r="A126" s="273"/>
      <c r="B126" s="259" t="s">
        <v>37</v>
      </c>
      <c r="C126" s="260" t="s">
        <v>38</v>
      </c>
      <c r="D126" s="261">
        <v>-63060.81</v>
      </c>
      <c r="E126" s="301"/>
      <c r="F126" s="327"/>
      <c r="G126" s="318"/>
      <c r="H126" s="285"/>
      <c r="I126" s="285"/>
    </row>
    <row r="127" spans="1:9" ht="13.2" x14ac:dyDescent="0.25">
      <c r="A127" s="273"/>
      <c r="B127" s="260" t="s">
        <v>294</v>
      </c>
      <c r="C127" s="260" t="s">
        <v>295</v>
      </c>
      <c r="D127" s="265">
        <v>-46587.07</v>
      </c>
      <c r="E127" s="201"/>
      <c r="F127" s="327">
        <v>-70513.670000000013</v>
      </c>
      <c r="G127" s="327">
        <v>-66397.73000000001</v>
      </c>
      <c r="H127" s="285"/>
      <c r="I127" s="285"/>
    </row>
    <row r="128" spans="1:9" ht="13.2" x14ac:dyDescent="0.25">
      <c r="A128" s="24"/>
      <c r="B128" s="24"/>
      <c r="C128" s="24"/>
      <c r="D128" s="24"/>
      <c r="E128" s="24"/>
      <c r="F128" s="195"/>
      <c r="G128" s="178"/>
    </row>
    <row r="129" spans="1:9" ht="13.2" x14ac:dyDescent="0.25">
      <c r="A129" s="24"/>
      <c r="B129" s="24"/>
      <c r="C129" s="24"/>
      <c r="D129" s="24"/>
      <c r="E129" s="24"/>
      <c r="F129" s="195"/>
      <c r="G129" s="178"/>
    </row>
    <row r="130" spans="1:9" ht="18" thickBot="1" x14ac:dyDescent="0.4">
      <c r="A130" s="184" t="s">
        <v>39</v>
      </c>
      <c r="B130" s="184"/>
      <c r="C130" s="194"/>
      <c r="D130" s="24"/>
      <c r="E130" s="24"/>
      <c r="F130" s="195"/>
      <c r="G130" s="178"/>
    </row>
    <row r="131" spans="1:9" ht="12" thickTop="1" x14ac:dyDescent="0.2">
      <c r="A131" s="321" t="s">
        <v>15</v>
      </c>
      <c r="B131" s="322"/>
      <c r="C131" s="323" t="s">
        <v>15</v>
      </c>
      <c r="D131" s="314" t="s">
        <v>25</v>
      </c>
      <c r="E131" s="324"/>
      <c r="F131" s="327"/>
      <c r="G131" s="316"/>
      <c r="H131" s="285"/>
      <c r="I131" s="285"/>
    </row>
    <row r="132" spans="1:9" ht="14.4" x14ac:dyDescent="0.3">
      <c r="A132" s="308" t="s">
        <v>23</v>
      </c>
      <c r="B132" s="259" t="s">
        <v>33</v>
      </c>
      <c r="C132" s="260" t="s">
        <v>34</v>
      </c>
      <c r="D132" s="261">
        <v>3559308.33</v>
      </c>
      <c r="E132" s="312"/>
      <c r="F132" s="326">
        <f>(D132/(D132+D133))*(D134+D135)+D132</f>
        <v>3053375.9120696662</v>
      </c>
      <c r="G132" s="326">
        <f>+F132</f>
        <v>3053375.9120696662</v>
      </c>
      <c r="H132" s="285"/>
      <c r="I132" s="285"/>
    </row>
    <row r="133" spans="1:9" ht="14.4" x14ac:dyDescent="0.3">
      <c r="A133" s="314" t="s">
        <v>26</v>
      </c>
      <c r="B133" s="259" t="s">
        <v>35</v>
      </c>
      <c r="C133" s="260" t="s">
        <v>36</v>
      </c>
      <c r="D133" s="261">
        <v>1182066.53</v>
      </c>
      <c r="E133" s="301"/>
      <c r="F133" s="326">
        <f>(D133/(D132+D133))*(D134+D135)+D133</f>
        <v>1014043.4979303339</v>
      </c>
      <c r="G133" s="326">
        <f>+F133</f>
        <v>1014043.4979303339</v>
      </c>
      <c r="H133" s="285"/>
      <c r="I133" s="285"/>
    </row>
    <row r="134" spans="1:9" ht="14.4" x14ac:dyDescent="0.3">
      <c r="A134" s="317"/>
      <c r="B134" s="259" t="s">
        <v>37</v>
      </c>
      <c r="C134" s="260" t="s">
        <v>38</v>
      </c>
      <c r="D134" s="261">
        <v>-245658.53</v>
      </c>
      <c r="E134" s="301"/>
      <c r="F134" s="326"/>
      <c r="G134" s="326">
        <f>+F134</f>
        <v>0</v>
      </c>
      <c r="H134" s="285"/>
      <c r="I134" s="285"/>
    </row>
    <row r="135" spans="1:9" x14ac:dyDescent="0.2">
      <c r="A135" s="317"/>
      <c r="B135" s="260" t="s">
        <v>294</v>
      </c>
      <c r="C135" s="260" t="s">
        <v>295</v>
      </c>
      <c r="D135" s="265">
        <v>-428296.92</v>
      </c>
      <c r="E135" s="301"/>
      <c r="F135" s="327">
        <v>0</v>
      </c>
      <c r="G135" s="327">
        <v>0</v>
      </c>
      <c r="H135" s="285"/>
      <c r="I135" s="285"/>
    </row>
    <row r="136" spans="1:9" ht="13.2" x14ac:dyDescent="0.25">
      <c r="A136" s="24"/>
      <c r="B136" s="24"/>
      <c r="C136" s="24"/>
      <c r="D136" s="24"/>
      <c r="E136" s="24"/>
      <c r="F136" s="195"/>
      <c r="G136" s="195"/>
    </row>
    <row r="139" spans="1:9" ht="18" thickBot="1" x14ac:dyDescent="0.4">
      <c r="A139" s="184" t="s">
        <v>27</v>
      </c>
      <c r="B139" s="183"/>
      <c r="C139" s="184"/>
      <c r="D139" s="24"/>
      <c r="E139" s="24"/>
    </row>
    <row r="140" spans="1:9" ht="12" thickTop="1" x14ac:dyDescent="0.2">
      <c r="A140" s="186" t="s">
        <v>15</v>
      </c>
      <c r="B140" s="187"/>
      <c r="C140" s="188" t="s">
        <v>15</v>
      </c>
      <c r="D140" s="189" t="s">
        <v>25</v>
      </c>
      <c r="E140" s="303"/>
    </row>
    <row r="141" spans="1:9" x14ac:dyDescent="0.2">
      <c r="A141" s="190" t="s">
        <v>23</v>
      </c>
      <c r="B141" s="191" t="s">
        <v>24</v>
      </c>
      <c r="C141" s="192" t="s">
        <v>15</v>
      </c>
      <c r="D141" s="193" t="s">
        <v>28</v>
      </c>
      <c r="E141" s="304"/>
      <c r="H141" s="176" t="s">
        <v>31</v>
      </c>
      <c r="I141" s="177" t="s">
        <v>32</v>
      </c>
    </row>
    <row r="142" spans="1:9" ht="14.4" x14ac:dyDescent="0.3">
      <c r="A142" s="314" t="s">
        <v>26</v>
      </c>
      <c r="B142" s="259" t="s">
        <v>33</v>
      </c>
      <c r="C142" s="260" t="s">
        <v>34</v>
      </c>
      <c r="D142" s="261">
        <v>66.39</v>
      </c>
      <c r="E142" s="301"/>
      <c r="F142" s="326">
        <f>((D142/(D142+D143))*(D144+D145))+D142</f>
        <v>-5537.970107543425</v>
      </c>
      <c r="G142" s="284"/>
      <c r="H142" s="284">
        <f>+F151+F142</f>
        <v>2771209.2698247805</v>
      </c>
      <c r="I142" s="285"/>
    </row>
    <row r="143" spans="1:9" ht="14.4" x14ac:dyDescent="0.3">
      <c r="A143" s="317"/>
      <c r="B143" s="259" t="s">
        <v>35</v>
      </c>
      <c r="C143" s="260" t="s">
        <v>36</v>
      </c>
      <c r="D143" s="261">
        <v>1233.55</v>
      </c>
      <c r="E143" s="301"/>
      <c r="F143" s="326">
        <f>((D143/(D143+D142))*(D144+D145))+D143</f>
        <v>-102897.46989245656</v>
      </c>
      <c r="G143" s="284"/>
      <c r="H143" s="285"/>
      <c r="I143" s="284">
        <f>+F152+F143</f>
        <v>746066.64017521974</v>
      </c>
    </row>
    <row r="144" spans="1:9" x14ac:dyDescent="0.2">
      <c r="A144" s="317"/>
      <c r="B144" s="259" t="s">
        <v>37</v>
      </c>
      <c r="C144" s="260" t="s">
        <v>38</v>
      </c>
      <c r="D144" s="261">
        <v>-62942.01</v>
      </c>
      <c r="E144" s="301"/>
      <c r="F144" s="284"/>
      <c r="G144" s="284"/>
      <c r="H144" s="285"/>
      <c r="I144" s="285"/>
    </row>
    <row r="145" spans="1:9" ht="13.2" x14ac:dyDescent="0.25">
      <c r="A145" s="201"/>
      <c r="B145" s="260" t="s">
        <v>294</v>
      </c>
      <c r="C145" s="260" t="s">
        <v>295</v>
      </c>
      <c r="D145" s="265">
        <v>-46793.37</v>
      </c>
      <c r="E145" s="201"/>
      <c r="F145" s="284"/>
      <c r="G145" s="284"/>
      <c r="H145" s="285"/>
      <c r="I145" s="285"/>
    </row>
    <row r="146" spans="1:9" ht="13.2" x14ac:dyDescent="0.25">
      <c r="A146" s="201"/>
      <c r="B146" s="201"/>
      <c r="C146" s="201"/>
      <c r="D146" s="328"/>
      <c r="E146" s="328"/>
      <c r="F146" s="285"/>
      <c r="G146" s="285"/>
      <c r="H146" s="285"/>
      <c r="I146" s="285"/>
    </row>
    <row r="147" spans="1:9" ht="13.2" x14ac:dyDescent="0.25">
      <c r="A147" s="201"/>
      <c r="B147" s="201"/>
      <c r="C147" s="201"/>
      <c r="D147" s="201"/>
      <c r="E147" s="201"/>
      <c r="F147" s="285"/>
      <c r="G147" s="285"/>
      <c r="H147" s="285"/>
      <c r="I147" s="285"/>
    </row>
    <row r="148" spans="1:9" ht="18" thickBot="1" x14ac:dyDescent="0.4">
      <c r="A148" s="319" t="s">
        <v>39</v>
      </c>
      <c r="B148" s="319"/>
      <c r="C148" s="320"/>
      <c r="D148" s="201"/>
      <c r="E148" s="201"/>
      <c r="F148" s="285"/>
      <c r="G148" s="285"/>
      <c r="H148" s="285"/>
      <c r="I148" s="285"/>
    </row>
    <row r="149" spans="1:9" ht="12" thickTop="1" x14ac:dyDescent="0.2">
      <c r="A149" s="321" t="s">
        <v>15</v>
      </c>
      <c r="B149" s="322"/>
      <c r="C149" s="323" t="s">
        <v>15</v>
      </c>
      <c r="D149" s="314" t="s">
        <v>25</v>
      </c>
      <c r="E149" s="324"/>
      <c r="F149" s="285"/>
      <c r="G149" s="285"/>
      <c r="H149" s="285"/>
      <c r="I149" s="285"/>
    </row>
    <row r="150" spans="1:9" x14ac:dyDescent="0.2">
      <c r="A150" s="308" t="s">
        <v>23</v>
      </c>
      <c r="B150" s="309" t="s">
        <v>24</v>
      </c>
      <c r="C150" s="310" t="s">
        <v>15</v>
      </c>
      <c r="D150" s="311" t="s">
        <v>28</v>
      </c>
      <c r="E150" s="312"/>
      <c r="F150" s="285"/>
      <c r="G150" s="285"/>
      <c r="H150" s="285"/>
      <c r="I150" s="285"/>
    </row>
    <row r="151" spans="1:9" ht="14.4" x14ac:dyDescent="0.3">
      <c r="A151" s="314" t="s">
        <v>26</v>
      </c>
      <c r="B151" s="259" t="s">
        <v>33</v>
      </c>
      <c r="C151" s="260" t="s">
        <v>34</v>
      </c>
      <c r="D151" s="261">
        <v>3307830.94</v>
      </c>
      <c r="E151" s="301"/>
      <c r="F151" s="326">
        <f>((D151/(D151+D152))*(D153+D154))+D151</f>
        <v>2776747.2399323238</v>
      </c>
      <c r="G151" s="284"/>
      <c r="H151" s="285"/>
      <c r="I151" s="285"/>
    </row>
    <row r="152" spans="1:9" ht="14.4" x14ac:dyDescent="0.3">
      <c r="A152" s="317"/>
      <c r="B152" s="259" t="s">
        <v>35</v>
      </c>
      <c r="C152" s="260" t="s">
        <v>36</v>
      </c>
      <c r="D152" s="261">
        <v>1011337.91</v>
      </c>
      <c r="E152" s="301"/>
      <c r="F152" s="326">
        <f>((D152/(D152+D151))*(D153+D154))+D152</f>
        <v>848964.11006767629</v>
      </c>
      <c r="G152" s="284"/>
      <c r="H152" s="285"/>
      <c r="I152" s="285"/>
    </row>
    <row r="153" spans="1:9" ht="13.2" x14ac:dyDescent="0.25">
      <c r="A153" s="317"/>
      <c r="B153" s="259" t="s">
        <v>37</v>
      </c>
      <c r="C153" s="260" t="s">
        <v>38</v>
      </c>
      <c r="D153" s="261">
        <v>-240807.02</v>
      </c>
      <c r="E153" s="301"/>
      <c r="F153" s="201"/>
      <c r="G153" s="284">
        <v>0</v>
      </c>
      <c r="H153" s="285"/>
      <c r="I153" s="285"/>
    </row>
    <row r="154" spans="1:9" ht="13.2" x14ac:dyDescent="0.25">
      <c r="A154" s="285"/>
      <c r="B154" s="260" t="s">
        <v>294</v>
      </c>
      <c r="C154" s="260" t="s">
        <v>295</v>
      </c>
      <c r="D154" s="265">
        <v>-452650.48</v>
      </c>
      <c r="E154" s="301"/>
      <c r="F154" s="201"/>
      <c r="G154" s="284"/>
      <c r="H154" s="285"/>
      <c r="I154" s="285"/>
    </row>
  </sheetData>
  <conditionalFormatting sqref="J3:K3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" top="0.5" bottom="0.5" header="0.3" footer="0.3"/>
  <pageSetup scale="81" fitToHeight="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workbookViewId="0">
      <pane ySplit="4" topLeftCell="A29" activePane="bottomLeft" state="frozen"/>
      <selection activeCell="J1" sqref="J1"/>
      <selection pane="bottomLeft" activeCell="F2" sqref="F2"/>
    </sheetView>
  </sheetViews>
  <sheetFormatPr defaultColWidth="9.109375" defaultRowHeight="11.4" x14ac:dyDescent="0.2"/>
  <cols>
    <col min="1" max="1" width="23.109375" style="67" customWidth="1"/>
    <col min="2" max="2" width="12.5546875" style="67" customWidth="1"/>
    <col min="3" max="3" width="18.6640625" style="67" customWidth="1"/>
    <col min="4" max="4" width="21" style="67" customWidth="1"/>
    <col min="5" max="6" width="18" style="67" customWidth="1"/>
    <col min="7" max="8" width="16.44140625" style="67" customWidth="1"/>
    <col min="9" max="10" width="11.33203125" style="67" bestFit="1" customWidth="1"/>
    <col min="11" max="13" width="10.109375" style="67" bestFit="1" customWidth="1"/>
    <col min="14" max="14" width="11.33203125" style="67" bestFit="1" customWidth="1"/>
    <col min="15" max="15" width="14.5546875" style="67" bestFit="1" customWidth="1"/>
    <col min="16" max="16" width="12.33203125" style="67" bestFit="1" customWidth="1"/>
    <col min="17" max="17" width="14.5546875" style="67" bestFit="1" customWidth="1"/>
    <col min="18" max="16384" width="9.109375" style="67"/>
  </cols>
  <sheetData>
    <row r="1" spans="1:20" ht="12" x14ac:dyDescent="0.25">
      <c r="A1" s="128"/>
      <c r="B1" s="129"/>
      <c r="C1" s="130"/>
      <c r="F1" s="67" t="s">
        <v>316</v>
      </c>
      <c r="G1" s="66">
        <f>G10+G25+G41</f>
        <v>13008743.523109956</v>
      </c>
      <c r="H1" s="66">
        <f>H11+H26+H42</f>
        <v>3871814.0068900445</v>
      </c>
      <c r="I1" s="66">
        <v>0</v>
      </c>
      <c r="J1" s="66">
        <v>0</v>
      </c>
      <c r="K1" s="67" t="s">
        <v>20</v>
      </c>
    </row>
    <row r="2" spans="1:20" ht="12.6" thickBot="1" x14ac:dyDescent="0.3">
      <c r="A2" s="131" t="s">
        <v>27</v>
      </c>
      <c r="B2" s="132"/>
      <c r="C2" s="131"/>
    </row>
    <row r="3" spans="1:20" ht="12.6" thickTop="1" x14ac:dyDescent="0.25">
      <c r="A3" s="133" t="s">
        <v>15</v>
      </c>
      <c r="B3" s="134"/>
      <c r="C3" s="135" t="s">
        <v>15</v>
      </c>
      <c r="D3" s="136" t="s">
        <v>25</v>
      </c>
    </row>
    <row r="4" spans="1:20" ht="12" x14ac:dyDescent="0.25">
      <c r="A4" s="137" t="s">
        <v>23</v>
      </c>
      <c r="B4" s="138" t="s">
        <v>24</v>
      </c>
      <c r="C4" s="139" t="s">
        <v>15</v>
      </c>
      <c r="D4" s="140" t="s">
        <v>28</v>
      </c>
      <c r="E4" s="141" t="s">
        <v>29</v>
      </c>
      <c r="F4" s="142" t="s">
        <v>30</v>
      </c>
      <c r="G4" s="141" t="s">
        <v>31</v>
      </c>
      <c r="H4" s="142" t="s">
        <v>32</v>
      </c>
    </row>
    <row r="5" spans="1:20" x14ac:dyDescent="0.2">
      <c r="D5" s="151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69"/>
      <c r="Q5" s="69"/>
      <c r="R5" s="68"/>
      <c r="S5" s="68"/>
      <c r="T5" s="68"/>
    </row>
    <row r="6" spans="1:20" ht="12" x14ac:dyDescent="0.25">
      <c r="A6" s="242" t="s">
        <v>292</v>
      </c>
      <c r="B6" s="243"/>
      <c r="C6" s="244"/>
      <c r="D6" s="245"/>
      <c r="E6" s="246"/>
      <c r="F6" s="246"/>
      <c r="G6" s="246"/>
      <c r="H6" s="246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6" thickBot="1" x14ac:dyDescent="0.3">
      <c r="A7" s="247" t="s">
        <v>27</v>
      </c>
      <c r="B7" s="248"/>
      <c r="C7" s="247"/>
      <c r="D7" s="245"/>
      <c r="E7" s="245"/>
      <c r="F7" s="245"/>
      <c r="G7" s="245"/>
      <c r="H7" s="245"/>
    </row>
    <row r="8" spans="1:20" ht="12.6" thickTop="1" x14ac:dyDescent="0.25">
      <c r="A8" s="249" t="s">
        <v>15</v>
      </c>
      <c r="B8" s="250"/>
      <c r="C8" s="251" t="s">
        <v>15</v>
      </c>
      <c r="D8" s="252" t="s">
        <v>25</v>
      </c>
      <c r="E8" s="245"/>
      <c r="F8" s="245"/>
      <c r="G8" s="245"/>
      <c r="H8" s="245"/>
    </row>
    <row r="9" spans="1:20" ht="12" x14ac:dyDescent="0.25">
      <c r="A9" s="253" t="s">
        <v>23</v>
      </c>
      <c r="B9" s="254" t="s">
        <v>24</v>
      </c>
      <c r="C9" s="255" t="s">
        <v>15</v>
      </c>
      <c r="D9" s="256" t="s">
        <v>28</v>
      </c>
      <c r="E9" s="257" t="s">
        <v>29</v>
      </c>
      <c r="F9" s="258" t="s">
        <v>30</v>
      </c>
      <c r="G9" s="257" t="s">
        <v>31</v>
      </c>
      <c r="H9" s="258" t="s">
        <v>32</v>
      </c>
    </row>
    <row r="10" spans="1:20" x14ac:dyDescent="0.2">
      <c r="A10" s="252" t="s">
        <v>26</v>
      </c>
      <c r="B10" s="259" t="s">
        <v>33</v>
      </c>
      <c r="C10" s="260" t="s">
        <v>34</v>
      </c>
      <c r="D10" s="261">
        <v>266.19</v>
      </c>
      <c r="E10" s="262">
        <f>D12*D10/(D10+D11)</f>
        <v>-8570.6078381616007</v>
      </c>
      <c r="F10" s="263">
        <f>+D10+E10</f>
        <v>-8304.4178381616002</v>
      </c>
      <c r="G10" s="263">
        <f>+F10+F17</f>
        <v>4783466.4659333285</v>
      </c>
      <c r="H10" s="245"/>
    </row>
    <row r="11" spans="1:20" x14ac:dyDescent="0.2">
      <c r="A11" s="264"/>
      <c r="B11" s="259" t="s">
        <v>35</v>
      </c>
      <c r="C11" s="260" t="s">
        <v>36</v>
      </c>
      <c r="D11" s="261">
        <v>1829.11</v>
      </c>
      <c r="E11" s="262">
        <f>D12*D11/(D11+D10)</f>
        <v>-58892.462161838412</v>
      </c>
      <c r="F11" s="263">
        <f>+D11+E11</f>
        <v>-57063.352161838411</v>
      </c>
      <c r="G11" s="245"/>
      <c r="H11" s="263">
        <f>+F11+F18</f>
        <v>1514498.2540666712</v>
      </c>
    </row>
    <row r="12" spans="1:20" x14ac:dyDescent="0.2">
      <c r="A12" s="264"/>
      <c r="B12" s="260" t="s">
        <v>37</v>
      </c>
      <c r="C12" s="260" t="s">
        <v>38</v>
      </c>
      <c r="D12" s="265">
        <v>-67463.070000000007</v>
      </c>
      <c r="E12" s="266">
        <f>-D12</f>
        <v>67463.070000000007</v>
      </c>
      <c r="F12" s="266"/>
      <c r="G12" s="266"/>
      <c r="H12" s="266"/>
    </row>
    <row r="13" spans="1:20" x14ac:dyDescent="0.2">
      <c r="A13" s="245"/>
      <c r="B13" s="245"/>
      <c r="C13" s="245"/>
      <c r="D13" s="267"/>
      <c r="E13" s="246"/>
      <c r="F13" s="246"/>
      <c r="G13" s="268"/>
      <c r="H13" s="246"/>
    </row>
    <row r="14" spans="1:20" ht="12.6" thickBot="1" x14ac:dyDescent="0.3">
      <c r="A14" s="247" t="s">
        <v>39</v>
      </c>
      <c r="B14" s="247"/>
      <c r="C14" s="269"/>
      <c r="D14" s="245"/>
      <c r="E14" s="270"/>
      <c r="F14" s="270"/>
      <c r="G14" s="270"/>
      <c r="H14" s="270"/>
    </row>
    <row r="15" spans="1:20" ht="12.6" thickTop="1" x14ac:dyDescent="0.25">
      <c r="A15" s="249" t="s">
        <v>15</v>
      </c>
      <c r="B15" s="250"/>
      <c r="C15" s="251" t="s">
        <v>15</v>
      </c>
      <c r="D15" s="252" t="s">
        <v>25</v>
      </c>
      <c r="E15" s="262"/>
      <c r="F15" s="263"/>
      <c r="G15" s="266"/>
      <c r="H15" s="266"/>
    </row>
    <row r="16" spans="1:20" ht="12" x14ac:dyDescent="0.25">
      <c r="A16" s="253" t="s">
        <v>23</v>
      </c>
      <c r="B16" s="254" t="s">
        <v>24</v>
      </c>
      <c r="C16" s="255" t="s">
        <v>15</v>
      </c>
      <c r="D16" s="256" t="s">
        <v>28</v>
      </c>
      <c r="E16" s="262"/>
      <c r="F16" s="263"/>
      <c r="G16" s="266"/>
      <c r="H16" s="266"/>
    </row>
    <row r="17" spans="1:8" x14ac:dyDescent="0.2">
      <c r="A17" s="252" t="s">
        <v>26</v>
      </c>
      <c r="B17" s="259" t="s">
        <v>33</v>
      </c>
      <c r="C17" s="260" t="s">
        <v>34</v>
      </c>
      <c r="D17" s="261">
        <v>5013613.72</v>
      </c>
      <c r="E17" s="262">
        <f>D19*D17/(D17+D18)</f>
        <v>-221842.83622850949</v>
      </c>
      <c r="F17" s="263">
        <f>+D17+E17</f>
        <v>4791770.8837714903</v>
      </c>
      <c r="G17" s="266"/>
      <c r="H17" s="266"/>
    </row>
    <row r="18" spans="1:8" x14ac:dyDescent="0.2">
      <c r="A18" s="264"/>
      <c r="B18" s="259" t="s">
        <v>35</v>
      </c>
      <c r="C18" s="260" t="s">
        <v>36</v>
      </c>
      <c r="D18" s="261">
        <v>1644319.61</v>
      </c>
      <c r="E18" s="262">
        <f>D19*D18/(D18+D17)</f>
        <v>-72758.003771490519</v>
      </c>
      <c r="F18" s="263">
        <f>+D18+E18</f>
        <v>1571561.6062285097</v>
      </c>
      <c r="G18" s="263"/>
      <c r="H18" s="262"/>
    </row>
    <row r="19" spans="1:8" x14ac:dyDescent="0.2">
      <c r="A19" s="264"/>
      <c r="B19" s="260" t="s">
        <v>37</v>
      </c>
      <c r="C19" s="260" t="s">
        <v>38</v>
      </c>
      <c r="D19" s="265">
        <v>-294600.84000000003</v>
      </c>
      <c r="E19" s="266">
        <f>-D19</f>
        <v>294600.84000000003</v>
      </c>
      <c r="F19" s="266"/>
      <c r="G19" s="245"/>
      <c r="H19" s="262"/>
    </row>
    <row r="20" spans="1:8" x14ac:dyDescent="0.2">
      <c r="D20" s="143"/>
      <c r="F20" s="66"/>
      <c r="G20" s="66"/>
    </row>
    <row r="21" spans="1:8" ht="12" x14ac:dyDescent="0.25">
      <c r="A21" s="242" t="s">
        <v>293</v>
      </c>
      <c r="B21" s="243"/>
      <c r="C21" s="244"/>
      <c r="D21" s="262"/>
      <c r="E21" s="245"/>
      <c r="F21" s="245"/>
      <c r="G21" s="245"/>
      <c r="H21" s="245"/>
    </row>
    <row r="22" spans="1:8" ht="12.6" thickBot="1" x14ac:dyDescent="0.3">
      <c r="A22" s="247" t="s">
        <v>27</v>
      </c>
      <c r="B22" s="248"/>
      <c r="C22" s="247"/>
      <c r="D22" s="245"/>
      <c r="E22" s="245"/>
      <c r="F22" s="245"/>
      <c r="G22" s="245"/>
      <c r="H22" s="245"/>
    </row>
    <row r="23" spans="1:8" ht="12.6" thickTop="1" x14ac:dyDescent="0.25">
      <c r="A23" s="249" t="s">
        <v>15</v>
      </c>
      <c r="B23" s="250"/>
      <c r="C23" s="251" t="s">
        <v>15</v>
      </c>
      <c r="D23" s="252" t="s">
        <v>25</v>
      </c>
      <c r="E23" s="245"/>
      <c r="F23" s="245"/>
      <c r="G23" s="245"/>
      <c r="H23" s="245"/>
    </row>
    <row r="24" spans="1:8" ht="12" x14ac:dyDescent="0.25">
      <c r="A24" s="253" t="s">
        <v>23</v>
      </c>
      <c r="B24" s="254" t="s">
        <v>24</v>
      </c>
      <c r="C24" s="255" t="s">
        <v>15</v>
      </c>
      <c r="D24" s="256" t="s">
        <v>28</v>
      </c>
      <c r="E24" s="257" t="s">
        <v>29</v>
      </c>
      <c r="F24" s="258" t="s">
        <v>30</v>
      </c>
      <c r="G24" s="257" t="s">
        <v>31</v>
      </c>
      <c r="H24" s="258" t="s">
        <v>32</v>
      </c>
    </row>
    <row r="25" spans="1:8" x14ac:dyDescent="0.2">
      <c r="A25" s="252" t="s">
        <v>26</v>
      </c>
      <c r="B25" s="259" t="s">
        <v>33</v>
      </c>
      <c r="C25" s="260" t="s">
        <v>34</v>
      </c>
      <c r="D25" s="261">
        <v>390.97</v>
      </c>
      <c r="E25" s="262">
        <f>D27*D25/(D25+D26)</f>
        <v>-10180.282023615699</v>
      </c>
      <c r="F25" s="263">
        <f>+D25+E25</f>
        <v>-9789.3120236156992</v>
      </c>
      <c r="G25" s="263">
        <f>+F25+F32</f>
        <v>4605491.829665266</v>
      </c>
      <c r="H25" s="245"/>
    </row>
    <row r="26" spans="1:8" x14ac:dyDescent="0.2">
      <c r="A26" s="264"/>
      <c r="B26" s="259" t="s">
        <v>35</v>
      </c>
      <c r="C26" s="260" t="s">
        <v>36</v>
      </c>
      <c r="D26" s="261">
        <v>2188.67</v>
      </c>
      <c r="E26" s="262">
        <f>D27*D26/(D26+D25)</f>
        <v>-56989.737976384298</v>
      </c>
      <c r="F26" s="263">
        <f>+D26+E26</f>
        <v>-54801.0679763843</v>
      </c>
      <c r="G26" s="245"/>
      <c r="H26" s="263">
        <f>+F26+F33</f>
        <v>1429324.4603347341</v>
      </c>
    </row>
    <row r="27" spans="1:8" x14ac:dyDescent="0.2">
      <c r="A27" s="264"/>
      <c r="B27" s="260" t="s">
        <v>37</v>
      </c>
      <c r="C27" s="260" t="s">
        <v>38</v>
      </c>
      <c r="D27" s="265">
        <v>-67170.02</v>
      </c>
      <c r="E27" s="266">
        <f>-D27</f>
        <v>67170.02</v>
      </c>
      <c r="F27" s="266"/>
      <c r="G27" s="266"/>
      <c r="H27" s="266"/>
    </row>
    <row r="28" spans="1:8" x14ac:dyDescent="0.2">
      <c r="A28" s="245"/>
      <c r="B28" s="260"/>
      <c r="C28" s="260"/>
      <c r="D28" s="265"/>
      <c r="E28" s="245"/>
      <c r="F28" s="263"/>
      <c r="G28" s="263"/>
      <c r="H28" s="245"/>
    </row>
    <row r="29" spans="1:8" ht="12.6" thickBot="1" x14ac:dyDescent="0.3">
      <c r="A29" s="247" t="s">
        <v>39</v>
      </c>
      <c r="B29" s="247"/>
      <c r="C29" s="269"/>
      <c r="D29" s="262"/>
      <c r="E29" s="245"/>
      <c r="F29" s="245"/>
      <c r="G29" s="245"/>
      <c r="H29" s="245"/>
    </row>
    <row r="30" spans="1:8" ht="12.6" thickTop="1" x14ac:dyDescent="0.25">
      <c r="A30" s="249" t="s">
        <v>15</v>
      </c>
      <c r="B30" s="250"/>
      <c r="C30" s="251" t="s">
        <v>15</v>
      </c>
      <c r="D30" s="271" t="s">
        <v>25</v>
      </c>
      <c r="E30" s="245"/>
      <c r="F30" s="245"/>
      <c r="G30" s="245"/>
      <c r="H30" s="245"/>
    </row>
    <row r="31" spans="1:8" ht="12" x14ac:dyDescent="0.25">
      <c r="A31" s="253" t="s">
        <v>23</v>
      </c>
      <c r="B31" s="254" t="s">
        <v>24</v>
      </c>
      <c r="C31" s="255" t="s">
        <v>15</v>
      </c>
      <c r="D31" s="272" t="s">
        <v>28</v>
      </c>
      <c r="E31" s="245"/>
      <c r="F31" s="245"/>
      <c r="G31" s="245"/>
      <c r="H31" s="245"/>
    </row>
    <row r="32" spans="1:8" x14ac:dyDescent="0.2">
      <c r="A32" s="260" t="s">
        <v>26</v>
      </c>
      <c r="B32" s="259" t="s">
        <v>33</v>
      </c>
      <c r="C32" s="260" t="s">
        <v>34</v>
      </c>
      <c r="D32" s="261">
        <v>4831834.99</v>
      </c>
      <c r="E32" s="262">
        <f>D34*D32/(D32+D33)</f>
        <v>-216553.84831111832</v>
      </c>
      <c r="F32" s="263">
        <f>+D32+E32</f>
        <v>4615281.1416888814</v>
      </c>
      <c r="G32" s="263"/>
      <c r="H32" s="262"/>
    </row>
    <row r="33" spans="1:9" x14ac:dyDescent="0.2">
      <c r="A33" s="273"/>
      <c r="B33" s="259" t="s">
        <v>35</v>
      </c>
      <c r="C33" s="260" t="s">
        <v>36</v>
      </c>
      <c r="D33" s="261">
        <v>1553762.26</v>
      </c>
      <c r="E33" s="262">
        <f>D34*D33/(D33+D32)</f>
        <v>-69636.7316888817</v>
      </c>
      <c r="F33" s="263">
        <f>+D33+E33</f>
        <v>1484125.5283111183</v>
      </c>
      <c r="G33" s="263"/>
      <c r="H33" s="262"/>
    </row>
    <row r="34" spans="1:9" x14ac:dyDescent="0.2">
      <c r="A34" s="273"/>
      <c r="B34" s="260" t="s">
        <v>37</v>
      </c>
      <c r="C34" s="260" t="s">
        <v>38</v>
      </c>
      <c r="D34" s="265">
        <v>-286190.58</v>
      </c>
      <c r="E34" s="266">
        <f>-D34</f>
        <v>286190.58</v>
      </c>
      <c r="F34" s="266"/>
      <c r="G34" s="245"/>
      <c r="H34" s="262"/>
    </row>
    <row r="35" spans="1:9" x14ac:dyDescent="0.2">
      <c r="D35" s="153"/>
      <c r="F35" s="66"/>
      <c r="G35" s="66"/>
    </row>
    <row r="37" spans="1:9" ht="12" x14ac:dyDescent="0.25">
      <c r="A37" s="128" t="s">
        <v>296</v>
      </c>
      <c r="B37" s="129"/>
      <c r="C37" s="130"/>
    </row>
    <row r="38" spans="1:9" ht="12.6" thickBot="1" x14ac:dyDescent="0.3">
      <c r="A38" s="131" t="s">
        <v>27</v>
      </c>
      <c r="B38" s="132"/>
      <c r="C38" s="131"/>
      <c r="E38" s="68"/>
      <c r="F38" s="68"/>
      <c r="G38" s="68"/>
      <c r="H38" s="68"/>
      <c r="I38" s="68"/>
    </row>
    <row r="39" spans="1:9" ht="12.6" thickTop="1" x14ac:dyDescent="0.25">
      <c r="A39" s="133" t="s">
        <v>15</v>
      </c>
      <c r="B39" s="134"/>
      <c r="C39" s="150" t="s">
        <v>15</v>
      </c>
      <c r="D39" s="147" t="s">
        <v>25</v>
      </c>
      <c r="E39" s="52"/>
      <c r="F39" s="52"/>
      <c r="G39" s="52"/>
      <c r="H39" s="52"/>
      <c r="I39" s="68"/>
    </row>
    <row r="40" spans="1:9" ht="12" x14ac:dyDescent="0.25">
      <c r="A40" s="253" t="s">
        <v>23</v>
      </c>
      <c r="B40" s="254" t="s">
        <v>24</v>
      </c>
      <c r="C40" s="274" t="s">
        <v>15</v>
      </c>
      <c r="D40" s="275" t="s">
        <v>28</v>
      </c>
      <c r="E40" s="257" t="s">
        <v>29</v>
      </c>
      <c r="F40" s="258" t="s">
        <v>30</v>
      </c>
      <c r="G40" s="257" t="s">
        <v>31</v>
      </c>
      <c r="H40" s="258" t="s">
        <v>32</v>
      </c>
      <c r="I40" s="68"/>
    </row>
    <row r="41" spans="1:9" ht="13.2" x14ac:dyDescent="0.25">
      <c r="A41" s="260" t="s">
        <v>26</v>
      </c>
      <c r="B41" s="259" t="s">
        <v>33</v>
      </c>
      <c r="C41" s="260" t="s">
        <v>34</v>
      </c>
      <c r="D41" s="261">
        <v>124.46</v>
      </c>
      <c r="E41" s="276">
        <f>(D41/(D41+D42))*(D43+D44)</f>
        <v>-6685.0092306153902</v>
      </c>
      <c r="F41" s="263">
        <f>+D41+E41</f>
        <v>-6560.5492306153901</v>
      </c>
      <c r="G41" s="263">
        <f>+F41+F49</f>
        <v>3619785.2275113608</v>
      </c>
      <c r="H41" s="245"/>
      <c r="I41" s="68"/>
    </row>
    <row r="42" spans="1:9" ht="13.2" x14ac:dyDescent="0.25">
      <c r="A42" s="273"/>
      <c r="B42" s="259" t="s">
        <v>35</v>
      </c>
      <c r="C42" s="260" t="s">
        <v>36</v>
      </c>
      <c r="D42" s="261">
        <v>1575.6</v>
      </c>
      <c r="E42" s="276">
        <f>(D42/(D41+D42))*(D44+D43)</f>
        <v>-84628.800769384601</v>
      </c>
      <c r="F42" s="263">
        <f>+D42+E42</f>
        <v>-83053.200769384595</v>
      </c>
      <c r="G42" s="245"/>
      <c r="H42" s="263">
        <f>+F42+F50</f>
        <v>927991.29248863924</v>
      </c>
      <c r="I42" s="68"/>
    </row>
    <row r="43" spans="1:9" x14ac:dyDescent="0.2">
      <c r="A43" s="273"/>
      <c r="B43" s="259" t="s">
        <v>37</v>
      </c>
      <c r="C43" s="260" t="s">
        <v>38</v>
      </c>
      <c r="D43" s="261">
        <v>-66929.42</v>
      </c>
      <c r="E43" s="266"/>
      <c r="F43" s="266"/>
      <c r="G43" s="266"/>
      <c r="H43" s="266"/>
      <c r="I43" s="68"/>
    </row>
    <row r="44" spans="1:9" x14ac:dyDescent="0.2">
      <c r="A44" s="273"/>
      <c r="B44" s="260" t="s">
        <v>294</v>
      </c>
      <c r="C44" s="260" t="s">
        <v>295</v>
      </c>
      <c r="D44" s="265">
        <v>-24384.39</v>
      </c>
      <c r="E44" s="266"/>
      <c r="F44" s="266"/>
      <c r="G44" s="266"/>
      <c r="H44" s="266"/>
      <c r="I44" s="68"/>
    </row>
    <row r="45" spans="1:9" x14ac:dyDescent="0.2">
      <c r="A45" s="245"/>
      <c r="B45" s="245"/>
      <c r="C45" s="245"/>
      <c r="D45" s="262"/>
      <c r="E45" s="246"/>
      <c r="F45" s="277"/>
      <c r="G45" s="277"/>
      <c r="H45" s="246"/>
      <c r="I45" s="68"/>
    </row>
    <row r="46" spans="1:9" ht="12.6" thickBot="1" x14ac:dyDescent="0.3">
      <c r="A46" s="247" t="s">
        <v>39</v>
      </c>
      <c r="B46" s="247"/>
      <c r="C46" s="269"/>
      <c r="D46" s="262"/>
      <c r="E46" s="245"/>
      <c r="F46" s="246"/>
      <c r="G46" s="246"/>
      <c r="H46" s="246"/>
    </row>
    <row r="47" spans="1:9" ht="12.6" thickTop="1" x14ac:dyDescent="0.25">
      <c r="A47" s="249" t="s">
        <v>15</v>
      </c>
      <c r="B47" s="250"/>
      <c r="C47" s="278" t="s">
        <v>15</v>
      </c>
      <c r="D47" s="279" t="s">
        <v>25</v>
      </c>
      <c r="E47" s="280"/>
      <c r="F47" s="280"/>
      <c r="G47" s="280"/>
      <c r="H47" s="280"/>
    </row>
    <row r="48" spans="1:9" ht="12" x14ac:dyDescent="0.25">
      <c r="A48" s="253" t="s">
        <v>23</v>
      </c>
      <c r="B48" s="254" t="s">
        <v>24</v>
      </c>
      <c r="C48" s="274" t="s">
        <v>15</v>
      </c>
      <c r="D48" s="281" t="s">
        <v>28</v>
      </c>
      <c r="E48" s="270"/>
      <c r="F48" s="270"/>
      <c r="G48" s="270"/>
      <c r="H48" s="270"/>
    </row>
    <row r="49" spans="1:8" ht="13.2" x14ac:dyDescent="0.25">
      <c r="A49" s="252" t="s">
        <v>26</v>
      </c>
      <c r="B49" s="259" t="s">
        <v>33</v>
      </c>
      <c r="C49" s="260" t="s">
        <v>34</v>
      </c>
      <c r="D49" s="261">
        <v>4011597.74</v>
      </c>
      <c r="E49" s="276">
        <f>(D49/(D49+D50))*(D51+D52)</f>
        <v>-385251.96325802384</v>
      </c>
      <c r="F49" s="263">
        <f>+D49+E49</f>
        <v>3626345.7767419764</v>
      </c>
      <c r="G49" s="266"/>
      <c r="H49" s="266"/>
    </row>
    <row r="50" spans="1:8" ht="13.2" x14ac:dyDescent="0.25">
      <c r="A50" s="264"/>
      <c r="B50" s="259" t="s">
        <v>35</v>
      </c>
      <c r="C50" s="260" t="s">
        <v>36</v>
      </c>
      <c r="D50" s="261">
        <v>1118454.79</v>
      </c>
      <c r="E50" s="276">
        <f>(D50/(D49+D50))*(D52+D51)</f>
        <v>-107410.29674197613</v>
      </c>
      <c r="F50" s="263">
        <f>+D50+E50</f>
        <v>1011044.4932580239</v>
      </c>
      <c r="G50" s="266"/>
      <c r="H50" s="266"/>
    </row>
    <row r="51" spans="1:8" x14ac:dyDescent="0.2">
      <c r="A51" s="264"/>
      <c r="B51" s="259" t="s">
        <v>37</v>
      </c>
      <c r="C51" s="260" t="s">
        <v>38</v>
      </c>
      <c r="D51" s="261">
        <v>-284124.02</v>
      </c>
      <c r="E51" s="266"/>
      <c r="F51" s="266"/>
      <c r="G51" s="266"/>
      <c r="H51" s="266"/>
    </row>
    <row r="52" spans="1:8" x14ac:dyDescent="0.2">
      <c r="A52" s="245"/>
      <c r="B52" s="260" t="s">
        <v>294</v>
      </c>
      <c r="C52" s="260" t="s">
        <v>295</v>
      </c>
      <c r="D52" s="265">
        <v>-208538.23999999999</v>
      </c>
      <c r="E52" s="245"/>
      <c r="F52" s="263"/>
      <c r="G52" s="282">
        <f>+G41+G25+G10</f>
        <v>13008743.523109956</v>
      </c>
      <c r="H52" s="282">
        <f>+H42+H26+H11</f>
        <v>3871814.0068900445</v>
      </c>
    </row>
    <row r="53" spans="1:8" x14ac:dyDescent="0.2">
      <c r="A53" s="245"/>
      <c r="B53" s="245"/>
      <c r="C53" s="245"/>
      <c r="D53" s="245"/>
      <c r="E53" s="246"/>
      <c r="F53" s="246"/>
      <c r="G53" s="246">
        <f>SUM('E&amp;G Split'!B3:B6)</f>
        <v>13008743.523109956</v>
      </c>
      <c r="H53" s="246">
        <f>SUM('E&amp;G Split'!C3:C6)</f>
        <v>3871814.0068900445</v>
      </c>
    </row>
    <row r="54" spans="1:8" x14ac:dyDescent="0.2">
      <c r="A54" s="245"/>
      <c r="B54" s="245"/>
      <c r="C54" s="245"/>
      <c r="D54" s="245"/>
      <c r="E54" s="245"/>
      <c r="F54" s="245"/>
      <c r="G54" s="263">
        <f>+G52-G53</f>
        <v>0</v>
      </c>
      <c r="H54" s="263">
        <f>+H52-H53</f>
        <v>0</v>
      </c>
    </row>
  </sheetData>
  <conditionalFormatting sqref="I1:J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" top="1" bottom="1" header="0.3" footer="0.3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workbookViewId="0">
      <selection activeCell="J1" sqref="J1"/>
    </sheetView>
  </sheetViews>
  <sheetFormatPr defaultColWidth="9.109375" defaultRowHeight="13.2" x14ac:dyDescent="0.25"/>
  <cols>
    <col min="1" max="1" width="29.88671875" style="24" customWidth="1"/>
    <col min="2" max="4" width="9.109375" style="24"/>
    <col min="5" max="5" width="9.109375" style="201"/>
    <col min="6" max="10" width="9.109375" style="24"/>
    <col min="11" max="11" width="12.33203125" style="24" customWidth="1"/>
    <col min="12" max="15" width="9.109375" style="24"/>
    <col min="16" max="16" width="9.109375" style="201"/>
    <col min="17" max="16384" width="9.109375" style="24"/>
  </cols>
  <sheetData>
    <row r="1" spans="1:19" ht="18" x14ac:dyDescent="0.25">
      <c r="A1" s="154">
        <v>42024</v>
      </c>
      <c r="K1" s="210">
        <v>42388</v>
      </c>
    </row>
    <row r="2" spans="1:19" ht="18" x14ac:dyDescent="0.25">
      <c r="A2" s="155" t="s">
        <v>78</v>
      </c>
      <c r="K2" s="211" t="s">
        <v>78</v>
      </c>
      <c r="L2"/>
      <c r="M2"/>
      <c r="N2"/>
      <c r="O2"/>
      <c r="Q2"/>
      <c r="R2"/>
      <c r="S2"/>
    </row>
    <row r="3" spans="1:19" x14ac:dyDescent="0.25">
      <c r="A3" s="156"/>
      <c r="K3" s="212"/>
      <c r="L3"/>
      <c r="M3"/>
      <c r="N3"/>
      <c r="O3"/>
      <c r="Q3"/>
      <c r="R3"/>
      <c r="S3"/>
    </row>
    <row r="4" spans="1:19" ht="16.8" thickBot="1" x14ac:dyDescent="0.3">
      <c r="A4" s="157" t="s">
        <v>79</v>
      </c>
      <c r="K4" s="213" t="s">
        <v>79</v>
      </c>
      <c r="L4"/>
      <c r="M4"/>
      <c r="N4"/>
      <c r="O4"/>
      <c r="Q4"/>
      <c r="R4"/>
      <c r="S4"/>
    </row>
    <row r="5" spans="1:19" ht="12.75" customHeight="1" x14ac:dyDescent="0.25">
      <c r="A5" s="358" t="s">
        <v>80</v>
      </c>
      <c r="B5" s="158">
        <v>2015</v>
      </c>
      <c r="C5" s="158">
        <v>2015</v>
      </c>
      <c r="D5" s="158">
        <v>2015</v>
      </c>
      <c r="E5" s="202">
        <v>2015</v>
      </c>
      <c r="F5" s="158">
        <v>2015</v>
      </c>
      <c r="G5" s="361" t="s">
        <v>82</v>
      </c>
      <c r="H5" s="362"/>
      <c r="I5" s="160">
        <v>2014</v>
      </c>
      <c r="K5" s="365" t="s">
        <v>80</v>
      </c>
      <c r="L5" s="224">
        <v>2016</v>
      </c>
      <c r="M5" s="224">
        <v>2016</v>
      </c>
      <c r="N5" s="224">
        <v>2016</v>
      </c>
      <c r="O5" s="224">
        <v>2016</v>
      </c>
      <c r="P5" s="202">
        <v>2016</v>
      </c>
      <c r="Q5" s="368" t="s">
        <v>82</v>
      </c>
      <c r="R5" s="369"/>
      <c r="S5" s="225">
        <v>2015</v>
      </c>
    </row>
    <row r="6" spans="1:19" ht="13.5" customHeight="1" thickBot="1" x14ac:dyDescent="0.3">
      <c r="A6" s="359"/>
      <c r="B6" s="161" t="s">
        <v>81</v>
      </c>
      <c r="C6" s="161" t="s">
        <v>81</v>
      </c>
      <c r="D6" s="161" t="s">
        <v>81</v>
      </c>
      <c r="E6" s="203" t="s">
        <v>81</v>
      </c>
      <c r="F6" s="161" t="s">
        <v>81</v>
      </c>
      <c r="G6" s="363"/>
      <c r="H6" s="364"/>
      <c r="I6" s="162" t="s">
        <v>83</v>
      </c>
      <c r="K6" s="366"/>
      <c r="L6" s="226" t="s">
        <v>81</v>
      </c>
      <c r="M6" s="226" t="s">
        <v>81</v>
      </c>
      <c r="N6" s="226" t="s">
        <v>81</v>
      </c>
      <c r="O6" s="226" t="s">
        <v>81</v>
      </c>
      <c r="P6" s="203" t="s">
        <v>81</v>
      </c>
      <c r="Q6" s="370"/>
      <c r="R6" s="371"/>
      <c r="S6" s="227" t="s">
        <v>83</v>
      </c>
    </row>
    <row r="7" spans="1:19" ht="13.8" thickBot="1" x14ac:dyDescent="0.3">
      <c r="A7" s="359"/>
      <c r="B7" s="163">
        <v>12</v>
      </c>
      <c r="C7" s="163">
        <v>13</v>
      </c>
      <c r="D7" s="163">
        <v>14</v>
      </c>
      <c r="E7" s="204">
        <v>15</v>
      </c>
      <c r="F7" s="163">
        <v>16</v>
      </c>
      <c r="G7" s="161" t="s">
        <v>81</v>
      </c>
      <c r="H7" s="161" t="s">
        <v>81</v>
      </c>
      <c r="I7" s="162"/>
      <c r="K7" s="366"/>
      <c r="L7" s="226">
        <v>11</v>
      </c>
      <c r="M7" s="226">
        <v>12</v>
      </c>
      <c r="N7" s="226">
        <v>13</v>
      </c>
      <c r="O7" s="226">
        <v>14</v>
      </c>
      <c r="P7" s="204">
        <v>15</v>
      </c>
      <c r="Q7" s="226" t="s">
        <v>81</v>
      </c>
      <c r="R7" s="226" t="s">
        <v>81</v>
      </c>
      <c r="S7" s="227"/>
    </row>
    <row r="8" spans="1:19" ht="13.8" thickBot="1" x14ac:dyDescent="0.3">
      <c r="A8" s="360"/>
      <c r="B8" s="164"/>
      <c r="C8" s="164"/>
      <c r="D8" s="164"/>
      <c r="E8" s="205"/>
      <c r="F8" s="164"/>
      <c r="G8" s="164">
        <v>16</v>
      </c>
      <c r="H8" s="164">
        <v>9</v>
      </c>
      <c r="I8" s="165"/>
      <c r="K8" s="367"/>
      <c r="L8" s="228"/>
      <c r="M8" s="228"/>
      <c r="N8" s="228"/>
      <c r="O8" s="228"/>
      <c r="P8" s="205"/>
      <c r="Q8" s="228">
        <v>15</v>
      </c>
      <c r="R8" s="228">
        <v>8</v>
      </c>
      <c r="S8" s="229"/>
    </row>
    <row r="9" spans="1:19" ht="13.8" thickBot="1" x14ac:dyDescent="0.3">
      <c r="A9" s="166" t="s">
        <v>84</v>
      </c>
      <c r="B9" s="167" t="s">
        <v>85</v>
      </c>
      <c r="C9" s="167" t="s">
        <v>85</v>
      </c>
      <c r="D9" s="167" t="s">
        <v>85</v>
      </c>
      <c r="E9" s="206" t="s">
        <v>85</v>
      </c>
      <c r="F9" s="167" t="s">
        <v>86</v>
      </c>
      <c r="G9" s="167" t="s">
        <v>85</v>
      </c>
      <c r="H9" s="167" t="s">
        <v>87</v>
      </c>
      <c r="I9" s="168" t="s">
        <v>85</v>
      </c>
      <c r="K9" s="216" t="s">
        <v>84</v>
      </c>
      <c r="L9" s="214" t="s">
        <v>111</v>
      </c>
      <c r="M9" s="214" t="s">
        <v>111</v>
      </c>
      <c r="N9" s="214" t="s">
        <v>111</v>
      </c>
      <c r="O9" s="214" t="s">
        <v>111</v>
      </c>
      <c r="P9" s="206" t="s">
        <v>111</v>
      </c>
      <c r="Q9" s="214" t="s">
        <v>111</v>
      </c>
      <c r="R9" s="214" t="s">
        <v>189</v>
      </c>
      <c r="S9" s="217" t="s">
        <v>129</v>
      </c>
    </row>
    <row r="10" spans="1:19" ht="13.8" thickBot="1" x14ac:dyDescent="0.3">
      <c r="A10" s="169" t="s">
        <v>88</v>
      </c>
      <c r="B10" s="170" t="s">
        <v>89</v>
      </c>
      <c r="C10" s="170" t="s">
        <v>89</v>
      </c>
      <c r="D10" s="170" t="s">
        <v>89</v>
      </c>
      <c r="E10" s="207" t="s">
        <v>89</v>
      </c>
      <c r="F10" s="170" t="s">
        <v>89</v>
      </c>
      <c r="G10" s="170" t="s">
        <v>89</v>
      </c>
      <c r="H10" s="170" t="s">
        <v>89</v>
      </c>
      <c r="I10" s="171" t="s">
        <v>89</v>
      </c>
      <c r="K10" s="218" t="s">
        <v>88</v>
      </c>
      <c r="L10" s="215" t="s">
        <v>89</v>
      </c>
      <c r="M10" s="215" t="s">
        <v>89</v>
      </c>
      <c r="N10" s="215" t="s">
        <v>89</v>
      </c>
      <c r="O10" s="215" t="s">
        <v>89</v>
      </c>
      <c r="P10" s="207" t="s">
        <v>89</v>
      </c>
      <c r="Q10" s="215" t="s">
        <v>89</v>
      </c>
      <c r="R10" s="215" t="s">
        <v>89</v>
      </c>
      <c r="S10" s="219" t="s">
        <v>89</v>
      </c>
    </row>
    <row r="11" spans="1:19" ht="13.8" thickBot="1" x14ac:dyDescent="0.3">
      <c r="A11" s="166" t="s">
        <v>90</v>
      </c>
      <c r="B11" s="167" t="s">
        <v>89</v>
      </c>
      <c r="C11" s="167" t="s">
        <v>89</v>
      </c>
      <c r="D11" s="167" t="s">
        <v>89</v>
      </c>
      <c r="E11" s="206" t="s">
        <v>89</v>
      </c>
      <c r="F11" s="167" t="s">
        <v>89</v>
      </c>
      <c r="G11" s="167" t="s">
        <v>89</v>
      </c>
      <c r="H11" s="167" t="s">
        <v>89</v>
      </c>
      <c r="I11" s="168" t="s">
        <v>89</v>
      </c>
      <c r="K11" s="216" t="s">
        <v>90</v>
      </c>
      <c r="L11" s="214" t="s">
        <v>89</v>
      </c>
      <c r="M11" s="214" t="s">
        <v>89</v>
      </c>
      <c r="N11" s="214" t="s">
        <v>89</v>
      </c>
      <c r="O11" s="214" t="s">
        <v>89</v>
      </c>
      <c r="P11" s="206" t="s">
        <v>89</v>
      </c>
      <c r="Q11" s="214" t="s">
        <v>89</v>
      </c>
      <c r="R11" s="214" t="s">
        <v>89</v>
      </c>
      <c r="S11" s="217" t="s">
        <v>89</v>
      </c>
    </row>
    <row r="12" spans="1:19" ht="13.8" thickBot="1" x14ac:dyDescent="0.3">
      <c r="A12" s="169" t="s">
        <v>91</v>
      </c>
      <c r="B12" s="170" t="s">
        <v>92</v>
      </c>
      <c r="C12" s="170" t="s">
        <v>92</v>
      </c>
      <c r="D12" s="170" t="s">
        <v>92</v>
      </c>
      <c r="E12" s="207" t="s">
        <v>93</v>
      </c>
      <c r="F12" s="170" t="s">
        <v>94</v>
      </c>
      <c r="G12" s="170" t="s">
        <v>87</v>
      </c>
      <c r="H12" s="170" t="s">
        <v>94</v>
      </c>
      <c r="I12" s="171" t="s">
        <v>87</v>
      </c>
      <c r="K12" s="218" t="s">
        <v>91</v>
      </c>
      <c r="L12" s="215" t="s">
        <v>190</v>
      </c>
      <c r="M12" s="215" t="s">
        <v>111</v>
      </c>
      <c r="N12" s="215" t="s">
        <v>191</v>
      </c>
      <c r="O12" s="215" t="s">
        <v>192</v>
      </c>
      <c r="P12" s="207" t="s">
        <v>111</v>
      </c>
      <c r="Q12" s="215" t="s">
        <v>191</v>
      </c>
      <c r="R12" s="215" t="s">
        <v>193</v>
      </c>
      <c r="S12" s="219" t="s">
        <v>194</v>
      </c>
    </row>
    <row r="13" spans="1:19" ht="13.8" thickBot="1" x14ac:dyDescent="0.3">
      <c r="A13" s="166" t="s">
        <v>95</v>
      </c>
      <c r="B13" s="167" t="s">
        <v>92</v>
      </c>
      <c r="C13" s="167" t="s">
        <v>92</v>
      </c>
      <c r="D13" s="167" t="s">
        <v>87</v>
      </c>
      <c r="E13" s="206" t="s">
        <v>94</v>
      </c>
      <c r="F13" s="167" t="s">
        <v>94</v>
      </c>
      <c r="G13" s="167" t="s">
        <v>87</v>
      </c>
      <c r="H13" s="167" t="s">
        <v>96</v>
      </c>
      <c r="I13" s="168" t="s">
        <v>87</v>
      </c>
      <c r="K13" s="216" t="s">
        <v>95</v>
      </c>
      <c r="L13" s="214" t="s">
        <v>195</v>
      </c>
      <c r="M13" s="214" t="s">
        <v>196</v>
      </c>
      <c r="N13" s="214" t="s">
        <v>196</v>
      </c>
      <c r="O13" s="214" t="s">
        <v>197</v>
      </c>
      <c r="P13" s="206" t="s">
        <v>197</v>
      </c>
      <c r="Q13" s="214" t="s">
        <v>196</v>
      </c>
      <c r="R13" s="214" t="s">
        <v>195</v>
      </c>
      <c r="S13" s="217" t="s">
        <v>193</v>
      </c>
    </row>
    <row r="14" spans="1:19" ht="13.8" thickBot="1" x14ac:dyDescent="0.3">
      <c r="A14" s="169" t="s">
        <v>97</v>
      </c>
      <c r="B14" s="170" t="s">
        <v>87</v>
      </c>
      <c r="C14" s="170" t="s">
        <v>98</v>
      </c>
      <c r="D14" s="170" t="s">
        <v>87</v>
      </c>
      <c r="E14" s="207" t="s">
        <v>85</v>
      </c>
      <c r="F14" s="170" t="s">
        <v>85</v>
      </c>
      <c r="G14" s="170" t="s">
        <v>85</v>
      </c>
      <c r="H14" s="170" t="s">
        <v>94</v>
      </c>
      <c r="I14" s="171" t="s">
        <v>92</v>
      </c>
      <c r="K14" s="218" t="s">
        <v>97</v>
      </c>
      <c r="L14" s="215" t="s">
        <v>198</v>
      </c>
      <c r="M14" s="215" t="s">
        <v>199</v>
      </c>
      <c r="N14" s="215" t="s">
        <v>200</v>
      </c>
      <c r="O14" s="215" t="s">
        <v>201</v>
      </c>
      <c r="P14" s="207" t="s">
        <v>136</v>
      </c>
      <c r="Q14" s="215" t="s">
        <v>202</v>
      </c>
      <c r="R14" s="215" t="s">
        <v>202</v>
      </c>
      <c r="S14" s="219" t="s">
        <v>111</v>
      </c>
    </row>
    <row r="15" spans="1:19" ht="13.8" thickBot="1" x14ac:dyDescent="0.3">
      <c r="A15" s="166" t="s">
        <v>99</v>
      </c>
      <c r="B15" s="167" t="s">
        <v>89</v>
      </c>
      <c r="C15" s="167" t="s">
        <v>89</v>
      </c>
      <c r="D15" s="167" t="s">
        <v>89</v>
      </c>
      <c r="E15" s="206" t="s">
        <v>89</v>
      </c>
      <c r="F15" s="167" t="s">
        <v>89</v>
      </c>
      <c r="G15" s="167" t="s">
        <v>89</v>
      </c>
      <c r="H15" s="167" t="s">
        <v>89</v>
      </c>
      <c r="I15" s="168" t="s">
        <v>89</v>
      </c>
      <c r="K15" s="216" t="s">
        <v>99</v>
      </c>
      <c r="L15" s="214" t="s">
        <v>89</v>
      </c>
      <c r="M15" s="214" t="s">
        <v>89</v>
      </c>
      <c r="N15" s="214" t="s">
        <v>89</v>
      </c>
      <c r="O15" s="214" t="s">
        <v>89</v>
      </c>
      <c r="P15" s="206" t="s">
        <v>89</v>
      </c>
      <c r="Q15" s="214" t="s">
        <v>89</v>
      </c>
      <c r="R15" s="214" t="s">
        <v>89</v>
      </c>
      <c r="S15" s="217" t="s">
        <v>89</v>
      </c>
    </row>
    <row r="16" spans="1:19" ht="13.8" thickBot="1" x14ac:dyDescent="0.3">
      <c r="A16" s="169" t="s">
        <v>91</v>
      </c>
      <c r="B16" s="170" t="s">
        <v>100</v>
      </c>
      <c r="C16" s="170" t="s">
        <v>100</v>
      </c>
      <c r="D16" s="170" t="s">
        <v>92</v>
      </c>
      <c r="E16" s="207" t="s">
        <v>100</v>
      </c>
      <c r="F16" s="170" t="s">
        <v>98</v>
      </c>
      <c r="G16" s="170" t="s">
        <v>98</v>
      </c>
      <c r="H16" s="170" t="s">
        <v>98</v>
      </c>
      <c r="I16" s="171" t="s">
        <v>87</v>
      </c>
      <c r="K16" s="218" t="s">
        <v>91</v>
      </c>
      <c r="L16" s="215" t="s">
        <v>100</v>
      </c>
      <c r="M16" s="215" t="s">
        <v>193</v>
      </c>
      <c r="N16" s="215" t="s">
        <v>192</v>
      </c>
      <c r="O16" s="215" t="s">
        <v>111</v>
      </c>
      <c r="P16" s="207" t="s">
        <v>100</v>
      </c>
      <c r="Q16" s="215" t="s">
        <v>192</v>
      </c>
      <c r="R16" s="215" t="s">
        <v>203</v>
      </c>
      <c r="S16" s="219" t="s">
        <v>107</v>
      </c>
    </row>
    <row r="17" spans="1:19" ht="13.8" thickBot="1" x14ac:dyDescent="0.3">
      <c r="A17" s="166" t="s">
        <v>95</v>
      </c>
      <c r="B17" s="167" t="s">
        <v>98</v>
      </c>
      <c r="C17" s="167" t="s">
        <v>98</v>
      </c>
      <c r="D17" s="167" t="s">
        <v>101</v>
      </c>
      <c r="E17" s="206" t="s">
        <v>92</v>
      </c>
      <c r="F17" s="167" t="s">
        <v>92</v>
      </c>
      <c r="G17" s="167" t="s">
        <v>98</v>
      </c>
      <c r="H17" s="167" t="s">
        <v>102</v>
      </c>
      <c r="I17" s="168" t="s">
        <v>98</v>
      </c>
      <c r="K17" s="216" t="s">
        <v>95</v>
      </c>
      <c r="L17" s="214" t="s">
        <v>204</v>
      </c>
      <c r="M17" s="214" t="s">
        <v>199</v>
      </c>
      <c r="N17" s="214" t="s">
        <v>135</v>
      </c>
      <c r="O17" s="214" t="s">
        <v>200</v>
      </c>
      <c r="P17" s="206" t="s">
        <v>201</v>
      </c>
      <c r="Q17" s="214" t="s">
        <v>200</v>
      </c>
      <c r="R17" s="214" t="s">
        <v>201</v>
      </c>
      <c r="S17" s="217" t="s">
        <v>196</v>
      </c>
    </row>
    <row r="18" spans="1:19" ht="13.8" thickBot="1" x14ac:dyDescent="0.3">
      <c r="A18" s="169" t="s">
        <v>97</v>
      </c>
      <c r="B18" s="170" t="s">
        <v>103</v>
      </c>
      <c r="C18" s="170" t="s">
        <v>103</v>
      </c>
      <c r="D18" s="170" t="s">
        <v>103</v>
      </c>
      <c r="E18" s="207" t="s">
        <v>102</v>
      </c>
      <c r="F18" s="170" t="s">
        <v>98</v>
      </c>
      <c r="G18" s="170" t="s">
        <v>101</v>
      </c>
      <c r="H18" s="170" t="s">
        <v>103</v>
      </c>
      <c r="I18" s="171" t="s">
        <v>102</v>
      </c>
      <c r="K18" s="218" t="s">
        <v>97</v>
      </c>
      <c r="L18" s="215" t="s">
        <v>205</v>
      </c>
      <c r="M18" s="215" t="s">
        <v>132</v>
      </c>
      <c r="N18" s="215" t="s">
        <v>206</v>
      </c>
      <c r="O18" s="215" t="s">
        <v>207</v>
      </c>
      <c r="P18" s="207" t="s">
        <v>132</v>
      </c>
      <c r="Q18" s="215" t="s">
        <v>206</v>
      </c>
      <c r="R18" s="215" t="s">
        <v>208</v>
      </c>
      <c r="S18" s="219" t="s">
        <v>133</v>
      </c>
    </row>
    <row r="19" spans="1:19" ht="13.8" thickBot="1" x14ac:dyDescent="0.3">
      <c r="A19" s="166" t="s">
        <v>104</v>
      </c>
      <c r="B19" s="167" t="s">
        <v>89</v>
      </c>
      <c r="C19" s="167" t="s">
        <v>89</v>
      </c>
      <c r="D19" s="167" t="s">
        <v>89</v>
      </c>
      <c r="E19" s="206" t="s">
        <v>89</v>
      </c>
      <c r="F19" s="167" t="s">
        <v>89</v>
      </c>
      <c r="G19" s="167" t="s">
        <v>89</v>
      </c>
      <c r="H19" s="167" t="s">
        <v>89</v>
      </c>
      <c r="I19" s="168" t="s">
        <v>89</v>
      </c>
      <c r="K19" s="216" t="s">
        <v>104</v>
      </c>
      <c r="L19" s="214" t="s">
        <v>89</v>
      </c>
      <c r="M19" s="214" t="s">
        <v>89</v>
      </c>
      <c r="N19" s="214" t="s">
        <v>89</v>
      </c>
      <c r="O19" s="214" t="s">
        <v>89</v>
      </c>
      <c r="P19" s="206" t="s">
        <v>89</v>
      </c>
      <c r="Q19" s="214" t="s">
        <v>89</v>
      </c>
      <c r="R19" s="214" t="s">
        <v>89</v>
      </c>
      <c r="S19" s="217" t="s">
        <v>89</v>
      </c>
    </row>
    <row r="20" spans="1:19" ht="13.8" thickBot="1" x14ac:dyDescent="0.3">
      <c r="A20" s="169" t="s">
        <v>91</v>
      </c>
      <c r="B20" s="170" t="s">
        <v>105</v>
      </c>
      <c r="C20" s="170" t="s">
        <v>105</v>
      </c>
      <c r="D20" s="170" t="s">
        <v>105</v>
      </c>
      <c r="E20" s="207" t="s">
        <v>105</v>
      </c>
      <c r="F20" s="170" t="s">
        <v>105</v>
      </c>
      <c r="G20" s="170" t="s">
        <v>105</v>
      </c>
      <c r="H20" s="170" t="s">
        <v>105</v>
      </c>
      <c r="I20" s="171" t="s">
        <v>106</v>
      </c>
      <c r="K20" s="218" t="s">
        <v>91</v>
      </c>
      <c r="L20" s="215" t="s">
        <v>201</v>
      </c>
      <c r="M20" s="215" t="s">
        <v>201</v>
      </c>
      <c r="N20" s="215" t="s">
        <v>201</v>
      </c>
      <c r="O20" s="215" t="s">
        <v>201</v>
      </c>
      <c r="P20" s="207" t="s">
        <v>201</v>
      </c>
      <c r="Q20" s="215" t="s">
        <v>201</v>
      </c>
      <c r="R20" s="215" t="s">
        <v>136</v>
      </c>
      <c r="S20" s="219" t="s">
        <v>195</v>
      </c>
    </row>
    <row r="21" spans="1:19" ht="13.8" thickBot="1" x14ac:dyDescent="0.3">
      <c r="A21" s="166" t="s">
        <v>97</v>
      </c>
      <c r="B21" s="167" t="s">
        <v>107</v>
      </c>
      <c r="C21" s="167" t="s">
        <v>107</v>
      </c>
      <c r="D21" s="167" t="s">
        <v>107</v>
      </c>
      <c r="E21" s="206" t="s">
        <v>107</v>
      </c>
      <c r="F21" s="167" t="s">
        <v>107</v>
      </c>
      <c r="G21" s="167" t="s">
        <v>107</v>
      </c>
      <c r="H21" s="167" t="s">
        <v>107</v>
      </c>
      <c r="I21" s="168" t="s">
        <v>108</v>
      </c>
      <c r="K21" s="216" t="s">
        <v>97</v>
      </c>
      <c r="L21" s="214" t="s">
        <v>209</v>
      </c>
      <c r="M21" s="214" t="s">
        <v>209</v>
      </c>
      <c r="N21" s="214" t="s">
        <v>209</v>
      </c>
      <c r="O21" s="214" t="s">
        <v>209</v>
      </c>
      <c r="P21" s="206" t="s">
        <v>209</v>
      </c>
      <c r="Q21" s="214" t="s">
        <v>209</v>
      </c>
      <c r="R21" s="214" t="s">
        <v>209</v>
      </c>
      <c r="S21" s="217" t="s">
        <v>205</v>
      </c>
    </row>
    <row r="22" spans="1:19" ht="13.8" thickBot="1" x14ac:dyDescent="0.3">
      <c r="A22" s="169" t="s">
        <v>109</v>
      </c>
      <c r="B22" s="170" t="s">
        <v>110</v>
      </c>
      <c r="C22" s="170" t="s">
        <v>110</v>
      </c>
      <c r="D22" s="170" t="s">
        <v>110</v>
      </c>
      <c r="E22" s="207" t="s">
        <v>110</v>
      </c>
      <c r="F22" s="170" t="s">
        <v>110</v>
      </c>
      <c r="G22" s="170" t="s">
        <v>110</v>
      </c>
      <c r="H22" s="170" t="s">
        <v>110</v>
      </c>
      <c r="I22" s="171" t="s">
        <v>111</v>
      </c>
      <c r="K22" s="218" t="s">
        <v>109</v>
      </c>
      <c r="L22" s="215" t="s">
        <v>210</v>
      </c>
      <c r="M22" s="215" t="s">
        <v>210</v>
      </c>
      <c r="N22" s="215" t="s">
        <v>210</v>
      </c>
      <c r="O22" s="215" t="s">
        <v>210</v>
      </c>
      <c r="P22" s="207" t="s">
        <v>210</v>
      </c>
      <c r="Q22" s="215" t="s">
        <v>210</v>
      </c>
      <c r="R22" s="215" t="s">
        <v>210</v>
      </c>
      <c r="S22" s="219" t="s">
        <v>211</v>
      </c>
    </row>
    <row r="23" spans="1:19" ht="13.8" thickBot="1" x14ac:dyDescent="0.3">
      <c r="A23" s="166" t="s">
        <v>112</v>
      </c>
      <c r="B23" s="167" t="s">
        <v>113</v>
      </c>
      <c r="C23" s="167" t="s">
        <v>113</v>
      </c>
      <c r="D23" s="167" t="s">
        <v>113</v>
      </c>
      <c r="E23" s="206" t="s">
        <v>113</v>
      </c>
      <c r="F23" s="167" t="s">
        <v>113</v>
      </c>
      <c r="G23" s="167" t="s">
        <v>113</v>
      </c>
      <c r="H23" s="167" t="s">
        <v>113</v>
      </c>
      <c r="I23" s="168" t="s">
        <v>113</v>
      </c>
      <c r="K23" s="216" t="s">
        <v>112</v>
      </c>
      <c r="L23" s="214" t="s">
        <v>212</v>
      </c>
      <c r="M23" s="214" t="s">
        <v>212</v>
      </c>
      <c r="N23" s="214" t="s">
        <v>212</v>
      </c>
      <c r="O23" s="214" t="s">
        <v>212</v>
      </c>
      <c r="P23" s="206" t="s">
        <v>212</v>
      </c>
      <c r="Q23" s="214" t="s">
        <v>212</v>
      </c>
      <c r="R23" s="214" t="s">
        <v>212</v>
      </c>
      <c r="S23" s="217" t="s">
        <v>213</v>
      </c>
    </row>
    <row r="24" spans="1:19" ht="13.8" thickBot="1" x14ac:dyDescent="0.3">
      <c r="A24" s="169" t="s">
        <v>114</v>
      </c>
      <c r="B24" s="170" t="s">
        <v>115</v>
      </c>
      <c r="C24" s="170" t="s">
        <v>115</v>
      </c>
      <c r="D24" s="170" t="s">
        <v>115</v>
      </c>
      <c r="E24" s="207" t="s">
        <v>115</v>
      </c>
      <c r="F24" s="170" t="s">
        <v>115</v>
      </c>
      <c r="G24" s="170" t="s">
        <v>115</v>
      </c>
      <c r="H24" s="170" t="s">
        <v>115</v>
      </c>
      <c r="I24" s="171" t="s">
        <v>115</v>
      </c>
      <c r="K24" s="218" t="s">
        <v>114</v>
      </c>
      <c r="L24" s="215" t="s">
        <v>214</v>
      </c>
      <c r="M24" s="215" t="s">
        <v>214</v>
      </c>
      <c r="N24" s="215" t="s">
        <v>214</v>
      </c>
      <c r="O24" s="215" t="s">
        <v>214</v>
      </c>
      <c r="P24" s="207" t="s">
        <v>214</v>
      </c>
      <c r="Q24" s="215" t="s">
        <v>214</v>
      </c>
      <c r="R24" s="215" t="s">
        <v>214</v>
      </c>
      <c r="S24" s="219" t="s">
        <v>215</v>
      </c>
    </row>
    <row r="25" spans="1:19" ht="13.8" thickBot="1" x14ac:dyDescent="0.3">
      <c r="A25" s="166" t="s">
        <v>116</v>
      </c>
      <c r="B25" s="167" t="s">
        <v>89</v>
      </c>
      <c r="C25" s="167" t="s">
        <v>89</v>
      </c>
      <c r="D25" s="167" t="s">
        <v>89</v>
      </c>
      <c r="E25" s="206" t="s">
        <v>89</v>
      </c>
      <c r="F25" s="167" t="s">
        <v>89</v>
      </c>
      <c r="G25" s="167" t="s">
        <v>89</v>
      </c>
      <c r="H25" s="167" t="s">
        <v>89</v>
      </c>
      <c r="I25" s="168" t="s">
        <v>89</v>
      </c>
      <c r="K25" s="216" t="s">
        <v>116</v>
      </c>
      <c r="L25" s="214" t="s">
        <v>89</v>
      </c>
      <c r="M25" s="214" t="s">
        <v>89</v>
      </c>
      <c r="N25" s="214" t="s">
        <v>89</v>
      </c>
      <c r="O25" s="214" t="s">
        <v>89</v>
      </c>
      <c r="P25" s="206" t="s">
        <v>89</v>
      </c>
      <c r="Q25" s="214" t="s">
        <v>89</v>
      </c>
      <c r="R25" s="214" t="s">
        <v>89</v>
      </c>
      <c r="S25" s="217" t="s">
        <v>89</v>
      </c>
    </row>
    <row r="26" spans="1:19" ht="13.8" thickBot="1" x14ac:dyDescent="0.3">
      <c r="A26" s="169" t="s">
        <v>117</v>
      </c>
      <c r="B26" s="170" t="s">
        <v>89</v>
      </c>
      <c r="C26" s="170" t="s">
        <v>89</v>
      </c>
      <c r="D26" s="170" t="s">
        <v>89</v>
      </c>
      <c r="E26" s="207" t="s">
        <v>89</v>
      </c>
      <c r="F26" s="170" t="s">
        <v>89</v>
      </c>
      <c r="G26" s="170" t="s">
        <v>89</v>
      </c>
      <c r="H26" s="170" t="s">
        <v>89</v>
      </c>
      <c r="I26" s="171" t="s">
        <v>89</v>
      </c>
      <c r="K26" s="218" t="s">
        <v>117</v>
      </c>
      <c r="L26" s="215" t="s">
        <v>89</v>
      </c>
      <c r="M26" s="215" t="s">
        <v>89</v>
      </c>
      <c r="N26" s="215" t="s">
        <v>89</v>
      </c>
      <c r="O26" s="215" t="s">
        <v>89</v>
      </c>
      <c r="P26" s="207" t="s">
        <v>89</v>
      </c>
      <c r="Q26" s="215" t="s">
        <v>89</v>
      </c>
      <c r="R26" s="215" t="s">
        <v>89</v>
      </c>
      <c r="S26" s="219" t="s">
        <v>89</v>
      </c>
    </row>
    <row r="27" spans="1:19" ht="13.8" thickBot="1" x14ac:dyDescent="0.3">
      <c r="A27" s="166" t="s">
        <v>118</v>
      </c>
      <c r="B27" s="167" t="s">
        <v>119</v>
      </c>
      <c r="C27" s="167" t="s">
        <v>119</v>
      </c>
      <c r="D27" s="167" t="s">
        <v>119</v>
      </c>
      <c r="E27" s="206" t="s">
        <v>120</v>
      </c>
      <c r="F27" s="167" t="s">
        <v>119</v>
      </c>
      <c r="G27" s="167" t="s">
        <v>119</v>
      </c>
      <c r="H27" s="167" t="s">
        <v>119</v>
      </c>
      <c r="I27" s="168" t="s">
        <v>120</v>
      </c>
      <c r="K27" s="216" t="s">
        <v>118</v>
      </c>
      <c r="L27" s="214" t="s">
        <v>105</v>
      </c>
      <c r="M27" s="214" t="s">
        <v>216</v>
      </c>
      <c r="N27" s="214" t="s">
        <v>216</v>
      </c>
      <c r="O27" s="214" t="s">
        <v>216</v>
      </c>
      <c r="P27" s="206" t="s">
        <v>105</v>
      </c>
      <c r="Q27" s="214" t="s">
        <v>130</v>
      </c>
      <c r="R27" s="214" t="s">
        <v>126</v>
      </c>
      <c r="S27" s="217" t="s">
        <v>103</v>
      </c>
    </row>
    <row r="28" spans="1:19" ht="13.8" thickBot="1" x14ac:dyDescent="0.3">
      <c r="A28" s="169" t="s">
        <v>97</v>
      </c>
      <c r="B28" s="170" t="s">
        <v>120</v>
      </c>
      <c r="C28" s="170" t="s">
        <v>120</v>
      </c>
      <c r="D28" s="170" t="s">
        <v>121</v>
      </c>
      <c r="E28" s="207" t="s">
        <v>120</v>
      </c>
      <c r="F28" s="170" t="s">
        <v>120</v>
      </c>
      <c r="G28" s="170" t="s">
        <v>120</v>
      </c>
      <c r="H28" s="170" t="s">
        <v>120</v>
      </c>
      <c r="I28" s="171" t="s">
        <v>120</v>
      </c>
      <c r="K28" s="218" t="s">
        <v>97</v>
      </c>
      <c r="L28" s="215" t="s">
        <v>130</v>
      </c>
      <c r="M28" s="215" t="s">
        <v>130</v>
      </c>
      <c r="N28" s="215" t="s">
        <v>216</v>
      </c>
      <c r="O28" s="215" t="s">
        <v>217</v>
      </c>
      <c r="P28" s="207" t="s">
        <v>125</v>
      </c>
      <c r="Q28" s="215" t="s">
        <v>216</v>
      </c>
      <c r="R28" s="215" t="s">
        <v>130</v>
      </c>
      <c r="S28" s="219" t="s">
        <v>125</v>
      </c>
    </row>
    <row r="29" spans="1:19" ht="13.8" thickBot="1" x14ac:dyDescent="0.3">
      <c r="A29" s="166" t="s">
        <v>109</v>
      </c>
      <c r="B29" s="167" t="s">
        <v>94</v>
      </c>
      <c r="C29" s="167" t="s">
        <v>122</v>
      </c>
      <c r="D29" s="167" t="s">
        <v>94</v>
      </c>
      <c r="E29" s="206" t="s">
        <v>122</v>
      </c>
      <c r="F29" s="167" t="s">
        <v>123</v>
      </c>
      <c r="G29" s="167" t="s">
        <v>122</v>
      </c>
      <c r="H29" s="167" t="s">
        <v>94</v>
      </c>
      <c r="I29" s="168" t="s">
        <v>87</v>
      </c>
      <c r="K29" s="216" t="s">
        <v>109</v>
      </c>
      <c r="L29" s="214" t="s">
        <v>200</v>
      </c>
      <c r="M29" s="214" t="s">
        <v>202</v>
      </c>
      <c r="N29" s="214" t="s">
        <v>199</v>
      </c>
      <c r="O29" s="214" t="s">
        <v>218</v>
      </c>
      <c r="P29" s="206" t="s">
        <v>111</v>
      </c>
      <c r="Q29" s="214" t="s">
        <v>198</v>
      </c>
      <c r="R29" s="214" t="s">
        <v>202</v>
      </c>
      <c r="S29" s="217" t="s">
        <v>136</v>
      </c>
    </row>
    <row r="30" spans="1:19" ht="13.8" thickBot="1" x14ac:dyDescent="0.3">
      <c r="A30" s="169" t="s">
        <v>124</v>
      </c>
      <c r="B30" s="170" t="s">
        <v>106</v>
      </c>
      <c r="C30" s="170" t="s">
        <v>105</v>
      </c>
      <c r="D30" s="170" t="s">
        <v>103</v>
      </c>
      <c r="E30" s="207" t="s">
        <v>102</v>
      </c>
      <c r="F30" s="170" t="s">
        <v>101</v>
      </c>
      <c r="G30" s="170" t="s">
        <v>103</v>
      </c>
      <c r="H30" s="170" t="s">
        <v>125</v>
      </c>
      <c r="I30" s="171" t="s">
        <v>126</v>
      </c>
      <c r="K30" s="218" t="s">
        <v>124</v>
      </c>
      <c r="L30" s="215" t="s">
        <v>219</v>
      </c>
      <c r="M30" s="215" t="s">
        <v>220</v>
      </c>
      <c r="N30" s="215" t="s">
        <v>206</v>
      </c>
      <c r="O30" s="215" t="s">
        <v>221</v>
      </c>
      <c r="P30" s="207" t="s">
        <v>200</v>
      </c>
      <c r="Q30" s="215" t="s">
        <v>132</v>
      </c>
      <c r="R30" s="215" t="s">
        <v>137</v>
      </c>
      <c r="S30" s="219" t="s">
        <v>137</v>
      </c>
    </row>
    <row r="31" spans="1:19" ht="13.8" thickBot="1" x14ac:dyDescent="0.3">
      <c r="A31" s="166" t="s">
        <v>127</v>
      </c>
      <c r="B31" s="167" t="s">
        <v>89</v>
      </c>
      <c r="C31" s="167" t="s">
        <v>89</v>
      </c>
      <c r="D31" s="167" t="s">
        <v>89</v>
      </c>
      <c r="E31" s="206" t="s">
        <v>89</v>
      </c>
      <c r="F31" s="167" t="s">
        <v>89</v>
      </c>
      <c r="G31" s="167" t="s">
        <v>89</v>
      </c>
      <c r="H31" s="167" t="s">
        <v>89</v>
      </c>
      <c r="I31" s="168" t="s">
        <v>89</v>
      </c>
      <c r="K31" s="216" t="s">
        <v>127</v>
      </c>
      <c r="L31" s="214" t="s">
        <v>89</v>
      </c>
      <c r="M31" s="214" t="s">
        <v>89</v>
      </c>
      <c r="N31" s="214" t="s">
        <v>89</v>
      </c>
      <c r="O31" s="214" t="s">
        <v>89</v>
      </c>
      <c r="P31" s="206" t="s">
        <v>89</v>
      </c>
      <c r="Q31" s="214" t="s">
        <v>89</v>
      </c>
      <c r="R31" s="214" t="s">
        <v>89</v>
      </c>
      <c r="S31" s="217" t="s">
        <v>89</v>
      </c>
    </row>
    <row r="32" spans="1:19" ht="13.8" thickBot="1" x14ac:dyDescent="0.3">
      <c r="A32" s="172" t="s">
        <v>128</v>
      </c>
      <c r="B32" s="170" t="s">
        <v>89</v>
      </c>
      <c r="C32" s="170" t="s">
        <v>89</v>
      </c>
      <c r="D32" s="170" t="s">
        <v>89</v>
      </c>
      <c r="E32" s="207" t="s">
        <v>89</v>
      </c>
      <c r="F32" s="170" t="s">
        <v>89</v>
      </c>
      <c r="G32" s="170" t="s">
        <v>89</v>
      </c>
      <c r="H32" s="170" t="s">
        <v>89</v>
      </c>
      <c r="I32" s="171" t="s">
        <v>89</v>
      </c>
      <c r="K32" s="220" t="s">
        <v>128</v>
      </c>
      <c r="L32" s="215" t="s">
        <v>89</v>
      </c>
      <c r="M32" s="215" t="s">
        <v>89</v>
      </c>
      <c r="N32" s="215" t="s">
        <v>89</v>
      </c>
      <c r="O32" s="215" t="s">
        <v>89</v>
      </c>
      <c r="P32" s="207" t="s">
        <v>89</v>
      </c>
      <c r="Q32" s="215" t="s">
        <v>89</v>
      </c>
      <c r="R32" s="215" t="s">
        <v>89</v>
      </c>
      <c r="S32" s="219" t="s">
        <v>89</v>
      </c>
    </row>
    <row r="33" spans="1:19" ht="13.8" thickBot="1" x14ac:dyDescent="0.3">
      <c r="A33" s="166" t="s">
        <v>91</v>
      </c>
      <c r="B33" s="167" t="s">
        <v>119</v>
      </c>
      <c r="C33" s="167" t="s">
        <v>119</v>
      </c>
      <c r="D33" s="167" t="s">
        <v>119</v>
      </c>
      <c r="E33" s="206" t="s">
        <v>120</v>
      </c>
      <c r="F33" s="167" t="s">
        <v>119</v>
      </c>
      <c r="G33" s="167" t="s">
        <v>119</v>
      </c>
      <c r="H33" s="167" t="s">
        <v>119</v>
      </c>
      <c r="I33" s="168" t="s">
        <v>120</v>
      </c>
      <c r="K33" s="216" t="s">
        <v>91</v>
      </c>
      <c r="L33" s="214" t="s">
        <v>105</v>
      </c>
      <c r="M33" s="214" t="s">
        <v>216</v>
      </c>
      <c r="N33" s="214" t="s">
        <v>216</v>
      </c>
      <c r="O33" s="214" t="s">
        <v>216</v>
      </c>
      <c r="P33" s="206" t="s">
        <v>105</v>
      </c>
      <c r="Q33" s="214" t="s">
        <v>130</v>
      </c>
      <c r="R33" s="214" t="s">
        <v>126</v>
      </c>
      <c r="S33" s="217" t="s">
        <v>103</v>
      </c>
    </row>
    <row r="34" spans="1:19" ht="13.8" thickBot="1" x14ac:dyDescent="0.3">
      <c r="A34" s="169" t="s">
        <v>97</v>
      </c>
      <c r="B34" s="170" t="s">
        <v>120</v>
      </c>
      <c r="C34" s="170" t="s">
        <v>120</v>
      </c>
      <c r="D34" s="170" t="s">
        <v>121</v>
      </c>
      <c r="E34" s="207" t="s">
        <v>120</v>
      </c>
      <c r="F34" s="170" t="s">
        <v>120</v>
      </c>
      <c r="G34" s="170" t="s">
        <v>120</v>
      </c>
      <c r="H34" s="170" t="s">
        <v>120</v>
      </c>
      <c r="I34" s="171" t="s">
        <v>120</v>
      </c>
      <c r="K34" s="218" t="s">
        <v>97</v>
      </c>
      <c r="L34" s="215" t="s">
        <v>130</v>
      </c>
      <c r="M34" s="215" t="s">
        <v>130</v>
      </c>
      <c r="N34" s="215" t="s">
        <v>216</v>
      </c>
      <c r="O34" s="215" t="s">
        <v>217</v>
      </c>
      <c r="P34" s="207" t="s">
        <v>129</v>
      </c>
      <c r="Q34" s="215" t="s">
        <v>125</v>
      </c>
      <c r="R34" s="215" t="s">
        <v>130</v>
      </c>
      <c r="S34" s="219" t="s">
        <v>125</v>
      </c>
    </row>
    <row r="35" spans="1:19" ht="13.8" thickBot="1" x14ac:dyDescent="0.3">
      <c r="A35" s="166" t="s">
        <v>109</v>
      </c>
      <c r="B35" s="167" t="s">
        <v>94</v>
      </c>
      <c r="C35" s="167" t="s">
        <v>122</v>
      </c>
      <c r="D35" s="167" t="s">
        <v>94</v>
      </c>
      <c r="E35" s="206" t="s">
        <v>122</v>
      </c>
      <c r="F35" s="167" t="s">
        <v>123</v>
      </c>
      <c r="G35" s="167" t="s">
        <v>122</v>
      </c>
      <c r="H35" s="167" t="s">
        <v>94</v>
      </c>
      <c r="I35" s="168" t="s">
        <v>87</v>
      </c>
      <c r="K35" s="216" t="s">
        <v>109</v>
      </c>
      <c r="L35" s="214" t="s">
        <v>201</v>
      </c>
      <c r="M35" s="214" t="s">
        <v>200</v>
      </c>
      <c r="N35" s="214" t="s">
        <v>202</v>
      </c>
      <c r="O35" s="214" t="s">
        <v>198</v>
      </c>
      <c r="P35" s="206" t="s">
        <v>110</v>
      </c>
      <c r="Q35" s="214" t="s">
        <v>135</v>
      </c>
      <c r="R35" s="214" t="s">
        <v>200</v>
      </c>
      <c r="S35" s="217" t="s">
        <v>222</v>
      </c>
    </row>
    <row r="36" spans="1:19" ht="13.8" thickBot="1" x14ac:dyDescent="0.3">
      <c r="A36" s="169" t="s">
        <v>124</v>
      </c>
      <c r="B36" s="170" t="s">
        <v>105</v>
      </c>
      <c r="C36" s="170" t="s">
        <v>126</v>
      </c>
      <c r="D36" s="170" t="s">
        <v>106</v>
      </c>
      <c r="E36" s="209">
        <v>0.16</v>
      </c>
      <c r="F36" s="170" t="s">
        <v>103</v>
      </c>
      <c r="G36" s="170" t="s">
        <v>106</v>
      </c>
      <c r="H36" s="170" t="s">
        <v>129</v>
      </c>
      <c r="I36" s="171" t="s">
        <v>130</v>
      </c>
      <c r="K36" s="218" t="s">
        <v>124</v>
      </c>
      <c r="L36" s="215" t="s">
        <v>137</v>
      </c>
      <c r="M36" s="215" t="s">
        <v>205</v>
      </c>
      <c r="N36" s="215" t="s">
        <v>220</v>
      </c>
      <c r="O36" s="215" t="s">
        <v>223</v>
      </c>
      <c r="P36" s="231" t="s">
        <v>136</v>
      </c>
      <c r="Q36" s="215" t="s">
        <v>206</v>
      </c>
      <c r="R36" s="215" t="s">
        <v>224</v>
      </c>
      <c r="S36" s="219" t="s">
        <v>224</v>
      </c>
    </row>
    <row r="37" spans="1:19" ht="13.8" thickBot="1" x14ac:dyDescent="0.3">
      <c r="A37" s="166" t="s">
        <v>131</v>
      </c>
      <c r="B37" s="167" t="s">
        <v>132</v>
      </c>
      <c r="C37" s="167" t="s">
        <v>133</v>
      </c>
      <c r="D37" s="167" t="s">
        <v>134</v>
      </c>
      <c r="E37" s="206" t="s">
        <v>135</v>
      </c>
      <c r="F37" s="167" t="s">
        <v>136</v>
      </c>
      <c r="G37" s="167" t="s">
        <v>134</v>
      </c>
      <c r="H37" s="167" t="s">
        <v>137</v>
      </c>
      <c r="I37" s="168" t="s">
        <v>138</v>
      </c>
      <c r="K37" s="216" t="s">
        <v>131</v>
      </c>
      <c r="L37" s="214" t="s">
        <v>225</v>
      </c>
      <c r="M37" s="214" t="s">
        <v>226</v>
      </c>
      <c r="N37" s="214" t="s">
        <v>140</v>
      </c>
      <c r="O37" s="214" t="s">
        <v>210</v>
      </c>
      <c r="P37" s="206" t="s">
        <v>227</v>
      </c>
      <c r="Q37" s="214" t="s">
        <v>140</v>
      </c>
      <c r="R37" s="214" t="s">
        <v>228</v>
      </c>
      <c r="S37" s="217" t="s">
        <v>229</v>
      </c>
    </row>
    <row r="38" spans="1:19" ht="13.8" thickBot="1" x14ac:dyDescent="0.3">
      <c r="A38" s="169" t="s">
        <v>139</v>
      </c>
      <c r="B38" s="170" t="s">
        <v>140</v>
      </c>
      <c r="C38" s="170" t="s">
        <v>141</v>
      </c>
      <c r="D38" s="170" t="s">
        <v>142</v>
      </c>
      <c r="E38" s="207" t="s">
        <v>115</v>
      </c>
      <c r="F38" s="170" t="s">
        <v>143</v>
      </c>
      <c r="G38" s="170" t="s">
        <v>142</v>
      </c>
      <c r="H38" s="170" t="s">
        <v>144</v>
      </c>
      <c r="I38" s="171" t="s">
        <v>145</v>
      </c>
      <c r="K38" s="218" t="s">
        <v>139</v>
      </c>
      <c r="L38" s="215" t="s">
        <v>230</v>
      </c>
      <c r="M38" s="215" t="s">
        <v>231</v>
      </c>
      <c r="N38" s="215" t="s">
        <v>232</v>
      </c>
      <c r="O38" s="215" t="s">
        <v>233</v>
      </c>
      <c r="P38" s="207" t="s">
        <v>234</v>
      </c>
      <c r="Q38" s="215" t="s">
        <v>232</v>
      </c>
      <c r="R38" s="215" t="s">
        <v>235</v>
      </c>
      <c r="S38" s="219" t="s">
        <v>236</v>
      </c>
    </row>
    <row r="39" spans="1:19" ht="13.8" thickBot="1" x14ac:dyDescent="0.3">
      <c r="A39" s="166" t="s">
        <v>146</v>
      </c>
      <c r="B39" s="167" t="s">
        <v>147</v>
      </c>
      <c r="C39" s="167" t="s">
        <v>148</v>
      </c>
      <c r="D39" s="167" t="s">
        <v>149</v>
      </c>
      <c r="E39" s="206" t="s">
        <v>150</v>
      </c>
      <c r="F39" s="167" t="s">
        <v>151</v>
      </c>
      <c r="G39" s="167" t="s">
        <v>152</v>
      </c>
      <c r="H39" s="167" t="s">
        <v>153</v>
      </c>
      <c r="I39" s="168" t="s">
        <v>154</v>
      </c>
      <c r="K39" s="216" t="s">
        <v>146</v>
      </c>
      <c r="L39" s="214" t="s">
        <v>237</v>
      </c>
      <c r="M39" s="214" t="s">
        <v>238</v>
      </c>
      <c r="N39" s="214" t="s">
        <v>239</v>
      </c>
      <c r="O39" s="214" t="s">
        <v>240</v>
      </c>
      <c r="P39" s="206" t="s">
        <v>241</v>
      </c>
      <c r="Q39" s="214" t="s">
        <v>240</v>
      </c>
      <c r="R39" s="214" t="s">
        <v>242</v>
      </c>
      <c r="S39" s="217" t="s">
        <v>243</v>
      </c>
    </row>
    <row r="40" spans="1:19" ht="13.8" thickBot="1" x14ac:dyDescent="0.3">
      <c r="A40" s="169" t="s">
        <v>155</v>
      </c>
      <c r="B40" s="170" t="s">
        <v>156</v>
      </c>
      <c r="C40" s="170" t="s">
        <v>157</v>
      </c>
      <c r="D40" s="170" t="s">
        <v>158</v>
      </c>
      <c r="E40" s="207" t="s">
        <v>159</v>
      </c>
      <c r="F40" s="170" t="s">
        <v>160</v>
      </c>
      <c r="G40" s="170" t="s">
        <v>158</v>
      </c>
      <c r="H40" s="170" t="s">
        <v>161</v>
      </c>
      <c r="I40" s="171" t="s">
        <v>162</v>
      </c>
      <c r="K40" s="218" t="s">
        <v>155</v>
      </c>
      <c r="L40" s="215" t="s">
        <v>244</v>
      </c>
      <c r="M40" s="215" t="s">
        <v>245</v>
      </c>
      <c r="N40" s="215" t="s">
        <v>246</v>
      </c>
      <c r="O40" s="215" t="s">
        <v>247</v>
      </c>
      <c r="P40" s="207" t="s">
        <v>161</v>
      </c>
      <c r="Q40" s="215" t="s">
        <v>247</v>
      </c>
      <c r="R40" s="215" t="s">
        <v>248</v>
      </c>
      <c r="S40" s="219" t="s">
        <v>249</v>
      </c>
    </row>
    <row r="41" spans="1:19" ht="13.8" thickBot="1" x14ac:dyDescent="0.3">
      <c r="A41" s="166" t="s">
        <v>163</v>
      </c>
      <c r="B41" s="167" t="s">
        <v>164</v>
      </c>
      <c r="C41" s="167" t="s">
        <v>165</v>
      </c>
      <c r="D41" s="167" t="s">
        <v>166</v>
      </c>
      <c r="E41" s="206" t="s">
        <v>167</v>
      </c>
      <c r="F41" s="167" t="s">
        <v>168</v>
      </c>
      <c r="G41" s="167" t="s">
        <v>166</v>
      </c>
      <c r="H41" s="167" t="s">
        <v>169</v>
      </c>
      <c r="I41" s="168" t="s">
        <v>170</v>
      </c>
      <c r="K41" s="216" t="s">
        <v>163</v>
      </c>
      <c r="L41" s="214" t="s">
        <v>176</v>
      </c>
      <c r="M41" s="214" t="s">
        <v>175</v>
      </c>
      <c r="N41" s="214" t="s">
        <v>250</v>
      </c>
      <c r="O41" s="214" t="s">
        <v>251</v>
      </c>
      <c r="P41" s="206" t="s">
        <v>252</v>
      </c>
      <c r="Q41" s="214" t="s">
        <v>251</v>
      </c>
      <c r="R41" s="214" t="s">
        <v>177</v>
      </c>
      <c r="S41" s="217" t="s">
        <v>173</v>
      </c>
    </row>
    <row r="42" spans="1:19" ht="13.8" thickBot="1" x14ac:dyDescent="0.3">
      <c r="A42" s="169" t="s">
        <v>171</v>
      </c>
      <c r="B42" s="170" t="s">
        <v>172</v>
      </c>
      <c r="C42" s="170" t="s">
        <v>173</v>
      </c>
      <c r="D42" s="170" t="s">
        <v>174</v>
      </c>
      <c r="E42" s="207" t="s">
        <v>175</v>
      </c>
      <c r="F42" s="170" t="s">
        <v>176</v>
      </c>
      <c r="G42" s="170" t="s">
        <v>177</v>
      </c>
      <c r="H42" s="170" t="s">
        <v>178</v>
      </c>
      <c r="I42" s="171" t="s">
        <v>179</v>
      </c>
      <c r="K42" s="218" t="s">
        <v>171</v>
      </c>
      <c r="L42" s="215" t="s">
        <v>253</v>
      </c>
      <c r="M42" s="215" t="s">
        <v>254</v>
      </c>
      <c r="N42" s="215" t="s">
        <v>182</v>
      </c>
      <c r="O42" s="215" t="s">
        <v>254</v>
      </c>
      <c r="P42" s="207" t="s">
        <v>184</v>
      </c>
      <c r="Q42" s="215" t="s">
        <v>255</v>
      </c>
      <c r="R42" s="215" t="s">
        <v>256</v>
      </c>
      <c r="S42" s="219" t="s">
        <v>257</v>
      </c>
    </row>
    <row r="43" spans="1:19" ht="13.8" thickBot="1" x14ac:dyDescent="0.3">
      <c r="A43" s="173" t="s">
        <v>180</v>
      </c>
      <c r="B43" s="174" t="s">
        <v>181</v>
      </c>
      <c r="C43" s="174" t="s">
        <v>181</v>
      </c>
      <c r="D43" s="174" t="s">
        <v>182</v>
      </c>
      <c r="E43" s="208" t="s">
        <v>183</v>
      </c>
      <c r="F43" s="174" t="s">
        <v>184</v>
      </c>
      <c r="G43" s="174" t="s">
        <v>185</v>
      </c>
      <c r="H43" s="174" t="s">
        <v>186</v>
      </c>
      <c r="I43" s="175" t="s">
        <v>187</v>
      </c>
      <c r="K43" s="221" t="s">
        <v>180</v>
      </c>
      <c r="L43" s="222" t="s">
        <v>258</v>
      </c>
      <c r="M43" s="222" t="s">
        <v>259</v>
      </c>
      <c r="N43" s="222" t="s">
        <v>260</v>
      </c>
      <c r="O43" s="222" t="s">
        <v>261</v>
      </c>
      <c r="P43" s="208" t="s">
        <v>262</v>
      </c>
      <c r="Q43" s="222" t="s">
        <v>263</v>
      </c>
      <c r="R43" s="222" t="s">
        <v>264</v>
      </c>
      <c r="S43" s="223" t="s">
        <v>265</v>
      </c>
    </row>
    <row r="45" spans="1:19" x14ac:dyDescent="0.25">
      <c r="A45" s="24" t="s">
        <v>188</v>
      </c>
      <c r="K45" s="24" t="s">
        <v>291</v>
      </c>
    </row>
  </sheetData>
  <mergeCells count="4">
    <mergeCell ref="A5:A8"/>
    <mergeCell ref="G5:H6"/>
    <mergeCell ref="K5:K8"/>
    <mergeCell ref="Q5:R6"/>
  </mergeCells>
  <hyperlinks>
    <hyperlink ref="K32" r:id="rId1" location="fn10" tooltip="Footnote 10" display="https://www.federalreserve.gov/releases/h15/20160119/ - fn10"/>
  </hyperlinks>
  <pageMargins left="0.7" right="0.7" top="0.75" bottom="0.75" header="0.3" footer="0.3"/>
  <pageSetup scale="8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150582-D00D-418C-B26E-3B903A22659A}"/>
</file>

<file path=customXml/itemProps2.xml><?xml version="1.0" encoding="utf-8"?>
<ds:datastoreItem xmlns:ds="http://schemas.openxmlformats.org/officeDocument/2006/customXml" ds:itemID="{FA641A28-AC52-4714-B24D-3E3260851576}"/>
</file>

<file path=customXml/itemProps3.xml><?xml version="1.0" encoding="utf-8"?>
<ds:datastoreItem xmlns:ds="http://schemas.openxmlformats.org/officeDocument/2006/customXml" ds:itemID="{86173575-DAF8-45BC-876E-2F01A8024770}"/>
</file>

<file path=customXml/itemProps4.xml><?xml version="1.0" encoding="utf-8"?>
<ds:datastoreItem xmlns:ds="http://schemas.openxmlformats.org/officeDocument/2006/customXml" ds:itemID="{CC0CC854-B671-4C9A-825C-EF90EF75D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Lead E</vt:lpstr>
      <vt:lpstr>Lead G</vt:lpstr>
      <vt:lpstr>Change in InterestGas</vt:lpstr>
      <vt:lpstr>Change in InterestElec</vt:lpstr>
      <vt:lpstr>SAP</vt:lpstr>
      <vt:lpstr>E&amp;G Split</vt:lpstr>
      <vt:lpstr>2016PO </vt:lpstr>
      <vt:lpstr>2015PO</vt:lpstr>
      <vt:lpstr>2015IntRates</vt:lpstr>
      <vt:lpstr>2016IntRates</vt:lpstr>
      <vt:lpstr>Balance Calculation</vt:lpstr>
      <vt:lpstr>'2015IntRates'!Print_Area</vt:lpstr>
      <vt:lpstr>'2015PO'!Print_Area</vt:lpstr>
      <vt:lpstr>'2016IntRates'!Print_Area</vt:lpstr>
      <vt:lpstr>'2016PO '!Print_Area</vt:lpstr>
      <vt:lpstr>'Change in InterestGas'!Print_Area</vt:lpstr>
      <vt:lpstr>SAP!Print_Area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kbarnard</cp:lastModifiedBy>
  <cp:lastPrinted>2016-10-26T18:46:11Z</cp:lastPrinted>
  <dcterms:created xsi:type="dcterms:W3CDTF">2005-11-14T22:33:38Z</dcterms:created>
  <dcterms:modified xsi:type="dcterms:W3CDTF">2018-04-05T16:01:13Z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