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Assumptions" sheetId="1" r:id="rId1"/>
    <sheet name="Revenues" sheetId="2" r:id="rId2"/>
    <sheet name="Five-Year Cost Summary" sheetId="3" r:id="rId3"/>
    <sheet name="Historical Gas Usage" sheetId="4" r:id="rId4"/>
    <sheet name="Historical Participation" sheetId="5" r:id="rId5"/>
  </sheets>
  <definedNames>
    <definedName name="_xlnm.Print_Area" localSheetId="0">'Assumptions'!$A$1:$J$31</definedName>
    <definedName name="_xlnm.Print_Area" localSheetId="2">'Five-Year Cost Summary'!$A$1:$I$34</definedName>
    <definedName name="_xlnm.Print_Area" localSheetId="3">'Historical Gas Usage'!$A$1:$E$15</definedName>
    <definedName name="_xlnm.Print_Area" localSheetId="1">'Revenues'!$A$1:$N$50</definedName>
  </definedNames>
  <calcPr fullCalcOnLoad="1"/>
</workbook>
</file>

<file path=xl/sharedStrings.xml><?xml version="1.0" encoding="utf-8"?>
<sst xmlns="http://schemas.openxmlformats.org/spreadsheetml/2006/main" count="139" uniqueCount="96">
  <si>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</si>
  <si>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</si>
  <si>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</si>
  <si>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</si>
  <si>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</si>
  <si>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</si>
  <si>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</si>
  <si>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</si>
  <si>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</si>
  <si>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</si>
  <si>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</si>
  <si>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</si>
  <si>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</si>
  <si>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Pounds</t>
  </si>
  <si>
    <t>Marketing</t>
  </si>
  <si>
    <t>Year</t>
  </si>
  <si>
    <t>Monthly Average</t>
  </si>
  <si>
    <r>
      <t>Actual</t>
    </r>
    <r>
      <rPr>
        <sz val="12"/>
        <rFont val="Arial"/>
        <family val="2"/>
      </rPr>
      <t xml:space="preserve"> </t>
    </r>
  </si>
  <si>
    <t>Default Factors for Calculation MethodologyFederal Register, Vol. 74, No. 209, Page 56503</t>
  </si>
  <si>
    <t xml:space="preserve">There are 11.69 lbs. of carbon dioxide (CO2) per therm of natural gas.  Source:  EPA Mandatory GHG Reporting Rule, Table NN-1 to Subpart NN of 40 CFR Part 98 - </t>
  </si>
  <si>
    <t xml:space="preserve">Average Natural Gas Consumption (therms) and Carbon Dioxide Emissions (pounds) per Residential Customer </t>
  </si>
  <si>
    <t>Estimate of Customer Participation and Projected Revenues</t>
  </si>
  <si>
    <t>Total Customers</t>
  </si>
  <si>
    <t>Metric Tons</t>
  </si>
  <si>
    <t>Expenses</t>
  </si>
  <si>
    <t>Purchase of Carbon Offsets</t>
  </si>
  <si>
    <t>Total</t>
  </si>
  <si>
    <t>Anticipated Program Costs and Expenses</t>
  </si>
  <si>
    <t xml:space="preserve">Administration Expenses - </t>
  </si>
  <si>
    <t>Percentage of Staff Salary Dedicated to Program</t>
  </si>
  <si>
    <t>Energy Advisor</t>
  </si>
  <si>
    <t>Pounds of Carbon Dioxide (CO2) Emissions per Therm</t>
  </si>
  <si>
    <t>PSE Proposed Charge for One Carbon Offset Block (offsets one half month's CO2 emissions)</t>
  </si>
  <si>
    <t>One Half Month's Therms Offset by One Block Purchase</t>
  </si>
  <si>
    <t>Metric Tons of CO2 Emissions in One Half Month's Therm Consumption</t>
  </si>
  <si>
    <t>Equivalent Pounds of CO2</t>
  </si>
  <si>
    <t>Equivalent Metric Tons of CO2</t>
  </si>
  <si>
    <t xml:space="preserve">PSE Proposed Charge for Two Carbon Offset Blocks </t>
  </si>
  <si>
    <t>Estimated Cost to Offset Monthly CO2 Emissions from an Average Residential Home</t>
  </si>
  <si>
    <t>Summary of Costs and Charges</t>
  </si>
  <si>
    <t>Product Manager</t>
  </si>
  <si>
    <t>Program Coordinator</t>
  </si>
  <si>
    <t>Annual Therms</t>
  </si>
  <si>
    <t>LBS of CO2</t>
  </si>
  <si>
    <t>Average</t>
  </si>
  <si>
    <t>PSE Carbon Balance Assumptions</t>
  </si>
  <si>
    <t>Normalized</t>
  </si>
  <si>
    <t>Customers</t>
  </si>
  <si>
    <t xml:space="preserve">Estimated Program Expenses divided by Estimated Blocks Purchased (Revenues) </t>
  </si>
  <si>
    <t>Blocks Purchased by Customer</t>
  </si>
  <si>
    <t>**Total with conversion factor 0.954537993</t>
  </si>
  <si>
    <t>March</t>
  </si>
  <si>
    <t>June</t>
  </si>
  <si>
    <t xml:space="preserve">December </t>
  </si>
  <si>
    <t>5-Year Average Annual Residential Usage - therms</t>
  </si>
  <si>
    <t>5-Year Average Monthly Residential Usage - therms</t>
  </si>
  <si>
    <t>5-Year Average Monthly CO2 Emissions - lbs</t>
  </si>
  <si>
    <t>5-Year Average Monthly CO2 Emissions - metric tons</t>
  </si>
  <si>
    <t>2021 Customer Growth Percentage</t>
  </si>
  <si>
    <t xml:space="preserve">2020-2022 offset pricing is based on supply contracts that are currently in place. </t>
  </si>
  <si>
    <t>Administration &amp; Overhead</t>
  </si>
  <si>
    <t>Channel enrollment averages by season</t>
  </si>
  <si>
    <t>Balance</t>
  </si>
  <si>
    <t xml:space="preserve">$ per participant </t>
  </si>
  <si>
    <t xml:space="preserve">2022-2025 carbon offset pricing is based on supplier estimates. </t>
  </si>
  <si>
    <t>2020 Carbon Balance Customer counts</t>
  </si>
  <si>
    <t>2021 Carbon Balance Customer counts</t>
  </si>
  <si>
    <t>2022 Carbon Balance Customer counts</t>
  </si>
  <si>
    <t>2023 Anticipated Customer anticipated counts</t>
  </si>
  <si>
    <t>2024 Anticipated Customer anticipated counts</t>
  </si>
  <si>
    <t>2025 Anticipated Customer anticipated counts</t>
  </si>
  <si>
    <t>PSE Residential Natural Gas Customer Count as of December 31, 2021</t>
  </si>
  <si>
    <t>Conversion factor</t>
  </si>
  <si>
    <t>Total Revenues (w/ Conversion Factor)</t>
  </si>
  <si>
    <t>Program Reserves</t>
  </si>
  <si>
    <t>Start/Stop/Transfer chanel peak each month (July through October)</t>
  </si>
  <si>
    <t>non-peak monthly enrollment (November through June)</t>
  </si>
  <si>
    <t>Annual Reserve Contribution</t>
  </si>
  <si>
    <t>Reserve Balance (Year End)</t>
  </si>
  <si>
    <t>Anticipated drops after price change and/or CCA costs</t>
  </si>
  <si>
    <t>Pounds of CO2 Emissions Purchased by PSE per Block Purchased by Customer</t>
  </si>
  <si>
    <t>outined cells indicate anticipated period of drops</t>
  </si>
  <si>
    <t>Revenue</t>
  </si>
  <si>
    <t xml:space="preserve">Revenue </t>
  </si>
  <si>
    <t>Blocks</t>
  </si>
  <si>
    <t xml:space="preserve">Blocks* </t>
  </si>
  <si>
    <t>predicting a 5% increase YOY</t>
  </si>
  <si>
    <t>predicting a 3% increase YOY</t>
  </si>
  <si>
    <t>blocks per customer</t>
  </si>
  <si>
    <t>Price per Carbon Offset</t>
  </si>
  <si>
    <t>blocks per customer in Aug</t>
  </si>
  <si>
    <t>2022 blocks per customer</t>
  </si>
  <si>
    <t>*Average number of Blocks per customer (based on 2022 average)</t>
  </si>
  <si>
    <t>with change</t>
  </si>
  <si>
    <t>without change</t>
  </si>
  <si>
    <t>$ per block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</si>
</sst>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_);[Red]\(&quot;$&quot;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0_);[Red]\(&quot;$&quot;#,##0.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&quot;$&quot;* #,##0.000_);_(&quot;$&quot;* \(#,##0.000\);_(&quot;$&quot;* &quot;-&quot;??_);_(@_)"/>
    <numFmt numFmtId="178" formatCode="_(* #,##0.000_);_(* \(#,##0.000\);_(* &quot;-&quot;???_);_(@_)"/>
    <numFmt numFmtId="179" formatCode="_(&quot;$&quot;* #,##0.0000_);_(&quot;$&quot;* \(#,##0.0000\);_(&quot;$&quot;* &quot;-&quot;??_);_(@_)"/>
    <numFmt numFmtId="180" formatCode="0.0%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dd\-mmm\-yy;@"/>
    <numFmt numFmtId="188" formatCode="[$-409]d\-mmm\-yy;@"/>
    <numFmt numFmtId="189" formatCode="[$-409]mmmm\ d\,\ yyyy;@"/>
    <numFmt numFmtId="190" formatCode="#,##0.0"/>
    <numFmt numFmtId="191" formatCode="m/d/yy;@"/>
    <numFmt numFmtId="192" formatCode="&quot;$&quot;#,##0.000000_);[Red]\(&quot;$&quot;#,##0.000000\)"/>
    <numFmt numFmtId="193" formatCode="&quot;$&quot;#,##0.000000000_);[Red]\(&quot;$&quot;#,##0.000000000\)"/>
    <numFmt numFmtId="194" formatCode="[$-409]h:mm:ss\ AM/PM"/>
    <numFmt numFmtId="195" formatCode="0.000%"/>
    <numFmt numFmtId="196" formatCode="&quot;$&quot;#,##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&quot;$&quot;#,##0.00"/>
    <numFmt numFmtId="205" formatCode="_(* #,##0.000_);_(* \(#,##0.000\);_(* &quot;-&quot;??_);_(@_)"/>
    <numFmt numFmtId="206" formatCode="_(* #,##0.0_);_(* \(#,##0.0\);_(* &quot;-&quot;?_);_(@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sz val="14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9" tint="-0.24997000396251678"/>
      <name val="Arial"/>
      <family val="2"/>
    </font>
    <font>
      <b/>
      <i/>
      <sz val="10"/>
      <color theme="9" tint="-0.24997000396251678"/>
      <name val="Arial"/>
      <family val="2"/>
    </font>
    <font>
      <i/>
      <sz val="10"/>
      <color theme="9"/>
      <name val="Arial"/>
      <family val="2"/>
    </font>
    <font>
      <sz val="10"/>
      <color theme="7" tint="-0.24997000396251678"/>
      <name val="Arial"/>
      <family val="2"/>
    </font>
    <font>
      <sz val="8"/>
      <color theme="7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6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6" fontId="2" fillId="33" borderId="0" xfId="0" applyNumberFormat="1" applyFont="1" applyFill="1" applyAlignment="1">
      <alignment horizontal="right"/>
    </xf>
    <xf numFmtId="44" fontId="0" fillId="0" borderId="0" xfId="44" applyFont="1" applyAlignment="1">
      <alignment/>
    </xf>
    <xf numFmtId="176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6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indent="3"/>
    </xf>
    <xf numFmtId="37" fontId="0" fillId="0" borderId="0" xfId="44" applyNumberFormat="1" applyFont="1" applyAlignment="1">
      <alignment/>
    </xf>
    <xf numFmtId="38" fontId="0" fillId="0" borderId="0" xfId="0" applyNumberFormat="1" applyAlignment="1">
      <alignment/>
    </xf>
    <xf numFmtId="167" fontId="2" fillId="33" borderId="0" xfId="0" applyNumberFormat="1" applyFont="1" applyFill="1" applyAlignment="1">
      <alignment horizontal="right"/>
    </xf>
    <xf numFmtId="167" fontId="0" fillId="0" borderId="0" xfId="42" applyNumberFormat="1" applyFont="1" applyAlignment="1">
      <alignment/>
    </xf>
    <xf numFmtId="167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44" applyNumberFormat="1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6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Alignment="1">
      <alignment/>
    </xf>
    <xf numFmtId="167" fontId="1" fillId="0" borderId="0" xfId="42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6" fontId="0" fillId="0" borderId="14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9" fontId="1" fillId="0" borderId="0" xfId="59" applyFont="1" applyFill="1" applyAlignment="1">
      <alignment/>
    </xf>
    <xf numFmtId="9" fontId="1" fillId="0" borderId="0" xfId="0" applyNumberFormat="1" applyFont="1" applyFill="1" applyAlignment="1">
      <alignment/>
    </xf>
    <xf numFmtId="9" fontId="1" fillId="0" borderId="0" xfId="0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44" fontId="0" fillId="0" borderId="0" xfId="44" applyNumberFormat="1" applyFon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41" applyFont="1" applyFill="1" applyBorder="1" applyAlignment="1">
      <alignment/>
    </xf>
    <xf numFmtId="0" fontId="2" fillId="0" borderId="0" xfId="41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right"/>
    </xf>
    <xf numFmtId="8" fontId="2" fillId="0" borderId="0" xfId="0" applyNumberFormat="1" applyFont="1" applyAlignment="1">
      <alignment/>
    </xf>
    <xf numFmtId="0" fontId="40" fillId="28" borderId="15" xfId="41" applyBorder="1" applyAlignment="1">
      <alignment horizontal="center"/>
    </xf>
    <xf numFmtId="0" fontId="0" fillId="0" borderId="10" xfId="0" applyBorder="1" applyAlignment="1">
      <alignment/>
    </xf>
    <xf numFmtId="167" fontId="0" fillId="0" borderId="0" xfId="42" applyNumberFormat="1" applyFont="1" applyBorder="1" applyAlignment="1">
      <alignment/>
    </xf>
    <xf numFmtId="44" fontId="2" fillId="0" borderId="0" xfId="44" applyFont="1" applyAlignment="1">
      <alignment horizontal="right"/>
    </xf>
    <xf numFmtId="44" fontId="0" fillId="0" borderId="0" xfId="44" applyFont="1" applyAlignment="1">
      <alignment horizontal="right"/>
    </xf>
    <xf numFmtId="44" fontId="2" fillId="0" borderId="0" xfId="44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right"/>
    </xf>
    <xf numFmtId="9" fontId="2" fillId="0" borderId="0" xfId="59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right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6" fontId="54" fillId="0" borderId="10" xfId="0" applyNumberFormat="1" applyFont="1" applyBorder="1" applyAlignment="1">
      <alignment/>
    </xf>
    <xf numFmtId="196" fontId="2" fillId="0" borderId="0" xfId="42" applyNumberFormat="1" applyFont="1" applyBorder="1" applyAlignment="1">
      <alignment/>
    </xf>
    <xf numFmtId="0" fontId="0" fillId="0" borderId="0" xfId="0" applyFont="1" applyAlignment="1">
      <alignment wrapText="1"/>
    </xf>
    <xf numFmtId="3" fontId="0" fillId="0" borderId="10" xfId="0" applyNumberFormat="1" applyFill="1" applyBorder="1" applyAlignment="1">
      <alignment/>
    </xf>
    <xf numFmtId="0" fontId="55" fillId="0" borderId="10" xfId="0" applyFont="1" applyBorder="1" applyAlignment="1">
      <alignment/>
    </xf>
    <xf numFmtId="3" fontId="55" fillId="0" borderId="10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6" fontId="55" fillId="0" borderId="10" xfId="0" applyNumberFormat="1" applyFont="1" applyBorder="1" applyAlignment="1">
      <alignment/>
    </xf>
    <xf numFmtId="167" fontId="55" fillId="0" borderId="0" xfId="0" applyNumberFormat="1" applyFont="1" applyAlignment="1">
      <alignment/>
    </xf>
    <xf numFmtId="6" fontId="55" fillId="0" borderId="0" xfId="0" applyNumberFormat="1" applyFont="1" applyAlignment="1">
      <alignment/>
    </xf>
    <xf numFmtId="167" fontId="55" fillId="0" borderId="0" xfId="42" applyNumberFormat="1" applyFont="1" applyAlignment="1">
      <alignment/>
    </xf>
    <xf numFmtId="3" fontId="56" fillId="33" borderId="0" xfId="0" applyNumberFormat="1" applyFont="1" applyFill="1" applyAlignment="1">
      <alignment/>
    </xf>
    <xf numFmtId="6" fontId="56" fillId="33" borderId="0" xfId="0" applyNumberFormat="1" applyFont="1" applyFill="1" applyAlignment="1">
      <alignment/>
    </xf>
    <xf numFmtId="167" fontId="55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3" fillId="0" borderId="0" xfId="0" applyFont="1" applyAlignment="1">
      <alignment wrapText="1"/>
    </xf>
    <xf numFmtId="43" fontId="0" fillId="0" borderId="0" xfId="42" applyNumberFormat="1" applyFont="1" applyAlignment="1">
      <alignment/>
    </xf>
    <xf numFmtId="44" fontId="55" fillId="0" borderId="0" xfId="44" applyFont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6" fontId="55" fillId="0" borderId="14" xfId="0" applyNumberFormat="1" applyFont="1" applyBorder="1" applyAlignment="1">
      <alignment/>
    </xf>
    <xf numFmtId="6" fontId="56" fillId="0" borderId="0" xfId="0" applyNumberFormat="1" applyFont="1" applyFill="1" applyAlignment="1">
      <alignment/>
    </xf>
    <xf numFmtId="37" fontId="55" fillId="0" borderId="0" xfId="44" applyNumberFormat="1" applyFont="1" applyAlignment="1">
      <alignment/>
    </xf>
    <xf numFmtId="167" fontId="55" fillId="0" borderId="0" xfId="42" applyNumberFormat="1" applyFont="1" applyBorder="1" applyAlignment="1">
      <alignment/>
    </xf>
    <xf numFmtId="196" fontId="56" fillId="0" borderId="0" xfId="0" applyNumberFormat="1" applyFont="1" applyAlignment="1">
      <alignment/>
    </xf>
    <xf numFmtId="8" fontId="56" fillId="0" borderId="0" xfId="0" applyNumberFormat="1" applyFont="1" applyAlignment="1">
      <alignment/>
    </xf>
    <xf numFmtId="43" fontId="55" fillId="0" borderId="0" xfId="42" applyFont="1" applyAlignment="1">
      <alignment/>
    </xf>
    <xf numFmtId="196" fontId="55" fillId="0" borderId="0" xfId="0" applyNumberFormat="1" applyFont="1" applyAlignment="1">
      <alignment/>
    </xf>
    <xf numFmtId="8" fontId="0" fillId="0" borderId="0" xfId="44" applyNumberFormat="1" applyFont="1" applyFill="1" applyBorder="1" applyAlignment="1">
      <alignment/>
    </xf>
    <xf numFmtId="201" fontId="0" fillId="0" borderId="0" xfId="0" applyNumberFormat="1" applyAlignment="1">
      <alignment/>
    </xf>
    <xf numFmtId="43" fontId="55" fillId="0" borderId="0" xfId="0" applyNumberFormat="1" applyFont="1" applyAlignment="1">
      <alignment/>
    </xf>
    <xf numFmtId="43" fontId="55" fillId="0" borderId="0" xfId="42" applyNumberFormat="1" applyFont="1" applyAlignment="1">
      <alignment/>
    </xf>
    <xf numFmtId="8" fontId="57" fillId="0" borderId="0" xfId="0" applyNumberFormat="1" applyFont="1" applyAlignment="1">
      <alignment/>
    </xf>
    <xf numFmtId="8" fontId="55" fillId="0" borderId="0" xfId="44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167" fontId="55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6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167" fontId="58" fillId="0" borderId="0" xfId="0" applyNumberFormat="1" applyFont="1" applyFill="1" applyAlignment="1">
      <alignment/>
    </xf>
    <xf numFmtId="0" fontId="1" fillId="5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205" fontId="0" fillId="0" borderId="0" xfId="0" applyNumberFormat="1" applyAlignment="1">
      <alignment/>
    </xf>
    <xf numFmtId="205" fontId="55" fillId="33" borderId="0" xfId="0" applyNumberFormat="1" applyFont="1" applyFill="1" applyAlignment="1">
      <alignment/>
    </xf>
    <xf numFmtId="44" fontId="1" fillId="0" borderId="0" xfId="44" applyFont="1" applyAlignment="1">
      <alignment/>
    </xf>
    <xf numFmtId="0" fontId="3" fillId="0" borderId="0" xfId="0" applyFont="1" applyFill="1" applyAlignment="1">
      <alignment horizontal="left"/>
    </xf>
    <xf numFmtId="0" fontId="40" fillId="28" borderId="10" xfId="4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5975"/>
          <c:w val="0.97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Participation'!$B$1</c:f>
              <c:strCache>
                <c:ptCount val="1"/>
                <c:pt idx="0">
                  <c:v>Customers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'Historical Participation'!$A$2:$A$8</c:f>
              <c:numCache/>
            </c:numRef>
          </c:cat>
          <c:val>
            <c:numRef>
              <c:f>'Historical Participation'!$B$2:$B$8</c:f>
              <c:numCache/>
            </c:numRef>
          </c:val>
          <c:smooth val="0"/>
        </c:ser>
        <c:marker val="1"/>
        <c:axId val="34673303"/>
        <c:axId val="43624272"/>
      </c:line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73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81675" y="0"/>
          <a:ext cx="20383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824 Therms is average annual gas use for residential customers.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0</xdr:rowOff>
    </xdr:from>
    <xdr:to>
      <xdr:col>12</xdr:col>
      <xdr:colOff>19050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3524250" y="190500"/>
        <a:ext cx="45720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zoomScale="125" zoomScaleNormal="125" zoomScalePageLayoutView="0" workbookViewId="0" topLeftCell="A13">
      <selection activeCell="C28" sqref="C28"/>
    </sheetView>
  </sheetViews>
  <sheetFormatPr defaultColWidth="9.140625" defaultRowHeight="12.75"/>
  <cols>
    <col min="2" max="2" width="84.8515625" style="0" customWidth="1"/>
    <col min="3" max="3" width="11.7109375" style="0" bestFit="1" customWidth="1"/>
    <col min="4" max="4" width="12.28125" style="0" customWidth="1"/>
    <col min="5" max="5" width="11.7109375" style="0" bestFit="1" customWidth="1"/>
  </cols>
  <sheetData>
    <row r="1" spans="2:10" ht="15.75">
      <c r="B1" s="31" t="s">
        <v>45</v>
      </c>
      <c r="I1" s="34"/>
      <c r="J1" s="34"/>
    </row>
    <row r="2" spans="9:10" ht="12.75">
      <c r="I2" s="34"/>
      <c r="J2" s="34"/>
    </row>
    <row r="3" spans="2:10" ht="12.75">
      <c r="B3" s="99" t="s">
        <v>54</v>
      </c>
      <c r="C3" s="67">
        <f>'Historical Gas Usage'!C26</f>
        <v>785.1666666666666</v>
      </c>
      <c r="D3" s="34"/>
      <c r="E3" s="34"/>
      <c r="F3" s="34"/>
      <c r="G3" s="34"/>
      <c r="H3" s="34"/>
      <c r="I3" s="34"/>
      <c r="J3" s="34"/>
    </row>
    <row r="4" spans="2:10" ht="12.75">
      <c r="B4" s="99" t="s">
        <v>55</v>
      </c>
      <c r="C4" s="23">
        <f>'Historical Gas Usage'!D26</f>
        <v>65.43055555555556</v>
      </c>
      <c r="E4" s="15"/>
      <c r="I4" s="34"/>
      <c r="J4" s="34"/>
    </row>
    <row r="5" spans="2:10" ht="12.75">
      <c r="B5" s="99" t="s">
        <v>31</v>
      </c>
      <c r="C5" s="24">
        <f>'Historical Gas Usage'!B13</f>
        <v>11.69</v>
      </c>
      <c r="E5" s="16"/>
      <c r="I5" s="34"/>
      <c r="J5" s="34"/>
    </row>
    <row r="6" spans="2:10" ht="12.75">
      <c r="B6" s="99" t="s">
        <v>56</v>
      </c>
      <c r="C6" s="63">
        <f>C4*C5</f>
        <v>764.8831944444445</v>
      </c>
      <c r="D6" s="63"/>
      <c r="I6" s="63"/>
      <c r="J6" s="34"/>
    </row>
    <row r="7" spans="2:10" ht="12.75">
      <c r="B7" s="99" t="s">
        <v>57</v>
      </c>
      <c r="C7" s="15">
        <f>C6/2200</f>
        <v>0.3476741792929293</v>
      </c>
      <c r="D7" s="15"/>
      <c r="E7" s="34"/>
      <c r="I7" s="71"/>
      <c r="J7" s="34"/>
    </row>
    <row r="8" spans="4:10" ht="12.75">
      <c r="D8" s="12"/>
      <c r="I8" s="34"/>
      <c r="J8" s="34"/>
    </row>
    <row r="9" spans="2:10" ht="12.75">
      <c r="B9" t="s">
        <v>33</v>
      </c>
      <c r="C9" s="88">
        <v>24.6</v>
      </c>
      <c r="D9" s="11"/>
      <c r="I9" s="70"/>
      <c r="J9" s="34"/>
    </row>
    <row r="10" spans="2:10" ht="12.75">
      <c r="B10" s="74" t="s">
        <v>80</v>
      </c>
      <c r="C10" s="94">
        <v>400</v>
      </c>
      <c r="D10" s="70"/>
      <c r="I10" s="70"/>
      <c r="J10" s="34"/>
    </row>
    <row r="11" spans="2:10" ht="12.75">
      <c r="B11" t="s">
        <v>34</v>
      </c>
      <c r="C11" s="89">
        <f>C10/2200</f>
        <v>0.18181818181818182</v>
      </c>
      <c r="D11" s="15"/>
      <c r="I11" s="71"/>
      <c r="J11" s="34"/>
    </row>
    <row r="12" spans="3:10" ht="12.75">
      <c r="C12" s="89"/>
      <c r="D12" s="15"/>
      <c r="I12" s="71"/>
      <c r="J12" s="34"/>
    </row>
    <row r="13" spans="2:10" ht="12.75">
      <c r="B13" s="99" t="s">
        <v>65</v>
      </c>
      <c r="C13" s="2">
        <f>'Historical Participation'!B2</f>
        <v>17130</v>
      </c>
      <c r="D13" s="12"/>
      <c r="I13" s="34"/>
      <c r="J13" s="34"/>
    </row>
    <row r="14" spans="2:9" ht="12.75">
      <c r="B14" s="74" t="s">
        <v>66</v>
      </c>
      <c r="C14" s="2">
        <f>'Historical Participation'!B3</f>
        <v>24029</v>
      </c>
      <c r="H14" s="34"/>
      <c r="I14" s="34"/>
    </row>
    <row r="15" spans="2:10" ht="12.75">
      <c r="B15" s="74" t="s">
        <v>67</v>
      </c>
      <c r="C15" s="2">
        <f>'Historical Participation'!B4</f>
        <v>23318.363636363636</v>
      </c>
      <c r="I15" s="34"/>
      <c r="J15" s="34"/>
    </row>
    <row r="16" spans="2:10" ht="12.75">
      <c r="B16" s="74" t="s">
        <v>68</v>
      </c>
      <c r="C16" s="2">
        <f>'Historical Participation'!B5</f>
        <v>23519.78512396694</v>
      </c>
      <c r="G16" s="3"/>
      <c r="I16" s="34"/>
      <c r="J16" s="34"/>
    </row>
    <row r="17" spans="2:10" ht="12.75">
      <c r="B17" s="74" t="s">
        <v>69</v>
      </c>
      <c r="C17" s="2">
        <f>'Historical Participation'!B6</f>
        <v>25923.78512396694</v>
      </c>
      <c r="G17" s="3"/>
      <c r="I17" s="34"/>
      <c r="J17" s="34"/>
    </row>
    <row r="18" spans="2:10" ht="12.75">
      <c r="B18" s="74" t="s">
        <v>70</v>
      </c>
      <c r="C18" s="2">
        <f>'Historical Participation'!B7</f>
        <v>28327.78512396694</v>
      </c>
      <c r="I18" s="34"/>
      <c r="J18" s="34"/>
    </row>
    <row r="19" spans="2:10" ht="12.75">
      <c r="B19" s="74"/>
      <c r="C19" s="2"/>
      <c r="I19" s="34"/>
      <c r="J19" s="34"/>
    </row>
    <row r="20" spans="2:10" ht="12.75">
      <c r="B20" s="74" t="s">
        <v>72</v>
      </c>
      <c r="C20" s="130">
        <v>0.954553</v>
      </c>
      <c r="I20" s="34"/>
      <c r="J20" s="34"/>
    </row>
    <row r="21" spans="3:10" ht="12.75">
      <c r="C21" s="2"/>
      <c r="I21" s="34"/>
      <c r="J21" s="34"/>
    </row>
    <row r="22" spans="2:10" ht="12.75">
      <c r="B22" s="74" t="s">
        <v>71</v>
      </c>
      <c r="C22" s="79">
        <v>870736</v>
      </c>
      <c r="I22" s="34"/>
      <c r="J22" s="34"/>
    </row>
    <row r="23" spans="3:10" ht="12.75">
      <c r="C23" s="2"/>
      <c r="I23" s="34"/>
      <c r="J23" s="34"/>
    </row>
    <row r="24" spans="2:10" ht="15.75">
      <c r="B24" s="31" t="s">
        <v>39</v>
      </c>
      <c r="C24" s="2"/>
      <c r="I24" s="34"/>
      <c r="J24" s="34"/>
    </row>
    <row r="25" spans="2:10" ht="12.75">
      <c r="B25" s="1"/>
      <c r="C25" s="64"/>
      <c r="D25" s="64"/>
      <c r="I25" s="68"/>
      <c r="J25" s="34"/>
    </row>
    <row r="26" spans="2:10" ht="12.75">
      <c r="B26" s="1" t="s">
        <v>48</v>
      </c>
      <c r="C26" s="86">
        <f>'Five-Year Cost Summary'!I8/'Five-Year Cost Summary'!I11</f>
        <v>3.49756771108955</v>
      </c>
      <c r="D26" s="64"/>
      <c r="I26" s="68"/>
      <c r="J26" s="34"/>
    </row>
    <row r="27" spans="2:10" ht="12.75">
      <c r="B27" s="72" t="s">
        <v>32</v>
      </c>
      <c r="C27" s="85">
        <v>4.5</v>
      </c>
      <c r="D27" s="10"/>
      <c r="I27" s="69"/>
      <c r="J27" s="34"/>
    </row>
    <row r="28" spans="2:10" ht="12.75">
      <c r="B28" s="1" t="s">
        <v>38</v>
      </c>
      <c r="C28" s="86">
        <f>('Five-Year Cost Summary'!I8/'Five-Year Cost Summary'!I13)*C7</f>
        <v>6.702061069919754</v>
      </c>
      <c r="D28" s="10"/>
      <c r="I28" s="69"/>
      <c r="J28" s="34"/>
    </row>
    <row r="29" spans="2:10" ht="12.75">
      <c r="B29" s="73" t="s">
        <v>37</v>
      </c>
      <c r="C29" s="87">
        <f>C27*2</f>
        <v>9</v>
      </c>
      <c r="D29" s="10"/>
      <c r="I29" s="69"/>
      <c r="J29" s="34"/>
    </row>
    <row r="30" spans="2:10" ht="12.75">
      <c r="B30" s="1"/>
      <c r="C30" s="10"/>
      <c r="D30" s="10"/>
      <c r="I30" s="69"/>
      <c r="J30" s="34"/>
    </row>
    <row r="31" spans="2:10" ht="15.75">
      <c r="B31" s="114" t="s">
        <v>61</v>
      </c>
      <c r="C31" s="10"/>
      <c r="D31" s="10"/>
      <c r="I31" s="69"/>
      <c r="J31" s="34"/>
    </row>
    <row r="32" spans="2:10" ht="12.75">
      <c r="B32" s="99" t="s">
        <v>75</v>
      </c>
      <c r="C32">
        <v>237</v>
      </c>
      <c r="D32" s="2"/>
      <c r="I32" s="34"/>
      <c r="J32" s="34"/>
    </row>
    <row r="33" spans="2:4" ht="12.75">
      <c r="B33" s="99" t="s">
        <v>76</v>
      </c>
      <c r="C33">
        <v>182</v>
      </c>
      <c r="D33" s="2"/>
    </row>
    <row r="35" spans="2:3" ht="12.75">
      <c r="B35" s="73" t="s">
        <v>79</v>
      </c>
      <c r="C35">
        <v>1.1</v>
      </c>
    </row>
    <row r="42" ht="12.75">
      <c r="D42" s="4"/>
    </row>
    <row r="44" ht="12.75">
      <c r="D44" s="4"/>
    </row>
    <row r="45" ht="12.75">
      <c r="D45" s="25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125" zoomScaleNormal="125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4" sqref="L24"/>
    </sheetView>
  </sheetViews>
  <sheetFormatPr defaultColWidth="9.140625" defaultRowHeight="12.75"/>
  <cols>
    <col min="1" max="1" width="51.57421875" style="0" customWidth="1"/>
    <col min="2" max="2" width="15.57421875" style="0" bestFit="1" customWidth="1"/>
    <col min="3" max="8" width="12.8515625" style="0" bestFit="1" customWidth="1"/>
    <col min="9" max="13" width="14.57421875" style="0" bestFit="1" customWidth="1"/>
    <col min="14" max="14" width="17.00390625" style="0" customWidth="1"/>
    <col min="16" max="16" width="16.57421875" style="0" bestFit="1" customWidth="1"/>
    <col min="17" max="17" width="9.8515625" style="0" bestFit="1" customWidth="1"/>
    <col min="18" max="19" width="9.28125" style="0" bestFit="1" customWidth="1"/>
  </cols>
  <sheetData>
    <row r="1" ht="15.75">
      <c r="A1" s="31" t="s">
        <v>21</v>
      </c>
    </row>
    <row r="2" ht="15.75">
      <c r="A2" s="31"/>
    </row>
    <row r="3" ht="12.75">
      <c r="N3" s="44"/>
    </row>
    <row r="4" spans="1:14" ht="12.75">
      <c r="A4" s="35"/>
      <c r="B4" s="36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6" t="s">
        <v>5</v>
      </c>
      <c r="H4" s="36" t="s">
        <v>6</v>
      </c>
      <c r="I4" s="36" t="s">
        <v>7</v>
      </c>
      <c r="J4" s="36" t="s">
        <v>8</v>
      </c>
      <c r="K4" s="36" t="s">
        <v>9</v>
      </c>
      <c r="L4" s="36" t="s">
        <v>10</v>
      </c>
      <c r="M4" s="36" t="s">
        <v>11</v>
      </c>
      <c r="N4" s="43" t="s">
        <v>12</v>
      </c>
    </row>
    <row r="5" spans="1:14" ht="12.7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5"/>
    </row>
    <row r="6" spans="1:14" ht="12.75">
      <c r="A6" s="5">
        <v>2020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ht="12.75">
      <c r="A7" t="s">
        <v>22</v>
      </c>
      <c r="B7" s="2">
        <v>9183</v>
      </c>
      <c r="C7" s="2">
        <v>9242</v>
      </c>
      <c r="D7" s="2">
        <v>10083</v>
      </c>
      <c r="E7" s="2">
        <v>10511</v>
      </c>
      <c r="F7" s="2">
        <v>11063</v>
      </c>
      <c r="G7" s="2">
        <v>11705</v>
      </c>
      <c r="H7" s="2">
        <v>12577</v>
      </c>
      <c r="I7" s="2">
        <v>13571</v>
      </c>
      <c r="J7" s="2">
        <v>14549</v>
      </c>
      <c r="K7" s="2">
        <v>15488</v>
      </c>
      <c r="L7" s="2">
        <v>15820</v>
      </c>
      <c r="M7" s="2">
        <v>17130</v>
      </c>
      <c r="N7" s="6">
        <f>M7</f>
        <v>17130</v>
      </c>
    </row>
    <row r="8" spans="1:16" ht="12.75">
      <c r="A8" s="74" t="s">
        <v>82</v>
      </c>
      <c r="B8" s="4">
        <f>B9*4</f>
        <v>48644.8</v>
      </c>
      <c r="C8" s="4">
        <f>C9*4</f>
        <v>49328.8</v>
      </c>
      <c r="D8" s="4">
        <f>D9*4</f>
        <v>60856.2</v>
      </c>
      <c r="E8" s="4">
        <f>E9*3</f>
        <v>41089.53</v>
      </c>
      <c r="F8" s="4">
        <f aca="true" t="shared" si="0" ref="F8:M8">F9*3</f>
        <v>43890.72</v>
      </c>
      <c r="G8" s="4">
        <f t="shared" si="0"/>
        <v>46875.69</v>
      </c>
      <c r="H8" s="4">
        <f t="shared" si="0"/>
        <v>49522.5</v>
      </c>
      <c r="I8" s="4">
        <f t="shared" si="0"/>
        <v>52960.5</v>
      </c>
      <c r="J8" s="4">
        <f t="shared" si="0"/>
        <v>56773.020000000004</v>
      </c>
      <c r="K8" s="4">
        <f t="shared" si="0"/>
        <v>60493.020000000004</v>
      </c>
      <c r="L8" s="4">
        <f t="shared" si="0"/>
        <v>61553.850000000006</v>
      </c>
      <c r="M8" s="4">
        <f t="shared" si="0"/>
        <v>62569.08</v>
      </c>
      <c r="N8" s="7">
        <f>SUM(B8:M8)</f>
        <v>634557.71</v>
      </c>
      <c r="P8" s="74" t="s">
        <v>88</v>
      </c>
    </row>
    <row r="9" spans="1:16" ht="12.75">
      <c r="A9" s="93" t="s">
        <v>84</v>
      </c>
      <c r="B9" s="20">
        <v>12161.2</v>
      </c>
      <c r="C9" s="20">
        <v>12332.2</v>
      </c>
      <c r="D9" s="20">
        <v>15214.05</v>
      </c>
      <c r="E9" s="20">
        <v>13696.51</v>
      </c>
      <c r="F9" s="20">
        <v>14630.24</v>
      </c>
      <c r="G9" s="20">
        <v>15625.23</v>
      </c>
      <c r="H9" s="20">
        <v>16507.5</v>
      </c>
      <c r="I9" s="20">
        <v>17653.5</v>
      </c>
      <c r="J9" s="20">
        <v>18924.34</v>
      </c>
      <c r="K9" s="20">
        <v>20164.34</v>
      </c>
      <c r="L9" s="20">
        <v>20517.95</v>
      </c>
      <c r="M9" s="20">
        <v>20856.36</v>
      </c>
      <c r="N9" s="21">
        <f>SUM(B9:M9)</f>
        <v>198283.41999999998</v>
      </c>
      <c r="P9" s="12">
        <f>(N9/N7)/12</f>
        <v>0.964601187001362</v>
      </c>
    </row>
    <row r="10" spans="1:14" ht="12.75">
      <c r="A10" t="s">
        <v>13</v>
      </c>
      <c r="B10" s="22">
        <f>B9*Assumptions!$C$10</f>
        <v>4864480</v>
      </c>
      <c r="C10" s="22">
        <f>C9*Assumptions!$C$10</f>
        <v>4932880</v>
      </c>
      <c r="D10" s="22">
        <f>D9*Assumptions!$C$10</f>
        <v>6085620</v>
      </c>
      <c r="E10" s="22">
        <f>E9*Assumptions!$C$10</f>
        <v>5478604</v>
      </c>
      <c r="F10" s="22">
        <f>F9*Assumptions!$C$10</f>
        <v>5852096</v>
      </c>
      <c r="G10" s="22">
        <f>G9*Assumptions!$C$10</f>
        <v>6250092</v>
      </c>
      <c r="H10" s="22">
        <f>H9*Assumptions!$C$10</f>
        <v>6603000</v>
      </c>
      <c r="I10" s="22">
        <f>I9*Assumptions!$C$10</f>
        <v>7061400</v>
      </c>
      <c r="J10" s="22">
        <f>J9*Assumptions!$C$10</f>
        <v>7569736</v>
      </c>
      <c r="K10" s="22">
        <f>K9*Assumptions!$C$10</f>
        <v>8065736</v>
      </c>
      <c r="L10" s="22">
        <f>L9*Assumptions!$C$10</f>
        <v>8207180</v>
      </c>
      <c r="M10" s="22">
        <f>M9*Assumptions!$C$10</f>
        <v>8342544</v>
      </c>
      <c r="N10" s="21">
        <f>SUM(B10:M10)</f>
        <v>79313368</v>
      </c>
    </row>
    <row r="11" spans="1:14" ht="12.75">
      <c r="A11" t="s">
        <v>23</v>
      </c>
      <c r="B11" s="12">
        <f>B10/2200</f>
        <v>2211.1272727272726</v>
      </c>
      <c r="C11" s="12">
        <f>C10/2200</f>
        <v>2242.2181818181816</v>
      </c>
      <c r="D11" s="22">
        <f>D10/2200</f>
        <v>2766.190909090909</v>
      </c>
      <c r="E11" s="22">
        <f>E10/2200</f>
        <v>2490.2745454545457</v>
      </c>
      <c r="F11" s="22">
        <f aca="true" t="shared" si="1" ref="F11:M11">F10/2200</f>
        <v>2660.0436363636363</v>
      </c>
      <c r="G11" s="22">
        <f t="shared" si="1"/>
        <v>2840.950909090909</v>
      </c>
      <c r="H11" s="22">
        <f t="shared" si="1"/>
        <v>3001.3636363636365</v>
      </c>
      <c r="I11" s="22">
        <f t="shared" si="1"/>
        <v>3209.7272727272725</v>
      </c>
      <c r="J11" s="22">
        <f t="shared" si="1"/>
        <v>3440.789090909091</v>
      </c>
      <c r="K11" s="22">
        <f t="shared" si="1"/>
        <v>3666.243636363636</v>
      </c>
      <c r="L11" s="22">
        <f t="shared" si="1"/>
        <v>3730.5363636363636</v>
      </c>
      <c r="M11" s="22">
        <f t="shared" si="1"/>
        <v>3792.0654545454545</v>
      </c>
      <c r="N11" s="21">
        <f>SUM(B11:M11)</f>
        <v>36051.53090909091</v>
      </c>
    </row>
    <row r="12" spans="6:14" ht="12.75">
      <c r="F12" s="22"/>
      <c r="G12" s="22"/>
      <c r="H12" s="22"/>
      <c r="I12" s="22"/>
      <c r="J12" s="22"/>
      <c r="K12" s="22"/>
      <c r="L12" s="22"/>
      <c r="M12" s="22"/>
      <c r="N12" s="21"/>
    </row>
    <row r="13" spans="1:14" ht="12.75">
      <c r="A13" s="5">
        <v>2021</v>
      </c>
      <c r="N13" s="8"/>
    </row>
    <row r="14" spans="1:14" ht="12.75">
      <c r="A14" t="s">
        <v>22</v>
      </c>
      <c r="B14" s="2">
        <v>17684</v>
      </c>
      <c r="C14" s="2">
        <v>17591</v>
      </c>
      <c r="D14" s="2">
        <v>18754</v>
      </c>
      <c r="E14" s="2">
        <v>19291</v>
      </c>
      <c r="F14" s="2">
        <v>19742</v>
      </c>
      <c r="G14" s="2">
        <v>20199</v>
      </c>
      <c r="H14" s="2">
        <v>21150</v>
      </c>
      <c r="I14" s="2">
        <v>21848</v>
      </c>
      <c r="J14" s="2">
        <v>22557</v>
      </c>
      <c r="K14" s="2">
        <v>23066</v>
      </c>
      <c r="L14" s="2">
        <v>23668</v>
      </c>
      <c r="M14" s="2">
        <v>24029</v>
      </c>
      <c r="N14" s="19">
        <f>M14</f>
        <v>24029</v>
      </c>
    </row>
    <row r="15" spans="1:16" ht="12.75">
      <c r="A15" s="74" t="s">
        <v>83</v>
      </c>
      <c r="B15" s="4">
        <f>B16*3</f>
        <v>68873.91</v>
      </c>
      <c r="C15" s="4">
        <f aca="true" t="shared" si="2" ref="C15:M15">C16*3</f>
        <v>69148.38</v>
      </c>
      <c r="D15" s="4">
        <f t="shared" si="2"/>
        <v>69984.24</v>
      </c>
      <c r="E15" s="4">
        <f t="shared" si="2"/>
        <v>76389.45000000001</v>
      </c>
      <c r="F15" s="4">
        <f t="shared" si="2"/>
        <v>77855.97</v>
      </c>
      <c r="G15" s="4">
        <f t="shared" si="2"/>
        <v>80175.72</v>
      </c>
      <c r="H15" s="4">
        <f t="shared" si="2"/>
        <v>88157.37</v>
      </c>
      <c r="I15" s="4">
        <f t="shared" si="2"/>
        <v>89571.27</v>
      </c>
      <c r="J15" s="4">
        <f t="shared" si="2"/>
        <v>92025.45000000001</v>
      </c>
      <c r="K15" s="4">
        <f t="shared" si="2"/>
        <v>94769.85</v>
      </c>
      <c r="L15" s="4">
        <f t="shared" si="2"/>
        <v>98279.70000000001</v>
      </c>
      <c r="M15" s="4">
        <f t="shared" si="2"/>
        <v>98168.4</v>
      </c>
      <c r="N15" s="9">
        <f>SUM(B15:M15)</f>
        <v>1003399.7100000001</v>
      </c>
      <c r="P15" s="74" t="s">
        <v>88</v>
      </c>
    </row>
    <row r="16" spans="1:16" ht="12.75">
      <c r="A16" s="74" t="s">
        <v>84</v>
      </c>
      <c r="B16" s="20">
        <v>22957.97</v>
      </c>
      <c r="C16" s="20">
        <v>23049.46</v>
      </c>
      <c r="D16" s="20">
        <v>23328.08</v>
      </c>
      <c r="E16" s="20">
        <v>25463.15</v>
      </c>
      <c r="F16" s="20">
        <v>25951.99</v>
      </c>
      <c r="G16" s="20">
        <v>26725.24</v>
      </c>
      <c r="H16" s="20">
        <v>29385.79</v>
      </c>
      <c r="I16" s="20">
        <v>29857.09</v>
      </c>
      <c r="J16" s="20">
        <v>30675.15</v>
      </c>
      <c r="K16" s="20">
        <v>31589.95</v>
      </c>
      <c r="L16" s="20">
        <v>32759.9</v>
      </c>
      <c r="M16" s="20">
        <v>32722.8</v>
      </c>
      <c r="N16" s="21">
        <f>SUM(B16:M16)</f>
        <v>334466.57</v>
      </c>
      <c r="P16">
        <f>(N16/N14)/12</f>
        <v>1.1599406619778878</v>
      </c>
    </row>
    <row r="17" spans="1:14" ht="12.75">
      <c r="A17" t="s">
        <v>13</v>
      </c>
      <c r="B17" s="22">
        <f>B16*Assumptions!$C$10</f>
        <v>9183188</v>
      </c>
      <c r="C17" s="22">
        <f>C16*Assumptions!$C$10</f>
        <v>9219784</v>
      </c>
      <c r="D17" s="22">
        <f>D16*Assumptions!$C$10</f>
        <v>9331232</v>
      </c>
      <c r="E17" s="22">
        <f>E16*Assumptions!$C$10</f>
        <v>10185260</v>
      </c>
      <c r="F17" s="22">
        <f>F16*Assumptions!$C$10</f>
        <v>10380796</v>
      </c>
      <c r="G17" s="22">
        <f>G16*Assumptions!$C$10</f>
        <v>10690096</v>
      </c>
      <c r="H17" s="22">
        <f>H16*Assumptions!$C$10</f>
        <v>11754316</v>
      </c>
      <c r="I17" s="22">
        <f>I16*Assumptions!$C$10</f>
        <v>11942836</v>
      </c>
      <c r="J17" s="22">
        <f>J16*Assumptions!$C$10</f>
        <v>12270060</v>
      </c>
      <c r="K17" s="22">
        <f>K16*Assumptions!$C$10</f>
        <v>12635980</v>
      </c>
      <c r="L17" s="22">
        <f>L16*Assumptions!$C$10</f>
        <v>13103960</v>
      </c>
      <c r="M17" s="22">
        <f>M16*Assumptions!$C$10</f>
        <v>13089120</v>
      </c>
      <c r="N17" s="21">
        <f>SUM(B17:M17)</f>
        <v>133786628</v>
      </c>
    </row>
    <row r="18" spans="1:14" ht="12.75">
      <c r="A18" t="s">
        <v>23</v>
      </c>
      <c r="B18" s="22">
        <f aca="true" t="shared" si="3" ref="B18:M18">B17/2200</f>
        <v>4174.176363636364</v>
      </c>
      <c r="C18" s="22">
        <f t="shared" si="3"/>
        <v>4190.810909090909</v>
      </c>
      <c r="D18" s="22">
        <f t="shared" si="3"/>
        <v>4241.4690909090905</v>
      </c>
      <c r="E18" s="22">
        <f t="shared" si="3"/>
        <v>4629.663636363636</v>
      </c>
      <c r="F18" s="22">
        <f t="shared" si="3"/>
        <v>4718.543636363636</v>
      </c>
      <c r="G18" s="22">
        <f t="shared" si="3"/>
        <v>4859.134545454545</v>
      </c>
      <c r="H18" s="22">
        <f t="shared" si="3"/>
        <v>5342.870909090909</v>
      </c>
      <c r="I18" s="22">
        <f t="shared" si="3"/>
        <v>5428.561818181818</v>
      </c>
      <c r="J18" s="22">
        <f t="shared" si="3"/>
        <v>5577.3</v>
      </c>
      <c r="K18" s="22">
        <f t="shared" si="3"/>
        <v>5743.627272727273</v>
      </c>
      <c r="L18" s="22">
        <f t="shared" si="3"/>
        <v>5956.345454545454</v>
      </c>
      <c r="M18" s="22">
        <f t="shared" si="3"/>
        <v>5949.6</v>
      </c>
      <c r="N18" s="21">
        <f>SUM(B18:M18)</f>
        <v>60812.10363636364</v>
      </c>
    </row>
    <row r="19" spans="2:14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</row>
    <row r="20" spans="1:14" ht="13.5" thickBot="1">
      <c r="A20" s="5">
        <v>2022</v>
      </c>
      <c r="N20" s="8"/>
    </row>
    <row r="21" spans="1:14" ht="13.5" thickBot="1">
      <c r="A21" t="s">
        <v>22</v>
      </c>
      <c r="B21" s="22">
        <v>24279</v>
      </c>
      <c r="C21" s="22">
        <v>23349</v>
      </c>
      <c r="D21" s="22">
        <v>24311</v>
      </c>
      <c r="E21" s="22">
        <v>24443</v>
      </c>
      <c r="F21" s="22">
        <v>24658</v>
      </c>
      <c r="G21" s="22">
        <v>24839</v>
      </c>
      <c r="H21" s="22">
        <v>24844</v>
      </c>
      <c r="I21" s="135">
        <v>24794</v>
      </c>
      <c r="J21" s="106">
        <f>I21+Assumptions!$C$32</f>
        <v>25031</v>
      </c>
      <c r="K21" s="106">
        <f>J21+Assumptions!$C$32</f>
        <v>25268</v>
      </c>
      <c r="L21" s="138">
        <f>(K21+Assumptions!C33)/Assumptions!C35</f>
        <v>23136.363636363636</v>
      </c>
      <c r="M21" s="106">
        <f>L21+Assumptions!C33</f>
        <v>23318.363636363636</v>
      </c>
      <c r="N21" s="109">
        <f>M21</f>
        <v>23318.363636363636</v>
      </c>
    </row>
    <row r="22" spans="1:16" ht="12.75">
      <c r="A22" s="74" t="s">
        <v>82</v>
      </c>
      <c r="B22" s="4">
        <f>B23*3</f>
        <v>113229</v>
      </c>
      <c r="C22" s="4">
        <f aca="true" t="shared" si="4" ref="C22:I22">C23*3</f>
        <v>110829</v>
      </c>
      <c r="D22" s="4">
        <f t="shared" si="4"/>
        <v>118503.29999999999</v>
      </c>
      <c r="E22" s="4">
        <f t="shared" si="4"/>
        <v>102150</v>
      </c>
      <c r="F22" s="4">
        <f t="shared" si="4"/>
        <v>106857</v>
      </c>
      <c r="G22" s="4">
        <f t="shared" si="4"/>
        <v>105957</v>
      </c>
      <c r="H22" s="4">
        <f t="shared" si="4"/>
        <v>106485</v>
      </c>
      <c r="I22" s="4">
        <f t="shared" si="4"/>
        <v>107034</v>
      </c>
      <c r="J22" s="107">
        <f>J23*3</f>
        <v>108057.11276921837</v>
      </c>
      <c r="K22" s="107">
        <f>K23*3</f>
        <v>109080.22553843673</v>
      </c>
      <c r="L22" s="107">
        <f>L23*3</f>
        <v>99878.09734026561</v>
      </c>
      <c r="M22" s="107">
        <f>M23*Assumptions!$C$27</f>
        <v>150995.6683141816</v>
      </c>
      <c r="N22" s="110">
        <f>SUM(B22:M22)</f>
        <v>1339055.4039621023</v>
      </c>
      <c r="P22" s="74" t="s">
        <v>90</v>
      </c>
    </row>
    <row r="23" spans="1:16" ht="12.75">
      <c r="A23" s="74" t="s">
        <v>85</v>
      </c>
      <c r="B23" s="115">
        <v>37743</v>
      </c>
      <c r="C23" s="115">
        <v>36943</v>
      </c>
      <c r="D23" s="20">
        <v>39501.1</v>
      </c>
      <c r="E23" s="20">
        <v>34050</v>
      </c>
      <c r="F23" s="20">
        <v>35619</v>
      </c>
      <c r="G23" s="20">
        <v>35319</v>
      </c>
      <c r="H23" s="20">
        <v>35495</v>
      </c>
      <c r="I23" s="136">
        <v>35678</v>
      </c>
      <c r="J23" s="132">
        <f>J21*$B$50</f>
        <v>36019.037589739455</v>
      </c>
      <c r="K23" s="108">
        <f>K21*$B$50</f>
        <v>36360.07517947891</v>
      </c>
      <c r="L23" s="108">
        <f>L21*$B$50</f>
        <v>33292.69911342187</v>
      </c>
      <c r="M23" s="108">
        <f>M21*$B$50</f>
        <v>33554.59295870702</v>
      </c>
      <c r="N23" s="111">
        <f>SUM(B23:M23)</f>
        <v>429574.5048413472</v>
      </c>
      <c r="P23">
        <f>I23/I21</f>
        <v>1.4389771718964266</v>
      </c>
    </row>
    <row r="24" spans="1:14" ht="12.75">
      <c r="A24" t="s">
        <v>13</v>
      </c>
      <c r="B24" s="22">
        <f>B23*Assumptions!$C$10</f>
        <v>15097200</v>
      </c>
      <c r="C24" s="22">
        <f>C23*Assumptions!$C$10</f>
        <v>14777200</v>
      </c>
      <c r="D24" s="22">
        <f>D23*Assumptions!$C$10</f>
        <v>15800440</v>
      </c>
      <c r="E24" s="22">
        <f>E23*Assumptions!$C$10</f>
        <v>13620000</v>
      </c>
      <c r="F24" s="22">
        <f>F23*Assumptions!$C$10</f>
        <v>14247600</v>
      </c>
      <c r="G24" s="22">
        <f>G23*Assumptions!$C$10</f>
        <v>14127600</v>
      </c>
      <c r="H24" s="22">
        <f>H23*Assumptions!$C$10</f>
        <v>14198000</v>
      </c>
      <c r="I24" s="22">
        <f>I23*Assumptions!$C$10</f>
        <v>14271200</v>
      </c>
      <c r="J24" s="106">
        <f>J23*Assumptions!C10</f>
        <v>14407615.035895782</v>
      </c>
      <c r="K24" s="106">
        <f>K23*Assumptions!C10</f>
        <v>14544030.071791563</v>
      </c>
      <c r="L24" s="106">
        <f>L23*Assumptions!C10</f>
        <v>13317079.645368747</v>
      </c>
      <c r="M24" s="106">
        <f>M23*Assumptions!C10</f>
        <v>13421837.183482809</v>
      </c>
      <c r="N24" s="111">
        <f>SUM(B24:M24)</f>
        <v>171829801.9365389</v>
      </c>
    </row>
    <row r="25" spans="1:14" ht="12.75">
      <c r="A25" t="s">
        <v>23</v>
      </c>
      <c r="B25" s="22">
        <f aca="true" t="shared" si="5" ref="B25:M25">B24/2200</f>
        <v>6862.363636363636</v>
      </c>
      <c r="C25" s="22">
        <f t="shared" si="5"/>
        <v>6716.909090909091</v>
      </c>
      <c r="D25" s="22">
        <f t="shared" si="5"/>
        <v>7182.018181818182</v>
      </c>
      <c r="E25" s="22">
        <f t="shared" si="5"/>
        <v>6190.909090909091</v>
      </c>
      <c r="F25" s="22">
        <f t="shared" si="5"/>
        <v>6476.181818181818</v>
      </c>
      <c r="G25" s="22">
        <f t="shared" si="5"/>
        <v>6421.636363636364</v>
      </c>
      <c r="H25" s="22">
        <f t="shared" si="5"/>
        <v>6453.636363636364</v>
      </c>
      <c r="I25" s="137">
        <f>I24/2200</f>
        <v>6486.909090909091</v>
      </c>
      <c r="J25" s="106">
        <f t="shared" si="5"/>
        <v>6548.915925407174</v>
      </c>
      <c r="K25" s="106">
        <f t="shared" si="5"/>
        <v>6610.922759905256</v>
      </c>
      <c r="L25" s="106">
        <f t="shared" si="5"/>
        <v>6053.218020622158</v>
      </c>
      <c r="M25" s="106">
        <f t="shared" si="5"/>
        <v>6100.835083401277</v>
      </c>
      <c r="N25" s="111">
        <f>SUM(B25:M25)</f>
        <v>78104.4554256995</v>
      </c>
    </row>
    <row r="26" spans="2:14" ht="12.75">
      <c r="B26" s="22"/>
      <c r="C26" s="22"/>
      <c r="D26" s="22"/>
      <c r="E26" s="22"/>
      <c r="F26" s="22"/>
      <c r="G26" s="22"/>
      <c r="H26" s="22"/>
      <c r="I26" s="137"/>
      <c r="J26" s="106"/>
      <c r="K26" s="106"/>
      <c r="L26" s="106"/>
      <c r="M26" s="106"/>
      <c r="N26" s="111"/>
    </row>
    <row r="27" spans="1:14" ht="12.75">
      <c r="A27" s="74" t="s">
        <v>91</v>
      </c>
      <c r="B27" s="22">
        <f>B23/B21</f>
        <v>1.5545533176819473</v>
      </c>
      <c r="C27" s="22">
        <f aca="true" t="shared" si="6" ref="C27:M27">C23/C21</f>
        <v>1.5822090881836481</v>
      </c>
      <c r="D27" s="145">
        <f t="shared" si="6"/>
        <v>1.624824153675291</v>
      </c>
      <c r="E27" s="145">
        <f>E23/E21</f>
        <v>1.3930368612690749</v>
      </c>
      <c r="F27" s="145">
        <f t="shared" si="6"/>
        <v>1.4445210479357613</v>
      </c>
      <c r="G27" s="145">
        <f t="shared" si="6"/>
        <v>1.4219171464229639</v>
      </c>
      <c r="H27" s="145">
        <f t="shared" si="6"/>
        <v>1.4287151827402995</v>
      </c>
      <c r="I27" s="145">
        <f t="shared" si="6"/>
        <v>1.4389771718964266</v>
      </c>
      <c r="J27" s="145">
        <f t="shared" si="6"/>
        <v>1.4389771718964266</v>
      </c>
      <c r="K27" s="145">
        <f t="shared" si="6"/>
        <v>1.4389771718964268</v>
      </c>
      <c r="L27" s="145">
        <f t="shared" si="6"/>
        <v>1.4389771718964266</v>
      </c>
      <c r="M27" s="145">
        <f t="shared" si="6"/>
        <v>1.4389771718964266</v>
      </c>
      <c r="N27" s="146">
        <f>AVERAGE(B27:M27)</f>
        <v>1.4703885547825932</v>
      </c>
    </row>
    <row r="28" ht="12.75">
      <c r="N28" s="34"/>
    </row>
    <row r="29" spans="1:14" ht="13.5" thickBot="1">
      <c r="A29" s="5">
        <v>2023</v>
      </c>
      <c r="N29" s="34"/>
    </row>
    <row r="30" spans="1:16" ht="13.5" thickBot="1">
      <c r="A30" t="s">
        <v>22</v>
      </c>
      <c r="B30" s="106">
        <f>N21+Assumptions!C33</f>
        <v>23500.363636363636</v>
      </c>
      <c r="C30" s="106">
        <f>B30+Assumptions!C33</f>
        <v>23682.363636363636</v>
      </c>
      <c r="D30" s="106">
        <f>C30+Assumptions!C33</f>
        <v>23864.363636363636</v>
      </c>
      <c r="E30" s="106">
        <f>D30+Assumptions!C33</f>
        <v>24046.363636363636</v>
      </c>
      <c r="F30" s="138">
        <f>(E30+Assumptions!C33)/Assumptions!C35</f>
        <v>22025.78512396694</v>
      </c>
      <c r="G30" s="106">
        <f>F30+Assumptions!C33</f>
        <v>22207.78512396694</v>
      </c>
      <c r="H30" s="106">
        <f>G30+Assumptions!C32</f>
        <v>22444.78512396694</v>
      </c>
      <c r="I30" s="106">
        <f>H30+Assumptions!C32</f>
        <v>22681.78512396694</v>
      </c>
      <c r="J30" s="106">
        <f>I30+Assumptions!C32</f>
        <v>22918.78512396694</v>
      </c>
      <c r="K30" s="106">
        <f>J30+Assumptions!C32</f>
        <v>23155.78512396694</v>
      </c>
      <c r="L30" s="106">
        <f>(K30+Assumptions!C33)</f>
        <v>23337.78512396694</v>
      </c>
      <c r="M30" s="106">
        <f>L30+Assumptions!C33</f>
        <v>23519.78512396694</v>
      </c>
      <c r="N30" s="109">
        <f>M30</f>
        <v>23519.78512396694</v>
      </c>
      <c r="P30" s="10">
        <v>1248179.9539491357</v>
      </c>
    </row>
    <row r="31" spans="1:16" ht="12.75">
      <c r="A31" s="74" t="s">
        <v>82</v>
      </c>
      <c r="B31" s="107">
        <f>B32*4.5</f>
        <v>152174.19061796478</v>
      </c>
      <c r="C31" s="107">
        <f>C32*Assumptions!$C$27</f>
        <v>153352.71292174794</v>
      </c>
      <c r="D31" s="107">
        <f>D32*Assumptions!$C$27</f>
        <v>154531.2352255311</v>
      </c>
      <c r="E31" s="107">
        <f>E32*Assumptions!$C$27</f>
        <v>155709.75752931426</v>
      </c>
      <c r="F31" s="107">
        <f>F32*Assumptions!$C$27</f>
        <v>142625.7089391795</v>
      </c>
      <c r="G31" s="107">
        <f>G32*Assumptions!$C$27</f>
        <v>143804.23124296265</v>
      </c>
      <c r="H31" s="107">
        <f>H32*Assumptions!$C$27</f>
        <v>145338.9003967902</v>
      </c>
      <c r="I31" s="107">
        <f>I32*Assumptions!$C$27</f>
        <v>146873.56955061774</v>
      </c>
      <c r="J31" s="107">
        <f>J32*Assumptions!$C$27</f>
        <v>148408.23870444528</v>
      </c>
      <c r="K31" s="107">
        <f>K32*Assumptions!$C$27</f>
        <v>149942.9078582728</v>
      </c>
      <c r="L31" s="107">
        <f>L32*Assumptions!$C$27</f>
        <v>151121.43016205597</v>
      </c>
      <c r="M31" s="107">
        <f>M32*Assumptions!$C$27</f>
        <v>152299.95246583916</v>
      </c>
      <c r="N31" s="110">
        <f>SUM(B31:M31)</f>
        <v>1796182.8356147213</v>
      </c>
      <c r="P31" s="10">
        <v>1796182.8356147213</v>
      </c>
    </row>
    <row r="32" spans="1:16" ht="12.75">
      <c r="A32" s="74" t="s">
        <v>85</v>
      </c>
      <c r="B32" s="132">
        <f aca="true" t="shared" si="7" ref="B32:M32">B30*$B$50</f>
        <v>33816.48680399217</v>
      </c>
      <c r="C32" s="132">
        <f t="shared" si="7"/>
        <v>34078.38064927732</v>
      </c>
      <c r="D32" s="108">
        <f t="shared" si="7"/>
        <v>34340.274494562465</v>
      </c>
      <c r="E32" s="108">
        <f t="shared" si="7"/>
        <v>34602.168339847616</v>
      </c>
      <c r="F32" s="132">
        <f t="shared" si="7"/>
        <v>31694.601986484333</v>
      </c>
      <c r="G32" s="108">
        <f t="shared" si="7"/>
        <v>31956.49583176948</v>
      </c>
      <c r="H32" s="108">
        <f t="shared" si="7"/>
        <v>32297.533421508935</v>
      </c>
      <c r="I32" s="132">
        <f t="shared" si="7"/>
        <v>32638.571011248387</v>
      </c>
      <c r="J32" s="108">
        <f t="shared" si="7"/>
        <v>32979.60860098784</v>
      </c>
      <c r="K32" s="108">
        <f t="shared" si="7"/>
        <v>33320.64619072729</v>
      </c>
      <c r="L32" s="108">
        <f t="shared" si="7"/>
        <v>33582.54003601244</v>
      </c>
      <c r="M32" s="108">
        <f t="shared" si="7"/>
        <v>33844.43388129759</v>
      </c>
      <c r="N32" s="111">
        <f>SUM(B32:M32)</f>
        <v>399151.74124771584</v>
      </c>
      <c r="P32" s="120">
        <f>P31-P30</f>
        <v>548002.8816655856</v>
      </c>
    </row>
    <row r="33" spans="1:14" ht="12.75">
      <c r="A33" t="s">
        <v>13</v>
      </c>
      <c r="B33" s="106">
        <f>B32*Assumptions!C10</f>
        <v>13526594.721596869</v>
      </c>
      <c r="C33" s="106">
        <f>C32*Assumptions!C10</f>
        <v>13631352.259710928</v>
      </c>
      <c r="D33" s="106">
        <f>D32*Assumptions!C10</f>
        <v>13736109.797824986</v>
      </c>
      <c r="E33" s="106">
        <f>E32*Assumptions!C10</f>
        <v>13840867.335939046</v>
      </c>
      <c r="F33" s="106">
        <f>F32*Assumptions!C10</f>
        <v>12677840.794593733</v>
      </c>
      <c r="G33" s="106">
        <f>G32*Assumptions!C10</f>
        <v>12782598.332707793</v>
      </c>
      <c r="H33" s="106">
        <f>H32*Assumptions!C10</f>
        <v>12919013.368603574</v>
      </c>
      <c r="I33" s="106">
        <f>I32*Assumptions!C10</f>
        <v>13055428.404499354</v>
      </c>
      <c r="J33" s="106">
        <f>J32*Assumptions!C10</f>
        <v>13191843.440395137</v>
      </c>
      <c r="K33" s="106">
        <f>K32*Assumptions!C10</f>
        <v>13328258.476290915</v>
      </c>
      <c r="L33" s="106">
        <f>L32*Assumptions!C10</f>
        <v>13433016.014404977</v>
      </c>
      <c r="M33" s="106">
        <f>M32*Assumptions!C10</f>
        <v>13537773.552519036</v>
      </c>
      <c r="N33" s="111">
        <f>SUM(B33:M33)</f>
        <v>159660696.49908632</v>
      </c>
    </row>
    <row r="34" spans="1:14" ht="12.75">
      <c r="A34" t="s">
        <v>23</v>
      </c>
      <c r="B34" s="106">
        <f aca="true" t="shared" si="8" ref="B34:L34">B33/2200</f>
        <v>6148.452146180395</v>
      </c>
      <c r="C34" s="106">
        <f t="shared" si="8"/>
        <v>6196.069208959513</v>
      </c>
      <c r="D34" s="106">
        <f t="shared" si="8"/>
        <v>6243.68627173863</v>
      </c>
      <c r="E34" s="106">
        <f t="shared" si="8"/>
        <v>6291.303334517748</v>
      </c>
      <c r="F34" s="106">
        <f t="shared" si="8"/>
        <v>5762.654906633515</v>
      </c>
      <c r="G34" s="106">
        <f t="shared" si="8"/>
        <v>5810.271969412633</v>
      </c>
      <c r="H34" s="106">
        <f t="shared" si="8"/>
        <v>5872.278803910715</v>
      </c>
      <c r="I34" s="106">
        <f t="shared" si="8"/>
        <v>5934.285638408797</v>
      </c>
      <c r="J34" s="106">
        <f t="shared" si="8"/>
        <v>5996.292472906881</v>
      </c>
      <c r="K34" s="106">
        <f t="shared" si="8"/>
        <v>6058.299307404962</v>
      </c>
      <c r="L34" s="106">
        <f t="shared" si="8"/>
        <v>6105.916370184081</v>
      </c>
      <c r="M34" s="131">
        <f>M33/2200</f>
        <v>6153.533432963199</v>
      </c>
      <c r="N34" s="111">
        <f>SUM(B34:M34)</f>
        <v>72573.04386322107</v>
      </c>
    </row>
    <row r="35" spans="2:14" ht="12.7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</row>
    <row r="36" spans="1:14" ht="12.75">
      <c r="A36" s="5">
        <v>2024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</row>
    <row r="37" spans="1:14" ht="12.75">
      <c r="A37" t="s">
        <v>22</v>
      </c>
      <c r="B37" s="106">
        <f>N30+Assumptions!C33</f>
        <v>23701.78512396694</v>
      </c>
      <c r="C37" s="106">
        <f>B37+Assumptions!C33</f>
        <v>23883.78512396694</v>
      </c>
      <c r="D37" s="106">
        <f>C37+Assumptions!C33</f>
        <v>24065.78512396694</v>
      </c>
      <c r="E37" s="106">
        <f>D37+Assumptions!C33</f>
        <v>24247.78512396694</v>
      </c>
      <c r="F37" s="106">
        <f>E37+Assumptions!C33</f>
        <v>24429.78512396694</v>
      </c>
      <c r="G37" s="106">
        <f>F37+Assumptions!C33</f>
        <v>24611.78512396694</v>
      </c>
      <c r="H37" s="106">
        <f>G37+Assumptions!C32</f>
        <v>24848.78512396694</v>
      </c>
      <c r="I37" s="106">
        <f>H37+Assumptions!C32</f>
        <v>25085.78512396694</v>
      </c>
      <c r="J37" s="106">
        <f>I37+Assumptions!C32</f>
        <v>25322.78512396694</v>
      </c>
      <c r="K37" s="106">
        <f>J37+Assumptions!C32</f>
        <v>25559.78512396694</v>
      </c>
      <c r="L37" s="106">
        <f>K37+Assumptions!C33</f>
        <v>25741.78512396694</v>
      </c>
      <c r="M37" s="106">
        <f>L37+Assumptions!C33</f>
        <v>25923.78512396694</v>
      </c>
      <c r="N37" s="109">
        <f>M37</f>
        <v>25923.78512396694</v>
      </c>
    </row>
    <row r="38" spans="1:14" ht="12.75">
      <c r="A38" s="74" t="s">
        <v>83</v>
      </c>
      <c r="B38" s="107">
        <f>B39*4.5</f>
        <v>153478.47476962235</v>
      </c>
      <c r="C38" s="107">
        <f>C39*Assumptions!$C$27</f>
        <v>154656.9970734055</v>
      </c>
      <c r="D38" s="107">
        <f>D39*Assumptions!$C$27</f>
        <v>155835.5193771887</v>
      </c>
      <c r="E38" s="107">
        <f>E39*Assumptions!$C$27</f>
        <v>157014.04168097186</v>
      </c>
      <c r="F38" s="107">
        <f>F39*Assumptions!$C$27</f>
        <v>158192.56398475502</v>
      </c>
      <c r="G38" s="107">
        <f>G39*Assumptions!$C$27</f>
        <v>159371.0862885382</v>
      </c>
      <c r="H38" s="107">
        <f>H39*Assumptions!$C$27</f>
        <v>160905.75544236574</v>
      </c>
      <c r="I38" s="107">
        <f>I39*Assumptions!$C$27</f>
        <v>162440.4245961933</v>
      </c>
      <c r="J38" s="107">
        <f>J39*Assumptions!$C$27</f>
        <v>163975.0937500208</v>
      </c>
      <c r="K38" s="107">
        <f>K39*Assumptions!$C$27</f>
        <v>165509.76290384837</v>
      </c>
      <c r="L38" s="107">
        <f>L39*Assumptions!$C$27</f>
        <v>166688.28520763153</v>
      </c>
      <c r="M38" s="107">
        <f>M39*Assumptions!$C$27</f>
        <v>167866.80751141472</v>
      </c>
      <c r="N38" s="110">
        <f>SUM(B38:M38)</f>
        <v>1925934.8125859557</v>
      </c>
    </row>
    <row r="39" spans="1:14" ht="12.75">
      <c r="A39" s="74" t="s">
        <v>85</v>
      </c>
      <c r="B39" s="108">
        <f aca="true" t="shared" si="9" ref="B39:M39">B37*$B$50</f>
        <v>34106.32772658274</v>
      </c>
      <c r="C39" s="108">
        <f t="shared" si="9"/>
        <v>34368.22157186789</v>
      </c>
      <c r="D39" s="108">
        <f t="shared" si="9"/>
        <v>34630.11541715304</v>
      </c>
      <c r="E39" s="108">
        <f t="shared" si="9"/>
        <v>34892.009262438194</v>
      </c>
      <c r="F39" s="108">
        <f t="shared" si="9"/>
        <v>35153.90310772334</v>
      </c>
      <c r="G39" s="108">
        <f t="shared" si="9"/>
        <v>35415.79695300849</v>
      </c>
      <c r="H39" s="108">
        <f t="shared" si="9"/>
        <v>35756.83454274794</v>
      </c>
      <c r="I39" s="108">
        <f t="shared" si="9"/>
        <v>36097.8721324874</v>
      </c>
      <c r="J39" s="108">
        <f t="shared" si="9"/>
        <v>36438.90972222685</v>
      </c>
      <c r="K39" s="108">
        <f t="shared" si="9"/>
        <v>36779.9473119663</v>
      </c>
      <c r="L39" s="108">
        <f t="shared" si="9"/>
        <v>37041.84115725145</v>
      </c>
      <c r="M39" s="108">
        <f t="shared" si="9"/>
        <v>37303.7350025366</v>
      </c>
      <c r="N39" s="111">
        <f>SUM(B39:M39)</f>
        <v>427985.5139079903</v>
      </c>
    </row>
    <row r="40" spans="1:14" ht="12.75">
      <c r="A40" t="s">
        <v>13</v>
      </c>
      <c r="B40" s="106">
        <f>B39*Assumptions!C10</f>
        <v>13642531.090633096</v>
      </c>
      <c r="C40" s="106">
        <f>C39*Assumptions!C10</f>
        <v>13747288.628747158</v>
      </c>
      <c r="D40" s="106">
        <f>D39*Assumptions!C10</f>
        <v>13852046.166861217</v>
      </c>
      <c r="E40" s="106">
        <f>E39*Assumptions!C10</f>
        <v>13956803.704975277</v>
      </c>
      <c r="F40" s="106">
        <f>F39*Assumptions!C10</f>
        <v>14061561.243089335</v>
      </c>
      <c r="G40" s="106">
        <f>G39*Assumptions!C10</f>
        <v>14166318.781203395</v>
      </c>
      <c r="H40" s="106">
        <f>H39*Assumptions!C10</f>
        <v>14302733.817099178</v>
      </c>
      <c r="I40" s="106">
        <f>I39*Assumptions!C10</f>
        <v>14439148.85299496</v>
      </c>
      <c r="J40" s="106">
        <f>J39*Assumptions!C10</f>
        <v>14575563.88889074</v>
      </c>
      <c r="K40" s="106">
        <f>K39*Assumptions!C10</f>
        <v>14711978.924786521</v>
      </c>
      <c r="L40" s="106">
        <f>L39*Assumptions!C10</f>
        <v>14816736.46290058</v>
      </c>
      <c r="M40" s="106">
        <f>M39*Assumptions!C10</f>
        <v>14921494.00101464</v>
      </c>
      <c r="N40" s="111">
        <f>SUM(B40:M40)</f>
        <v>171194205.5631961</v>
      </c>
    </row>
    <row r="41" spans="1:14" ht="12.75">
      <c r="A41" t="s">
        <v>23</v>
      </c>
      <c r="B41" s="131">
        <f>B40/2200</f>
        <v>6201.150495742317</v>
      </c>
      <c r="C41" s="106">
        <f aca="true" t="shared" si="10" ref="C41:M41">C40/2200</f>
        <v>6248.767558521436</v>
      </c>
      <c r="D41" s="106">
        <f t="shared" si="10"/>
        <v>6296.384621300554</v>
      </c>
      <c r="E41" s="106">
        <f t="shared" si="10"/>
        <v>6344.001684079672</v>
      </c>
      <c r="F41" s="106">
        <f t="shared" si="10"/>
        <v>6391.618746858789</v>
      </c>
      <c r="G41" s="106">
        <f t="shared" si="10"/>
        <v>6439.235809637907</v>
      </c>
      <c r="H41" s="106">
        <f t="shared" si="10"/>
        <v>6501.24264413599</v>
      </c>
      <c r="I41" s="106">
        <f t="shared" si="10"/>
        <v>6563.249478634073</v>
      </c>
      <c r="J41" s="106">
        <f t="shared" si="10"/>
        <v>6625.256313132154</v>
      </c>
      <c r="K41" s="106">
        <f t="shared" si="10"/>
        <v>6687.263147630237</v>
      </c>
      <c r="L41" s="106">
        <f t="shared" si="10"/>
        <v>6734.880210409355</v>
      </c>
      <c r="M41" s="106">
        <f t="shared" si="10"/>
        <v>6782.497273188473</v>
      </c>
      <c r="N41" s="111">
        <f>SUM(B41:M41)</f>
        <v>77815.54798327095</v>
      </c>
    </row>
    <row r="42" spans="2:14" ht="12.7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</row>
    <row r="43" spans="1:14" ht="12.75">
      <c r="A43" s="5">
        <v>2025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</row>
    <row r="44" spans="1:14" ht="12.75">
      <c r="A44" t="s">
        <v>22</v>
      </c>
      <c r="B44" s="106">
        <f>N37+Assumptions!C33</f>
        <v>26105.78512396694</v>
      </c>
      <c r="C44" s="106">
        <f>B44+Assumptions!C33</f>
        <v>26287.78512396694</v>
      </c>
      <c r="D44" s="106">
        <f>C44+Assumptions!C33</f>
        <v>26469.78512396694</v>
      </c>
      <c r="E44" s="106">
        <f>D44+Assumptions!C33</f>
        <v>26651.78512396694</v>
      </c>
      <c r="F44" s="106">
        <f>E44+Assumptions!C33</f>
        <v>26833.78512396694</v>
      </c>
      <c r="G44" s="106">
        <f>F44+Assumptions!C33</f>
        <v>27015.78512396694</v>
      </c>
      <c r="H44" s="106">
        <f>G44+Assumptions!C32</f>
        <v>27252.78512396694</v>
      </c>
      <c r="I44" s="106">
        <f>H44+Assumptions!C32</f>
        <v>27489.78512396694</v>
      </c>
      <c r="J44" s="106">
        <f>I44+Assumptions!C32</f>
        <v>27726.78512396694</v>
      </c>
      <c r="K44" s="106">
        <f>J44+Assumptions!C32</f>
        <v>27963.78512396694</v>
      </c>
      <c r="L44" s="106">
        <f>K44+Assumptions!C33</f>
        <v>28145.78512396694</v>
      </c>
      <c r="M44" s="106">
        <f>L44+Assumptions!C33</f>
        <v>28327.78512396694</v>
      </c>
      <c r="N44" s="109">
        <f>M44</f>
        <v>28327.78512396694</v>
      </c>
    </row>
    <row r="45" spans="1:14" ht="12.75">
      <c r="A45" s="74" t="s">
        <v>83</v>
      </c>
      <c r="B45" s="107">
        <f>B46*4.5</f>
        <v>169045.32981519788</v>
      </c>
      <c r="C45" s="107">
        <f>C46*Assumptions!$C$27</f>
        <v>170223.85211898107</v>
      </c>
      <c r="D45" s="107">
        <f>D46*Assumptions!$C$27</f>
        <v>171402.37442276423</v>
      </c>
      <c r="E45" s="107">
        <f>E46*Assumptions!$C$27</f>
        <v>172580.8967265474</v>
      </c>
      <c r="F45" s="107">
        <f>F46*Assumptions!$C$27</f>
        <v>173759.41903033058</v>
      </c>
      <c r="G45" s="107">
        <f>G46*Assumptions!$C$27</f>
        <v>174937.94133411374</v>
      </c>
      <c r="H45" s="107">
        <f>H46*Assumptions!$C$27</f>
        <v>176472.6104879413</v>
      </c>
      <c r="I45" s="107">
        <f>I46*Assumptions!$C$27</f>
        <v>178007.2796417688</v>
      </c>
      <c r="J45" s="107">
        <f>J46*Assumptions!$C$27</f>
        <v>179541.94879559637</v>
      </c>
      <c r="K45" s="107">
        <f>K46*Assumptions!$C$27</f>
        <v>181076.6179494239</v>
      </c>
      <c r="L45" s="107">
        <f>L46*Assumptions!$C$27</f>
        <v>182255.1402532071</v>
      </c>
      <c r="M45" s="107">
        <f>M46*Assumptions!$C$27</f>
        <v>183433.66255699028</v>
      </c>
      <c r="N45" s="110">
        <f>SUM(B45:M45)</f>
        <v>2112737.073132863</v>
      </c>
    </row>
    <row r="46" spans="1:14" ht="12.75">
      <c r="A46" s="74" t="s">
        <v>85</v>
      </c>
      <c r="B46" s="108">
        <f aca="true" t="shared" si="11" ref="B46:M46">B44*$B$50</f>
        <v>37565.628847821754</v>
      </c>
      <c r="C46" s="108">
        <f t="shared" si="11"/>
        <v>37827.522693106905</v>
      </c>
      <c r="D46" s="108">
        <f t="shared" si="11"/>
        <v>38089.41653839205</v>
      </c>
      <c r="E46" s="108">
        <f t="shared" si="11"/>
        <v>38351.3103836772</v>
      </c>
      <c r="F46" s="108">
        <f t="shared" si="11"/>
        <v>38613.20422896235</v>
      </c>
      <c r="G46" s="108">
        <f t="shared" si="11"/>
        <v>38875.0980742475</v>
      </c>
      <c r="H46" s="108">
        <f t="shared" si="11"/>
        <v>39216.135663986955</v>
      </c>
      <c r="I46" s="108">
        <f t="shared" si="11"/>
        <v>39557.1732537264</v>
      </c>
      <c r="J46" s="108">
        <f t="shared" si="11"/>
        <v>39898.21084346586</v>
      </c>
      <c r="K46" s="108">
        <f t="shared" si="11"/>
        <v>40239.24843320531</v>
      </c>
      <c r="L46" s="108">
        <f t="shared" si="11"/>
        <v>40501.142278490464</v>
      </c>
      <c r="M46" s="108">
        <f t="shared" si="11"/>
        <v>40763.036123775615</v>
      </c>
      <c r="N46" s="111">
        <f>SUM(B46:M46)</f>
        <v>469497.1273628584</v>
      </c>
    </row>
    <row r="47" spans="1:14" ht="12.75">
      <c r="A47" t="s">
        <v>13</v>
      </c>
      <c r="B47" s="106">
        <f>B46*Assumptions!C10</f>
        <v>15026251.539128702</v>
      </c>
      <c r="C47" s="106">
        <f>C46*Assumptions!C10</f>
        <v>15131009.077242762</v>
      </c>
      <c r="D47" s="106">
        <f>D46*Assumptions!C10</f>
        <v>15235766.61535682</v>
      </c>
      <c r="E47" s="106">
        <f>E46*Assumptions!C10</f>
        <v>15340524.15347088</v>
      </c>
      <c r="F47" s="106">
        <f>F46*Assumptions!C10</f>
        <v>15445281.69158494</v>
      </c>
      <c r="G47" s="106">
        <f>G46*Assumptions!C10</f>
        <v>15550039.229699</v>
      </c>
      <c r="H47" s="106">
        <f>H46*Assumptions!C10</f>
        <v>15686454.265594782</v>
      </c>
      <c r="I47" s="106">
        <f>I46*Assumptions!C10</f>
        <v>15822869.301490562</v>
      </c>
      <c r="J47" s="106">
        <f>J46*Assumptions!C10</f>
        <v>15959284.337386344</v>
      </c>
      <c r="K47" s="106">
        <f>K46*Assumptions!C10</f>
        <v>16095699.373282125</v>
      </c>
      <c r="L47" s="106">
        <f>L46*Assumptions!C10</f>
        <v>16200456.911396185</v>
      </c>
      <c r="M47" s="106">
        <f>M46*Assumptions!C10</f>
        <v>16305214.449510247</v>
      </c>
      <c r="N47" s="111">
        <f>SUM(B47:M47)</f>
        <v>187798850.94514334</v>
      </c>
    </row>
    <row r="48" spans="1:14" ht="12.75">
      <c r="A48" t="s">
        <v>23</v>
      </c>
      <c r="B48" s="106">
        <f aca="true" t="shared" si="12" ref="B48:M48">B47/2200</f>
        <v>6830.114335967592</v>
      </c>
      <c r="C48" s="106">
        <f t="shared" si="12"/>
        <v>6877.73139874671</v>
      </c>
      <c r="D48" s="106">
        <f t="shared" si="12"/>
        <v>6925.348461525828</v>
      </c>
      <c r="E48" s="106">
        <f t="shared" si="12"/>
        <v>6972.965524304946</v>
      </c>
      <c r="F48" s="106">
        <f t="shared" si="12"/>
        <v>7020.582587084064</v>
      </c>
      <c r="G48" s="106">
        <f t="shared" si="12"/>
        <v>7068.1996498631825</v>
      </c>
      <c r="H48" s="106">
        <f t="shared" si="12"/>
        <v>7130.206484361264</v>
      </c>
      <c r="I48" s="106">
        <f t="shared" si="12"/>
        <v>7192.213318859346</v>
      </c>
      <c r="J48" s="106">
        <f t="shared" si="12"/>
        <v>7254.220153357429</v>
      </c>
      <c r="K48" s="106">
        <f t="shared" si="12"/>
        <v>7316.226987855512</v>
      </c>
      <c r="L48" s="106">
        <f t="shared" si="12"/>
        <v>7363.84405063463</v>
      </c>
      <c r="M48" s="106">
        <f t="shared" si="12"/>
        <v>7411.4611134137485</v>
      </c>
      <c r="N48" s="111">
        <f>SUM(B48:M48)</f>
        <v>85363.11406597424</v>
      </c>
    </row>
    <row r="49" spans="2:14" ht="12.75">
      <c r="B49" s="22"/>
      <c r="C49" s="142"/>
      <c r="D49" s="142"/>
      <c r="E49" s="142"/>
      <c r="F49" s="22"/>
      <c r="G49" s="22"/>
      <c r="H49" s="22"/>
      <c r="I49" s="22"/>
      <c r="J49" s="22"/>
      <c r="K49" s="22"/>
      <c r="L49" s="22"/>
      <c r="M49" s="22"/>
      <c r="N49" s="41"/>
    </row>
    <row r="50" spans="1:14" ht="13.5" thickBot="1">
      <c r="A50" s="141" t="s">
        <v>92</v>
      </c>
      <c r="B50" s="143">
        <f>P23</f>
        <v>1.4389771718964266</v>
      </c>
      <c r="C50" s="144"/>
      <c r="D50" s="144"/>
      <c r="E50" s="144"/>
      <c r="N50" s="42"/>
    </row>
    <row r="51" spans="1:14" ht="13.5" thickBot="1">
      <c r="A51" s="139" t="s">
        <v>81</v>
      </c>
      <c r="B51" s="48"/>
      <c r="C51" s="48"/>
      <c r="D51" s="48"/>
      <c r="E51" s="47"/>
      <c r="N51" s="40"/>
    </row>
    <row r="52" spans="1:14" ht="12.75">
      <c r="A52" s="48"/>
      <c r="B52" s="46"/>
      <c r="C52" s="46"/>
      <c r="D52" s="46"/>
      <c r="E52" s="49"/>
      <c r="F52" s="2"/>
      <c r="G52" s="2"/>
      <c r="H52" s="2"/>
      <c r="I52" s="2"/>
      <c r="J52" s="2"/>
      <c r="K52" s="2"/>
      <c r="L52" s="2"/>
      <c r="M52" s="2"/>
      <c r="N52" s="40"/>
    </row>
    <row r="53" spans="1:14" ht="12.75">
      <c r="A53" s="78" t="s">
        <v>74</v>
      </c>
      <c r="B53" s="78" t="s">
        <v>62</v>
      </c>
      <c r="C53" s="5" t="s">
        <v>63</v>
      </c>
      <c r="D53" s="5" t="s">
        <v>95</v>
      </c>
      <c r="E53" s="50"/>
      <c r="F53" s="4"/>
      <c r="G53" s="4"/>
      <c r="H53" s="4"/>
      <c r="I53" s="4"/>
      <c r="J53" s="4"/>
      <c r="K53" s="4"/>
      <c r="L53" s="4"/>
      <c r="M53" s="4"/>
      <c r="N53" s="30"/>
    </row>
    <row r="54" spans="1:14" ht="12.75">
      <c r="A54" s="77">
        <v>2020</v>
      </c>
      <c r="B54" s="129">
        <f>'Five-Year Cost Summary'!C18</f>
        <v>252658.99575362995</v>
      </c>
      <c r="C54" s="10">
        <f>B54/N7</f>
        <v>14.749503546621714</v>
      </c>
      <c r="D54" s="3">
        <f>B54/N9</f>
        <v>1.2742315810047555</v>
      </c>
      <c r="F54" s="20"/>
      <c r="G54" s="20"/>
      <c r="H54" s="20"/>
      <c r="I54" s="20"/>
      <c r="J54" s="20"/>
      <c r="K54" s="20"/>
      <c r="L54" s="20"/>
      <c r="M54" s="20"/>
      <c r="N54" s="41"/>
    </row>
    <row r="55" spans="1:14" ht="12.75">
      <c r="A55" s="77">
        <v>2021</v>
      </c>
      <c r="B55" s="129">
        <f>'Five-Year Cost Summary'!D19</f>
        <v>626164.7391332601</v>
      </c>
      <c r="C55" s="10">
        <f>B55/N14</f>
        <v>26.058709856142997</v>
      </c>
      <c r="D55" s="3">
        <f>B55/N16</f>
        <v>1.8721295199495127</v>
      </c>
      <c r="E55" s="22"/>
      <c r="F55" s="22"/>
      <c r="G55" s="22"/>
      <c r="H55" s="22"/>
      <c r="I55" s="22"/>
      <c r="J55" s="22"/>
      <c r="K55" s="22"/>
      <c r="L55" s="22"/>
      <c r="M55" s="22"/>
      <c r="N55" s="41"/>
    </row>
    <row r="56" spans="1:14" ht="12.75">
      <c r="A56" s="77">
        <v>2022</v>
      </c>
      <c r="B56" s="134">
        <f>'Five-Year Cost Summary'!E19</f>
        <v>718537.1299074016</v>
      </c>
      <c r="C56" s="116">
        <f>B56/N21</f>
        <v>30.814217545989575</v>
      </c>
      <c r="D56" s="3">
        <f>B56/N23</f>
        <v>1.6726717293727096</v>
      </c>
      <c r="E56" s="22"/>
      <c r="F56" s="22"/>
      <c r="G56" s="22"/>
      <c r="H56" s="22"/>
      <c r="I56" s="22"/>
      <c r="J56" s="22"/>
      <c r="K56" s="22"/>
      <c r="L56" s="22"/>
      <c r="M56" s="22"/>
      <c r="N56" s="41"/>
    </row>
    <row r="57" spans="1:4" ht="12.75">
      <c r="A57" s="77">
        <v>2023</v>
      </c>
      <c r="B57" s="134">
        <f>'Five-Year Cost Summary'!F19</f>
        <v>939157.7314274492</v>
      </c>
      <c r="C57" s="116">
        <f>B57/N30</f>
        <v>39.93054045678488</v>
      </c>
      <c r="D57" s="3">
        <f>B57/N32</f>
        <v>2.352883964608844</v>
      </c>
    </row>
    <row r="58" spans="1:4" ht="12.75">
      <c r="A58" s="77">
        <v>2024</v>
      </c>
      <c r="B58" s="134">
        <f>'Five-Year Cost Summary'!G19</f>
        <v>984739.7035449048</v>
      </c>
      <c r="C58" s="116">
        <f>B58/N37</f>
        <v>37.98595378089667</v>
      </c>
      <c r="D58" s="3">
        <f>B58/N39</f>
        <v>2.3008715751921627</v>
      </c>
    </row>
    <row r="59" spans="1:4" ht="12.75">
      <c r="A59" s="77">
        <v>2025</v>
      </c>
      <c r="B59" s="134">
        <f>'Five-Year Cost Summary'!H19</f>
        <v>869721.9975666084</v>
      </c>
      <c r="C59" s="116">
        <f>B59/N44</f>
        <v>30.70208255818678</v>
      </c>
      <c r="D59" s="3">
        <f>B59/N46</f>
        <v>1.8524543535586528</v>
      </c>
    </row>
    <row r="60" spans="1:2" ht="12.75">
      <c r="A60" s="77"/>
      <c r="B60" s="74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zoomScale="125" zoomScaleNormal="125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9.140625" style="37" customWidth="1"/>
    <col min="2" max="2" width="31.57421875" style="0" customWidth="1"/>
    <col min="3" max="3" width="12.8515625" style="0" bestFit="1" customWidth="1"/>
    <col min="4" max="4" width="15.00390625" style="0" customWidth="1"/>
    <col min="5" max="5" width="14.421875" style="0" customWidth="1"/>
    <col min="6" max="8" width="16.28125" style="0" bestFit="1" customWidth="1"/>
    <col min="9" max="9" width="14.7109375" style="0" customWidth="1"/>
    <col min="10" max="10" width="40.00390625" style="0" bestFit="1" customWidth="1"/>
    <col min="12" max="12" width="31.8515625" style="0" bestFit="1" customWidth="1"/>
  </cols>
  <sheetData>
    <row r="1" spans="2:9" ht="15.75">
      <c r="B1" s="148" t="s">
        <v>27</v>
      </c>
      <c r="C1" s="148"/>
      <c r="D1" s="148"/>
      <c r="E1" s="148"/>
      <c r="F1" s="148"/>
      <c r="G1" s="148"/>
      <c r="H1" s="148"/>
      <c r="I1" s="148"/>
    </row>
    <row r="3" spans="3:12" ht="12.75">
      <c r="C3" s="56">
        <v>2020</v>
      </c>
      <c r="D3" s="56">
        <v>2021</v>
      </c>
      <c r="E3" s="56">
        <v>2022</v>
      </c>
      <c r="F3" s="56">
        <v>2023</v>
      </c>
      <c r="G3" s="56">
        <v>2024</v>
      </c>
      <c r="H3" s="56">
        <v>2025</v>
      </c>
      <c r="I3" s="91" t="s">
        <v>26</v>
      </c>
      <c r="K3" s="95" t="s">
        <v>15</v>
      </c>
      <c r="L3" s="95" t="s">
        <v>89</v>
      </c>
    </row>
    <row r="4" spans="2:12" ht="12.75">
      <c r="B4" s="38" t="s">
        <v>24</v>
      </c>
      <c r="C4" s="38"/>
      <c r="D4" s="38"/>
      <c r="E4" s="38"/>
      <c r="F4" s="38"/>
      <c r="G4" s="38"/>
      <c r="H4" s="38"/>
      <c r="K4" s="83">
        <v>2018</v>
      </c>
      <c r="L4" s="140">
        <v>9.53</v>
      </c>
    </row>
    <row r="5" spans="2:12" ht="12.75">
      <c r="B5" s="53" t="s">
        <v>60</v>
      </c>
      <c r="C5" s="4">
        <v>45465.97</v>
      </c>
      <c r="D5" s="4">
        <v>63162.96</v>
      </c>
      <c r="E5" s="107">
        <f>D5*1.03</f>
        <v>65057.8488</v>
      </c>
      <c r="F5" s="107">
        <f>E5*1.03</f>
        <v>67009.584264</v>
      </c>
      <c r="G5" s="107">
        <f>F5*1.03</f>
        <v>69019.87179192001</v>
      </c>
      <c r="H5" s="107">
        <f>G5*1.03</f>
        <v>71090.46794567762</v>
      </c>
      <c r="I5" s="4">
        <f>SUM(C5:H5)</f>
        <v>380806.70280159765</v>
      </c>
      <c r="J5" s="74" t="s">
        <v>87</v>
      </c>
      <c r="K5" s="83">
        <v>2019</v>
      </c>
      <c r="L5" s="140">
        <v>8.46</v>
      </c>
    </row>
    <row r="6" spans="2:12" ht="12.75">
      <c r="B6" s="53" t="s">
        <v>14</v>
      </c>
      <c r="C6" s="4">
        <v>4350</v>
      </c>
      <c r="D6" s="4">
        <v>19880</v>
      </c>
      <c r="E6" s="107">
        <v>14000</v>
      </c>
      <c r="F6" s="116">
        <f>E6*1.05</f>
        <v>14700</v>
      </c>
      <c r="G6" s="116">
        <f>F6*1.05</f>
        <v>15435</v>
      </c>
      <c r="H6" s="116">
        <f>G6*1.05</f>
        <v>16206.75</v>
      </c>
      <c r="I6" s="4">
        <f>SUM(C6:H6)</f>
        <v>84571.75</v>
      </c>
      <c r="J6" s="74" t="s">
        <v>86</v>
      </c>
      <c r="K6" s="96">
        <v>2020</v>
      </c>
      <c r="L6" s="97">
        <v>11.19</v>
      </c>
    </row>
    <row r="7" spans="2:12" ht="13.5" thickBot="1">
      <c r="B7" s="53" t="s">
        <v>25</v>
      </c>
      <c r="C7" s="54">
        <v>303244</v>
      </c>
      <c r="D7" s="54">
        <v>501249.5</v>
      </c>
      <c r="E7" s="121">
        <f>E13*L8</f>
        <v>1106769.113444095</v>
      </c>
      <c r="F7" s="121">
        <f>F13*L9</f>
        <v>1412221.5285004915</v>
      </c>
      <c r="G7" s="121">
        <f>G13*L10</f>
        <v>1708370.0092489861</v>
      </c>
      <c r="H7" s="121">
        <f>H13*L11</f>
        <v>2044439.9994028124</v>
      </c>
      <c r="I7" s="54">
        <f>SUM(C7:H7)</f>
        <v>7076294.150596385</v>
      </c>
      <c r="K7" s="96">
        <v>2021</v>
      </c>
      <c r="L7" s="97">
        <v>8.22</v>
      </c>
    </row>
    <row r="8" spans="2:12" ht="12.75">
      <c r="B8" s="52"/>
      <c r="C8" s="14">
        <f aca="true" t="shared" si="0" ref="C8:H8">SUM(C5:C7)</f>
        <v>353059.97</v>
      </c>
      <c r="D8" s="14">
        <f t="shared" si="0"/>
        <v>584292.46</v>
      </c>
      <c r="E8" s="122">
        <f t="shared" si="0"/>
        <v>1185826.962244095</v>
      </c>
      <c r="F8" s="122">
        <f t="shared" si="0"/>
        <v>1493931.1127644915</v>
      </c>
      <c r="G8" s="122">
        <f t="shared" si="0"/>
        <v>1792824.881040906</v>
      </c>
      <c r="H8" s="122">
        <f t="shared" si="0"/>
        <v>2131737.21734849</v>
      </c>
      <c r="I8" s="14">
        <f>SUM(C8:H8)/0.954537993</f>
        <v>7900861.630133126</v>
      </c>
      <c r="J8" s="92" t="s">
        <v>50</v>
      </c>
      <c r="K8" s="96">
        <v>2022</v>
      </c>
      <c r="L8" s="97">
        <v>14.2</v>
      </c>
    </row>
    <row r="9" spans="5:12" ht="12.75">
      <c r="E9" s="112"/>
      <c r="F9" s="112"/>
      <c r="G9" s="112"/>
      <c r="H9" s="112"/>
      <c r="K9" s="101">
        <v>2023</v>
      </c>
      <c r="L9" s="105">
        <v>19.5</v>
      </c>
    </row>
    <row r="10" spans="5:14" ht="12.75">
      <c r="E10" s="112"/>
      <c r="F10" s="112"/>
      <c r="G10" s="112"/>
      <c r="H10" s="112"/>
      <c r="K10" s="101">
        <v>2024</v>
      </c>
      <c r="L10" s="105">
        <v>22</v>
      </c>
      <c r="M10" s="57"/>
      <c r="N10" s="57"/>
    </row>
    <row r="11" spans="2:14" ht="12.75">
      <c r="B11" s="55" t="s">
        <v>49</v>
      </c>
      <c r="C11" s="17">
        <f>Revenues!N9</f>
        <v>198283.41999999998</v>
      </c>
      <c r="D11" s="17">
        <f>Revenues!N16</f>
        <v>334466.57</v>
      </c>
      <c r="E11" s="123">
        <f>Revenues!N23</f>
        <v>429574.5048413472</v>
      </c>
      <c r="F11" s="127">
        <f>Revenues!N32</f>
        <v>399151.74124771584</v>
      </c>
      <c r="G11" s="127">
        <f>Revenues!N39</f>
        <v>427985.5139079903</v>
      </c>
      <c r="H11" s="127">
        <f>Revenues!N46</f>
        <v>469497.1273628584</v>
      </c>
      <c r="I11" s="18">
        <f>SUM(C11:H11)</f>
        <v>2258958.877359912</v>
      </c>
      <c r="K11" s="101">
        <v>2025</v>
      </c>
      <c r="L11" s="105">
        <v>24</v>
      </c>
      <c r="M11" s="57"/>
      <c r="N11" s="57"/>
    </row>
    <row r="12" spans="2:14" ht="12.75">
      <c r="B12" s="55" t="s">
        <v>35</v>
      </c>
      <c r="C12" s="17">
        <f>C11*Assumptions!$C$10</f>
        <v>79313368</v>
      </c>
      <c r="D12" s="17">
        <f>D11*Assumptions!$C$10</f>
        <v>133786628</v>
      </c>
      <c r="E12" s="123">
        <f>E11*Assumptions!$C$10</f>
        <v>171829801.93653888</v>
      </c>
      <c r="F12" s="123">
        <f>F11*Assumptions!$C$10</f>
        <v>159660696.49908632</v>
      </c>
      <c r="G12" s="123">
        <f>G11*Assumptions!$C$10</f>
        <v>171194205.56319612</v>
      </c>
      <c r="H12" s="123">
        <f>H11*Assumptions!$C$10</f>
        <v>187798850.94514334</v>
      </c>
      <c r="I12" s="18">
        <f>SUM(C12:H12)</f>
        <v>903583550.9439646</v>
      </c>
      <c r="K12" s="57"/>
      <c r="L12" s="57"/>
      <c r="M12" s="57"/>
      <c r="N12" s="57"/>
    </row>
    <row r="13" spans="2:14" ht="12.75">
      <c r="B13" s="55" t="s">
        <v>36</v>
      </c>
      <c r="C13" s="84">
        <f aca="true" t="shared" si="1" ref="C13:H13">C12/2204.6</f>
        <v>35976.30772022135</v>
      </c>
      <c r="D13" s="84">
        <f t="shared" si="1"/>
        <v>60685.216365780645</v>
      </c>
      <c r="E13" s="124">
        <f t="shared" si="1"/>
        <v>77941.48686226022</v>
      </c>
      <c r="F13" s="124">
        <f t="shared" si="1"/>
        <v>72421.61684617905</v>
      </c>
      <c r="G13" s="124">
        <f t="shared" si="1"/>
        <v>77653.18223859028</v>
      </c>
      <c r="H13" s="124">
        <f t="shared" si="1"/>
        <v>85184.99997511719</v>
      </c>
      <c r="I13" s="18">
        <f>SUM(C13:H13)</f>
        <v>409862.8100081488</v>
      </c>
      <c r="K13" s="57"/>
      <c r="L13" s="57"/>
      <c r="M13" s="57"/>
      <c r="N13" s="57"/>
    </row>
    <row r="14" spans="2:14" ht="12.75">
      <c r="B14" s="55"/>
      <c r="C14" s="84"/>
      <c r="D14" s="84"/>
      <c r="E14" s="124"/>
      <c r="F14" s="124"/>
      <c r="G14" s="124"/>
      <c r="H14" s="124"/>
      <c r="I14" s="84"/>
      <c r="K14" s="29" t="s">
        <v>59</v>
      </c>
      <c r="L14" s="57"/>
      <c r="M14" s="57"/>
      <c r="N14" s="57"/>
    </row>
    <row r="15" spans="2:12" ht="25.5">
      <c r="B15" s="90" t="s">
        <v>73</v>
      </c>
      <c r="C15" s="81">
        <f>Revenues!N8*Assumptions!$C$20</f>
        <v>605718.9657536299</v>
      </c>
      <c r="D15" s="98">
        <f>Revenues!N15*Assumptions!C20</f>
        <v>957798.2033796301</v>
      </c>
      <c r="E15" s="125">
        <f>Revenues!N22*Assumptions!C20</f>
        <v>1278199.3530182366</v>
      </c>
      <c r="F15" s="125">
        <f>Revenues!N31*Assumptions!C20</f>
        <v>1714551.714284539</v>
      </c>
      <c r="G15" s="125">
        <f>Revenues!N38*Assumptions!C20</f>
        <v>1838406.8531583617</v>
      </c>
      <c r="H15" s="125">
        <f>Revenues!N45*Assumptions!C20</f>
        <v>2016719.5113701934</v>
      </c>
      <c r="I15" s="14">
        <f>SUM(C15:H15)</f>
        <v>8411394.60096459</v>
      </c>
      <c r="K15" s="29" t="s">
        <v>64</v>
      </c>
      <c r="L15" s="57"/>
    </row>
    <row r="16" spans="2:12" ht="12.75">
      <c r="B16" s="80"/>
      <c r="C16" s="81"/>
      <c r="D16" s="81"/>
      <c r="E16" s="126"/>
      <c r="F16" s="126"/>
      <c r="G16" s="126"/>
      <c r="H16" s="126"/>
      <c r="I16" s="81"/>
      <c r="K16" s="57"/>
      <c r="L16" s="57"/>
    </row>
    <row r="17" spans="5:12" ht="12.75">
      <c r="E17" s="112"/>
      <c r="F17" s="112"/>
      <c r="G17" s="112"/>
      <c r="H17" s="112"/>
      <c r="K17" s="66"/>
      <c r="L17" s="57"/>
    </row>
    <row r="18" spans="2:9" ht="12.75">
      <c r="B18" s="51" t="s">
        <v>77</v>
      </c>
      <c r="C18" s="3">
        <f aca="true" t="shared" si="2" ref="C18:H18">C15-C8</f>
        <v>252658.99575362995</v>
      </c>
      <c r="D18" s="3">
        <f t="shared" si="2"/>
        <v>373505.74337963015</v>
      </c>
      <c r="E18" s="128">
        <f t="shared" si="2"/>
        <v>92372.39077414153</v>
      </c>
      <c r="F18" s="128">
        <f t="shared" si="2"/>
        <v>220620.60152004752</v>
      </c>
      <c r="G18" s="128">
        <f t="shared" si="2"/>
        <v>45581.972117455676</v>
      </c>
      <c r="H18" s="128">
        <f t="shared" si="2"/>
        <v>-115017.70597829646</v>
      </c>
      <c r="I18" s="120"/>
    </row>
    <row r="19" spans="2:8" ht="12.75">
      <c r="B19" s="5" t="s">
        <v>78</v>
      </c>
      <c r="C19" s="3">
        <f>C18</f>
        <v>252658.99575362995</v>
      </c>
      <c r="D19" s="3">
        <f>C19+D18</f>
        <v>626164.7391332601</v>
      </c>
      <c r="E19" s="133">
        <f>D19+E18</f>
        <v>718537.1299074016</v>
      </c>
      <c r="F19" s="133">
        <f>E19+F18</f>
        <v>939157.7314274492</v>
      </c>
      <c r="G19" s="133">
        <f>F19+G18</f>
        <v>984739.7035449048</v>
      </c>
      <c r="H19" s="133">
        <f>G19+H18</f>
        <v>869721.9975666084</v>
      </c>
    </row>
    <row r="20" spans="3:11" ht="12.75">
      <c r="C20" s="13"/>
      <c r="D20" s="13"/>
      <c r="E20" s="13"/>
      <c r="F20" s="13"/>
      <c r="G20" s="13"/>
      <c r="H20" s="13"/>
      <c r="I20" s="13"/>
      <c r="K20" s="3"/>
    </row>
    <row r="21" spans="3:25" ht="12.75">
      <c r="C21" s="29"/>
      <c r="D21" s="29"/>
      <c r="E21" s="29"/>
      <c r="F21" s="29"/>
      <c r="G21" s="29"/>
      <c r="H21" s="29"/>
      <c r="I21" s="29"/>
      <c r="V21" s="57"/>
      <c r="W21" s="57"/>
      <c r="X21" s="57"/>
      <c r="Y21" s="57"/>
    </row>
    <row r="22" spans="2:26" ht="12.75">
      <c r="B22" s="29" t="s">
        <v>28</v>
      </c>
      <c r="C22" s="29"/>
      <c r="D22" s="29"/>
      <c r="E22" s="29"/>
      <c r="F22" s="29"/>
      <c r="G22" s="29"/>
      <c r="H22" s="29"/>
      <c r="I22" s="29"/>
      <c r="V22" s="57"/>
      <c r="W22" s="57"/>
      <c r="X22" s="57"/>
      <c r="Y22" s="57"/>
      <c r="Z22" s="37"/>
    </row>
    <row r="23" spans="2:26" ht="12.75">
      <c r="B23" s="58" t="s">
        <v>29</v>
      </c>
      <c r="C23" s="58"/>
      <c r="D23" s="59"/>
      <c r="E23" s="29"/>
      <c r="F23" s="147">
        <v>140042</v>
      </c>
      <c r="G23" s="29" t="s">
        <v>93</v>
      </c>
      <c r="H23" s="29"/>
      <c r="I23" s="29"/>
      <c r="J23" s="29"/>
      <c r="V23" s="57"/>
      <c r="W23" s="57"/>
      <c r="X23" s="57"/>
      <c r="Y23" s="57"/>
      <c r="Z23" s="37"/>
    </row>
    <row r="24" spans="2:25" ht="12.75">
      <c r="B24" s="48" t="s">
        <v>40</v>
      </c>
      <c r="C24" s="60">
        <v>0.25</v>
      </c>
      <c r="D24" s="59"/>
      <c r="E24" s="29"/>
      <c r="F24" s="147">
        <v>-302477</v>
      </c>
      <c r="G24" s="29" t="s">
        <v>94</v>
      </c>
      <c r="H24" s="29"/>
      <c r="I24" s="29"/>
      <c r="J24" s="65"/>
      <c r="K24" s="29"/>
      <c r="L24" s="29"/>
      <c r="V24" s="34"/>
      <c r="W24" s="34"/>
      <c r="X24" s="34"/>
      <c r="Y24" s="34"/>
    </row>
    <row r="25" spans="2:23" ht="12.75">
      <c r="B25" s="48" t="s">
        <v>41</v>
      </c>
      <c r="C25" s="60">
        <v>0.25</v>
      </c>
      <c r="D25" s="59"/>
      <c r="E25" s="29"/>
      <c r="F25" s="29"/>
      <c r="G25" s="29"/>
      <c r="H25" s="29"/>
      <c r="I25" s="65"/>
      <c r="J25" s="29"/>
      <c r="K25" s="29"/>
      <c r="L25" s="29"/>
      <c r="V25" s="29"/>
      <c r="W25" s="29"/>
    </row>
    <row r="26" spans="2:12" ht="12.75">
      <c r="B26" s="48" t="s">
        <v>14</v>
      </c>
      <c r="C26" s="61">
        <v>0.1</v>
      </c>
      <c r="D26" s="59"/>
      <c r="E26" s="29"/>
      <c r="F26" s="29"/>
      <c r="G26" s="29"/>
      <c r="H26" s="29"/>
      <c r="I26" s="29"/>
      <c r="J26" s="29"/>
      <c r="K26" s="29"/>
      <c r="L26" s="29"/>
    </row>
    <row r="27" spans="2:12" ht="12.75">
      <c r="B27" s="59" t="s">
        <v>30</v>
      </c>
      <c r="C27" s="62">
        <v>0.15</v>
      </c>
      <c r="D27" s="59"/>
      <c r="E27" s="29"/>
      <c r="F27" s="29"/>
      <c r="G27" s="29"/>
      <c r="H27" s="29"/>
      <c r="I27" s="29"/>
      <c r="J27" s="29"/>
      <c r="K27" s="29"/>
      <c r="L27" s="29"/>
    </row>
    <row r="28" spans="2:12" ht="12.75">
      <c r="B28" s="59"/>
      <c r="C28" s="62"/>
      <c r="D28" s="59"/>
      <c r="E28" s="29"/>
      <c r="F28" s="29"/>
      <c r="G28" s="29"/>
      <c r="H28" s="29"/>
      <c r="I28" s="29"/>
      <c r="J28" s="29"/>
      <c r="K28" s="29"/>
      <c r="L28" s="29"/>
    </row>
    <row r="29" spans="10:12" ht="12.75">
      <c r="J29" s="29"/>
      <c r="K29" s="29"/>
      <c r="L29" s="29"/>
    </row>
    <row r="30" spans="10:12" ht="12.75">
      <c r="J30" s="29"/>
      <c r="K30" s="29"/>
      <c r="L30" s="29"/>
    </row>
    <row r="31" spans="2:12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2.75">
      <c r="B32" s="65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3" ht="12.75">
      <c r="B33" s="66"/>
      <c r="C33" s="57"/>
    </row>
    <row r="34" spans="2:3" ht="12.75">
      <c r="B34" s="66"/>
      <c r="C34" s="57"/>
    </row>
  </sheetData>
  <sheetProtection/>
  <mergeCells count="1">
    <mergeCell ref="B1:I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&amp;L&amp;14Carbon Offset Program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8"/>
  <sheetViews>
    <sheetView zoomScale="125" zoomScaleNormal="125" zoomScalePageLayoutView="0" workbookViewId="0" topLeftCell="A1">
      <selection activeCell="F30" sqref="F30"/>
    </sheetView>
  </sheetViews>
  <sheetFormatPr defaultColWidth="9.140625" defaultRowHeight="12.75"/>
  <cols>
    <col min="1" max="1" width="9.28125" style="0" customWidth="1"/>
    <col min="2" max="2" width="30.140625" style="0" customWidth="1"/>
    <col min="3" max="3" width="16.57421875" style="0" customWidth="1"/>
    <col min="4" max="4" width="15.00390625" style="0" bestFit="1" customWidth="1"/>
    <col min="5" max="5" width="11.140625" style="0" bestFit="1" customWidth="1"/>
    <col min="6" max="6" width="16.421875" style="0" customWidth="1"/>
    <col min="7" max="7" width="3.57421875" style="0" customWidth="1"/>
    <col min="8" max="8" width="2.57421875" style="0" customWidth="1"/>
    <col min="9" max="9" width="11.421875" style="0" customWidth="1"/>
    <col min="11" max="11" width="11.7109375" style="0" customWidth="1"/>
    <col min="12" max="12" width="13.140625" style="0" customWidth="1"/>
    <col min="14" max="14" width="4.00390625" style="0" customWidth="1"/>
  </cols>
  <sheetData>
    <row r="1" ht="15.75">
      <c r="B1" s="31" t="s">
        <v>20</v>
      </c>
    </row>
    <row r="3" ht="15">
      <c r="B3" s="26" t="s">
        <v>17</v>
      </c>
    </row>
    <row r="5" spans="2:5" ht="12.75">
      <c r="B5" s="27" t="s">
        <v>15</v>
      </c>
      <c r="C5" s="27" t="s">
        <v>42</v>
      </c>
      <c r="D5" s="27" t="s">
        <v>16</v>
      </c>
      <c r="E5" s="27" t="s">
        <v>43</v>
      </c>
    </row>
    <row r="6" spans="2:5" ht="12.75">
      <c r="B6" s="28">
        <v>2016</v>
      </c>
      <c r="C6" s="75">
        <v>696</v>
      </c>
      <c r="D6" s="75">
        <f>C6/12</f>
        <v>58</v>
      </c>
      <c r="E6" s="75">
        <f>D6*B13</f>
        <v>678.02</v>
      </c>
    </row>
    <row r="7" spans="2:5" ht="12.75">
      <c r="B7" s="28">
        <v>2017</v>
      </c>
      <c r="C7" s="75">
        <v>817</v>
      </c>
      <c r="D7" s="75">
        <f>C7/12</f>
        <v>68.08333333333333</v>
      </c>
      <c r="E7" s="75">
        <f>D7*B13</f>
        <v>795.8941666666666</v>
      </c>
    </row>
    <row r="8" spans="2:5" ht="12.75">
      <c r="B8" s="32">
        <v>2018</v>
      </c>
      <c r="C8" s="75">
        <v>740</v>
      </c>
      <c r="D8" s="75">
        <f>C8/12</f>
        <v>61.666666666666664</v>
      </c>
      <c r="E8" s="75">
        <f>D8*B13</f>
        <v>720.8833333333333</v>
      </c>
    </row>
    <row r="9" spans="2:5" ht="12.75">
      <c r="B9" s="28">
        <v>2019</v>
      </c>
      <c r="C9" s="75">
        <v>774</v>
      </c>
      <c r="D9" s="75">
        <v>65</v>
      </c>
      <c r="E9" s="75">
        <f>D9*$B$13</f>
        <v>759.85</v>
      </c>
    </row>
    <row r="10" spans="2:5" ht="12.75">
      <c r="B10" s="28">
        <v>2020</v>
      </c>
      <c r="C10" s="75">
        <v>749</v>
      </c>
      <c r="D10" s="75">
        <v>62</v>
      </c>
      <c r="E10" s="75">
        <f>D10*$B$13</f>
        <v>724.78</v>
      </c>
    </row>
    <row r="11" spans="2:5" ht="12.75">
      <c r="B11" s="32">
        <v>2021</v>
      </c>
      <c r="C11" s="83">
        <v>763</v>
      </c>
      <c r="D11" s="83">
        <v>64</v>
      </c>
      <c r="E11" s="75">
        <f>D11*$B$13</f>
        <v>748.16</v>
      </c>
    </row>
    <row r="12" spans="2:5" ht="13.5" thickBot="1">
      <c r="B12" s="76" t="s">
        <v>44</v>
      </c>
      <c r="C12" s="103">
        <f>AVERAGE(C6:C11)</f>
        <v>756.5</v>
      </c>
      <c r="D12" s="103">
        <f>AVERAGE(D6:D11)</f>
        <v>63.125</v>
      </c>
      <c r="E12" s="103">
        <f>AVERAGE(E6:E11)</f>
        <v>737.93125</v>
      </c>
    </row>
    <row r="13" spans="2:3" ht="13.5" customHeight="1" thickBot="1">
      <c r="B13" s="33">
        <v>11.69</v>
      </c>
      <c r="C13" s="29" t="s">
        <v>19</v>
      </c>
    </row>
    <row r="14" ht="12.75">
      <c r="C14" s="29" t="s">
        <v>18</v>
      </c>
    </row>
    <row r="17" ht="15">
      <c r="B17" s="26" t="s">
        <v>46</v>
      </c>
    </row>
    <row r="19" spans="2:5" ht="12.75">
      <c r="B19" s="27" t="s">
        <v>15</v>
      </c>
      <c r="C19" s="27" t="s">
        <v>42</v>
      </c>
      <c r="D19" s="27" t="s">
        <v>16</v>
      </c>
      <c r="E19" s="27" t="s">
        <v>43</v>
      </c>
    </row>
    <row r="20" spans="2:5" ht="12.75">
      <c r="B20" s="28">
        <v>2016</v>
      </c>
      <c r="C20" s="75">
        <v>772</v>
      </c>
      <c r="D20" s="75">
        <f>C20/12</f>
        <v>64.33333333333333</v>
      </c>
      <c r="E20" s="75">
        <f>D20*B27</f>
        <v>752.0566666666666</v>
      </c>
    </row>
    <row r="21" spans="2:5" ht="12.75">
      <c r="B21" s="28">
        <v>2017</v>
      </c>
      <c r="C21" s="75">
        <v>793</v>
      </c>
      <c r="D21" s="75">
        <f>C21/12</f>
        <v>66.08333333333333</v>
      </c>
      <c r="E21" s="75">
        <f>D21*B27</f>
        <v>772.5141666666666</v>
      </c>
    </row>
    <row r="22" spans="2:5" ht="12.75">
      <c r="B22" s="32">
        <v>2018</v>
      </c>
      <c r="C22" s="75">
        <v>794</v>
      </c>
      <c r="D22" s="75">
        <f>C22/12</f>
        <v>66.16666666666667</v>
      </c>
      <c r="E22" s="75">
        <f>D22*$B$27</f>
        <v>773.4883333333333</v>
      </c>
    </row>
    <row r="23" spans="2:5" ht="12.75">
      <c r="B23" s="28">
        <v>2019</v>
      </c>
      <c r="C23" s="75">
        <v>799</v>
      </c>
      <c r="D23" s="75">
        <v>67</v>
      </c>
      <c r="E23" s="75">
        <f>D23*$B$27</f>
        <v>783.23</v>
      </c>
    </row>
    <row r="24" spans="2:5" ht="12.75">
      <c r="B24" s="28">
        <v>2020</v>
      </c>
      <c r="C24" s="75">
        <v>792</v>
      </c>
      <c r="D24" s="75">
        <v>66</v>
      </c>
      <c r="E24" s="75">
        <f>D24*$B$27</f>
        <v>771.54</v>
      </c>
    </row>
    <row r="25" spans="2:5" ht="12.75">
      <c r="B25" s="32">
        <v>2021</v>
      </c>
      <c r="C25" s="83">
        <v>761</v>
      </c>
      <c r="D25" s="83">
        <v>63</v>
      </c>
      <c r="E25" s="75">
        <f>D25*$B$27</f>
        <v>736.4699999999999</v>
      </c>
    </row>
    <row r="26" spans="2:5" ht="13.5" thickBot="1">
      <c r="B26" s="76" t="s">
        <v>44</v>
      </c>
      <c r="C26" s="103">
        <f>AVERAGE(C20:C25)</f>
        <v>785.1666666666666</v>
      </c>
      <c r="D26" s="103">
        <f>AVERAGE(D20:D25)</f>
        <v>65.43055555555556</v>
      </c>
      <c r="E26" s="103">
        <f>AVERAGE(E20:E25)</f>
        <v>764.8831944444445</v>
      </c>
    </row>
    <row r="27" spans="2:3" ht="13.5" thickBot="1">
      <c r="B27" s="33">
        <v>11.69</v>
      </c>
      <c r="C27" s="29" t="s">
        <v>19</v>
      </c>
    </row>
    <row r="28" ht="12.75">
      <c r="C28" s="29" t="s">
        <v>18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2" width="14.8515625" style="0" customWidth="1"/>
  </cols>
  <sheetData>
    <row r="1" spans="1:2" ht="15" customHeight="1" thickTop="1">
      <c r="A1" s="82" t="s">
        <v>15</v>
      </c>
      <c r="B1" s="82" t="s">
        <v>47</v>
      </c>
    </row>
    <row r="2" spans="1:3" ht="15" customHeight="1">
      <c r="A2" s="83">
        <v>2020</v>
      </c>
      <c r="B2" s="100">
        <v>17130</v>
      </c>
      <c r="C2" s="2"/>
    </row>
    <row r="3" spans="1:2" ht="15" customHeight="1">
      <c r="A3" s="83">
        <v>2021</v>
      </c>
      <c r="B3" s="100">
        <v>24029</v>
      </c>
    </row>
    <row r="4" spans="1:2" ht="15" customHeight="1">
      <c r="A4" s="101">
        <v>2022</v>
      </c>
      <c r="B4" s="102">
        <f>Revenues!N21</f>
        <v>23318.363636363636</v>
      </c>
    </row>
    <row r="5" spans="1:2" ht="15" customHeight="1">
      <c r="A5" s="101">
        <v>2023</v>
      </c>
      <c r="B5" s="119">
        <f>Revenues!N30</f>
        <v>23519.78512396694</v>
      </c>
    </row>
    <row r="6" spans="1:2" ht="12.75">
      <c r="A6" s="101">
        <v>2024</v>
      </c>
      <c r="B6" s="102">
        <f>Revenues!N37</f>
        <v>25923.78512396694</v>
      </c>
    </row>
    <row r="7" spans="1:3" ht="12.75">
      <c r="A7" s="101">
        <v>2025</v>
      </c>
      <c r="B7" s="102">
        <f>Revenues!N44</f>
        <v>28327.78512396694</v>
      </c>
      <c r="C7" s="2"/>
    </row>
    <row r="8" spans="1:2" ht="12.75">
      <c r="A8" s="117"/>
      <c r="B8" s="118"/>
    </row>
    <row r="15" spans="1:2" ht="38.25" customHeight="1">
      <c r="A15" s="149" t="s">
        <v>58</v>
      </c>
      <c r="B15" s="149"/>
    </row>
    <row r="16" spans="1:2" ht="15" customHeight="1">
      <c r="A16" s="83" t="s">
        <v>0</v>
      </c>
      <c r="B16" s="104">
        <v>0.03</v>
      </c>
    </row>
    <row r="17" spans="1:2" ht="15" customHeight="1">
      <c r="A17" s="83" t="s">
        <v>1</v>
      </c>
      <c r="B17" s="104">
        <v>-0.01</v>
      </c>
    </row>
    <row r="18" spans="1:2" ht="15" customHeight="1">
      <c r="A18" s="83" t="s">
        <v>51</v>
      </c>
      <c r="B18" s="104">
        <v>0.06</v>
      </c>
    </row>
    <row r="19" spans="1:2" ht="15" customHeight="1">
      <c r="A19" s="83" t="s">
        <v>3</v>
      </c>
      <c r="B19" s="104">
        <v>0.03</v>
      </c>
    </row>
    <row r="20" spans="1:2" ht="15" customHeight="1">
      <c r="A20" s="83" t="s">
        <v>4</v>
      </c>
      <c r="B20" s="104">
        <v>0.02</v>
      </c>
    </row>
    <row r="21" spans="1:2" ht="15" customHeight="1">
      <c r="A21" s="83" t="s">
        <v>52</v>
      </c>
      <c r="B21" s="104">
        <v>0.02</v>
      </c>
    </row>
    <row r="22" spans="1:2" ht="15" customHeight="1">
      <c r="A22" s="83" t="s">
        <v>6</v>
      </c>
      <c r="B22" s="104">
        <v>0.04</v>
      </c>
    </row>
    <row r="23" spans="1:2" ht="15" customHeight="1">
      <c r="A23" s="83" t="s">
        <v>7</v>
      </c>
      <c r="B23" s="104">
        <v>0.03</v>
      </c>
    </row>
    <row r="24" spans="1:2" ht="15" customHeight="1">
      <c r="A24" s="83" t="s">
        <v>8</v>
      </c>
      <c r="B24" s="104">
        <v>0.03</v>
      </c>
    </row>
    <row r="25" spans="1:2" ht="15" customHeight="1">
      <c r="A25" s="83" t="s">
        <v>9</v>
      </c>
      <c r="B25" s="104">
        <v>0.02</v>
      </c>
    </row>
    <row r="26" spans="1:2" ht="15" customHeight="1">
      <c r="A26" s="83" t="s">
        <v>10</v>
      </c>
      <c r="B26" s="104">
        <v>0.03</v>
      </c>
    </row>
    <row r="27" spans="1:2" ht="15" customHeight="1">
      <c r="A27" s="83" t="s">
        <v>53</v>
      </c>
      <c r="B27" s="104">
        <v>0.02</v>
      </c>
    </row>
  </sheetData>
  <sheetProtection/>
  <mergeCells count="1">
    <mergeCell ref="A15:B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Myers, Leslie</cp:lastModifiedBy>
  <cp:lastPrinted>2011-04-13T00:15:20Z</cp:lastPrinted>
  <dcterms:created xsi:type="dcterms:W3CDTF">2010-05-28T19:50:38Z</dcterms:created>
  <dcterms:modified xsi:type="dcterms:W3CDTF">2022-10-26T16:06:02Z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Puget Sound Energy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220801</vt:lpwstr>
  </property>
  <property fmtid="{D5CDD505-2E9C-101B-9397-08002B2CF9AE}" pid="10" name="Dat">
    <vt:lpwstr>2022-11-01T00:00:00Z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2022-11-01T00:00:00Z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