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30" windowWidth="18615" windowHeight="750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Family'!$A$1:$O$105</definedName>
    <definedName name="_xlnm.Print_Area" localSheetId="1">'WUTC_AW of Lynnwood_SF'!$A$1:$K$66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comments7.xml><?xml version="1.0" encoding="utf-8"?>
<comments xmlns="http://schemas.openxmlformats.org/spreadsheetml/2006/main">
  <authors>
    <author>Gualberto, Christopher</author>
  </authors>
  <commentList>
    <comment ref="C4" authorId="0">
      <text>
        <r>
          <rPr>
            <b/>
            <sz val="9"/>
            <rFont val="Tahoma"/>
            <family val="0"/>
          </rPr>
          <t>Gualberto, Christopher:</t>
        </r>
        <r>
          <rPr>
            <sz val="9"/>
            <rFont val="Tahoma"/>
            <family val="0"/>
          </rPr>
          <t xml:space="preserve">
from RSA file</t>
        </r>
      </text>
    </comment>
  </commentList>
</comments>
</file>

<file path=xl/comments8.xml><?xml version="1.0" encoding="utf-8"?>
<comments xmlns="http://schemas.openxmlformats.org/spreadsheetml/2006/main">
  <authors>
    <author>Jody Reid</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2" authorId="0">
      <text>
        <r>
          <rPr>
            <sz val="8"/>
            <rFont val="Tahoma"/>
            <family val="2"/>
          </rPr>
          <t>TTM Commodity value per customer x # of Customers x 12 months</t>
        </r>
      </text>
    </comment>
    <comment ref="L12" authorId="0">
      <text>
        <r>
          <rPr>
            <sz val="8"/>
            <rFont val="Tahoma"/>
            <family val="2"/>
          </rPr>
          <t xml:space="preserve">Customer Count Today x 12 months x Base Pass Back Rate
</t>
        </r>
      </text>
    </comment>
    <comment ref="J21" authorId="0">
      <text>
        <r>
          <rPr>
            <sz val="8"/>
            <rFont val="Tahoma"/>
            <family val="2"/>
          </rPr>
          <t>TTM Commodity value per customer x # of Customers x 12 months</t>
        </r>
      </text>
    </comment>
    <comment ref="L21"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<sst xmlns="http://schemas.openxmlformats.org/spreadsheetml/2006/main" count="282" uniqueCount="127">
  <si>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</si>
  <si>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</si>
  <si>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</si>
  <si>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</si>
  <si>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</si>
  <si>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</si>
  <si>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</si>
  <si>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</si>
  <si>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</si>
  <si>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</si>
  <si>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</si>
  <si>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</si>
  <si>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</si>
  <si>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</si>
  <si>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</si>
  <si>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</si>
  <si>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</si>
  <si>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</si>
  <si>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</si>
  <si>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</si>
  <si>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</si>
  <si>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</si>
  <si>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</si>
  <si>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</si>
  <si>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</si>
  <si>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</si>
  <si>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</si>
  <si>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</si>
  <si>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</si>
  <si>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</si>
  <si>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</si>
  <si>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</si>
  <si>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</si>
  <si>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</si>
  <si>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</si>
  <si>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</si>
  <si>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</si>
  <si>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</si>
  <si>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</si>
  <si>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</si>
  <si>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</si>
  <si>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</si>
  <si>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</si>
  <si>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</si>
  <si>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</si>
  <si>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</si>
  <si>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</si>
  <si>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</si>
  <si>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</si>
  <si>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</si>
  <si>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</si>
  <si>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</si>
  <si>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</si>
  <si>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</si>
  <si>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</si>
  <si>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</si>
  <si>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</si>
  <si>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</si>
  <si>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</si>
  <si>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</si>
  <si>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</si>
  <si>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</si>
  <si>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</si>
  <si>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</si>
  <si>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</si>
  <si>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</si>
  <si>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</si>
  <si>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</si>
  <si>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</si>
  <si>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</si>
  <si>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</si>
  <si>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</si>
  <si>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</si>
  <si>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</si>
  <si>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</si>
  <si>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</si>
  <si>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</si>
  <si>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</si>
  <si>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</si>
  <si>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</si>
  <si>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</si>
  <si>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</si>
  <si>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</si>
  <si>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</si>
  <si>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 Passed Back</t>
  </si>
  <si>
    <t>Lynnwood SF</t>
  </si>
  <si>
    <t xml:space="preserve"> True-up Computation</t>
  </si>
  <si>
    <t>Shrinkage</t>
  </si>
  <si>
    <t>Metal</t>
  </si>
  <si>
    <t>Total twelve months</t>
  </si>
  <si>
    <t xml:space="preserve">12 month running average "BASE CREDIT" </t>
  </si>
  <si>
    <t xml:space="preserve"> Projected Credit</t>
  </si>
  <si>
    <t>Excess Commodity Value</t>
  </si>
  <si>
    <t>Unspent RSA dollars</t>
  </si>
  <si>
    <t>Commodity Value versus Credits</t>
  </si>
  <si>
    <t>Commodity Value Timeframe:  May - April</t>
  </si>
  <si>
    <t>Underspent RSA per Snohomish report</t>
  </si>
  <si>
    <t>Lynnwood</t>
  </si>
  <si>
    <t>SF portion</t>
  </si>
  <si>
    <t>MF portion</t>
  </si>
  <si>
    <t>RSA Rev breakdown:</t>
  </si>
  <si>
    <t>SF $</t>
  </si>
  <si>
    <t>MF $</t>
  </si>
  <si>
    <t>SF %</t>
  </si>
  <si>
    <t>MF %</t>
  </si>
  <si>
    <t>Credit per customer</t>
  </si>
  <si>
    <t>Lynnwood SF RSA Unspent</t>
  </si>
  <si>
    <t>Per RSA File</t>
  </si>
  <si>
    <t>50% RSA Retained</t>
  </si>
  <si>
    <t>50% Passed to Customers</t>
  </si>
  <si>
    <t xml:space="preserve">197 Lynnwood Single-Family Value </t>
  </si>
  <si>
    <t xml:space="preserve">Lynnwood Multi-Family Value </t>
  </si>
  <si>
    <t>Total Revenue Retained</t>
  </si>
  <si>
    <t>Year 1</t>
  </si>
  <si>
    <t>Year 2</t>
  </si>
  <si>
    <t>Per UTC Filing</t>
  </si>
  <si>
    <t>Variance</t>
  </si>
  <si>
    <t>Commodity Revenue</t>
  </si>
  <si>
    <t>Prior three months</t>
  </si>
  <si>
    <t>Current nine months</t>
  </si>
  <si>
    <t>2021/2022 Monthly True-up Amount</t>
  </si>
  <si>
    <t>8/1/22 - 7/31/23 Adjusted Credit</t>
  </si>
  <si>
    <t>See Snohomish County letter requesting rollover into Plan Year #2</t>
  </si>
  <si>
    <t>Total Passback at end of 2 year plan year 2023</t>
  </si>
  <si>
    <t>2021 - 2023</t>
  </si>
  <si>
    <t>2021 - 2022</t>
  </si>
  <si>
    <t>2022 - 2023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</si>
</sst>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00_);_(* \(#,##0.000\);_(* &quot;-&quot;???_);_(@_)"/>
    <numFmt numFmtId="181" formatCode="&quot;$&quot;#,##0.00"/>
    <numFmt numFmtId="182" formatCode="0.000"/>
  </numFmts>
  <fonts count="6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b/>
      <sz val="12"/>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8"/>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right/>
      <top/>
      <bottom style="medium"/>
    </border>
    <border>
      <left/>
      <right/>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4">
    <xf numFmtId="0" fontId="0" fillId="0" borderId="0" xfId="0" applyAlignment="1">
      <alignment/>
    </xf>
    <xf numFmtId="0" fontId="1" fillId="0" borderId="0" xfId="61" applyFont="1">
      <alignment/>
      <protection/>
    </xf>
    <xf numFmtId="0" fontId="7" fillId="0" borderId="0" xfId="61" applyFont="1">
      <alignment/>
      <protection/>
    </xf>
    <xf numFmtId="0" fontId="7" fillId="0" borderId="0" xfId="61" applyFont="1" applyAlignment="1">
      <alignment horizontal="center"/>
      <protection/>
    </xf>
    <xf numFmtId="0" fontId="8" fillId="0" borderId="0" xfId="61" applyFont="1" applyAlignment="1">
      <alignment horizontal="center"/>
      <protection/>
    </xf>
    <xf numFmtId="0" fontId="6" fillId="0" borderId="0" xfId="61">
      <alignment/>
      <protection/>
    </xf>
    <xf numFmtId="0" fontId="9" fillId="0" borderId="0" xfId="61" applyFont="1">
      <alignment/>
      <protection/>
    </xf>
    <xf numFmtId="14" fontId="7" fillId="0" borderId="0" xfId="61" applyNumberFormat="1" applyFont="1" applyAlignment="1">
      <alignment horizontal="center"/>
      <protection/>
    </xf>
    <xf numFmtId="0" fontId="10" fillId="0" borderId="0" xfId="61" applyFont="1">
      <alignment/>
      <protection/>
    </xf>
    <xf numFmtId="0" fontId="11" fillId="0" borderId="0" xfId="61" applyFont="1">
      <alignment/>
      <protection/>
    </xf>
    <xf numFmtId="0" fontId="11" fillId="0" borderId="0" xfId="61" applyFont="1" applyAlignment="1">
      <alignment horizontal="center"/>
      <protection/>
    </xf>
    <xf numFmtId="0" fontId="9" fillId="0" borderId="0" xfId="61" applyFont="1" applyAlignment="1">
      <alignment horizontal="center"/>
      <protection/>
    </xf>
    <xf numFmtId="167" fontId="9" fillId="0" borderId="0" xfId="61" applyNumberFormat="1" applyFont="1" applyAlignment="1">
      <alignment horizontal="center"/>
      <protection/>
    </xf>
    <xf numFmtId="1" fontId="7" fillId="0" borderId="0" xfId="61" applyNumberFormat="1" applyFont="1">
      <alignment/>
      <protection/>
    </xf>
    <xf numFmtId="41" fontId="7" fillId="0" borderId="0" xfId="61" applyNumberFormat="1" applyFont="1">
      <alignment/>
      <protection/>
    </xf>
    <xf numFmtId="167" fontId="9" fillId="0" borderId="0" xfId="61" applyNumberFormat="1" applyFont="1">
      <alignment/>
      <protection/>
    </xf>
    <xf numFmtId="167" fontId="7" fillId="0" borderId="0" xfId="61" applyNumberFormat="1" applyFont="1">
      <alignment/>
      <protection/>
    </xf>
    <xf numFmtId="169" fontId="7" fillId="0" borderId="0" xfId="61" applyNumberFormat="1" applyFont="1" applyAlignment="1">
      <alignment horizontal="right"/>
      <protection/>
    </xf>
    <xf numFmtId="167" fontId="7" fillId="0" borderId="0" xfId="61" applyNumberFormat="1" applyFont="1" applyFill="1" applyAlignment="1">
      <alignment horizontal="center"/>
      <protection/>
    </xf>
    <xf numFmtId="41" fontId="12" fillId="0" borderId="0" xfId="61" applyNumberFormat="1" applyFont="1">
      <alignment/>
      <protection/>
    </xf>
    <xf numFmtId="41" fontId="13" fillId="0" borderId="0" xfId="61" applyNumberFormat="1" applyFont="1" applyAlignment="1">
      <alignment horizontal="left"/>
      <protection/>
    </xf>
    <xf numFmtId="41" fontId="7" fillId="0" borderId="10" xfId="61" applyNumberFormat="1" applyFont="1" applyBorder="1">
      <alignment/>
      <protection/>
    </xf>
    <xf numFmtId="167" fontId="7" fillId="0" borderId="10" xfId="61" applyNumberFormat="1" applyFont="1" applyBorder="1">
      <alignment/>
      <protection/>
    </xf>
    <xf numFmtId="168" fontId="7" fillId="0" borderId="0" xfId="61" applyNumberFormat="1" applyFont="1">
      <alignment/>
      <protection/>
    </xf>
    <xf numFmtId="17" fontId="7" fillId="0" borderId="0" xfId="61" applyNumberFormat="1" applyFont="1" applyAlignment="1">
      <alignment horizontal="right"/>
      <protection/>
    </xf>
    <xf numFmtId="167" fontId="6" fillId="0" borderId="0" xfId="61" applyNumberFormat="1">
      <alignment/>
      <protection/>
    </xf>
    <xf numFmtId="169" fontId="7" fillId="0" borderId="0" xfId="61" applyNumberFormat="1" applyFont="1">
      <alignment/>
      <protection/>
    </xf>
    <xf numFmtId="41" fontId="7" fillId="0" borderId="11" xfId="61" applyNumberFormat="1" applyFont="1" applyBorder="1">
      <alignment/>
      <protection/>
    </xf>
    <xf numFmtId="167" fontId="7" fillId="0" borderId="11" xfId="61" applyNumberFormat="1" applyFont="1" applyBorder="1">
      <alignment/>
      <protection/>
    </xf>
    <xf numFmtId="41" fontId="9" fillId="0" borderId="12" xfId="61" applyNumberFormat="1" applyFont="1" applyBorder="1">
      <alignment/>
      <protection/>
    </xf>
    <xf numFmtId="41" fontId="7" fillId="0" borderId="12" xfId="61" applyNumberFormat="1" applyFont="1" applyBorder="1">
      <alignment/>
      <protection/>
    </xf>
    <xf numFmtId="41" fontId="10" fillId="0" borderId="0" xfId="61" applyNumberFormat="1" applyFont="1">
      <alignment/>
      <protection/>
    </xf>
    <xf numFmtId="41" fontId="7" fillId="0" borderId="0" xfId="61" applyNumberFormat="1" applyFont="1" applyAlignment="1">
      <alignment horizontal="right"/>
      <protection/>
    </xf>
    <xf numFmtId="1" fontId="10" fillId="0" borderId="0" xfId="61" applyNumberFormat="1" applyFont="1">
      <alignment/>
      <protection/>
    </xf>
    <xf numFmtId="168" fontId="12" fillId="0" borderId="0" xfId="61" applyNumberFormat="1" applyFont="1">
      <alignment/>
      <protection/>
    </xf>
    <xf numFmtId="41" fontId="7" fillId="0" borderId="0" xfId="61" applyNumberFormat="1" applyFont="1" applyBorder="1">
      <alignment/>
      <protection/>
    </xf>
    <xf numFmtId="41" fontId="7" fillId="0" borderId="13" xfId="61" applyNumberFormat="1" applyFont="1" applyBorder="1">
      <alignment/>
      <protection/>
    </xf>
    <xf numFmtId="41" fontId="7" fillId="0" borderId="14" xfId="61" applyNumberFormat="1" applyFont="1" applyBorder="1">
      <alignment/>
      <protection/>
    </xf>
    <xf numFmtId="41" fontId="7" fillId="0" borderId="15" xfId="61" applyNumberFormat="1" applyFont="1" applyBorder="1">
      <alignment/>
      <protection/>
    </xf>
    <xf numFmtId="168" fontId="7" fillId="0" borderId="11" xfId="61" applyNumberFormat="1" applyFont="1" applyBorder="1">
      <alignment/>
      <protection/>
    </xf>
    <xf numFmtId="168" fontId="7" fillId="0" borderId="15" xfId="61" applyNumberFormat="1" applyFont="1" applyBorder="1">
      <alignment/>
      <protection/>
    </xf>
    <xf numFmtId="167" fontId="7" fillId="0" borderId="0" xfId="61" applyNumberFormat="1" applyFont="1" applyFill="1" applyBorder="1">
      <alignment/>
      <protection/>
    </xf>
    <xf numFmtId="167" fontId="14" fillId="0" borderId="0" xfId="61" applyNumberFormat="1" applyFont="1" applyFill="1" applyBorder="1" applyAlignment="1">
      <alignment horizontal="centerContinuous"/>
      <protection/>
    </xf>
    <xf numFmtId="167" fontId="7" fillId="0" borderId="0" xfId="61" applyNumberFormat="1" applyFont="1" applyFill="1" applyBorder="1" applyAlignment="1">
      <alignment horizontal="centerContinuous"/>
      <protection/>
    </xf>
    <xf numFmtId="167" fontId="7" fillId="0" borderId="0" xfId="61" applyNumberFormat="1" applyFont="1" applyAlignment="1">
      <alignment horizontal="centerContinuous"/>
      <protection/>
    </xf>
    <xf numFmtId="169" fontId="7" fillId="0" borderId="0" xfId="61" applyNumberFormat="1" applyFont="1" applyFill="1" applyBorder="1" applyAlignment="1">
      <alignment horizontal="right"/>
      <protection/>
    </xf>
    <xf numFmtId="41" fontId="12" fillId="0" borderId="0" xfId="61" applyNumberFormat="1" applyFont="1" applyFill="1" applyBorder="1" applyAlignment="1">
      <alignment horizontal="center"/>
      <protection/>
    </xf>
    <xf numFmtId="167" fontId="7" fillId="0" borderId="0" xfId="61" applyNumberFormat="1" applyFont="1" applyFill="1" applyBorder="1" applyAlignment="1">
      <alignment horizontal="center"/>
      <protection/>
    </xf>
    <xf numFmtId="41" fontId="13" fillId="0" borderId="0" xfId="61" applyNumberFormat="1" applyFont="1" applyFill="1" applyBorder="1" applyAlignment="1">
      <alignment horizontal="left"/>
      <protection/>
    </xf>
    <xf numFmtId="41" fontId="7" fillId="0" borderId="0" xfId="61" applyNumberFormat="1" applyFont="1" applyFill="1" applyBorder="1">
      <alignment/>
      <protection/>
    </xf>
    <xf numFmtId="41" fontId="12" fillId="0" borderId="0" xfId="61" applyNumberFormat="1" applyFont="1" applyFill="1" applyBorder="1">
      <alignment/>
      <protection/>
    </xf>
    <xf numFmtId="1" fontId="7" fillId="0" borderId="0" xfId="61" applyNumberFormat="1" applyFont="1" applyFill="1" applyBorder="1">
      <alignment/>
      <protection/>
    </xf>
    <xf numFmtId="0" fontId="6" fillId="0" borderId="0" xfId="61" applyFill="1" applyBorder="1">
      <alignment/>
      <protection/>
    </xf>
    <xf numFmtId="167" fontId="6" fillId="0" borderId="0" xfId="61" applyNumberFormat="1" applyFill="1" applyBorder="1">
      <alignment/>
      <protection/>
    </xf>
    <xf numFmtId="169" fontId="7" fillId="0" borderId="0" xfId="61" applyNumberFormat="1" applyFont="1" applyFill="1" applyBorder="1">
      <alignment/>
      <protection/>
    </xf>
    <xf numFmtId="168" fontId="7" fillId="0" borderId="0" xfId="61" applyNumberFormat="1" applyFont="1" applyFill="1" applyBorder="1">
      <alignment/>
      <protection/>
    </xf>
    <xf numFmtId="167" fontId="7" fillId="0" borderId="13" xfId="61" applyNumberFormat="1" applyFont="1" applyBorder="1">
      <alignment/>
      <protection/>
    </xf>
    <xf numFmtId="167" fontId="7" fillId="0" borderId="15" xfId="61" applyNumberFormat="1" applyFont="1" applyBorder="1">
      <alignment/>
      <protection/>
    </xf>
    <xf numFmtId="2" fontId="6" fillId="0" borderId="0" xfId="61"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1" applyNumberFormat="1" applyFont="1" applyAlignment="1">
      <alignment horizontal="right"/>
      <protection/>
    </xf>
    <xf numFmtId="169" fontId="7" fillId="0" borderId="0" xfId="61" applyNumberFormat="1" applyFont="1" applyAlignment="1">
      <alignment horizontal="right" wrapText="1"/>
      <protection/>
    </xf>
    <xf numFmtId="17" fontId="7" fillId="0" borderId="0" xfId="61" applyNumberFormat="1" applyFont="1" applyFill="1" applyBorder="1" applyAlignment="1">
      <alignment horizontal="right"/>
      <protection/>
    </xf>
    <xf numFmtId="169" fontId="7" fillId="0" borderId="0" xfId="61"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4"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4"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4" applyNumberFormat="1" applyFont="1" applyAlignment="1">
      <alignment/>
    </xf>
    <xf numFmtId="10" fontId="9" fillId="33" borderId="0" xfId="64" applyNumberFormat="1" applyFont="1" applyFill="1" applyAlignment="1">
      <alignment/>
    </xf>
    <xf numFmtId="9" fontId="7" fillId="0" borderId="0" xfId="64"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1" applyNumberFormat="1" applyFont="1" applyBorder="1">
      <alignment/>
      <protection/>
    </xf>
    <xf numFmtId="167" fontId="7" fillId="0" borderId="0" xfId="61" applyNumberFormat="1" applyFont="1" applyAlignment="1">
      <alignment horizontal="center"/>
      <protection/>
    </xf>
    <xf numFmtId="167" fontId="12" fillId="0" borderId="0" xfId="61" applyNumberFormat="1" applyFont="1" applyFill="1" applyAlignment="1">
      <alignment horizontal="center"/>
      <protection/>
    </xf>
    <xf numFmtId="169" fontId="7" fillId="0" borderId="0" xfId="61" applyNumberFormat="1" applyFont="1" applyBorder="1" applyAlignment="1">
      <alignment horizontal="right"/>
      <protection/>
    </xf>
    <xf numFmtId="41" fontId="12" fillId="0" borderId="0" xfId="61" applyNumberFormat="1" applyFont="1" applyBorder="1">
      <alignment/>
      <protection/>
    </xf>
    <xf numFmtId="41" fontId="13" fillId="0" borderId="0" xfId="61" applyNumberFormat="1" applyFont="1" applyBorder="1" applyAlignment="1">
      <alignment horizontal="left"/>
      <protection/>
    </xf>
    <xf numFmtId="1" fontId="7" fillId="0" borderId="0" xfId="61" applyNumberFormat="1" applyFont="1" applyBorder="1">
      <alignment/>
      <protection/>
    </xf>
    <xf numFmtId="0" fontId="6" fillId="0" borderId="0" xfId="61" applyBorder="1">
      <alignment/>
      <protection/>
    </xf>
    <xf numFmtId="167" fontId="6" fillId="0" borderId="0" xfId="61" applyNumberFormat="1" applyBorder="1">
      <alignment/>
      <protection/>
    </xf>
    <xf numFmtId="169" fontId="7" fillId="0" borderId="0" xfId="61" applyNumberFormat="1" applyFont="1" applyBorder="1">
      <alignment/>
      <protection/>
    </xf>
    <xf numFmtId="168" fontId="7" fillId="0" borderId="0" xfId="61" applyNumberFormat="1" applyFont="1" applyBorder="1">
      <alignment/>
      <protection/>
    </xf>
    <xf numFmtId="10" fontId="7" fillId="34" borderId="0" xfId="0" applyNumberFormat="1" applyFont="1" applyFill="1" applyAlignment="1">
      <alignment/>
    </xf>
    <xf numFmtId="10" fontId="7" fillId="34" borderId="0" xfId="64" applyNumberFormat="1" applyFont="1" applyFill="1" applyAlignment="1">
      <alignment/>
    </xf>
    <xf numFmtId="17" fontId="7" fillId="34" borderId="0" xfId="0" applyNumberFormat="1" applyFont="1" applyFill="1" applyBorder="1" applyAlignment="1">
      <alignment horizontal="center"/>
    </xf>
    <xf numFmtId="169" fontId="7" fillId="0" borderId="0" xfId="61"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4"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5" fontId="1" fillId="0" borderId="0" xfId="64" applyNumberFormat="1" applyFont="1" applyAlignment="1">
      <alignment/>
    </xf>
    <xf numFmtId="0" fontId="17" fillId="0" borderId="16" xfId="61" applyFont="1" applyBorder="1" applyAlignment="1">
      <alignment horizontal="center"/>
      <protection/>
    </xf>
    <xf numFmtId="167" fontId="17" fillId="0" borderId="17" xfId="61" applyNumberFormat="1" applyFont="1" applyBorder="1" applyAlignment="1">
      <alignment horizontal="center"/>
      <protection/>
    </xf>
    <xf numFmtId="167" fontId="18" fillId="0" borderId="17" xfId="61" applyNumberFormat="1" applyFont="1" applyFill="1" applyBorder="1" applyAlignment="1">
      <alignment horizontal="center"/>
      <protection/>
    </xf>
    <xf numFmtId="41" fontId="13" fillId="0" borderId="17" xfId="61" applyNumberFormat="1" applyFont="1" applyBorder="1">
      <alignment/>
      <protection/>
    </xf>
    <xf numFmtId="167" fontId="9" fillId="0" borderId="0" xfId="61" applyNumberFormat="1" applyFont="1" applyBorder="1">
      <alignment/>
      <protection/>
    </xf>
    <xf numFmtId="0" fontId="7" fillId="0" borderId="0" xfId="61" applyFont="1" applyBorder="1">
      <alignment/>
      <protection/>
    </xf>
    <xf numFmtId="168" fontId="9" fillId="0" borderId="17" xfId="61" applyNumberFormat="1" applyFont="1" applyBorder="1">
      <alignment/>
      <protection/>
    </xf>
    <xf numFmtId="165" fontId="7" fillId="0" borderId="0" xfId="64"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61" applyNumberFormat="1" applyFont="1" applyFill="1" applyBorder="1">
      <alignment/>
      <protection/>
    </xf>
    <xf numFmtId="167" fontId="7" fillId="35" borderId="11" xfId="61"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60" fillId="34" borderId="19" xfId="44" applyNumberFormat="1" applyFont="1" applyFill="1" applyBorder="1" applyAlignment="1">
      <alignment/>
    </xf>
    <xf numFmtId="44" fontId="60" fillId="34" borderId="19" xfId="44" applyNumberFormat="1" applyFont="1" applyFill="1" applyBorder="1" applyAlignment="1">
      <alignment horizontal="center"/>
    </xf>
    <xf numFmtId="167" fontId="7" fillId="36" borderId="0" xfId="61" applyNumberFormat="1" applyFont="1" applyFill="1">
      <alignment/>
      <protection/>
    </xf>
    <xf numFmtId="165" fontId="7" fillId="36" borderId="19" xfId="64" applyNumberFormat="1" applyFont="1" applyFill="1" applyBorder="1" applyAlignment="1">
      <alignment/>
    </xf>
    <xf numFmtId="165" fontId="61" fillId="37" borderId="20" xfId="64" applyNumberFormat="1" applyFont="1" applyFill="1" applyBorder="1" applyAlignment="1">
      <alignment horizontal="center"/>
    </xf>
    <xf numFmtId="41" fontId="7" fillId="35" borderId="0" xfId="61" applyNumberFormat="1" applyFont="1" applyFill="1" applyBorder="1">
      <alignment/>
      <protection/>
    </xf>
    <xf numFmtId="167" fontId="62" fillId="37" borderId="20" xfId="61" applyNumberFormat="1" applyFont="1" applyFill="1" applyBorder="1" applyAlignment="1">
      <alignment horizontal="center"/>
      <protection/>
    </xf>
    <xf numFmtId="41" fontId="63" fillId="37" borderId="20" xfId="61" applyNumberFormat="1" applyFont="1" applyFill="1" applyBorder="1" applyAlignment="1">
      <alignment horizontal="center"/>
      <protection/>
    </xf>
    <xf numFmtId="41" fontId="63" fillId="37" borderId="20" xfId="61" applyNumberFormat="1" applyFont="1" applyFill="1" applyBorder="1">
      <alignment/>
      <protection/>
    </xf>
    <xf numFmtId="168" fontId="7" fillId="36" borderId="15" xfId="61" applyNumberFormat="1" applyFont="1" applyFill="1" applyBorder="1">
      <alignment/>
      <protection/>
    </xf>
    <xf numFmtId="37" fontId="7" fillId="0" borderId="0" xfId="61" applyNumberFormat="1" applyFont="1">
      <alignment/>
      <protection/>
    </xf>
    <xf numFmtId="39" fontId="7" fillId="0" borderId="0" xfId="61" applyNumberFormat="1" applyFont="1">
      <alignment/>
      <protection/>
    </xf>
    <xf numFmtId="43" fontId="7" fillId="0" borderId="10" xfId="61" applyNumberFormat="1" applyFont="1" applyBorder="1">
      <alignment/>
      <protection/>
    </xf>
    <xf numFmtId="43" fontId="7" fillId="0" borderId="11" xfId="61" applyNumberFormat="1" applyFont="1" applyBorder="1">
      <alignment/>
      <protection/>
    </xf>
    <xf numFmtId="0" fontId="0" fillId="0" borderId="0" xfId="0" applyFont="1" applyAlignment="1">
      <alignment/>
    </xf>
    <xf numFmtId="17" fontId="7" fillId="0" borderId="0" xfId="0" applyNumberFormat="1" applyFont="1" applyAlignment="1">
      <alignment horizontal="center"/>
    </xf>
    <xf numFmtId="0" fontId="1" fillId="0" borderId="21" xfId="0" applyFont="1" applyBorder="1" applyAlignment="1">
      <alignment/>
    </xf>
    <xf numFmtId="0" fontId="1" fillId="0" borderId="22" xfId="0" applyFont="1" applyBorder="1" applyAlignment="1">
      <alignment/>
    </xf>
    <xf numFmtId="181" fontId="1" fillId="0" borderId="23" xfId="0" applyNumberFormat="1" applyFont="1" applyBorder="1" applyAlignment="1">
      <alignment/>
    </xf>
    <xf numFmtId="0" fontId="1" fillId="0" borderId="0" xfId="0" applyFont="1" applyAlignment="1">
      <alignment/>
    </xf>
    <xf numFmtId="44" fontId="0" fillId="0" borderId="19" xfId="44" applyFont="1" applyBorder="1" applyAlignment="1">
      <alignment/>
    </xf>
    <xf numFmtId="10" fontId="0" fillId="0" borderId="19" xfId="0" applyNumberFormat="1" applyBorder="1" applyAlignment="1">
      <alignment/>
    </xf>
    <xf numFmtId="181" fontId="0" fillId="32" borderId="19" xfId="0" applyNumberFormat="1" applyFill="1" applyBorder="1" applyAlignment="1">
      <alignment/>
    </xf>
    <xf numFmtId="181" fontId="0" fillId="0" borderId="19" xfId="0" applyNumberFormat="1" applyBorder="1" applyAlignment="1">
      <alignment/>
    </xf>
    <xf numFmtId="181" fontId="0" fillId="0" borderId="0" xfId="0" applyNumberFormat="1" applyAlignment="1">
      <alignment/>
    </xf>
    <xf numFmtId="41" fontId="0" fillId="0" borderId="0" xfId="0" applyNumberFormat="1" applyAlignment="1">
      <alignment/>
    </xf>
    <xf numFmtId="182" fontId="0" fillId="0" borderId="0" xfId="0" applyNumberFormat="1" applyAlignment="1">
      <alignment/>
    </xf>
    <xf numFmtId="0" fontId="20" fillId="38" borderId="24" xfId="60" applyFont="1" applyFill="1" applyBorder="1">
      <alignment/>
      <protection/>
    </xf>
    <xf numFmtId="172" fontId="0" fillId="38" borderId="10" xfId="60" applyNumberFormat="1" applyFont="1" applyFill="1" applyBorder="1">
      <alignment/>
      <protection/>
    </xf>
    <xf numFmtId="0" fontId="0" fillId="38" borderId="10" xfId="60" applyFont="1" applyFill="1" applyBorder="1">
      <alignment/>
      <protection/>
    </xf>
    <xf numFmtId="172" fontId="0" fillId="38" borderId="25" xfId="47" applyNumberFormat="1" applyFont="1" applyFill="1" applyBorder="1" applyAlignment="1">
      <alignment/>
    </xf>
    <xf numFmtId="0" fontId="0" fillId="0" borderId="0" xfId="60" applyFont="1">
      <alignment/>
      <protection/>
    </xf>
    <xf numFmtId="172" fontId="0" fillId="0" borderId="0" xfId="60" applyNumberFormat="1" applyFont="1">
      <alignment/>
      <protection/>
    </xf>
    <xf numFmtId="0" fontId="0" fillId="0" borderId="0" xfId="60" applyFont="1">
      <alignment/>
      <protection/>
    </xf>
    <xf numFmtId="172" fontId="0" fillId="0" borderId="0" xfId="47" applyNumberFormat="1" applyFont="1" applyAlignment="1">
      <alignment/>
    </xf>
    <xf numFmtId="172" fontId="0" fillId="0" borderId="26" xfId="0" applyNumberFormat="1" applyFont="1" applyBorder="1" applyAlignment="1">
      <alignment horizontal="center"/>
    </xf>
    <xf numFmtId="172" fontId="0" fillId="0" borderId="26" xfId="0" applyNumberFormat="1" applyBorder="1" applyAlignment="1">
      <alignment/>
    </xf>
    <xf numFmtId="172" fontId="0" fillId="0" borderId="26"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0" fontId="1" fillId="0" borderId="0" xfId="0" applyFont="1" applyAlignment="1">
      <alignment horizontal="left"/>
    </xf>
    <xf numFmtId="44" fontId="1" fillId="0" borderId="27" xfId="44" applyFont="1" applyBorder="1" applyAlignment="1">
      <alignment/>
    </xf>
    <xf numFmtId="0" fontId="0" fillId="0" borderId="0" xfId="0" applyFont="1" applyAlignment="1">
      <alignment horizontal="right"/>
    </xf>
    <xf numFmtId="44" fontId="0" fillId="0" borderId="0" xfId="0" applyNumberFormat="1" applyAlignment="1">
      <alignment/>
    </xf>
    <xf numFmtId="44" fontId="0" fillId="37" borderId="0" xfId="0" applyNumberFormat="1" applyFont="1" applyFill="1" applyAlignment="1">
      <alignment horizontal="right"/>
    </xf>
    <xf numFmtId="44" fontId="0" fillId="0" borderId="0" xfId="44" applyFont="1" applyAlignment="1">
      <alignment/>
    </xf>
    <xf numFmtId="44" fontId="0" fillId="37" borderId="0" xfId="44"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_98REC_CR"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1"/>
  <sheetViews>
    <sheetView showGridLines="0" tabSelected="1" zoomScalePageLayoutView="0" workbookViewId="0" topLeftCell="A1">
      <pane ySplit="4" topLeftCell="A5" activePane="bottomLeft" state="frozen"/>
      <selection pane="topLeft" activeCell="G56" sqref="G56"/>
      <selection pane="bottomLeft" activeCell="A1" sqref="A1"/>
    </sheetView>
  </sheetViews>
  <sheetFormatPr defaultColWidth="9.140625" defaultRowHeight="12.75"/>
  <cols>
    <col min="1" max="1" width="24.57421875" style="5" customWidth="1"/>
    <col min="2" max="2" width="10.710937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2" width="9.57421875" style="5" customWidth="1"/>
    <col min="13" max="14" width="9.57421875" style="5" hidden="1" customWidth="1"/>
    <col min="15" max="15" width="15.28125" style="5" hidden="1" customWidth="1"/>
    <col min="16" max="16" width="36.7109375" style="5" hidden="1" customWidth="1"/>
    <col min="17" max="17" width="9.57421875" style="5" hidden="1" customWidth="1"/>
    <col min="18"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76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2022</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18"/>
      <c r="M5" s="118"/>
      <c r="N5" s="142"/>
      <c r="O5" s="137" t="str">
        <f>"Total "&amp;F5</f>
        <v>Total Commodity</v>
      </c>
      <c r="P5" s="142"/>
      <c r="Q5" s="142"/>
      <c r="R5" s="142"/>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38" t="str">
        <f>+F6</f>
        <v>Revenue</v>
      </c>
      <c r="P6" s="111"/>
      <c r="Q6" s="111"/>
      <c r="R6" s="111"/>
    </row>
    <row r="7" spans="1:18" s="16" customFormat="1" ht="11.25">
      <c r="A7" s="15" t="s">
        <v>5</v>
      </c>
      <c r="B7" s="163" t="s">
        <v>6</v>
      </c>
      <c r="C7" s="12"/>
      <c r="D7" s="12" t="s">
        <v>3</v>
      </c>
      <c r="E7" s="12"/>
      <c r="F7" s="12" t="s">
        <v>7</v>
      </c>
      <c r="G7" s="12"/>
      <c r="H7" s="12"/>
      <c r="I7" s="12"/>
      <c r="J7" s="12" t="s">
        <v>6</v>
      </c>
      <c r="K7" s="12"/>
      <c r="L7" s="111"/>
      <c r="M7" s="111"/>
      <c r="N7" s="111"/>
      <c r="O7" s="138" t="str">
        <f>+F7</f>
        <v>per Customer</v>
      </c>
      <c r="P7" s="111"/>
      <c r="Q7" s="111"/>
      <c r="R7" s="111"/>
    </row>
    <row r="8" spans="1:18" s="16" customFormat="1" ht="11.25">
      <c r="A8" s="125">
        <f>'Single Family'!$C$6</f>
        <v>44317</v>
      </c>
      <c r="B8" s="164">
        <v>19190</v>
      </c>
      <c r="C8" s="112"/>
      <c r="D8" s="113">
        <f>Value!O6</f>
        <v>16112.339386954995</v>
      </c>
      <c r="E8" s="112"/>
      <c r="F8" s="16">
        <f aca="true" t="shared" si="0" ref="F8:F16">ROUND(D8/B8,2)</f>
        <v>0.84</v>
      </c>
      <c r="G8" s="112"/>
      <c r="H8" s="112"/>
      <c r="I8" s="112"/>
      <c r="J8" s="14">
        <f>+B8</f>
        <v>19190</v>
      </c>
      <c r="K8" s="13">
        <f>YEAR(A8)</f>
        <v>2021</v>
      </c>
      <c r="L8" s="111"/>
      <c r="M8" s="111"/>
      <c r="N8" s="111"/>
      <c r="O8" s="139">
        <f>VLOOKUP(A8,Value!$A$6:$O$17,13,FALSE)</f>
        <v>32224.67877390999</v>
      </c>
      <c r="P8" s="111"/>
      <c r="Q8" s="111"/>
      <c r="R8" s="111"/>
    </row>
    <row r="9" spans="1:18" s="16" customFormat="1" ht="11.25">
      <c r="A9" s="17">
        <f>EOMONTH(A8,1)</f>
        <v>44377</v>
      </c>
      <c r="B9" s="165">
        <v>19230</v>
      </c>
      <c r="C9" s="20"/>
      <c r="D9" s="113">
        <f>Value!O7</f>
        <v>21596.957352151996</v>
      </c>
      <c r="E9" s="14"/>
      <c r="F9" s="16">
        <f t="shared" si="0"/>
        <v>1.12</v>
      </c>
      <c r="G9" s="14"/>
      <c r="H9" s="14"/>
      <c r="I9" s="14"/>
      <c r="J9" s="14">
        <f>+B9</f>
        <v>19230</v>
      </c>
      <c r="K9" s="13">
        <f>YEAR(A9)</f>
        <v>2021</v>
      </c>
      <c r="L9" s="111"/>
      <c r="M9" s="111"/>
      <c r="N9" s="111"/>
      <c r="O9" s="139">
        <f>VLOOKUP(A9,Value!$A$6:$O$17,13,FALSE)</f>
        <v>43193.91470430399</v>
      </c>
      <c r="P9" s="111"/>
      <c r="Q9" s="111"/>
      <c r="R9" s="111"/>
    </row>
    <row r="10" spans="1:18" s="16" customFormat="1" ht="11.25">
      <c r="A10" s="17">
        <f>EOMONTH(A9,1)</f>
        <v>44408</v>
      </c>
      <c r="B10" s="165">
        <v>19292</v>
      </c>
      <c r="C10" s="14"/>
      <c r="D10" s="113">
        <f>Value!O8</f>
        <v>21209.413821240003</v>
      </c>
      <c r="E10" s="14"/>
      <c r="F10" s="16">
        <f t="shared" si="0"/>
        <v>1.1</v>
      </c>
      <c r="G10" s="14"/>
      <c r="H10" s="14"/>
      <c r="I10" s="14"/>
      <c r="J10" s="14">
        <f>+B10</f>
        <v>19292</v>
      </c>
      <c r="K10" s="13">
        <f>YEAR(A10)</f>
        <v>2021</v>
      </c>
      <c r="L10" s="111"/>
      <c r="M10" s="111"/>
      <c r="N10" s="111"/>
      <c r="O10" s="139">
        <f>VLOOKUP(A10,Value!$A$6:$O$17,13,FALSE)</f>
        <v>42418.827642480006</v>
      </c>
      <c r="P10" s="111"/>
      <c r="Q10" s="111"/>
      <c r="R10" s="111"/>
    </row>
    <row r="11" spans="1:18" s="16" customFormat="1" ht="11.25">
      <c r="A11" s="17"/>
      <c r="B11" s="23"/>
      <c r="C11" s="14"/>
      <c r="D11" s="113"/>
      <c r="E11" s="14"/>
      <c r="G11" s="23"/>
      <c r="H11" s="23"/>
      <c r="I11" s="14"/>
      <c r="J11" s="14"/>
      <c r="K11" s="13"/>
      <c r="L11" s="111"/>
      <c r="M11" s="111"/>
      <c r="N11" s="111"/>
      <c r="O11" s="139"/>
      <c r="P11" s="111"/>
      <c r="Q11" s="111"/>
      <c r="R11" s="111"/>
    </row>
    <row r="12" spans="1:18" s="16" customFormat="1" ht="11.25">
      <c r="A12" s="17" t="s">
        <v>118</v>
      </c>
      <c r="B12" s="167">
        <f>SUM(B8:B10)</f>
        <v>57712</v>
      </c>
      <c r="C12" s="14"/>
      <c r="D12" s="168">
        <f>SUM(D8:D10)</f>
        <v>58918.710560347</v>
      </c>
      <c r="E12" s="14"/>
      <c r="G12" s="23"/>
      <c r="H12" s="23"/>
      <c r="I12" s="14"/>
      <c r="J12" s="14"/>
      <c r="K12" s="13"/>
      <c r="L12" s="111"/>
      <c r="M12" s="111"/>
      <c r="N12" s="111"/>
      <c r="O12" s="139"/>
      <c r="P12" s="111"/>
      <c r="Q12" s="111"/>
      <c r="R12" s="111"/>
    </row>
    <row r="13" spans="1:18" s="16" customFormat="1" ht="11.25">
      <c r="A13" s="17"/>
      <c r="B13" s="23"/>
      <c r="C13" s="14"/>
      <c r="D13" s="113"/>
      <c r="E13" s="14"/>
      <c r="G13" s="23"/>
      <c r="H13" s="23"/>
      <c r="I13" s="14"/>
      <c r="J13" s="14"/>
      <c r="K13" s="13"/>
      <c r="L13" s="111"/>
      <c r="M13" s="111"/>
      <c r="N13" s="111"/>
      <c r="O13" s="139"/>
      <c r="P13" s="111"/>
      <c r="Q13" s="111"/>
      <c r="R13" s="111"/>
    </row>
    <row r="14" spans="1:18" s="16" customFormat="1" ht="11.25">
      <c r="A14" s="17">
        <f>EOMONTH(A10,1)</f>
        <v>44439</v>
      </c>
      <c r="B14" s="165">
        <v>19229</v>
      </c>
      <c r="C14" s="14"/>
      <c r="D14" s="113">
        <f>Value!O9</f>
        <v>23410.701400620008</v>
      </c>
      <c r="E14" s="14"/>
      <c r="F14" s="16">
        <f t="shared" si="0"/>
        <v>1.22</v>
      </c>
      <c r="G14" s="23"/>
      <c r="H14" s="23"/>
      <c r="I14" s="14"/>
      <c r="J14" s="14">
        <f aca="true" t="shared" si="1" ref="J14:J22">+B14</f>
        <v>19229</v>
      </c>
      <c r="K14" s="13">
        <f aca="true" t="shared" si="2" ref="K14:K22">YEAR(A14)</f>
        <v>2021</v>
      </c>
      <c r="L14" s="111"/>
      <c r="M14" s="111"/>
      <c r="N14" s="111"/>
      <c r="O14" s="139">
        <f>VLOOKUP(A14,Value!$A$6:$O$17,13,FALSE)</f>
        <v>46821.402801240016</v>
      </c>
      <c r="P14" s="111"/>
      <c r="Q14" s="111">
        <v>18479</v>
      </c>
      <c r="R14" s="111"/>
    </row>
    <row r="15" spans="1:18" s="16" customFormat="1" ht="11.25">
      <c r="A15" s="17">
        <f aca="true" t="shared" si="3" ref="A15:A22">EOMONTH(A14,1)</f>
        <v>44469</v>
      </c>
      <c r="B15" s="165">
        <v>19370</v>
      </c>
      <c r="C15" s="14"/>
      <c r="D15" s="113">
        <f>Value!O10</f>
        <v>21824.165238579004</v>
      </c>
      <c r="E15" s="14"/>
      <c r="F15" s="16">
        <f t="shared" si="0"/>
        <v>1.13</v>
      </c>
      <c r="G15" s="23"/>
      <c r="H15" s="23"/>
      <c r="I15" s="14"/>
      <c r="J15" s="14">
        <f t="shared" si="1"/>
        <v>19370</v>
      </c>
      <c r="K15" s="13">
        <f t="shared" si="2"/>
        <v>2021</v>
      </c>
      <c r="L15" s="111"/>
      <c r="M15" s="111"/>
      <c r="N15" s="111"/>
      <c r="O15" s="139">
        <f>VLOOKUP(A15,Value!$A$6:$O$17,13,FALSE)</f>
        <v>43648.33047715801</v>
      </c>
      <c r="P15" s="111"/>
      <c r="Q15" s="111">
        <v>18474</v>
      </c>
      <c r="R15" s="111"/>
    </row>
    <row r="16" spans="1:18" s="16" customFormat="1" ht="11.25">
      <c r="A16" s="17">
        <f t="shared" si="3"/>
        <v>44500</v>
      </c>
      <c r="B16" s="165">
        <v>19446</v>
      </c>
      <c r="C16" s="14"/>
      <c r="D16" s="113">
        <f>Value!O11</f>
        <v>20584.256552874012</v>
      </c>
      <c r="E16" s="14"/>
      <c r="F16" s="16">
        <f t="shared" si="0"/>
        <v>1.06</v>
      </c>
      <c r="G16" s="23"/>
      <c r="H16" s="23"/>
      <c r="I16" s="14"/>
      <c r="J16" s="14">
        <f t="shared" si="1"/>
        <v>19446</v>
      </c>
      <c r="K16" s="13">
        <f t="shared" si="2"/>
        <v>2021</v>
      </c>
      <c r="L16" s="111"/>
      <c r="M16" s="111"/>
      <c r="N16" s="111"/>
      <c r="O16" s="139">
        <f>VLOOKUP(A16,Value!$A$6:$O$17,13,FALSE)</f>
        <v>41168.513105748025</v>
      </c>
      <c r="P16" s="111"/>
      <c r="Q16" s="111">
        <v>18393</v>
      </c>
      <c r="R16" s="111"/>
    </row>
    <row r="17" spans="1:18" s="16" customFormat="1" ht="11.25">
      <c r="A17" s="17">
        <f>EOMONTH(A16,1)</f>
        <v>44530</v>
      </c>
      <c r="B17" s="165">
        <v>19512</v>
      </c>
      <c r="C17" s="14"/>
      <c r="D17" s="113">
        <f>Value!O12</f>
        <v>17830.64202894001</v>
      </c>
      <c r="E17" s="14"/>
      <c r="F17" s="16">
        <f aca="true" t="shared" si="4" ref="F17:F22">ROUND(D17/B17,2)</f>
        <v>0.91</v>
      </c>
      <c r="G17" s="23"/>
      <c r="H17" s="23"/>
      <c r="I17" s="14"/>
      <c r="J17" s="14">
        <f t="shared" si="1"/>
        <v>19512</v>
      </c>
      <c r="K17" s="13">
        <f t="shared" si="2"/>
        <v>2021</v>
      </c>
      <c r="L17" s="111"/>
      <c r="M17" s="111"/>
      <c r="N17" s="111"/>
      <c r="O17" s="139">
        <f>VLOOKUP(A17,Value!$A$6:$O$17,13,FALSE)</f>
        <v>35661.28405788002</v>
      </c>
      <c r="P17" s="111"/>
      <c r="Q17" s="111">
        <v>18459</v>
      </c>
      <c r="R17" s="111"/>
    </row>
    <row r="18" spans="1:18" s="16" customFormat="1" ht="11.25">
      <c r="A18" s="17">
        <f t="shared" si="3"/>
        <v>44561</v>
      </c>
      <c r="B18" s="165">
        <v>19557</v>
      </c>
      <c r="C18" s="14"/>
      <c r="D18" s="113">
        <f>Value!O13</f>
        <v>9198.187209965</v>
      </c>
      <c r="E18" s="14"/>
      <c r="F18" s="16">
        <f t="shared" si="4"/>
        <v>0.47</v>
      </c>
      <c r="G18" s="23"/>
      <c r="H18" s="23"/>
      <c r="I18" s="14"/>
      <c r="J18" s="14">
        <f t="shared" si="1"/>
        <v>19557</v>
      </c>
      <c r="K18" s="13">
        <f t="shared" si="2"/>
        <v>2021</v>
      </c>
      <c r="L18" s="111"/>
      <c r="M18" s="111"/>
      <c r="N18" s="111"/>
      <c r="O18" s="139">
        <f>VLOOKUP(A18,Value!$A$6:$O$17,13,FALSE)</f>
        <v>18396.37441993</v>
      </c>
      <c r="P18" s="111"/>
      <c r="Q18" s="111">
        <v>18558</v>
      </c>
      <c r="R18" s="111"/>
    </row>
    <row r="19" spans="1:26" s="16" customFormat="1" ht="11.25">
      <c r="A19" s="17">
        <f t="shared" si="3"/>
        <v>44592</v>
      </c>
      <c r="B19" s="165">
        <v>19631</v>
      </c>
      <c r="C19" s="14"/>
      <c r="D19" s="113">
        <f>Value!O14</f>
        <v>10620.967681260003</v>
      </c>
      <c r="E19" s="14"/>
      <c r="F19" s="16">
        <f t="shared" si="4"/>
        <v>0.54</v>
      </c>
      <c r="G19" s="23"/>
      <c r="H19" s="23"/>
      <c r="I19" s="14"/>
      <c r="J19" s="14">
        <f t="shared" si="1"/>
        <v>19631</v>
      </c>
      <c r="K19" s="13">
        <f t="shared" si="2"/>
        <v>2022</v>
      </c>
      <c r="L19" s="111"/>
      <c r="M19" s="111"/>
      <c r="N19" s="111"/>
      <c r="O19" s="139">
        <f>VLOOKUP(A19,Value!$A$6:$O$17,13,FALSE)</f>
        <v>21241.935362520006</v>
      </c>
      <c r="P19" s="111"/>
      <c r="Q19" s="111"/>
      <c r="R19" s="111"/>
      <c r="Y19" s="14"/>
      <c r="Z19" s="14"/>
    </row>
    <row r="20" spans="1:28" s="16" customFormat="1" ht="11.25">
      <c r="A20" s="17">
        <f t="shared" si="3"/>
        <v>44620</v>
      </c>
      <c r="B20" s="165">
        <v>19637</v>
      </c>
      <c r="C20" s="14"/>
      <c r="D20" s="113">
        <f>Value!O15</f>
        <v>10225.682990125999</v>
      </c>
      <c r="E20" s="14"/>
      <c r="F20" s="16">
        <f t="shared" si="4"/>
        <v>0.52</v>
      </c>
      <c r="G20" s="23"/>
      <c r="H20" s="23"/>
      <c r="I20" s="14"/>
      <c r="J20" s="14">
        <f t="shared" si="1"/>
        <v>19637</v>
      </c>
      <c r="K20" s="13">
        <f t="shared" si="2"/>
        <v>2022</v>
      </c>
      <c r="L20" s="35"/>
      <c r="M20" s="111"/>
      <c r="N20" s="111"/>
      <c r="O20" s="139">
        <f>VLOOKUP(A20,Value!$A$6:$O$17,13,FALSE)</f>
        <v>20451.365980251998</v>
      </c>
      <c r="P20" s="35"/>
      <c r="Q20" s="35"/>
      <c r="R20" s="35"/>
      <c r="S20" s="14"/>
      <c r="T20" s="14"/>
      <c r="U20" s="14"/>
      <c r="V20" s="14"/>
      <c r="W20" s="14"/>
      <c r="X20" s="14"/>
      <c r="Z20" s="14"/>
      <c r="AB20" s="14"/>
    </row>
    <row r="21" spans="1:18" s="16" customFormat="1" ht="11.25">
      <c r="A21" s="17">
        <f t="shared" si="3"/>
        <v>44651</v>
      </c>
      <c r="B21" s="165">
        <v>19645</v>
      </c>
      <c r="C21" s="14"/>
      <c r="D21" s="113">
        <f>Value!O16</f>
        <v>12326.17724786</v>
      </c>
      <c r="E21" s="14"/>
      <c r="F21" s="16">
        <f t="shared" si="4"/>
        <v>0.63</v>
      </c>
      <c r="G21" s="23"/>
      <c r="H21" s="23"/>
      <c r="I21" s="14"/>
      <c r="J21" s="14">
        <f t="shared" si="1"/>
        <v>19645</v>
      </c>
      <c r="K21" s="13">
        <f t="shared" si="2"/>
        <v>2022</v>
      </c>
      <c r="L21" s="111"/>
      <c r="M21" s="111"/>
      <c r="N21" s="111"/>
      <c r="O21" s="139">
        <f>VLOOKUP(A21,Value!$A$6:$O$17,13,FALSE)</f>
        <v>24652.35449572</v>
      </c>
      <c r="P21" s="111"/>
      <c r="Q21" s="111"/>
      <c r="R21" s="111"/>
    </row>
    <row r="22" spans="1:18" s="16" customFormat="1" ht="11.25">
      <c r="A22" s="17">
        <f t="shared" si="3"/>
        <v>44681</v>
      </c>
      <c r="B22" s="165">
        <v>19663</v>
      </c>
      <c r="C22" s="14"/>
      <c r="D22" s="113">
        <f>Value!O17</f>
        <v>12821.925286525004</v>
      </c>
      <c r="E22" s="14"/>
      <c r="F22" s="16">
        <f t="shared" si="4"/>
        <v>0.65</v>
      </c>
      <c r="G22" s="23"/>
      <c r="H22" s="23"/>
      <c r="I22" s="14"/>
      <c r="J22" s="14">
        <f t="shared" si="1"/>
        <v>19663</v>
      </c>
      <c r="K22" s="13">
        <f t="shared" si="2"/>
        <v>2022</v>
      </c>
      <c r="L22" s="111"/>
      <c r="M22" s="111"/>
      <c r="N22" s="111"/>
      <c r="O22" s="139">
        <f>VLOOKUP(A22,Value!$A$6:$O$17,13,FALSE)</f>
        <v>25643.850573050007</v>
      </c>
      <c r="P22" s="111"/>
      <c r="Q22" s="111"/>
      <c r="R22" s="111"/>
    </row>
    <row r="23" spans="1:18" s="16" customFormat="1" ht="11.25">
      <c r="A23" s="17"/>
      <c r="B23" s="14"/>
      <c r="C23" s="14"/>
      <c r="E23" s="14"/>
      <c r="G23" s="14"/>
      <c r="H23" s="14"/>
      <c r="I23" s="14"/>
      <c r="J23" s="14"/>
      <c r="K23" s="13"/>
      <c r="L23" s="111"/>
      <c r="M23" s="111"/>
      <c r="N23" s="111"/>
      <c r="O23" s="140"/>
      <c r="Q23" s="111"/>
      <c r="R23" s="111"/>
    </row>
    <row r="24" spans="1:18" s="16" customFormat="1" ht="11.25">
      <c r="A24" s="17" t="s">
        <v>119</v>
      </c>
      <c r="B24" s="21">
        <f>SUM(B14:B22)</f>
        <v>175690</v>
      </c>
      <c r="D24" s="169">
        <f>SUM(D14:D22)</f>
        <v>138842.70563674907</v>
      </c>
      <c r="E24" s="14"/>
      <c r="G24" s="14"/>
      <c r="H24" s="14"/>
      <c r="I24" s="14"/>
      <c r="J24" s="14"/>
      <c r="K24" s="13"/>
      <c r="L24" s="111"/>
      <c r="M24" s="111"/>
      <c r="N24" s="111"/>
      <c r="O24" s="140"/>
      <c r="P24" s="141" t="s">
        <v>78</v>
      </c>
      <c r="Q24" s="111"/>
      <c r="R24" s="111"/>
    </row>
    <row r="25" spans="4:18" ht="12.75">
      <c r="D25" s="25"/>
      <c r="L25" s="118"/>
      <c r="M25" s="118"/>
      <c r="N25" s="118"/>
      <c r="O25" s="140">
        <f>SUM(O8:O24)</f>
        <v>395522.83239419205</v>
      </c>
      <c r="P25" s="118"/>
      <c r="Q25" s="118"/>
      <c r="R25" s="118"/>
    </row>
    <row r="26" spans="1:18" s="16" customFormat="1" ht="12" thickBot="1">
      <c r="A26" s="17" t="s">
        <v>89</v>
      </c>
      <c r="B26" s="27">
        <f>B12+B24</f>
        <v>233402</v>
      </c>
      <c r="C26" s="20" t="s">
        <v>9</v>
      </c>
      <c r="D26" s="170">
        <f>D12+D24</f>
        <v>197761.41619709606</v>
      </c>
      <c r="E26" s="20" t="s">
        <v>10</v>
      </c>
      <c r="F26" s="23">
        <f>ROUND(D26/B26,3)</f>
        <v>0.847</v>
      </c>
      <c r="G26" s="20" t="s">
        <v>11</v>
      </c>
      <c r="H26" s="20"/>
      <c r="I26" s="14"/>
      <c r="J26" s="27">
        <f>SUM(J8:J25)</f>
        <v>233402</v>
      </c>
      <c r="K26" s="20" t="s">
        <v>12</v>
      </c>
      <c r="L26" s="111"/>
      <c r="M26" s="111"/>
      <c r="N26" s="111"/>
      <c r="O26" s="143">
        <f>ROUND(O25/J26,3)</f>
        <v>1.695</v>
      </c>
      <c r="P26" s="111" t="s">
        <v>77</v>
      </c>
      <c r="Q26" s="111"/>
      <c r="R26" s="111"/>
    </row>
    <row r="27" spans="2:18" s="16" customFormat="1" ht="12" thickTop="1">
      <c r="B27" s="14"/>
      <c r="C27" s="14"/>
      <c r="D27" s="14"/>
      <c r="E27" s="14"/>
      <c r="F27" s="14"/>
      <c r="G27" s="14"/>
      <c r="H27" s="14"/>
      <c r="I27" s="14"/>
      <c r="J27" s="14"/>
      <c r="K27" s="14"/>
      <c r="L27" s="111"/>
      <c r="M27" s="111"/>
      <c r="N27" s="111"/>
      <c r="O27" s="149">
        <f>+J22</f>
        <v>19663</v>
      </c>
      <c r="P27" s="111" t="s">
        <v>79</v>
      </c>
      <c r="Q27" s="111"/>
      <c r="R27" s="111"/>
    </row>
    <row r="28" spans="2:18" s="16" customFormat="1" ht="11.25">
      <c r="B28" s="14"/>
      <c r="C28" s="14"/>
      <c r="D28" s="14"/>
      <c r="E28" s="14"/>
      <c r="F28" s="14"/>
      <c r="G28" s="14"/>
      <c r="H28" s="14"/>
      <c r="I28" s="14"/>
      <c r="J28" s="14"/>
      <c r="K28" s="14"/>
      <c r="L28" s="111"/>
      <c r="M28" s="111"/>
      <c r="N28" s="111"/>
      <c r="O28" s="162"/>
      <c r="P28" s="111"/>
      <c r="Q28" s="111"/>
      <c r="R28" s="111"/>
    </row>
    <row r="29" spans="2:18" s="16" customFormat="1" ht="11.25">
      <c r="B29" s="14"/>
      <c r="C29" s="14"/>
      <c r="D29" s="14"/>
      <c r="E29" s="14"/>
      <c r="F29" s="14"/>
      <c r="G29" s="14"/>
      <c r="H29" s="14"/>
      <c r="I29" s="14"/>
      <c r="J29" s="14"/>
      <c r="K29" s="14"/>
      <c r="L29" s="111"/>
      <c r="M29" s="111"/>
      <c r="N29" s="111"/>
      <c r="O29" s="111"/>
      <c r="P29" s="111" t="s">
        <v>80</v>
      </c>
      <c r="Q29" s="111"/>
      <c r="R29" s="111"/>
    </row>
    <row r="30" spans="2:18" s="16" customFormat="1" ht="12" thickBot="1">
      <c r="B30" s="29" t="s">
        <v>94</v>
      </c>
      <c r="C30" s="30"/>
      <c r="D30" s="30"/>
      <c r="E30" s="30"/>
      <c r="F30" s="14"/>
      <c r="G30" s="14"/>
      <c r="H30" s="14"/>
      <c r="I30" s="14"/>
      <c r="J30" s="14"/>
      <c r="K30" s="14"/>
      <c r="L30" s="111"/>
      <c r="M30" s="111"/>
      <c r="N30" s="111"/>
      <c r="O30" s="111"/>
      <c r="P30" s="111"/>
      <c r="Q30" s="111"/>
      <c r="R30" s="111"/>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D26</f>
        <v>197761.41619709606</v>
      </c>
      <c r="H32" s="20" t="s">
        <v>10</v>
      </c>
      <c r="I32" s="14"/>
      <c r="J32" s="14"/>
      <c r="K32" s="14"/>
    </row>
    <row r="33" spans="1:27" s="13" customFormat="1" ht="11.25">
      <c r="A33" s="33"/>
      <c r="B33" s="31"/>
      <c r="C33" s="14"/>
      <c r="D33" s="14"/>
      <c r="E33" s="14"/>
      <c r="F33" s="14"/>
      <c r="G33" s="14"/>
      <c r="H33" s="20"/>
      <c r="I33" s="14"/>
      <c r="J33" s="14"/>
      <c r="K33" s="14"/>
      <c r="O33" s="16">
        <f>6*O27*O26</f>
        <v>199972.71000000002</v>
      </c>
      <c r="P33" s="13" t="s">
        <v>82</v>
      </c>
      <c r="W33" s="14"/>
      <c r="X33" s="16"/>
      <c r="Y33" s="16"/>
      <c r="AA33" s="14"/>
    </row>
    <row r="34" spans="2:16" s="16" customFormat="1" ht="11.25">
      <c r="B34" s="14" t="s">
        <v>15</v>
      </c>
      <c r="C34" s="14"/>
      <c r="D34" s="14"/>
      <c r="E34" s="14"/>
      <c r="F34" s="34">
        <v>0.196</v>
      </c>
      <c r="G34" s="14"/>
      <c r="H34" s="14"/>
      <c r="I34" s="14"/>
      <c r="J34" s="14"/>
      <c r="K34" s="14"/>
      <c r="O34" s="16">
        <f>6*O27*G57</f>
        <v>99927.366</v>
      </c>
      <c r="P34" s="16" t="s">
        <v>83</v>
      </c>
    </row>
    <row r="35" spans="2:15" s="16" customFormat="1" ht="11.25">
      <c r="B35" s="14"/>
      <c r="C35" s="14" t="str">
        <f>"Customers from "&amp;TEXT($A$8,"mm/yy")&amp;" - "&amp;TEXT($A$10,"mm/yy")</f>
        <v>Customers from 05/21 - 07/21</v>
      </c>
      <c r="D35" s="14"/>
      <c r="E35" s="14"/>
      <c r="F35" s="35">
        <f>B12</f>
        <v>57712</v>
      </c>
      <c r="G35" s="20" t="s">
        <v>8</v>
      </c>
      <c r="H35" s="14"/>
      <c r="I35" s="14"/>
      <c r="J35" s="14"/>
      <c r="K35" s="14"/>
      <c r="O35" s="144">
        <f>+O34/O33</f>
        <v>0.49970501474926243</v>
      </c>
    </row>
    <row r="36" spans="2:11" s="16" customFormat="1" ht="11.25">
      <c r="B36" s="14"/>
      <c r="C36" s="14" t="s">
        <v>16</v>
      </c>
      <c r="D36" s="14"/>
      <c r="E36" s="14"/>
      <c r="F36" s="21">
        <f>ROUND(F34*F35,0)</f>
        <v>11312</v>
      </c>
      <c r="G36" s="20"/>
      <c r="H36" s="14"/>
      <c r="I36" s="14"/>
      <c r="J36" s="14"/>
      <c r="K36" s="14"/>
    </row>
    <row r="37" spans="2:11" s="16" customFormat="1" ht="11.25">
      <c r="B37" s="14"/>
      <c r="C37" s="14"/>
      <c r="D37" s="14"/>
      <c r="E37" s="14"/>
      <c r="F37" s="35"/>
      <c r="G37" s="20"/>
      <c r="H37" s="14"/>
      <c r="I37" s="14"/>
      <c r="J37" s="14"/>
      <c r="K37" s="14"/>
    </row>
    <row r="38" spans="2:11" s="16" customFormat="1" ht="11.25">
      <c r="B38" s="14" t="s">
        <v>15</v>
      </c>
      <c r="C38" s="14"/>
      <c r="D38" s="14"/>
      <c r="E38" s="14"/>
      <c r="F38" s="34">
        <v>0.344</v>
      </c>
      <c r="G38" s="14"/>
      <c r="H38" s="14"/>
      <c r="I38" s="14"/>
      <c r="J38" s="14"/>
      <c r="K38" s="14"/>
    </row>
    <row r="39" spans="2:17" s="16" customFormat="1" ht="11.25">
      <c r="B39" s="14"/>
      <c r="C39" s="14" t="str">
        <f>"Customers from "&amp;TEXT($A$14,"mm/yy")&amp;" - "&amp;TEXT($A$22,"mm/yy")</f>
        <v>Customers from 08/21 - 04/22</v>
      </c>
      <c r="D39" s="14"/>
      <c r="E39" s="14"/>
      <c r="F39" s="14">
        <f>B24</f>
        <v>175690</v>
      </c>
      <c r="G39" s="20" t="s">
        <v>9</v>
      </c>
      <c r="H39" s="14"/>
      <c r="I39" s="14"/>
      <c r="J39" s="14"/>
      <c r="K39" s="14"/>
      <c r="L39" s="14"/>
      <c r="M39" s="14"/>
      <c r="N39" s="14"/>
      <c r="O39" s="14"/>
      <c r="P39" s="14"/>
      <c r="Q39" s="14"/>
    </row>
    <row r="40" spans="2:17" s="16" customFormat="1" ht="11.25">
      <c r="B40" s="14"/>
      <c r="C40" s="14" t="s">
        <v>16</v>
      </c>
      <c r="D40" s="14"/>
      <c r="E40" s="14"/>
      <c r="F40" s="21">
        <f>ROUND(F38*F39,0)</f>
        <v>60437</v>
      </c>
      <c r="G40" s="20"/>
      <c r="H40" s="14"/>
      <c r="I40" s="14"/>
      <c r="J40" s="14"/>
      <c r="K40" s="14"/>
      <c r="L40" s="14"/>
      <c r="M40" s="14"/>
      <c r="N40" s="14"/>
      <c r="O40" s="14"/>
      <c r="P40" s="14"/>
      <c r="Q40" s="14"/>
    </row>
    <row r="41" spans="2:17" s="16" customFormat="1" ht="11.25">
      <c r="B41" s="14"/>
      <c r="C41" s="14"/>
      <c r="D41" s="14"/>
      <c r="E41" s="14"/>
      <c r="F41" s="36"/>
      <c r="G41" s="20"/>
      <c r="H41" s="14"/>
      <c r="I41" s="14"/>
      <c r="J41" s="14"/>
      <c r="K41" s="14"/>
      <c r="L41" s="14"/>
      <c r="M41" s="14"/>
      <c r="N41" s="14"/>
      <c r="O41" s="14"/>
      <c r="P41" s="14"/>
      <c r="Q41" s="14"/>
    </row>
    <row r="42" spans="2:17" s="16" customFormat="1" ht="12" thickBot="1">
      <c r="B42" s="14"/>
      <c r="C42" s="14" t="s">
        <v>17</v>
      </c>
      <c r="D42" s="14"/>
      <c r="E42" s="14"/>
      <c r="F42" s="27">
        <f>+F36+F40</f>
        <v>71749</v>
      </c>
      <c r="G42" s="37">
        <f>+F42</f>
        <v>71749</v>
      </c>
      <c r="H42" s="14"/>
      <c r="I42" s="14"/>
      <c r="J42" s="14"/>
      <c r="K42" s="14"/>
      <c r="L42" s="14"/>
      <c r="M42" s="14"/>
      <c r="N42" s="14"/>
      <c r="O42" s="14"/>
      <c r="P42" s="14"/>
      <c r="Q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92</v>
      </c>
      <c r="G45" s="38">
        <f>G32-G42</f>
        <v>126012.41619709606</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2023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86</v>
      </c>
      <c r="C50" s="14"/>
      <c r="D50" s="14"/>
      <c r="E50" s="14"/>
      <c r="F50" s="14"/>
      <c r="G50" s="14"/>
      <c r="H50" s="14"/>
      <c r="I50" s="14"/>
      <c r="J50" s="14"/>
      <c r="K50" s="14"/>
    </row>
    <row r="51" spans="2:11" s="16" customFormat="1" ht="11.25">
      <c r="B51" s="14"/>
      <c r="C51" s="14"/>
      <c r="D51" s="14"/>
      <c r="E51" s="14"/>
      <c r="F51" s="32" t="s">
        <v>20</v>
      </c>
      <c r="G51" s="14">
        <f>+J26</f>
        <v>233402</v>
      </c>
      <c r="H51" s="20" t="s">
        <v>12</v>
      </c>
      <c r="I51" s="14"/>
      <c r="J51" s="14"/>
      <c r="K51" s="14"/>
    </row>
    <row r="52" spans="2:11" s="16" customFormat="1" ht="11.25">
      <c r="B52" s="14"/>
      <c r="C52" s="14"/>
      <c r="D52" s="14"/>
      <c r="E52" s="14"/>
      <c r="F52" s="32" t="s">
        <v>18</v>
      </c>
      <c r="G52" s="14">
        <f>G45</f>
        <v>126012.41619709606</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120</v>
      </c>
      <c r="G54" s="39">
        <f>ROUND(G52/G51,3)</f>
        <v>0.54</v>
      </c>
      <c r="H54" s="14"/>
      <c r="I54" s="23">
        <f>+G54</f>
        <v>0.54</v>
      </c>
      <c r="J54" s="14"/>
      <c r="K54" s="14"/>
    </row>
    <row r="55" spans="2:25" s="16" customFormat="1" ht="12" thickTop="1">
      <c r="B55" s="14"/>
      <c r="C55" s="14"/>
      <c r="D55" s="14"/>
      <c r="E55" s="14"/>
      <c r="F55" s="32"/>
      <c r="G55" s="14"/>
      <c r="H55" s="14"/>
      <c r="I55" s="23"/>
      <c r="J55" s="14"/>
      <c r="K55" s="14"/>
      <c r="Y55" s="14"/>
    </row>
    <row r="56" spans="2:13" s="16" customFormat="1" ht="11.25">
      <c r="B56" s="14" t="s">
        <v>91</v>
      </c>
      <c r="C56" s="14"/>
      <c r="D56" s="14"/>
      <c r="E56" s="14"/>
      <c r="F56" s="32"/>
      <c r="G56" s="14"/>
      <c r="H56" s="14"/>
      <c r="I56" s="23"/>
      <c r="J56" s="14"/>
      <c r="K56" s="14"/>
      <c r="M56" s="159" t="s">
        <v>81</v>
      </c>
    </row>
    <row r="57" spans="2:13" s="16" customFormat="1" ht="12" thickBot="1">
      <c r="B57" s="31"/>
      <c r="C57" s="14"/>
      <c r="D57" s="14"/>
      <c r="E57" s="14"/>
      <c r="F57" s="32" t="s">
        <v>90</v>
      </c>
      <c r="G57" s="166">
        <f>F26</f>
        <v>0.847</v>
      </c>
      <c r="H57" s="14"/>
      <c r="I57" s="23">
        <f>+G57</f>
        <v>0.847</v>
      </c>
      <c r="J57" s="20" t="s">
        <v>11</v>
      </c>
      <c r="K57" s="14"/>
      <c r="M57" s="160">
        <v>0.5</v>
      </c>
    </row>
    <row r="58" spans="2:25" s="14" customFormat="1" ht="12" thickTop="1">
      <c r="B58" s="31"/>
      <c r="I58" s="23"/>
      <c r="M58" s="14" t="s">
        <v>30</v>
      </c>
      <c r="X58" s="16"/>
      <c r="Y58" s="16"/>
    </row>
    <row r="59" spans="2:11" s="16" customFormat="1" ht="12" thickBot="1">
      <c r="B59" s="14"/>
      <c r="C59" s="14"/>
      <c r="D59" s="14"/>
      <c r="E59" s="14"/>
      <c r="F59" s="14"/>
      <c r="G59" s="32" t="s">
        <v>121</v>
      </c>
      <c r="H59" s="27"/>
      <c r="I59" s="28">
        <f>+I54+I57</f>
        <v>1.387</v>
      </c>
      <c r="J59" s="14"/>
      <c r="K59" s="14"/>
    </row>
    <row r="60" s="16" customFormat="1" ht="12" thickTop="1">
      <c r="I60" s="23"/>
    </row>
    <row r="61" s="16" customFormat="1" ht="11.25">
      <c r="I61" s="23"/>
    </row>
    <row r="62" spans="1:10" s="16" customFormat="1" ht="11.25">
      <c r="A62" s="16" t="s">
        <v>123</v>
      </c>
      <c r="F62" s="111" t="s">
        <v>93</v>
      </c>
      <c r="I62" s="16">
        <v>0</v>
      </c>
      <c r="J62" s="16" t="s">
        <v>122</v>
      </c>
    </row>
    <row r="63" s="16" customFormat="1" ht="11.25"/>
    <row r="64" spans="1:6" s="16" customFormat="1" ht="11.25">
      <c r="A64" s="114"/>
      <c r="B64" s="35"/>
      <c r="C64" s="35"/>
      <c r="D64" s="111"/>
      <c r="E64" s="111"/>
      <c r="F64" s="111"/>
    </row>
    <row r="65" spans="1:9" s="16" customFormat="1" ht="12" thickBot="1">
      <c r="A65" s="114"/>
      <c r="B65" s="115"/>
      <c r="C65" s="35"/>
      <c r="D65" s="111"/>
      <c r="E65" s="111"/>
      <c r="F65" s="111"/>
      <c r="G65" s="32" t="str">
        <f>G59</f>
        <v>8/1/22 - 7/31/23 Adjusted Credit</v>
      </c>
      <c r="H65" s="27"/>
      <c r="I65" s="150">
        <f>I59+I62</f>
        <v>1.387</v>
      </c>
    </row>
    <row r="66" spans="1:6" s="16" customFormat="1" ht="12" thickTop="1">
      <c r="A66" s="114"/>
      <c r="B66" s="115"/>
      <c r="C66" s="35"/>
      <c r="D66" s="111"/>
      <c r="E66" s="111"/>
      <c r="F66" s="111"/>
    </row>
    <row r="67" spans="1:6" s="16" customFormat="1" ht="11.25">
      <c r="A67" s="114"/>
      <c r="B67" s="115"/>
      <c r="C67" s="35"/>
      <c r="D67" s="111"/>
      <c r="E67" s="111"/>
      <c r="F67" s="111"/>
    </row>
    <row r="68" spans="1:25" s="16" customFormat="1" ht="11.25">
      <c r="A68" s="114"/>
      <c r="B68" s="115"/>
      <c r="C68" s="35"/>
      <c r="D68" s="111"/>
      <c r="E68" s="111"/>
      <c r="F68" s="111"/>
      <c r="Y68" s="14"/>
    </row>
    <row r="69" spans="1:6" s="16" customFormat="1" ht="11.25">
      <c r="A69" s="114"/>
      <c r="B69" s="115"/>
      <c r="C69" s="35"/>
      <c r="D69" s="111"/>
      <c r="E69" s="111"/>
      <c r="F69" s="111"/>
    </row>
    <row r="70" spans="1:6" s="16" customFormat="1" ht="11.25">
      <c r="A70" s="114"/>
      <c r="B70" s="115"/>
      <c r="C70" s="35"/>
      <c r="D70" s="111"/>
      <c r="E70" s="111"/>
      <c r="F70" s="111"/>
    </row>
    <row r="71" spans="1:6" s="16" customFormat="1" ht="11.25">
      <c r="A71" s="114"/>
      <c r="B71" s="115"/>
      <c r="C71" s="35"/>
      <c r="D71" s="111"/>
      <c r="E71" s="111"/>
      <c r="F71" s="111"/>
    </row>
    <row r="72" spans="1:27" s="16" customFormat="1" ht="11.25">
      <c r="A72" s="114"/>
      <c r="B72" s="115"/>
      <c r="C72" s="35"/>
      <c r="D72" s="111"/>
      <c r="E72" s="117"/>
      <c r="F72" s="111"/>
      <c r="G72" s="14"/>
      <c r="H72" s="13"/>
      <c r="I72" s="14"/>
      <c r="J72" s="14"/>
      <c r="K72" s="13"/>
      <c r="L72" s="14"/>
      <c r="M72" s="14"/>
      <c r="N72" s="14"/>
      <c r="O72" s="14"/>
      <c r="P72" s="14"/>
      <c r="Q72" s="14"/>
      <c r="R72" s="14"/>
      <c r="S72" s="14"/>
      <c r="T72" s="14"/>
      <c r="U72" s="14"/>
      <c r="V72" s="13"/>
      <c r="W72" s="14"/>
      <c r="AA72" s="14"/>
    </row>
    <row r="73" spans="1:6" s="16" customFormat="1" ht="11.25">
      <c r="A73" s="114"/>
      <c r="B73" s="115"/>
      <c r="C73" s="35"/>
      <c r="D73" s="111"/>
      <c r="E73" s="111"/>
      <c r="F73" s="111"/>
    </row>
    <row r="74" spans="1:6" s="16" customFormat="1" ht="11.25">
      <c r="A74" s="114"/>
      <c r="B74" s="35"/>
      <c r="C74" s="35"/>
      <c r="D74" s="111"/>
      <c r="E74" s="111"/>
      <c r="F74" s="111"/>
    </row>
    <row r="75" spans="1:6" s="16" customFormat="1" ht="11.25">
      <c r="A75" s="114"/>
      <c r="B75" s="35"/>
      <c r="C75" s="116"/>
      <c r="D75" s="111"/>
      <c r="E75" s="111"/>
      <c r="F75" s="111"/>
    </row>
    <row r="76" spans="1:6" s="16" customFormat="1" ht="12.75">
      <c r="A76" s="118"/>
      <c r="B76" s="118"/>
      <c r="C76" s="118"/>
      <c r="D76" s="119"/>
      <c r="E76" s="111"/>
      <c r="F76" s="118"/>
    </row>
    <row r="77" spans="1:25" s="16" customFormat="1" ht="11.25">
      <c r="A77" s="120"/>
      <c r="B77" s="35"/>
      <c r="C77" s="116"/>
      <c r="D77" s="111"/>
      <c r="E77" s="111"/>
      <c r="F77" s="121"/>
      <c r="Y77" s="14"/>
    </row>
    <row r="78" s="16" customFormat="1" ht="11.25"/>
    <row r="79" s="16" customFormat="1" ht="11.25"/>
    <row r="80" s="16" customFormat="1" ht="11.25"/>
    <row r="81" s="16" customFormat="1" ht="11.25">
      <c r="B81" s="8"/>
    </row>
    <row r="82" spans="2:25" s="14" customFormat="1" ht="11.25">
      <c r="B82" s="31"/>
      <c r="X82" s="16"/>
      <c r="Y82" s="16"/>
    </row>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1200" verticalDpi="1200" orientation="portrait" scale="93"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95</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87</v>
      </c>
      <c r="F5" s="63" t="s">
        <v>50</v>
      </c>
      <c r="G5" s="63" t="s">
        <v>88</v>
      </c>
      <c r="H5" s="63" t="s">
        <v>24</v>
      </c>
      <c r="I5" s="63" t="s">
        <v>25</v>
      </c>
      <c r="J5" s="63" t="s">
        <v>26</v>
      </c>
      <c r="K5" s="63" t="s">
        <v>27</v>
      </c>
      <c r="L5" s="63" t="s">
        <v>28</v>
      </c>
      <c r="M5" s="63" t="s">
        <v>29</v>
      </c>
      <c r="O5" s="73" t="s">
        <v>29</v>
      </c>
      <c r="P5" s="63" t="s">
        <v>84</v>
      </c>
    </row>
    <row r="6" spans="1:17" ht="15.75" customHeight="1">
      <c r="A6" s="65">
        <f>+Pricing!A6</f>
        <v>44317</v>
      </c>
      <c r="B6" s="66"/>
      <c r="C6" s="71">
        <f>'Commodity Tonnages'!C6*Pricing!C6</f>
        <v>10785.901022959999</v>
      </c>
      <c r="D6" s="74">
        <f>'Commodity Tonnages'!D6*Pricing!D6</f>
        <v>-1705.445098</v>
      </c>
      <c r="E6" s="74">
        <f>'Commodity Tonnages'!E6*Pricing!E6</f>
        <v>0</v>
      </c>
      <c r="F6" s="74">
        <f>'Commodity Tonnages'!F6*Pricing!F6</f>
        <v>1381.1455795200002</v>
      </c>
      <c r="G6" s="74">
        <f>'Commodity Tonnages'!G6*Pricing!G6</f>
        <v>0</v>
      </c>
      <c r="H6" s="74">
        <f>'Commodity Tonnages'!H6*Pricing!H6</f>
        <v>8375.6501444</v>
      </c>
      <c r="I6" s="74">
        <f>'Commodity Tonnages'!I6*Pricing!I6</f>
        <v>2980.245454199999</v>
      </c>
      <c r="J6" s="74">
        <f>'Commodity Tonnages'!J6*Pricing!J6</f>
        <v>2980.245454199999</v>
      </c>
      <c r="K6" s="74">
        <f>'Commodity Tonnages'!K6*Pricing!K6</f>
        <v>17940.248436879996</v>
      </c>
      <c r="L6" s="74">
        <f>'Commodity Tonnages'!L6*Pricing!L6</f>
        <v>-10513.31222025</v>
      </c>
      <c r="M6" s="127">
        <f>SUM(C6:L6)</f>
        <v>32224.67877390999</v>
      </c>
      <c r="O6" s="97">
        <f>M6*P6</f>
        <v>16112.339386954995</v>
      </c>
      <c r="P6" s="161">
        <v>0.5</v>
      </c>
      <c r="Q6" s="128"/>
    </row>
    <row r="7" spans="1:17" ht="15.75" customHeight="1">
      <c r="A7" s="65">
        <f>+Pricing!A7</f>
        <v>44377</v>
      </c>
      <c r="B7" s="66"/>
      <c r="C7" s="71">
        <f>'Commodity Tonnages'!C7*Pricing!C7</f>
        <v>11242.943242959998</v>
      </c>
      <c r="D7" s="74">
        <f>'Commodity Tonnages'!D7*Pricing!D7</f>
        <v>-698.2945423999998</v>
      </c>
      <c r="E7" s="74">
        <f>'Commodity Tonnages'!E7*Pricing!E7</f>
        <v>0</v>
      </c>
      <c r="F7" s="74">
        <f>'Commodity Tonnages'!F7*Pricing!F7</f>
        <v>1670.878745952</v>
      </c>
      <c r="G7" s="74">
        <f>'Commodity Tonnages'!G7*Pricing!G7</f>
        <v>197.134164864</v>
      </c>
      <c r="H7" s="74">
        <f>'Commodity Tonnages'!H7*Pricing!H7</f>
        <v>11723.987371408002</v>
      </c>
      <c r="I7" s="74">
        <f>'Commodity Tonnages'!I7*Pricing!I7</f>
        <v>4511.782698383999</v>
      </c>
      <c r="J7" s="74">
        <f>'Commodity Tonnages'!J7*Pricing!J7</f>
        <v>4511.782698383999</v>
      </c>
      <c r="K7" s="74">
        <f>'Commodity Tonnages'!K7*Pricing!K7</f>
        <v>21415.069685151997</v>
      </c>
      <c r="L7" s="74">
        <f>'Commodity Tonnages'!L7*Pricing!L7</f>
        <v>-11381.3693604</v>
      </c>
      <c r="M7" s="127">
        <f aca="true" t="shared" si="0" ref="M7:M17">SUM(C7:L7)</f>
        <v>43193.91470430399</v>
      </c>
      <c r="O7" s="97">
        <f aca="true" t="shared" si="1" ref="O7:O17">M7*P7</f>
        <v>21596.957352151996</v>
      </c>
      <c r="P7" s="161">
        <v>0.5</v>
      </c>
      <c r="Q7" s="128"/>
    </row>
    <row r="8" spans="1:17" ht="15.75" customHeight="1">
      <c r="A8" s="65">
        <f>+Pricing!A8</f>
        <v>44408</v>
      </c>
      <c r="B8" s="66"/>
      <c r="C8" s="71">
        <f>'Commodity Tonnages'!C8*Pricing!C8</f>
        <v>12532.345774080002</v>
      </c>
      <c r="D8" s="74">
        <f>'Commodity Tonnages'!D8*Pricing!D8</f>
        <v>-4357.179288</v>
      </c>
      <c r="E8" s="74">
        <f>'Commodity Tonnages'!E8*Pricing!E8</f>
        <v>0</v>
      </c>
      <c r="F8" s="74">
        <f>'Commodity Tonnages'!F8*Pricing!F8</f>
        <v>1628.9577344</v>
      </c>
      <c r="G8" s="74">
        <f>'Commodity Tonnages'!G8*Pricing!G8</f>
        <v>177.87133727999998</v>
      </c>
      <c r="H8" s="74">
        <f>'Commodity Tonnages'!H8*Pricing!H8</f>
        <v>9867.3645632</v>
      </c>
      <c r="I8" s="74">
        <f>'Commodity Tonnages'!I8*Pricing!I8</f>
        <v>4666.508189920001</v>
      </c>
      <c r="J8" s="74">
        <f>'Commodity Tonnages'!J8*Pricing!J8</f>
        <v>4666.508189920001</v>
      </c>
      <c r="K8" s="74">
        <f>'Commodity Tonnages'!K8*Pricing!K8</f>
        <v>20292.59969568</v>
      </c>
      <c r="L8" s="74">
        <f>'Commodity Tonnages'!L8*Pricing!L8</f>
        <v>-7056.148553999999</v>
      </c>
      <c r="M8" s="127">
        <f t="shared" si="0"/>
        <v>42418.827642480006</v>
      </c>
      <c r="O8" s="97">
        <f t="shared" si="1"/>
        <v>21209.413821240003</v>
      </c>
      <c r="P8" s="161">
        <v>0.5</v>
      </c>
      <c r="Q8" s="128"/>
    </row>
    <row r="9" spans="1:17" ht="15.75" customHeight="1">
      <c r="A9" s="65">
        <f>+Pricing!A9</f>
        <v>44439</v>
      </c>
      <c r="B9" s="66"/>
      <c r="C9" s="71">
        <f>'Commodity Tonnages'!C9*Pricing!C9</f>
        <v>13043.632616960003</v>
      </c>
      <c r="D9" s="74">
        <f>'Commodity Tonnages'!D9*Pricing!D9</f>
        <v>-5041.474508400001</v>
      </c>
      <c r="E9" s="74">
        <f>'Commodity Tonnages'!E9*Pricing!E9</f>
        <v>0</v>
      </c>
      <c r="F9" s="74">
        <f>'Commodity Tonnages'!F9*Pricing!F9</f>
        <v>1498.2588198400001</v>
      </c>
      <c r="G9" s="74">
        <f>'Commodity Tonnages'!G9*Pricing!G9</f>
        <v>167.31870288000002</v>
      </c>
      <c r="H9" s="74">
        <f>'Commodity Tonnages'!H9*Pricing!H9</f>
        <v>11453.129250080003</v>
      </c>
      <c r="I9" s="74">
        <f>'Commodity Tonnages'!I9*Pricing!I9</f>
        <v>5694.4942544800015</v>
      </c>
      <c r="J9" s="74">
        <f>'Commodity Tonnages'!J9*Pricing!J9</f>
        <v>5694.4942544800015</v>
      </c>
      <c r="K9" s="74">
        <f>'Commodity Tonnages'!K9*Pricing!K9</f>
        <v>21229.600669920008</v>
      </c>
      <c r="L9" s="74">
        <f>'Commodity Tonnages'!L9*Pricing!L9</f>
        <v>-6918.051259000001</v>
      </c>
      <c r="M9" s="127">
        <f t="shared" si="0"/>
        <v>46821.402801240016</v>
      </c>
      <c r="O9" s="97">
        <f t="shared" si="1"/>
        <v>23410.701400620008</v>
      </c>
      <c r="P9" s="161">
        <v>0.5</v>
      </c>
      <c r="Q9" s="128"/>
    </row>
    <row r="10" spans="1:17" ht="15.75" customHeight="1">
      <c r="A10" s="65">
        <f>+Pricing!A10</f>
        <v>44469</v>
      </c>
      <c r="B10" s="66"/>
      <c r="C10" s="71">
        <f>'Commodity Tonnages'!C10*Pricing!C10</f>
        <v>13180.373927424003</v>
      </c>
      <c r="D10" s="74">
        <f>'Commodity Tonnages'!D10*Pricing!D10</f>
        <v>-4320.958057020001</v>
      </c>
      <c r="E10" s="74">
        <f>'Commodity Tonnages'!E10*Pricing!E10</f>
        <v>0</v>
      </c>
      <c r="F10" s="74">
        <f>'Commodity Tonnages'!F10*Pricing!F10</f>
        <v>1254.4408060800001</v>
      </c>
      <c r="G10" s="74">
        <f>'Commodity Tonnages'!G10*Pricing!G10</f>
        <v>138.729602088</v>
      </c>
      <c r="H10" s="74">
        <f>'Commodity Tonnages'!H10*Pricing!H10</f>
        <v>9952.711581648004</v>
      </c>
      <c r="I10" s="74">
        <f>'Commodity Tonnages'!I10*Pricing!I10</f>
        <v>4649.499652644001</v>
      </c>
      <c r="J10" s="74">
        <f>'Commodity Tonnages'!J10*Pricing!J10</f>
        <v>4649.499652644001</v>
      </c>
      <c r="K10" s="74">
        <f>'Commodity Tonnages'!K10*Pricing!K10</f>
        <v>20725.477700400006</v>
      </c>
      <c r="L10" s="74">
        <f>'Commodity Tonnages'!L10*Pricing!L10</f>
        <v>-6581.444388750001</v>
      </c>
      <c r="M10" s="127">
        <f t="shared" si="0"/>
        <v>43648.33047715801</v>
      </c>
      <c r="O10" s="97">
        <f t="shared" si="1"/>
        <v>21824.165238579004</v>
      </c>
      <c r="P10" s="161">
        <v>0.5</v>
      </c>
      <c r="Q10" s="128"/>
    </row>
    <row r="11" spans="1:17" ht="15.75" customHeight="1">
      <c r="A11" s="65">
        <f>+Pricing!A11</f>
        <v>44500</v>
      </c>
      <c r="B11" s="66"/>
      <c r="C11" s="71">
        <f>'Commodity Tonnages'!C11*Pricing!C11</f>
        <v>13120.443350784006</v>
      </c>
      <c r="D11" s="74">
        <f>'Commodity Tonnages'!D11*Pricing!D11</f>
        <v>-4071.256416360001</v>
      </c>
      <c r="E11" s="74">
        <f>'Commodity Tonnages'!E11*Pricing!E11</f>
        <v>0</v>
      </c>
      <c r="F11" s="74">
        <f>'Commodity Tonnages'!F11*Pricing!F11</f>
        <v>1228.7362429440004</v>
      </c>
      <c r="G11" s="74">
        <f>'Commodity Tonnages'!G11*Pricing!G11</f>
        <v>147.97359158400002</v>
      </c>
      <c r="H11" s="74">
        <f>'Commodity Tonnages'!H11*Pricing!H11</f>
        <v>11007.424957536003</v>
      </c>
      <c r="I11" s="74">
        <f>'Commodity Tonnages'!I11*Pricing!I11</f>
        <v>3113.223722784001</v>
      </c>
      <c r="J11" s="74">
        <f>'Commodity Tonnages'!J11*Pricing!J11</f>
        <v>3113.223722784001</v>
      </c>
      <c r="K11" s="74">
        <f>'Commodity Tonnages'!K11*Pricing!K11</f>
        <v>19911.17421619201</v>
      </c>
      <c r="L11" s="74">
        <f>'Commodity Tonnages'!L11*Pricing!L11</f>
        <v>-6402.4302825</v>
      </c>
      <c r="M11" s="127">
        <f t="shared" si="0"/>
        <v>41168.513105748025</v>
      </c>
      <c r="O11" s="97">
        <f t="shared" si="1"/>
        <v>20584.256552874012</v>
      </c>
      <c r="P11" s="161">
        <v>0.5</v>
      </c>
      <c r="Q11" s="128"/>
    </row>
    <row r="12" spans="1:17" ht="15.75" customHeight="1">
      <c r="A12" s="65">
        <f>+Pricing!A12</f>
        <v>44530</v>
      </c>
      <c r="B12" s="66"/>
      <c r="C12" s="71">
        <f>'Commodity Tonnages'!C12*Pricing!C12</f>
        <v>12689.259897600003</v>
      </c>
      <c r="D12" s="74">
        <f>'Commodity Tonnages'!D12*Pricing!D12</f>
        <v>-5751.1903176000005</v>
      </c>
      <c r="E12" s="74">
        <f>'Commodity Tonnages'!E12*Pricing!E12</f>
        <v>0</v>
      </c>
      <c r="F12" s="74">
        <f>'Commodity Tonnages'!F12*Pricing!F12</f>
        <v>1457.1242150400003</v>
      </c>
      <c r="G12" s="74">
        <f>'Commodity Tonnages'!G12*Pricing!G12</f>
        <v>182.70763056</v>
      </c>
      <c r="H12" s="74">
        <f>'Commodity Tonnages'!H12*Pricing!H12</f>
        <v>6842.500198560003</v>
      </c>
      <c r="I12" s="74">
        <f>'Commodity Tonnages'!I12*Pricing!I12</f>
        <v>3738.148399440001</v>
      </c>
      <c r="J12" s="74">
        <f>'Commodity Tonnages'!J12*Pricing!J12</f>
        <v>3738.148399440001</v>
      </c>
      <c r="K12" s="74">
        <f>'Commodity Tonnages'!K12*Pricing!K12</f>
        <v>19480.080147840006</v>
      </c>
      <c r="L12" s="74">
        <f>'Commodity Tonnages'!L12*Pricing!L12</f>
        <v>-6715.494513000001</v>
      </c>
      <c r="M12" s="127">
        <f t="shared" si="0"/>
        <v>35661.28405788002</v>
      </c>
      <c r="O12" s="97">
        <f t="shared" si="1"/>
        <v>17830.64202894001</v>
      </c>
      <c r="P12" s="161">
        <v>0.5</v>
      </c>
      <c r="Q12" s="128"/>
    </row>
    <row r="13" spans="1:17" ht="15.75" customHeight="1">
      <c r="A13" s="65">
        <f>+Pricing!A13</f>
        <v>44561</v>
      </c>
      <c r="B13" s="66"/>
      <c r="C13" s="71">
        <f>'Commodity Tonnages'!C13*Pricing!C13</f>
        <v>9739.44866048</v>
      </c>
      <c r="D13" s="74">
        <f>'Commodity Tonnages'!D13*Pricing!D13</f>
        <v>-3724.6996053000007</v>
      </c>
      <c r="E13" s="74">
        <f>'Commodity Tonnages'!E13*Pricing!E13</f>
        <v>0</v>
      </c>
      <c r="F13" s="74">
        <f>'Commodity Tonnages'!F13*Pricing!F13</f>
        <v>1120.93187968</v>
      </c>
      <c r="G13" s="74">
        <f>'Commodity Tonnages'!G13*Pricing!G13</f>
        <v>140.10216612000002</v>
      </c>
      <c r="H13" s="74">
        <f>'Commodity Tonnages'!H13*Pricing!H13</f>
        <v>-1306.0646148500002</v>
      </c>
      <c r="I13" s="74">
        <f>'Commodity Tonnages'!I13*Pricing!I13</f>
        <v>2337.0494706</v>
      </c>
      <c r="J13" s="74">
        <f>'Commodity Tonnages'!J13*Pricing!J13</f>
        <v>2337.0494706</v>
      </c>
      <c r="K13" s="74">
        <f>'Commodity Tonnages'!K13*Pricing!K13</f>
        <v>13168.928883600001</v>
      </c>
      <c r="L13" s="74">
        <f>'Commodity Tonnages'!L13*Pricing!L13</f>
        <v>-5416.371890999999</v>
      </c>
      <c r="M13" s="127">
        <f t="shared" si="0"/>
        <v>18396.37441993</v>
      </c>
      <c r="O13" s="97">
        <f t="shared" si="1"/>
        <v>9198.187209965</v>
      </c>
      <c r="P13" s="161">
        <v>0.5</v>
      </c>
      <c r="Q13" s="128"/>
    </row>
    <row r="14" spans="1:17" ht="15.75" customHeight="1">
      <c r="A14" s="65">
        <f>+Pricing!A14</f>
        <v>44592</v>
      </c>
      <c r="B14" s="66"/>
      <c r="C14" s="71">
        <f>'Commodity Tonnages'!C14*Pricing!C14</f>
        <v>18298.769488128004</v>
      </c>
      <c r="D14" s="74">
        <f>'Commodity Tonnages'!D14*Pricing!D14</f>
        <v>-9352.835964</v>
      </c>
      <c r="E14" s="74">
        <f>'Commodity Tonnages'!E14*Pricing!E14</f>
        <v>0</v>
      </c>
      <c r="F14" s="74">
        <f>'Commodity Tonnages'!F14*Pricing!F14</f>
        <v>1122.3893822400003</v>
      </c>
      <c r="G14" s="74">
        <f>'Commodity Tonnages'!G14*Pricing!G14</f>
        <v>112.60721001600001</v>
      </c>
      <c r="H14" s="74">
        <f>'Commodity Tonnages'!H14*Pricing!H14</f>
        <v>-766.937592</v>
      </c>
      <c r="I14" s="74">
        <f>'Commodity Tonnages'!I14*Pricing!I14</f>
        <v>2523.4833674879997</v>
      </c>
      <c r="J14" s="74">
        <f>'Commodity Tonnages'!J14*Pricing!J14</f>
        <v>2523.4833674879997</v>
      </c>
      <c r="K14" s="74">
        <f>'Commodity Tonnages'!K14*Pricing!K14</f>
        <v>14802.743286720002</v>
      </c>
      <c r="L14" s="74">
        <f>'Commodity Tonnages'!L14*Pricing!L14</f>
        <v>-8021.76718356</v>
      </c>
      <c r="M14" s="127">
        <f t="shared" si="0"/>
        <v>21241.935362520006</v>
      </c>
      <c r="O14" s="97">
        <f t="shared" si="1"/>
        <v>10620.967681260003</v>
      </c>
      <c r="P14" s="161">
        <v>0.5</v>
      </c>
      <c r="Q14" s="128"/>
    </row>
    <row r="15" spans="1:17" ht="15.75" customHeight="1">
      <c r="A15" s="65">
        <f>+Pricing!A15</f>
        <v>44620</v>
      </c>
      <c r="B15" s="66"/>
      <c r="C15" s="71">
        <f>'Commodity Tonnages'!C15*Pricing!C15</f>
        <v>15409.869935424</v>
      </c>
      <c r="D15" s="74">
        <f>'Commodity Tonnages'!D15*Pricing!D15</f>
        <v>-5839.650120749999</v>
      </c>
      <c r="E15" s="74">
        <f>'Commodity Tonnages'!E15*Pricing!E15</f>
        <v>0</v>
      </c>
      <c r="F15" s="74">
        <f>'Commodity Tonnages'!F15*Pricing!F15</f>
        <v>973.801542336</v>
      </c>
      <c r="G15" s="74">
        <f>'Commodity Tonnages'!G15*Pricing!G15</f>
        <v>103.35116743199998</v>
      </c>
      <c r="H15" s="74">
        <f>'Commodity Tonnages'!H15*Pricing!H15</f>
        <v>-3888.8255256</v>
      </c>
      <c r="I15" s="74">
        <f>'Commodity Tonnages'!I15*Pricing!I15</f>
        <v>2643.7814207799997</v>
      </c>
      <c r="J15" s="74">
        <f>'Commodity Tonnages'!J15*Pricing!J15</f>
        <v>2643.7814207799997</v>
      </c>
      <c r="K15" s="74">
        <f>'Commodity Tonnages'!K15*Pricing!K15</f>
        <v>14218.26170328</v>
      </c>
      <c r="L15" s="74">
        <f>'Commodity Tonnages'!L15*Pricing!L15</f>
        <v>-5813.00556343</v>
      </c>
      <c r="M15" s="127">
        <f t="shared" si="0"/>
        <v>20451.365980251998</v>
      </c>
      <c r="O15" s="97">
        <f t="shared" si="1"/>
        <v>10225.682990125999</v>
      </c>
      <c r="P15" s="161">
        <v>0.5</v>
      </c>
      <c r="Q15" s="128"/>
    </row>
    <row r="16" spans="1:17" ht="15.75" customHeight="1">
      <c r="A16" s="65">
        <f>+Pricing!A16</f>
        <v>44651</v>
      </c>
      <c r="B16" s="66"/>
      <c r="C16" s="71">
        <f>'Commodity Tonnages'!C16*Pricing!C16</f>
        <v>17860.448646208002</v>
      </c>
      <c r="D16" s="74">
        <f>'Commodity Tonnages'!D16*Pricing!D16</f>
        <v>-7028.699740999999</v>
      </c>
      <c r="E16" s="74">
        <f>'Commodity Tonnages'!E16*Pricing!E16</f>
        <v>0</v>
      </c>
      <c r="F16" s="74">
        <f>'Commodity Tonnages'!F16*Pricing!F16</f>
        <v>1066.8227801279997</v>
      </c>
      <c r="G16" s="74">
        <f>'Commodity Tonnages'!G16*Pricing!G16</f>
        <v>156.382617216</v>
      </c>
      <c r="H16" s="74">
        <f>'Commodity Tonnages'!H16*Pricing!H16</f>
        <v>-3089.682428</v>
      </c>
      <c r="I16" s="74">
        <f>'Commodity Tonnages'!I16*Pricing!I16</f>
        <v>3559.2347338239992</v>
      </c>
      <c r="J16" s="74">
        <f>'Commodity Tonnages'!J16*Pricing!J16</f>
        <v>3559.2347338239992</v>
      </c>
      <c r="K16" s="74">
        <f>'Commodity Tonnages'!K16*Pricing!K16</f>
        <v>14714.53931808</v>
      </c>
      <c r="L16" s="74">
        <f>'Commodity Tonnages'!L16*Pricing!L16</f>
        <v>-6145.926164560001</v>
      </c>
      <c r="M16" s="127">
        <f t="shared" si="0"/>
        <v>24652.35449572</v>
      </c>
      <c r="O16" s="97">
        <f t="shared" si="1"/>
        <v>12326.17724786</v>
      </c>
      <c r="P16" s="161">
        <v>0.5</v>
      </c>
      <c r="Q16" s="128"/>
    </row>
    <row r="17" spans="1:17" ht="15.75" customHeight="1">
      <c r="A17" s="65">
        <f>+Pricing!A17</f>
        <v>44681</v>
      </c>
      <c r="B17" s="66"/>
      <c r="C17" s="71">
        <f>'Commodity Tonnages'!C17*Pricing!C17</f>
        <v>15558.331289680002</v>
      </c>
      <c r="D17" s="74">
        <f>'Commodity Tonnages'!D17*Pricing!D17</f>
        <v>-4748.73114475</v>
      </c>
      <c r="E17" s="74">
        <f>'Commodity Tonnages'!E17*Pricing!E17</f>
        <v>0</v>
      </c>
      <c r="F17" s="74">
        <f>'Commodity Tonnages'!F17*Pricing!F17</f>
        <v>1118.4545814960002</v>
      </c>
      <c r="G17" s="74">
        <f>'Commodity Tonnages'!G17*Pricing!G17</f>
        <v>169.54188908000003</v>
      </c>
      <c r="H17" s="74">
        <f>'Commodity Tonnages'!H17*Pricing!H17</f>
        <v>-1259.5946489000003</v>
      </c>
      <c r="I17" s="74">
        <f>'Commodity Tonnages'!I17*Pricing!I17</f>
        <v>3845.7164589120007</v>
      </c>
      <c r="J17" s="74">
        <f>'Commodity Tonnages'!J17*Pricing!J17</f>
        <v>3845.7164589120007</v>
      </c>
      <c r="K17" s="74">
        <f>'Commodity Tonnages'!K17*Pricing!K17</f>
        <v>13289.745621600003</v>
      </c>
      <c r="L17" s="74">
        <f>'Commodity Tonnages'!L17*Pricing!L17</f>
        <v>-6175.32993298</v>
      </c>
      <c r="M17" s="127">
        <f t="shared" si="0"/>
        <v>25643.850573050007</v>
      </c>
      <c r="O17" s="97">
        <f t="shared" si="1"/>
        <v>12821.925286525004</v>
      </c>
      <c r="P17" s="161">
        <v>0.5</v>
      </c>
      <c r="Q17" s="128"/>
    </row>
    <row r="18" spans="1:18" ht="15.75" customHeight="1">
      <c r="A18" s="69" t="s">
        <v>31</v>
      </c>
      <c r="B18" s="66"/>
      <c r="C18" s="129">
        <f aca="true" t="shared" si="2" ref="C18:L18">SUM(C6:C17)</f>
        <v>163461.76785268803</v>
      </c>
      <c r="D18" s="130">
        <f t="shared" si="2"/>
        <v>-56640.41480358</v>
      </c>
      <c r="E18" s="130">
        <f t="shared" si="2"/>
        <v>0</v>
      </c>
      <c r="F18" s="129">
        <f t="shared" si="2"/>
        <v>15521.942309656</v>
      </c>
      <c r="G18" s="129">
        <f t="shared" si="2"/>
        <v>1693.7200791199998</v>
      </c>
      <c r="H18" s="129">
        <f t="shared" si="2"/>
        <v>58911.66325748202</v>
      </c>
      <c r="I18" s="129">
        <f t="shared" si="2"/>
        <v>44263.167823456</v>
      </c>
      <c r="J18" s="129">
        <f t="shared" si="2"/>
        <v>44263.167823456</v>
      </c>
      <c r="K18" s="129">
        <f t="shared" si="2"/>
        <v>211188.46936534406</v>
      </c>
      <c r="L18" s="130">
        <f t="shared" si="2"/>
        <v>-87140.65131343</v>
      </c>
      <c r="M18" s="131">
        <f>SUM(C18:L18)</f>
        <v>395522.83239419217</v>
      </c>
      <c r="O18" s="132">
        <f>SUM(O6:O17)</f>
        <v>197761.41619709603</v>
      </c>
      <c r="P18" s="136">
        <f>+O18/M18</f>
        <v>0.49999999999999983</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2021 through April 2022)</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87</v>
      </c>
      <c r="F5" s="63" t="s">
        <v>50</v>
      </c>
      <c r="G5" s="63" t="s">
        <v>88</v>
      </c>
      <c r="H5" s="63" t="s">
        <v>24</v>
      </c>
      <c r="I5" s="63" t="s">
        <v>25</v>
      </c>
      <c r="J5" s="63" t="s">
        <v>26</v>
      </c>
      <c r="K5" s="63" t="s">
        <v>27</v>
      </c>
      <c r="L5" s="63" t="s">
        <v>28</v>
      </c>
      <c r="M5" s="63"/>
      <c r="N5" s="63" t="s">
        <v>29</v>
      </c>
    </row>
    <row r="6" spans="1:16" ht="15.75" customHeight="1">
      <c r="A6" s="126">
        <f>'Single Family'!$C$6</f>
        <v>44317</v>
      </c>
      <c r="B6" s="66" t="s">
        <v>63</v>
      </c>
      <c r="C6" s="107">
        <f>'Single Family'!C32</f>
        <v>9.065244999999999</v>
      </c>
      <c r="D6" s="108">
        <f>'Single Family'!C34</f>
        <v>68.9626</v>
      </c>
      <c r="E6" s="107">
        <f>'Single Family'!C35</f>
        <v>0</v>
      </c>
      <c r="F6" s="107">
        <f>'Single Family'!C30</f>
        <v>7.841715</v>
      </c>
      <c r="G6" s="107">
        <f>'Single Family'!C3</f>
        <v>0</v>
      </c>
      <c r="H6" s="107">
        <f>'Single Family'!C37</f>
        <v>179.580835</v>
      </c>
      <c r="I6" s="107">
        <f>'Single Family'!C31/2</f>
        <v>9.955084999999999</v>
      </c>
      <c r="J6" s="107">
        <f>'Single Family'!C31/2</f>
        <v>9.955084999999999</v>
      </c>
      <c r="K6" s="107">
        <f>'Single Family'!C28</f>
        <v>136.42359499999998</v>
      </c>
      <c r="L6" s="107">
        <f>'Single Family'!C36</f>
        <v>133.197925</v>
      </c>
      <c r="M6" s="64"/>
      <c r="N6" s="133">
        <f aca="true" t="shared" si="0" ref="N6:N17">SUM(C6:L6)</f>
        <v>554.982085</v>
      </c>
      <c r="O6" s="75"/>
      <c r="P6" s="68"/>
    </row>
    <row r="7" spans="1:16" ht="15.75" customHeight="1">
      <c r="A7" s="65">
        <f aca="true" t="shared" si="1" ref="A7:A17">EOMONTH(A6,1)</f>
        <v>44377</v>
      </c>
      <c r="B7" s="66" t="s">
        <v>64</v>
      </c>
      <c r="C7" s="107">
        <f>'Single Family'!D32</f>
        <v>9.234601999999999</v>
      </c>
      <c r="D7" s="108">
        <f>'Single Family'!D34</f>
        <v>70.25095999999999</v>
      </c>
      <c r="E7" s="107">
        <f>'Single Family'!D35</f>
        <v>0</v>
      </c>
      <c r="F7" s="107">
        <f>'Single Family'!D30</f>
        <v>7.988213999999999</v>
      </c>
      <c r="G7" s="107">
        <f>'Single Family'!D33</f>
        <v>1.1897339999999998</v>
      </c>
      <c r="H7" s="107">
        <f>'Single Family'!D37</f>
        <v>182.935766</v>
      </c>
      <c r="I7" s="107">
        <f>'Single Family'!D31/2</f>
        <v>10.141065999999999</v>
      </c>
      <c r="J7" s="107">
        <f>'Single Family'!D31/2</f>
        <v>10.141065999999999</v>
      </c>
      <c r="K7" s="107">
        <f>'Single Family'!D28</f>
        <v>138.97226199999997</v>
      </c>
      <c r="L7" s="107">
        <f>'Single Family'!D36</f>
        <v>135.68633</v>
      </c>
      <c r="M7" s="64"/>
      <c r="N7" s="133">
        <f t="shared" si="0"/>
        <v>566.54</v>
      </c>
      <c r="P7" s="68"/>
    </row>
    <row r="8" spans="1:16" ht="15.75" customHeight="1">
      <c r="A8" s="65">
        <f t="shared" si="1"/>
        <v>44408</v>
      </c>
      <c r="B8" s="66" t="s">
        <v>65</v>
      </c>
      <c r="C8" s="107">
        <f>'Single Family'!E32</f>
        <v>9.933440000000001</v>
      </c>
      <c r="D8" s="108">
        <f>'Single Family'!E34</f>
        <v>94.31124</v>
      </c>
      <c r="E8" s="107">
        <f>'Single Family'!E35</f>
        <v>0</v>
      </c>
      <c r="F8" s="107">
        <f>'Single Family'!E30</f>
        <v>8.57888</v>
      </c>
      <c r="G8" s="107">
        <f>'Single Family'!E33</f>
        <v>1.1852399999999998</v>
      </c>
      <c r="H8" s="107">
        <f>'Single Family'!E37</f>
        <v>197.03204</v>
      </c>
      <c r="I8" s="107">
        <f>'Single Family'!E31/2</f>
        <v>12.8401</v>
      </c>
      <c r="J8" s="107">
        <f>'Single Family'!E31/2</f>
        <v>12.8401</v>
      </c>
      <c r="K8" s="107">
        <f>'Single Family'!E28</f>
        <v>142.73676</v>
      </c>
      <c r="L8" s="107">
        <f>'Single Family'!E36</f>
        <v>84.9422</v>
      </c>
      <c r="M8" s="64"/>
      <c r="N8" s="133">
        <f t="shared" si="0"/>
        <v>564.4</v>
      </c>
      <c r="P8" s="68"/>
    </row>
    <row r="9" spans="1:16" ht="15.75" customHeight="1">
      <c r="A9" s="65">
        <f t="shared" si="1"/>
        <v>44439</v>
      </c>
      <c r="B9" s="66" t="s">
        <v>66</v>
      </c>
      <c r="C9" s="107">
        <f>'Single Family'!F32</f>
        <v>10.098880000000001</v>
      </c>
      <c r="D9" s="108">
        <f>'Single Family'!F34</f>
        <v>95.88198000000001</v>
      </c>
      <c r="E9" s="107">
        <f>'Single Family'!F35</f>
        <v>0</v>
      </c>
      <c r="F9" s="107">
        <f>'Single Family'!F30</f>
        <v>8.721760000000002</v>
      </c>
      <c r="G9" s="107">
        <f>'Single Family'!F33</f>
        <v>1.2049800000000002</v>
      </c>
      <c r="H9" s="107">
        <f>'Single Family'!F37</f>
        <v>200.31358000000003</v>
      </c>
      <c r="I9" s="107">
        <f>'Single Family'!F31/2</f>
        <v>13.05395</v>
      </c>
      <c r="J9" s="107">
        <f>'Single Family'!F31/2</f>
        <v>13.05395</v>
      </c>
      <c r="K9" s="107">
        <f>'Single Family'!F28</f>
        <v>145.11402000000004</v>
      </c>
      <c r="L9" s="107">
        <f>'Single Family'!F36</f>
        <v>86.35690000000001</v>
      </c>
      <c r="M9" s="64"/>
      <c r="N9" s="133">
        <f t="shared" si="0"/>
        <v>573.8000000000001</v>
      </c>
      <c r="P9" s="68"/>
    </row>
    <row r="10" spans="1:16" ht="15.75" customHeight="1">
      <c r="A10" s="65">
        <f t="shared" si="1"/>
        <v>44469</v>
      </c>
      <c r="B10" s="66" t="s">
        <v>67</v>
      </c>
      <c r="C10" s="107">
        <f>'Single Family'!G32</f>
        <v>9.414768000000002</v>
      </c>
      <c r="D10" s="108">
        <f>'Single Family'!G34</f>
        <v>89.38680300000001</v>
      </c>
      <c r="E10" s="107">
        <f>'Single Family'!G35</f>
        <v>0</v>
      </c>
      <c r="F10" s="107">
        <f>'Single Family'!G30</f>
        <v>8.130936</v>
      </c>
      <c r="G10" s="107">
        <f>'Single Family'!G33</f>
        <v>1.123353</v>
      </c>
      <c r="H10" s="107">
        <f>'Single Family'!G37</f>
        <v>186.74406300000004</v>
      </c>
      <c r="I10" s="107">
        <f>'Single Family'!G31/2</f>
        <v>12.169657500000001</v>
      </c>
      <c r="J10" s="107">
        <f>'Single Family'!G31/2</f>
        <v>12.169657500000001</v>
      </c>
      <c r="K10" s="107">
        <f>'Single Family'!G28</f>
        <v>135.28379700000002</v>
      </c>
      <c r="L10" s="107">
        <f>'Single Family'!G36</f>
        <v>80.50696500000001</v>
      </c>
      <c r="M10" s="64"/>
      <c r="N10" s="133">
        <f t="shared" si="0"/>
        <v>534.9300000000002</v>
      </c>
      <c r="P10" s="68"/>
    </row>
    <row r="11" spans="1:16" ht="15.75" customHeight="1">
      <c r="A11" s="65">
        <f t="shared" si="1"/>
        <v>44500</v>
      </c>
      <c r="B11" s="66" t="s">
        <v>68</v>
      </c>
      <c r="C11" s="107">
        <f>'Single Family'!H32</f>
        <v>9.158688000000003</v>
      </c>
      <c r="D11" s="108">
        <f>'Single Family'!H34</f>
        <v>86.95549800000002</v>
      </c>
      <c r="E11" s="107">
        <f>'Single Family'!H35</f>
        <v>0</v>
      </c>
      <c r="F11" s="107">
        <f>'Single Family'!H30</f>
        <v>7.909776000000002</v>
      </c>
      <c r="G11" s="107">
        <f>'Single Family'!H33</f>
        <v>1.0927980000000002</v>
      </c>
      <c r="H11" s="107">
        <f>'Single Family'!H37</f>
        <v>181.66465800000006</v>
      </c>
      <c r="I11" s="107">
        <f>'Single Family'!H31/2</f>
        <v>11.838645000000001</v>
      </c>
      <c r="J11" s="107">
        <f>'Single Family'!H31/2</f>
        <v>11.838645000000001</v>
      </c>
      <c r="K11" s="107">
        <f>'Single Family'!H28</f>
        <v>131.60410200000004</v>
      </c>
      <c r="L11" s="107">
        <f>'Single Family'!H36</f>
        <v>78.31719000000001</v>
      </c>
      <c r="M11" s="64"/>
      <c r="N11" s="133">
        <f t="shared" si="0"/>
        <v>520.3800000000001</v>
      </c>
      <c r="P11" s="68"/>
    </row>
    <row r="12" spans="1:16" ht="15.75" customHeight="1">
      <c r="A12" s="65">
        <f t="shared" si="1"/>
        <v>44530</v>
      </c>
      <c r="B12" s="66" t="s">
        <v>69</v>
      </c>
      <c r="C12" s="107">
        <f>'Single Family'!I32</f>
        <v>10.501920000000002</v>
      </c>
      <c r="D12" s="108">
        <f>'Single Family'!I34</f>
        <v>99.70857000000001</v>
      </c>
      <c r="E12" s="107">
        <f>'Single Family'!I35</f>
        <v>0</v>
      </c>
      <c r="F12" s="107">
        <f>'Single Family'!I30</f>
        <v>9.069840000000001</v>
      </c>
      <c r="G12" s="107">
        <f>'Single Family'!I33</f>
        <v>1.2530700000000001</v>
      </c>
      <c r="H12" s="107">
        <f>'Single Family'!I37</f>
        <v>208.30797000000004</v>
      </c>
      <c r="I12" s="107">
        <f>'Single Family'!I31/2</f>
        <v>13.574925</v>
      </c>
      <c r="J12" s="107">
        <f>'Single Family'!I31/2</f>
        <v>13.574925</v>
      </c>
      <c r="K12" s="107">
        <f>'Single Family'!I28</f>
        <v>150.90543000000002</v>
      </c>
      <c r="L12" s="107">
        <f>'Single Family'!I36</f>
        <v>89.80335000000001</v>
      </c>
      <c r="M12" s="64"/>
      <c r="N12" s="133">
        <f t="shared" si="0"/>
        <v>596.7</v>
      </c>
      <c r="P12" s="68"/>
    </row>
    <row r="13" spans="1:16" ht="15.75" customHeight="1">
      <c r="A13" s="65">
        <f t="shared" si="1"/>
        <v>44561</v>
      </c>
      <c r="B13" s="66" t="s">
        <v>70</v>
      </c>
      <c r="C13" s="107">
        <f>'Single Family'!J32</f>
        <v>7.683280000000001</v>
      </c>
      <c r="D13" s="108">
        <f>'Single Family'!J34</f>
        <v>72.947505</v>
      </c>
      <c r="E13" s="107">
        <f>'Single Family'!J35</f>
        <v>0</v>
      </c>
      <c r="F13" s="107">
        <f>'Single Family'!J30</f>
        <v>6.63556</v>
      </c>
      <c r="G13" s="107">
        <f>'Single Family'!J33</f>
        <v>0.916755</v>
      </c>
      <c r="H13" s="107">
        <f>'Single Family'!J37</f>
        <v>152.399605</v>
      </c>
      <c r="I13" s="107">
        <f>'Single Family'!J31/2</f>
        <v>9.9315125</v>
      </c>
      <c r="J13" s="107">
        <f>'Single Family'!J31/2</f>
        <v>9.9315125</v>
      </c>
      <c r="K13" s="107">
        <f>'Single Family'!J28</f>
        <v>110.403495</v>
      </c>
      <c r="L13" s="107">
        <f>'Single Family'!J36</f>
        <v>65.700775</v>
      </c>
      <c r="M13" s="64"/>
      <c r="N13" s="133">
        <f t="shared" si="0"/>
        <v>436.55000000000007</v>
      </c>
      <c r="P13" s="68"/>
    </row>
    <row r="14" spans="1:16" ht="15.75" customHeight="1">
      <c r="A14" s="65">
        <f t="shared" si="1"/>
        <v>44592</v>
      </c>
      <c r="B14" s="66" t="s">
        <v>71</v>
      </c>
      <c r="C14" s="107">
        <f>'Single Family'!K32</f>
        <v>12.130344000000001</v>
      </c>
      <c r="D14" s="108">
        <f>'Single Family'!K34</f>
        <v>120.9627</v>
      </c>
      <c r="E14" s="107">
        <f>'Single Family'!K35</f>
        <v>0</v>
      </c>
      <c r="F14" s="107">
        <f>'Single Family'!K30</f>
        <v>10.017756</v>
      </c>
      <c r="G14" s="107">
        <f>'Single Family'!K33</f>
        <v>1.294812</v>
      </c>
      <c r="H14" s="107">
        <f>'Single Family'!K37</f>
        <v>225.56988</v>
      </c>
      <c r="I14" s="107">
        <f>'Single Family'!K31/2</f>
        <v>16.764408</v>
      </c>
      <c r="J14" s="107">
        <f>'Single Family'!K31/2</f>
        <v>16.764408</v>
      </c>
      <c r="K14" s="107">
        <f>'Single Family'!K28</f>
        <v>177.86628000000002</v>
      </c>
      <c r="L14" s="107">
        <f>'Single Family'!K36</f>
        <v>100.109412</v>
      </c>
      <c r="M14" s="64"/>
      <c r="N14" s="133">
        <f t="shared" si="0"/>
        <v>681.48</v>
      </c>
      <c r="P14" s="68"/>
    </row>
    <row r="15" spans="1:16" ht="15.75" customHeight="1">
      <c r="A15" s="65">
        <f t="shared" si="1"/>
        <v>44620</v>
      </c>
      <c r="B15" s="66" t="s">
        <v>72</v>
      </c>
      <c r="C15" s="107">
        <f>'Single Family'!L32</f>
        <v>8.983125999999999</v>
      </c>
      <c r="D15" s="108">
        <f>'Single Family'!L34</f>
        <v>89.57892499999998</v>
      </c>
      <c r="E15" s="107">
        <f>'Single Family'!L35</f>
        <v>0</v>
      </c>
      <c r="F15" s="107">
        <f>'Single Family'!L30</f>
        <v>7.418648999999999</v>
      </c>
      <c r="G15" s="107">
        <f>'Single Family'!L33</f>
        <v>0.958873</v>
      </c>
      <c r="H15" s="107">
        <f>'Single Family'!L37</f>
        <v>167.04577</v>
      </c>
      <c r="I15" s="107">
        <f>'Single Family'!L31/2</f>
        <v>12.414881999999999</v>
      </c>
      <c r="J15" s="107">
        <f>'Single Family'!L31/2</f>
        <v>12.414881999999999</v>
      </c>
      <c r="K15" s="107">
        <f>'Single Family'!L28</f>
        <v>131.71886999999998</v>
      </c>
      <c r="L15" s="107">
        <f>'Single Family'!L36</f>
        <v>74.136023</v>
      </c>
      <c r="M15" s="64"/>
      <c r="N15" s="133">
        <f t="shared" si="0"/>
        <v>504.66999999999996</v>
      </c>
      <c r="P15" s="68"/>
    </row>
    <row r="16" spans="1:16" ht="15.75" customHeight="1">
      <c r="A16" s="65">
        <f t="shared" si="1"/>
        <v>44651</v>
      </c>
      <c r="B16" s="66" t="s">
        <v>73</v>
      </c>
      <c r="C16" s="107">
        <f>'Single Family'!M32</f>
        <v>9.604168</v>
      </c>
      <c r="D16" s="108">
        <f>'Single Family'!M34</f>
        <v>95.77189999999999</v>
      </c>
      <c r="E16" s="107">
        <f>'Single Family'!M35</f>
        <v>0</v>
      </c>
      <c r="F16" s="107">
        <f>'Single Family'!M30</f>
        <v>7.931531999999999</v>
      </c>
      <c r="G16" s="107">
        <f>'Single Family'!M33</f>
        <v>1.025164</v>
      </c>
      <c r="H16" s="107">
        <f>'Single Family'!M37</f>
        <v>178.59436</v>
      </c>
      <c r="I16" s="107">
        <f>'Single Family'!M31/2</f>
        <v>13.273176</v>
      </c>
      <c r="J16" s="107">
        <f>'Single Family'!M31/2</f>
        <v>13.273176</v>
      </c>
      <c r="K16" s="107">
        <f>'Single Family'!M28</f>
        <v>140.82515999999998</v>
      </c>
      <c r="L16" s="107">
        <f>'Single Family'!M36</f>
        <v>79.261364</v>
      </c>
      <c r="M16" s="64"/>
      <c r="N16" s="133">
        <f t="shared" si="0"/>
        <v>539.56</v>
      </c>
      <c r="P16" s="68"/>
    </row>
    <row r="17" spans="1:16" ht="15.75" customHeight="1">
      <c r="A17" s="65">
        <f t="shared" si="1"/>
        <v>44681</v>
      </c>
      <c r="B17" s="66" t="s">
        <v>74</v>
      </c>
      <c r="C17" s="107">
        <f>'Single Family'!N32</f>
        <v>8.563402</v>
      </c>
      <c r="D17" s="108">
        <f>'Single Family'!N34</f>
        <v>85.393475</v>
      </c>
      <c r="E17" s="107">
        <f>'Single Family'!N35</f>
        <v>0</v>
      </c>
      <c r="F17" s="107">
        <f>'Single Family'!N30</f>
        <v>7.072023000000001</v>
      </c>
      <c r="G17" s="107">
        <f>'Single Family'!N33</f>
        <v>0.9140710000000001</v>
      </c>
      <c r="H17" s="107">
        <f>'Single Family'!N37</f>
        <v>159.24079000000003</v>
      </c>
      <c r="I17" s="107">
        <f>'Single Family'!N31/2</f>
        <v>11.834814000000001</v>
      </c>
      <c r="J17" s="107">
        <f>'Single Family'!N31/2</f>
        <v>11.834814000000001</v>
      </c>
      <c r="K17" s="107">
        <f>'Single Family'!N28</f>
        <v>125.56449</v>
      </c>
      <c r="L17" s="107">
        <f>'Single Family'!N36</f>
        <v>70.672121</v>
      </c>
      <c r="M17" s="64"/>
      <c r="N17" s="133">
        <f t="shared" si="0"/>
        <v>481.09</v>
      </c>
      <c r="P17" s="68"/>
    </row>
    <row r="18" spans="1:15" ht="15.75" customHeight="1">
      <c r="A18" s="69" t="s">
        <v>31</v>
      </c>
      <c r="B18" s="66"/>
      <c r="C18" s="134">
        <f aca="true" t="shared" si="2" ref="C18:L18">SUM(C6:C17)</f>
        <v>114.371863</v>
      </c>
      <c r="D18" s="134">
        <f t="shared" si="2"/>
        <v>1070.1121560000001</v>
      </c>
      <c r="E18" s="134">
        <f t="shared" si="2"/>
        <v>0</v>
      </c>
      <c r="F18" s="134">
        <f t="shared" si="2"/>
        <v>97.31664100000002</v>
      </c>
      <c r="G18" s="134">
        <f t="shared" si="2"/>
        <v>12.158850000000001</v>
      </c>
      <c r="H18" s="134">
        <f t="shared" si="2"/>
        <v>2219.429317</v>
      </c>
      <c r="I18" s="134">
        <f t="shared" si="2"/>
        <v>147.792221</v>
      </c>
      <c r="J18" s="134">
        <f t="shared" si="2"/>
        <v>147.792221</v>
      </c>
      <c r="K18" s="134">
        <f t="shared" si="2"/>
        <v>1667.418261</v>
      </c>
      <c r="L18" s="134">
        <f t="shared" si="2"/>
        <v>1078.6905550000001</v>
      </c>
      <c r="M18" s="64"/>
      <c r="N18" s="135">
        <f>SUM(N6:N17)</f>
        <v>6555.082085</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A1" sqref="A1"/>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2021 through April 2022)</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87</v>
      </c>
      <c r="F5" s="63" t="s">
        <v>50</v>
      </c>
      <c r="G5" s="63" t="s">
        <v>88</v>
      </c>
      <c r="H5" s="63" t="s">
        <v>24</v>
      </c>
      <c r="I5" s="63" t="s">
        <v>25</v>
      </c>
      <c r="J5" s="63" t="s">
        <v>26</v>
      </c>
      <c r="K5" s="63" t="s">
        <v>27</v>
      </c>
      <c r="L5" s="63" t="s">
        <v>28</v>
      </c>
      <c r="M5" s="63"/>
    </row>
    <row r="6" spans="1:13" ht="15.75" customHeight="1">
      <c r="A6" s="126">
        <f>'Single Family'!$C$6</f>
        <v>44317</v>
      </c>
      <c r="B6" s="66" t="s">
        <v>63</v>
      </c>
      <c r="C6" s="105">
        <f>'Single Family'!C74</f>
        <v>1189.808</v>
      </c>
      <c r="D6" s="106">
        <f>'Single Family'!C76</f>
        <v>-24.73</v>
      </c>
      <c r="E6" s="106">
        <f>'Single Family'!C77</f>
        <v>0</v>
      </c>
      <c r="F6" s="107">
        <f>'Single Family'!C72</f>
        <v>176.12800000000001</v>
      </c>
      <c r="G6" s="105">
        <f>'Single Family'!C75</f>
        <v>142.04000000000002</v>
      </c>
      <c r="H6" s="105">
        <f>'Single Family'!C79</f>
        <v>46.64</v>
      </c>
      <c r="I6" s="105">
        <f>'Single Family'!C73</f>
        <v>299.36916201117316</v>
      </c>
      <c r="J6" s="105">
        <f>'Single Family'!C73</f>
        <v>299.36916201117316</v>
      </c>
      <c r="K6" s="105">
        <f>'Single Family'!C70</f>
        <v>131.504</v>
      </c>
      <c r="L6" s="106">
        <f>'Single Family'!C78</f>
        <v>-78.93</v>
      </c>
      <c r="M6" s="70"/>
    </row>
    <row r="7" spans="1:13" ht="15.75" customHeight="1">
      <c r="A7" s="65">
        <f>+'Commodity Tonnages'!A7</f>
        <v>44377</v>
      </c>
      <c r="B7" s="66" t="s">
        <v>64</v>
      </c>
      <c r="C7" s="105">
        <f>'Single Family'!D74</f>
        <v>1217.48</v>
      </c>
      <c r="D7" s="106">
        <f>'Single Family'!D76</f>
        <v>-9.94</v>
      </c>
      <c r="E7" s="106">
        <f>'Single Family'!D77</f>
        <v>0</v>
      </c>
      <c r="F7" s="107">
        <f>'Single Family'!D72</f>
        <v>209.168</v>
      </c>
      <c r="G7" s="105">
        <f>'Single Family'!D75</f>
        <v>165.69600000000003</v>
      </c>
      <c r="H7" s="105">
        <f>'Single Family'!D79</f>
        <v>64.08800000000001</v>
      </c>
      <c r="I7" s="105">
        <f>'Single Family'!D73</f>
        <v>444.90221229050275</v>
      </c>
      <c r="J7" s="105">
        <f>'Single Family'!D73</f>
        <v>444.90221229050275</v>
      </c>
      <c r="K7" s="105">
        <f>'Single Family'!D70</f>
        <v>154.096</v>
      </c>
      <c r="L7" s="106">
        <f>'Single Family'!D78</f>
        <v>-83.88</v>
      </c>
      <c r="M7" s="70"/>
    </row>
    <row r="8" spans="1:13" ht="15.75" customHeight="1">
      <c r="A8" s="65">
        <f>+'Commodity Tonnages'!A8</f>
        <v>44408</v>
      </c>
      <c r="B8" s="66" t="s">
        <v>65</v>
      </c>
      <c r="C8" s="105">
        <f>'Single Family'!E74</f>
        <v>1261.632</v>
      </c>
      <c r="D8" s="106">
        <f>'Single Family'!E76</f>
        <v>-46.2</v>
      </c>
      <c r="E8" s="106">
        <f>'Single Family'!E77</f>
        <v>0</v>
      </c>
      <c r="F8" s="107">
        <f>'Single Family'!E72</f>
        <v>189.88</v>
      </c>
      <c r="G8" s="105">
        <f>'Single Family'!E75</f>
        <v>150.072</v>
      </c>
      <c r="H8" s="105">
        <f>'Single Family'!E79</f>
        <v>50.080000000000005</v>
      </c>
      <c r="I8" s="105">
        <f>'Single Family'!E73</f>
        <v>363.4323868131869</v>
      </c>
      <c r="J8" s="105">
        <f>'Single Family'!E73</f>
        <v>363.4323868131869</v>
      </c>
      <c r="K8" s="105">
        <f>'Single Family'!E70</f>
        <v>142.168</v>
      </c>
      <c r="L8" s="106">
        <f>'Single Family'!E78</f>
        <v>-83.07</v>
      </c>
      <c r="M8" s="67"/>
    </row>
    <row r="9" spans="1:13" ht="15.75" customHeight="1">
      <c r="A9" s="65">
        <f>+'Commodity Tonnages'!A9</f>
        <v>44439</v>
      </c>
      <c r="B9" s="66" t="s">
        <v>66</v>
      </c>
      <c r="C9" s="105">
        <f>'Single Family'!F74</f>
        <v>1291.592</v>
      </c>
      <c r="D9" s="106">
        <f>'Single Family'!F76</f>
        <v>-52.58</v>
      </c>
      <c r="E9" s="106">
        <f>'Single Family'!F77</f>
        <v>0</v>
      </c>
      <c r="F9" s="107">
        <f>'Single Family'!F72</f>
        <v>171.784</v>
      </c>
      <c r="G9" s="105">
        <f>'Single Family'!F75</f>
        <v>138.856</v>
      </c>
      <c r="H9" s="105">
        <f>'Single Family'!F79</f>
        <v>57.176</v>
      </c>
      <c r="I9" s="105">
        <f>'Single Family'!F73</f>
        <v>436.2276747252748</v>
      </c>
      <c r="J9" s="105">
        <f>'Single Family'!F73</f>
        <v>436.2276747252748</v>
      </c>
      <c r="K9" s="105">
        <f>'Single Family'!F70</f>
        <v>146.29600000000002</v>
      </c>
      <c r="L9" s="106">
        <f>'Single Family'!F78</f>
        <v>-80.11</v>
      </c>
      <c r="M9" s="67"/>
    </row>
    <row r="10" spans="1:13" ht="15.75" customHeight="1">
      <c r="A10" s="65">
        <f>+'Commodity Tonnages'!A10</f>
        <v>44469</v>
      </c>
      <c r="B10" s="66" t="s">
        <v>67</v>
      </c>
      <c r="C10" s="105">
        <f>'Single Family'!G74</f>
        <v>1399.968</v>
      </c>
      <c r="D10" s="106">
        <f>'Single Family'!G76</f>
        <v>-48.34</v>
      </c>
      <c r="E10" s="106">
        <f>'Single Family'!G77</f>
        <v>0</v>
      </c>
      <c r="F10" s="107">
        <f>'Single Family'!G72</f>
        <v>154.28</v>
      </c>
      <c r="G10" s="105">
        <f>'Single Family'!G75</f>
        <v>123.49600000000001</v>
      </c>
      <c r="H10" s="105">
        <f>'Single Family'!G79</f>
        <v>53.29600000000001</v>
      </c>
      <c r="I10" s="105">
        <f>'Single Family'!G73</f>
        <v>382.0567384615385</v>
      </c>
      <c r="J10" s="105">
        <f>'Single Family'!G73</f>
        <v>382.0567384615385</v>
      </c>
      <c r="K10" s="105">
        <f>'Single Family'!G70</f>
        <v>153.20000000000002</v>
      </c>
      <c r="L10" s="106">
        <f>'Single Family'!G78</f>
        <v>-81.75</v>
      </c>
      <c r="M10" s="67"/>
    </row>
    <row r="11" spans="1:13" ht="15.75" customHeight="1">
      <c r="A11" s="65">
        <f>+'Commodity Tonnages'!A11</f>
        <v>44500</v>
      </c>
      <c r="B11" s="66" t="s">
        <v>68</v>
      </c>
      <c r="C11" s="105">
        <f>'Single Family'!H74</f>
        <v>1432.5680000000002</v>
      </c>
      <c r="D11" s="106">
        <f>'Single Family'!H76</f>
        <v>-46.82</v>
      </c>
      <c r="E11" s="106">
        <f>'Single Family'!H77</f>
        <v>0</v>
      </c>
      <c r="F11" s="107">
        <f>'Single Family'!H72</f>
        <v>155.34400000000002</v>
      </c>
      <c r="G11" s="105">
        <f>'Single Family'!H75</f>
        <v>135.408</v>
      </c>
      <c r="H11" s="105">
        <f>'Single Family'!H79</f>
        <v>60.592</v>
      </c>
      <c r="I11" s="105">
        <f>'Single Family'!H73</f>
        <v>262.971287912088</v>
      </c>
      <c r="J11" s="105">
        <f>'Single Family'!H73</f>
        <v>262.971287912088</v>
      </c>
      <c r="K11" s="105">
        <f>'Single Family'!H70</f>
        <v>151.29600000000002</v>
      </c>
      <c r="L11" s="106">
        <f>'Single Family'!H78</f>
        <v>-81.75</v>
      </c>
      <c r="M11" s="67"/>
    </row>
    <row r="12" spans="1:13" ht="15.75" customHeight="1">
      <c r="A12" s="65">
        <f>+'Commodity Tonnages'!A12</f>
        <v>44530</v>
      </c>
      <c r="B12" s="66" t="s">
        <v>69</v>
      </c>
      <c r="C12" s="105">
        <f>'Single Family'!I74</f>
        <v>1208.28</v>
      </c>
      <c r="D12" s="106">
        <f>'Single Family'!I76</f>
        <v>-57.68</v>
      </c>
      <c r="E12" s="106">
        <f>'Single Family'!I77</f>
        <v>0</v>
      </c>
      <c r="F12" s="107">
        <f>'Single Family'!I72</f>
        <v>160.656</v>
      </c>
      <c r="G12" s="105">
        <f>'Single Family'!I75</f>
        <v>145.808</v>
      </c>
      <c r="H12" s="105">
        <f>'Single Family'!I79</f>
        <v>32.848000000000006</v>
      </c>
      <c r="I12" s="105">
        <f>'Single Family'!I73</f>
        <v>275.3715692307693</v>
      </c>
      <c r="J12" s="105">
        <f>'Single Family'!I73</f>
        <v>275.3715692307693</v>
      </c>
      <c r="K12" s="105">
        <f>'Single Family'!I70</f>
        <v>129.08800000000002</v>
      </c>
      <c r="L12" s="106">
        <f>'Single Family'!I78</f>
        <v>-74.78</v>
      </c>
      <c r="M12" s="67"/>
    </row>
    <row r="13" spans="1:13" ht="15.75" customHeight="1">
      <c r="A13" s="65">
        <f>+'Commodity Tonnages'!A13</f>
        <v>44561</v>
      </c>
      <c r="B13" s="66" t="s">
        <v>70</v>
      </c>
      <c r="C13" s="105">
        <f>'Single Family'!J74</f>
        <v>1267.616</v>
      </c>
      <c r="D13" s="106">
        <f>'Single Family'!J76</f>
        <v>-51.06</v>
      </c>
      <c r="E13" s="106">
        <f>'Single Family'!J77</f>
        <v>0</v>
      </c>
      <c r="F13" s="107">
        <f>'Single Family'!J72</f>
        <v>168.928</v>
      </c>
      <c r="G13" s="105">
        <f>'Single Family'!J75</f>
        <v>152.824</v>
      </c>
      <c r="H13" s="105">
        <f>'Single Family'!J79</f>
        <v>-8.57</v>
      </c>
      <c r="I13" s="105">
        <f>'Single Family'!J73</f>
        <v>235.31657142857142</v>
      </c>
      <c r="J13" s="105">
        <f>'Single Family'!J73</f>
        <v>235.31657142857142</v>
      </c>
      <c r="K13" s="105">
        <f>'Single Family'!J70</f>
        <v>119.28</v>
      </c>
      <c r="L13" s="106">
        <f>'Single Family'!J78</f>
        <v>-82.44</v>
      </c>
      <c r="M13" s="67"/>
    </row>
    <row r="14" spans="1:13" ht="15.75" customHeight="1">
      <c r="A14" s="65">
        <f>+'Commodity Tonnages'!A14</f>
        <v>44592</v>
      </c>
      <c r="B14" s="66" t="s">
        <v>71</v>
      </c>
      <c r="C14" s="105">
        <f>'Single Family'!K74</f>
        <v>1508.5120000000002</v>
      </c>
      <c r="D14" s="106">
        <f>'Single Family'!K76</f>
        <v>-77.32</v>
      </c>
      <c r="E14" s="106">
        <f>'Single Family'!K77</f>
        <v>0</v>
      </c>
      <c r="F14" s="107">
        <f>'Single Family'!K72</f>
        <v>112.04000000000002</v>
      </c>
      <c r="G14" s="105">
        <f>'Single Family'!K75</f>
        <v>86.968</v>
      </c>
      <c r="H14" s="105">
        <f>'Single Family'!K79</f>
        <v>-3.4</v>
      </c>
      <c r="I14" s="105">
        <f>'Single Family'!K73</f>
        <v>150.526243902439</v>
      </c>
      <c r="J14" s="105">
        <f>'Single Family'!K73</f>
        <v>150.526243902439</v>
      </c>
      <c r="K14" s="105">
        <f>'Single Family'!K70</f>
        <v>83.224</v>
      </c>
      <c r="L14" s="106">
        <f>'Single Family'!K78</f>
        <v>-80.13</v>
      </c>
      <c r="M14" s="67"/>
    </row>
    <row r="15" spans="1:13" ht="15.75" customHeight="1">
      <c r="A15" s="65">
        <f>+'Commodity Tonnages'!A15</f>
        <v>44620</v>
      </c>
      <c r="B15" s="66" t="s">
        <v>72</v>
      </c>
      <c r="C15" s="105">
        <f>'Single Family'!L74</f>
        <v>1715.4240000000002</v>
      </c>
      <c r="D15" s="106">
        <f>'Single Family'!L76</f>
        <v>-65.19</v>
      </c>
      <c r="E15" s="106">
        <f>'Single Family'!L77</f>
        <v>0</v>
      </c>
      <c r="F15" s="107">
        <f>'Single Family'!L72</f>
        <v>131.264</v>
      </c>
      <c r="G15" s="105">
        <f>'Single Family'!L75</f>
        <v>107.78399999999999</v>
      </c>
      <c r="H15" s="105">
        <f>'Single Family'!L79</f>
        <v>-23.28</v>
      </c>
      <c r="I15" s="105">
        <f>'Single Family'!L73</f>
        <v>212.95260162601625</v>
      </c>
      <c r="J15" s="105">
        <f>'Single Family'!L73</f>
        <v>212.95260162601625</v>
      </c>
      <c r="K15" s="105">
        <f>'Single Family'!L70</f>
        <v>107.94400000000002</v>
      </c>
      <c r="L15" s="106">
        <f>'Single Family'!L78</f>
        <v>-78.41</v>
      </c>
      <c r="M15" s="67"/>
    </row>
    <row r="16" spans="1:13" ht="15.75" customHeight="1">
      <c r="A16" s="65">
        <f>+'Commodity Tonnages'!A16</f>
        <v>44651</v>
      </c>
      <c r="B16" s="66" t="s">
        <v>73</v>
      </c>
      <c r="C16" s="105">
        <f>'Single Family'!M74</f>
        <v>1859.6560000000002</v>
      </c>
      <c r="D16" s="106">
        <f>'Single Family'!M76</f>
        <v>-73.39</v>
      </c>
      <c r="E16" s="106">
        <f>'Single Family'!M77</f>
        <v>0</v>
      </c>
      <c r="F16" s="107">
        <f>'Single Family'!M72</f>
        <v>134.504</v>
      </c>
      <c r="G16" s="105">
        <f>'Single Family'!M75</f>
        <v>152.544</v>
      </c>
      <c r="H16" s="105">
        <f>'Single Family'!M79</f>
        <v>-17.3</v>
      </c>
      <c r="I16" s="105">
        <f>'Single Family'!M73</f>
        <v>268.1524552845528</v>
      </c>
      <c r="J16" s="105">
        <f>'Single Family'!M73</f>
        <v>268.1524552845528</v>
      </c>
      <c r="K16" s="105">
        <f>'Single Family'!M70</f>
        <v>104.48800000000001</v>
      </c>
      <c r="L16" s="106">
        <f>'Single Family'!M78</f>
        <v>-77.54</v>
      </c>
      <c r="M16" s="67"/>
    </row>
    <row r="17" spans="1:13" ht="15.75" customHeight="1">
      <c r="A17" s="65">
        <f>+'Commodity Tonnages'!A17</f>
        <v>44681</v>
      </c>
      <c r="B17" s="66" t="s">
        <v>74</v>
      </c>
      <c r="C17" s="105">
        <f>'Single Family'!N74</f>
        <v>1816.8400000000001</v>
      </c>
      <c r="D17" s="106">
        <f>'Single Family'!N76</f>
        <v>-55.61</v>
      </c>
      <c r="E17" s="106">
        <f>'Single Family'!N77</f>
        <v>0</v>
      </c>
      <c r="F17" s="107">
        <f>'Single Family'!N72</f>
        <v>158.15200000000002</v>
      </c>
      <c r="G17" s="105">
        <f>'Single Family'!N75</f>
        <v>185.48000000000002</v>
      </c>
      <c r="H17" s="105">
        <f>'Single Family'!N79</f>
        <v>-7.91</v>
      </c>
      <c r="I17" s="105">
        <f>'Single Family'!N73</f>
        <v>324.9494634146342</v>
      </c>
      <c r="J17" s="105">
        <f>'Single Family'!N73</f>
        <v>324.9494634146342</v>
      </c>
      <c r="K17" s="105">
        <f>'Single Family'!N70</f>
        <v>105.84000000000002</v>
      </c>
      <c r="L17" s="106">
        <f>'Single Family'!N78</f>
        <v>-87.38</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A1" sqref="A1"/>
    </sheetView>
  </sheetViews>
  <sheetFormatPr defaultColWidth="9.140625" defaultRowHeight="12.75"/>
  <cols>
    <col min="1" max="1" width="6.00390625" style="66" customWidth="1"/>
    <col min="2" max="2" width="17.8515625" style="66" customWidth="1"/>
    <col min="3" max="3" width="10.421875" style="66" bestFit="1" customWidth="1"/>
    <col min="4"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5" t="s">
        <v>85</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4">
        <v>44317</v>
      </c>
      <c r="D6" s="172">
        <f>EOMONTH(C6,1)</f>
        <v>44377</v>
      </c>
      <c r="E6" s="172">
        <f aca="true" t="shared" si="0" ref="E6:N6">EOMONTH(D6,1)</f>
        <v>44408</v>
      </c>
      <c r="F6" s="172">
        <f t="shared" si="0"/>
        <v>44439</v>
      </c>
      <c r="G6" s="172">
        <f t="shared" si="0"/>
        <v>44469</v>
      </c>
      <c r="H6" s="172">
        <f t="shared" si="0"/>
        <v>44500</v>
      </c>
      <c r="I6" s="172">
        <f t="shared" si="0"/>
        <v>44530</v>
      </c>
      <c r="J6" s="172">
        <f t="shared" si="0"/>
        <v>44561</v>
      </c>
      <c r="K6" s="172">
        <f t="shared" si="0"/>
        <v>44592</v>
      </c>
      <c r="L6" s="172">
        <f t="shared" si="0"/>
        <v>44620</v>
      </c>
      <c r="M6" s="172">
        <f t="shared" si="0"/>
        <v>44651</v>
      </c>
      <c r="N6" s="172">
        <f t="shared" si="0"/>
        <v>44681</v>
      </c>
    </row>
    <row r="7" spans="1:14" s="67" customFormat="1" ht="11.25">
      <c r="A7" s="87" t="s">
        <v>44</v>
      </c>
      <c r="C7" s="151">
        <v>556.15</v>
      </c>
      <c r="D7" s="151">
        <v>566.54</v>
      </c>
      <c r="E7" s="151">
        <v>564.4</v>
      </c>
      <c r="F7" s="151">
        <v>573.8000000000001</v>
      </c>
      <c r="G7" s="151">
        <v>534.9300000000001</v>
      </c>
      <c r="H7" s="151">
        <v>520.3800000000001</v>
      </c>
      <c r="I7" s="151">
        <v>596.7</v>
      </c>
      <c r="J7" s="151">
        <v>436.55</v>
      </c>
      <c r="K7" s="151">
        <v>681.48</v>
      </c>
      <c r="L7" s="151">
        <v>504.66999999999996</v>
      </c>
      <c r="M7" s="151">
        <v>539.56</v>
      </c>
      <c r="N7" s="151">
        <v>481.09000000000003</v>
      </c>
    </row>
    <row r="8" spans="1:14" ht="11.25">
      <c r="A8" s="66" t="s">
        <v>45</v>
      </c>
      <c r="C8" s="88">
        <v>0</v>
      </c>
      <c r="D8" s="88">
        <v>0</v>
      </c>
      <c r="E8" s="88">
        <v>0</v>
      </c>
      <c r="F8" s="88">
        <v>0</v>
      </c>
      <c r="G8" s="88">
        <v>0</v>
      </c>
      <c r="H8" s="88">
        <v>0</v>
      </c>
      <c r="I8" s="88">
        <v>0</v>
      </c>
      <c r="J8" s="88">
        <v>0</v>
      </c>
      <c r="K8" s="88">
        <v>0</v>
      </c>
      <c r="L8" s="88">
        <v>0</v>
      </c>
      <c r="M8" s="88">
        <v>0</v>
      </c>
      <c r="N8" s="88">
        <v>0</v>
      </c>
    </row>
    <row r="9" spans="1:14" ht="11.25">
      <c r="A9" s="66"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47</v>
      </c>
      <c r="C10" s="90">
        <f aca="true" t="shared" si="2" ref="C10:N10">+C7-C9</f>
        <v>556.15</v>
      </c>
      <c r="D10" s="90">
        <f t="shared" si="2"/>
        <v>566.54</v>
      </c>
      <c r="E10" s="90">
        <f t="shared" si="2"/>
        <v>564.4</v>
      </c>
      <c r="F10" s="90">
        <f t="shared" si="2"/>
        <v>573.8000000000001</v>
      </c>
      <c r="G10" s="90">
        <f t="shared" si="2"/>
        <v>534.9300000000001</v>
      </c>
      <c r="H10" s="90">
        <f t="shared" si="2"/>
        <v>520.3800000000001</v>
      </c>
      <c r="I10" s="90">
        <f t="shared" si="2"/>
        <v>596.7</v>
      </c>
      <c r="J10" s="90">
        <f t="shared" si="2"/>
        <v>436.55</v>
      </c>
      <c r="K10" s="90">
        <f t="shared" si="2"/>
        <v>681.48</v>
      </c>
      <c r="L10" s="90">
        <f t="shared" si="2"/>
        <v>504.66999999999996</v>
      </c>
      <c r="M10" s="90">
        <f t="shared" si="2"/>
        <v>539.56</v>
      </c>
      <c r="N10" s="90">
        <f t="shared" si="2"/>
        <v>481.09000000000003</v>
      </c>
    </row>
    <row r="11" ht="11.25"/>
    <row r="12" ht="11.25">
      <c r="A12" s="83" t="s">
        <v>48</v>
      </c>
    </row>
    <row r="13" spans="2:14" s="91" customFormat="1" ht="11.25">
      <c r="B13" s="91" t="s">
        <v>23</v>
      </c>
      <c r="C13" s="122">
        <v>0</v>
      </c>
      <c r="D13" s="122">
        <f>+C13</f>
        <v>0</v>
      </c>
      <c r="E13" s="122">
        <v>0</v>
      </c>
      <c r="F13" s="122">
        <f aca="true" t="shared" si="3" ref="F13:M13">+E13</f>
        <v>0</v>
      </c>
      <c r="G13" s="122">
        <f t="shared" si="3"/>
        <v>0</v>
      </c>
      <c r="H13" s="122">
        <f t="shared" si="3"/>
        <v>0</v>
      </c>
      <c r="I13" s="122">
        <f t="shared" si="3"/>
        <v>0</v>
      </c>
      <c r="J13" s="122">
        <f t="shared" si="3"/>
        <v>0</v>
      </c>
      <c r="K13" s="122">
        <v>0</v>
      </c>
      <c r="L13" s="122">
        <f t="shared" si="3"/>
        <v>0</v>
      </c>
      <c r="M13" s="122">
        <f t="shared" si="3"/>
        <v>0</v>
      </c>
      <c r="N13" s="122">
        <v>0</v>
      </c>
    </row>
    <row r="14" spans="2:14" s="91" customFormat="1" ht="11.25">
      <c r="B14" s="91" t="s">
        <v>27</v>
      </c>
      <c r="C14" s="122">
        <v>0.2453</v>
      </c>
      <c r="D14" s="122">
        <f aca="true" t="shared" si="4" ref="D14:N23">+C14</f>
        <v>0.2453</v>
      </c>
      <c r="E14" s="122">
        <v>0.2529</v>
      </c>
      <c r="F14" s="122">
        <f t="shared" si="4"/>
        <v>0.2529</v>
      </c>
      <c r="G14" s="122">
        <f t="shared" si="4"/>
        <v>0.2529</v>
      </c>
      <c r="H14" s="122">
        <f t="shared" si="4"/>
        <v>0.2529</v>
      </c>
      <c r="I14" s="122">
        <f t="shared" si="4"/>
        <v>0.2529</v>
      </c>
      <c r="J14" s="122">
        <f t="shared" si="4"/>
        <v>0.2529</v>
      </c>
      <c r="K14" s="122">
        <v>0.261</v>
      </c>
      <c r="L14" s="122">
        <f t="shared" si="4"/>
        <v>0.261</v>
      </c>
      <c r="M14" s="122">
        <f t="shared" si="4"/>
        <v>0.261</v>
      </c>
      <c r="N14" s="122">
        <f t="shared" si="4"/>
        <v>0.261</v>
      </c>
    </row>
    <row r="15" spans="2:14" s="91" customFormat="1" ht="11.25">
      <c r="B15" s="91" t="s">
        <v>49</v>
      </c>
      <c r="C15" s="122">
        <v>0</v>
      </c>
      <c r="D15" s="122">
        <f t="shared" si="4"/>
        <v>0</v>
      </c>
      <c r="E15" s="122">
        <v>0</v>
      </c>
      <c r="F15" s="122">
        <f t="shared" si="4"/>
        <v>0</v>
      </c>
      <c r="G15" s="122">
        <f t="shared" si="4"/>
        <v>0</v>
      </c>
      <c r="H15" s="122">
        <f t="shared" si="4"/>
        <v>0</v>
      </c>
      <c r="I15" s="122">
        <f t="shared" si="4"/>
        <v>0</v>
      </c>
      <c r="J15" s="122">
        <f t="shared" si="4"/>
        <v>0</v>
      </c>
      <c r="K15" s="122">
        <v>0</v>
      </c>
      <c r="L15" s="122">
        <f t="shared" si="4"/>
        <v>0</v>
      </c>
      <c r="M15" s="122">
        <f t="shared" si="4"/>
        <v>0</v>
      </c>
      <c r="N15" s="122">
        <f t="shared" si="4"/>
        <v>0</v>
      </c>
    </row>
    <row r="16" spans="2:14" s="91" customFormat="1" ht="11.25">
      <c r="B16" s="91" t="s">
        <v>50</v>
      </c>
      <c r="C16" s="122">
        <v>0.0141</v>
      </c>
      <c r="D16" s="122">
        <f t="shared" si="4"/>
        <v>0.0141</v>
      </c>
      <c r="E16" s="122">
        <v>0.0152</v>
      </c>
      <c r="F16" s="122">
        <f t="shared" si="4"/>
        <v>0.0152</v>
      </c>
      <c r="G16" s="122">
        <f t="shared" si="4"/>
        <v>0.0152</v>
      </c>
      <c r="H16" s="122">
        <f t="shared" si="4"/>
        <v>0.0152</v>
      </c>
      <c r="I16" s="122">
        <f t="shared" si="4"/>
        <v>0.0152</v>
      </c>
      <c r="J16" s="122">
        <f t="shared" si="4"/>
        <v>0.0152</v>
      </c>
      <c r="K16" s="122">
        <v>0.0147</v>
      </c>
      <c r="L16" s="122">
        <f t="shared" si="4"/>
        <v>0.0147</v>
      </c>
      <c r="M16" s="122">
        <f t="shared" si="4"/>
        <v>0.0147</v>
      </c>
      <c r="N16" s="122">
        <f t="shared" si="4"/>
        <v>0.0147</v>
      </c>
    </row>
    <row r="17" spans="2:14" s="91" customFormat="1" ht="11.25">
      <c r="B17" s="91" t="s">
        <v>51</v>
      </c>
      <c r="C17" s="122">
        <v>0.0358</v>
      </c>
      <c r="D17" s="122">
        <f t="shared" si="4"/>
        <v>0.0358</v>
      </c>
      <c r="E17" s="122">
        <v>0.0455</v>
      </c>
      <c r="F17" s="122">
        <f t="shared" si="4"/>
        <v>0.0455</v>
      </c>
      <c r="G17" s="122">
        <f t="shared" si="4"/>
        <v>0.0455</v>
      </c>
      <c r="H17" s="122">
        <f t="shared" si="4"/>
        <v>0.0455</v>
      </c>
      <c r="I17" s="122">
        <f t="shared" si="4"/>
        <v>0.0455</v>
      </c>
      <c r="J17" s="122">
        <f t="shared" si="4"/>
        <v>0.0455</v>
      </c>
      <c r="K17" s="122">
        <v>0.0492</v>
      </c>
      <c r="L17" s="122">
        <f t="shared" si="4"/>
        <v>0.0492</v>
      </c>
      <c r="M17" s="122">
        <f t="shared" si="4"/>
        <v>0.0492</v>
      </c>
      <c r="N17" s="122">
        <f t="shared" si="4"/>
        <v>0.0492</v>
      </c>
    </row>
    <row r="18" spans="2:14" s="91" customFormat="1" ht="11.25">
      <c r="B18" s="91" t="s">
        <v>52</v>
      </c>
      <c r="C18" s="122">
        <v>0.0163</v>
      </c>
      <c r="D18" s="122">
        <f t="shared" si="4"/>
        <v>0.0163</v>
      </c>
      <c r="E18" s="122">
        <v>0.0176</v>
      </c>
      <c r="F18" s="122">
        <f t="shared" si="4"/>
        <v>0.0176</v>
      </c>
      <c r="G18" s="122">
        <f t="shared" si="4"/>
        <v>0.0176</v>
      </c>
      <c r="H18" s="122">
        <f t="shared" si="4"/>
        <v>0.0176</v>
      </c>
      <c r="I18" s="122">
        <f t="shared" si="4"/>
        <v>0.0176</v>
      </c>
      <c r="J18" s="122">
        <f t="shared" si="4"/>
        <v>0.0176</v>
      </c>
      <c r="K18" s="122">
        <v>0.0178</v>
      </c>
      <c r="L18" s="122">
        <f t="shared" si="4"/>
        <v>0.0178</v>
      </c>
      <c r="M18" s="122">
        <f t="shared" si="4"/>
        <v>0.0178</v>
      </c>
      <c r="N18" s="122">
        <f t="shared" si="4"/>
        <v>0.0178</v>
      </c>
    </row>
    <row r="19" spans="2:14" s="91" customFormat="1" ht="11.25">
      <c r="B19" s="66" t="s">
        <v>53</v>
      </c>
      <c r="C19" s="122">
        <v>0.0021</v>
      </c>
      <c r="D19" s="122">
        <f t="shared" si="4"/>
        <v>0.0021</v>
      </c>
      <c r="E19" s="122">
        <v>0.0021</v>
      </c>
      <c r="F19" s="122">
        <f t="shared" si="4"/>
        <v>0.0021</v>
      </c>
      <c r="G19" s="122">
        <f t="shared" si="4"/>
        <v>0.0021</v>
      </c>
      <c r="H19" s="122">
        <f t="shared" si="4"/>
        <v>0.0021</v>
      </c>
      <c r="I19" s="122">
        <f t="shared" si="4"/>
        <v>0.0021</v>
      </c>
      <c r="J19" s="122">
        <f t="shared" si="4"/>
        <v>0.0021</v>
      </c>
      <c r="K19" s="122">
        <v>0.0019</v>
      </c>
      <c r="L19" s="122">
        <f t="shared" si="4"/>
        <v>0.0019</v>
      </c>
      <c r="M19" s="122">
        <f t="shared" si="4"/>
        <v>0.0019</v>
      </c>
      <c r="N19" s="122">
        <f t="shared" si="4"/>
        <v>0.0019</v>
      </c>
    </row>
    <row r="20" spans="2:14" s="91" customFormat="1" ht="11.25">
      <c r="B20" s="66" t="s">
        <v>22</v>
      </c>
      <c r="C20" s="122">
        <v>0.124</v>
      </c>
      <c r="D20" s="122">
        <f t="shared" si="4"/>
        <v>0.124</v>
      </c>
      <c r="E20" s="122">
        <v>0.1671</v>
      </c>
      <c r="F20" s="122">
        <f t="shared" si="4"/>
        <v>0.1671</v>
      </c>
      <c r="G20" s="122">
        <f t="shared" si="4"/>
        <v>0.1671</v>
      </c>
      <c r="H20" s="122">
        <f t="shared" si="4"/>
        <v>0.1671</v>
      </c>
      <c r="I20" s="122">
        <f t="shared" si="4"/>
        <v>0.1671</v>
      </c>
      <c r="J20" s="122">
        <f t="shared" si="4"/>
        <v>0.1671</v>
      </c>
      <c r="K20" s="122">
        <v>0.1775</v>
      </c>
      <c r="L20" s="122">
        <f t="shared" si="4"/>
        <v>0.1775</v>
      </c>
      <c r="M20" s="122">
        <f t="shared" si="4"/>
        <v>0.1775</v>
      </c>
      <c r="N20" s="122">
        <f t="shared" si="4"/>
        <v>0.1775</v>
      </c>
    </row>
    <row r="21" spans="2:14" s="91" customFormat="1" ht="11.25">
      <c r="B21" s="91" t="s">
        <v>87</v>
      </c>
      <c r="C21" s="122">
        <v>0</v>
      </c>
      <c r="D21" s="122">
        <f t="shared" si="4"/>
        <v>0</v>
      </c>
      <c r="E21" s="122">
        <v>0</v>
      </c>
      <c r="F21" s="122">
        <f t="shared" si="4"/>
        <v>0</v>
      </c>
      <c r="G21" s="122">
        <f t="shared" si="4"/>
        <v>0</v>
      </c>
      <c r="H21" s="122">
        <f t="shared" si="4"/>
        <v>0</v>
      </c>
      <c r="I21" s="122">
        <f t="shared" si="4"/>
        <v>0</v>
      </c>
      <c r="J21" s="122">
        <f t="shared" si="4"/>
        <v>0</v>
      </c>
      <c r="K21" s="122">
        <v>0</v>
      </c>
      <c r="L21" s="122">
        <f t="shared" si="4"/>
        <v>0</v>
      </c>
      <c r="M21" s="122">
        <f t="shared" si="4"/>
        <v>0</v>
      </c>
      <c r="N21" s="122">
        <f t="shared" si="4"/>
        <v>0</v>
      </c>
    </row>
    <row r="22" spans="2:14" s="91" customFormat="1" ht="11.25">
      <c r="B22" s="91" t="s">
        <v>54</v>
      </c>
      <c r="C22" s="122">
        <v>0.2395</v>
      </c>
      <c r="D22" s="122">
        <f t="shared" si="4"/>
        <v>0.2395</v>
      </c>
      <c r="E22" s="122">
        <v>0.1505</v>
      </c>
      <c r="F22" s="122">
        <f t="shared" si="4"/>
        <v>0.1505</v>
      </c>
      <c r="G22" s="122">
        <f t="shared" si="4"/>
        <v>0.1505</v>
      </c>
      <c r="H22" s="122">
        <f t="shared" si="4"/>
        <v>0.1505</v>
      </c>
      <c r="I22" s="122">
        <f t="shared" si="4"/>
        <v>0.1505</v>
      </c>
      <c r="J22" s="122">
        <f t="shared" si="4"/>
        <v>0.1505</v>
      </c>
      <c r="K22" s="122">
        <v>0.1469</v>
      </c>
      <c r="L22" s="122">
        <f t="shared" si="4"/>
        <v>0.1469</v>
      </c>
      <c r="M22" s="122">
        <f t="shared" si="4"/>
        <v>0.1469</v>
      </c>
      <c r="N22" s="122">
        <f t="shared" si="4"/>
        <v>0.1469</v>
      </c>
    </row>
    <row r="23" spans="2:14" s="91" customFormat="1" ht="11.25">
      <c r="B23" s="91" t="s">
        <v>55</v>
      </c>
      <c r="C23" s="123">
        <v>0.3229</v>
      </c>
      <c r="D23" s="122">
        <f t="shared" si="4"/>
        <v>0.3229</v>
      </c>
      <c r="E23" s="122">
        <v>0.3491</v>
      </c>
      <c r="F23" s="122">
        <f t="shared" si="4"/>
        <v>0.3491</v>
      </c>
      <c r="G23" s="122">
        <f t="shared" si="4"/>
        <v>0.3491</v>
      </c>
      <c r="H23" s="122">
        <f t="shared" si="4"/>
        <v>0.3491</v>
      </c>
      <c r="I23" s="122">
        <f t="shared" si="4"/>
        <v>0.3491</v>
      </c>
      <c r="J23" s="122">
        <f t="shared" si="4"/>
        <v>0.3491</v>
      </c>
      <c r="K23" s="122">
        <v>0.331</v>
      </c>
      <c r="L23" s="122">
        <f t="shared" si="4"/>
        <v>0.331</v>
      </c>
      <c r="M23" s="122">
        <f t="shared" si="4"/>
        <v>0.331</v>
      </c>
      <c r="N23" s="122">
        <f t="shared" si="4"/>
        <v>0.331</v>
      </c>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56</v>
      </c>
    </row>
    <row r="27" spans="2:14" ht="11.25">
      <c r="B27" s="66" t="s">
        <v>23</v>
      </c>
      <c r="C27" s="75">
        <f aca="true" t="shared" si="5" ref="C27:M27">+C$10*C13</f>
        <v>0</v>
      </c>
      <c r="D27" s="75">
        <f t="shared" si="5"/>
        <v>0</v>
      </c>
      <c r="E27" s="75">
        <f t="shared" si="5"/>
        <v>0</v>
      </c>
      <c r="F27" s="75">
        <f t="shared" si="5"/>
        <v>0</v>
      </c>
      <c r="G27" s="75">
        <f t="shared" si="5"/>
        <v>0</v>
      </c>
      <c r="H27" s="75">
        <f t="shared" si="5"/>
        <v>0</v>
      </c>
      <c r="I27" s="75">
        <f t="shared" si="5"/>
        <v>0</v>
      </c>
      <c r="J27" s="75">
        <f t="shared" si="5"/>
        <v>0</v>
      </c>
      <c r="K27" s="75">
        <f t="shared" si="5"/>
        <v>0</v>
      </c>
      <c r="L27" s="75">
        <f t="shared" si="5"/>
        <v>0</v>
      </c>
      <c r="M27" s="75">
        <f t="shared" si="5"/>
        <v>0</v>
      </c>
      <c r="N27" s="75">
        <f>+N$10*N13</f>
        <v>0</v>
      </c>
    </row>
    <row r="28" spans="2:14" ht="11.25">
      <c r="B28" s="66" t="s">
        <v>27</v>
      </c>
      <c r="C28" s="75">
        <f aca="true" t="shared" si="6" ref="C28:M28">+C$10*C14</f>
        <v>136.42359499999998</v>
      </c>
      <c r="D28" s="75">
        <f t="shared" si="6"/>
        <v>138.97226199999997</v>
      </c>
      <c r="E28" s="75">
        <f>+E$10*E14</f>
        <v>142.73676</v>
      </c>
      <c r="F28" s="75">
        <f t="shared" si="6"/>
        <v>145.11402000000004</v>
      </c>
      <c r="G28" s="75">
        <f t="shared" si="6"/>
        <v>135.28379700000002</v>
      </c>
      <c r="H28" s="75">
        <f t="shared" si="6"/>
        <v>131.60410200000004</v>
      </c>
      <c r="I28" s="75">
        <f t="shared" si="6"/>
        <v>150.90543000000002</v>
      </c>
      <c r="J28" s="75">
        <f t="shared" si="6"/>
        <v>110.403495</v>
      </c>
      <c r="K28" s="75">
        <f t="shared" si="6"/>
        <v>177.86628000000002</v>
      </c>
      <c r="L28" s="75">
        <f t="shared" si="6"/>
        <v>131.71886999999998</v>
      </c>
      <c r="M28" s="75">
        <f t="shared" si="6"/>
        <v>140.82515999999998</v>
      </c>
      <c r="N28" s="75">
        <f>+N$10*N14</f>
        <v>125.56449</v>
      </c>
    </row>
    <row r="29" spans="2:14" ht="11.25">
      <c r="B29" s="66" t="s">
        <v>49</v>
      </c>
      <c r="C29" s="75">
        <f aca="true" t="shared" si="7" ref="C29:N29">+C$10*C15</f>
        <v>0</v>
      </c>
      <c r="D29" s="75">
        <f t="shared" si="7"/>
        <v>0</v>
      </c>
      <c r="E29" s="75">
        <f t="shared" si="7"/>
        <v>0</v>
      </c>
      <c r="F29" s="75">
        <f t="shared" si="7"/>
        <v>0</v>
      </c>
      <c r="G29" s="75">
        <f t="shared" si="7"/>
        <v>0</v>
      </c>
      <c r="H29" s="75">
        <f t="shared" si="7"/>
        <v>0</v>
      </c>
      <c r="I29" s="75">
        <f t="shared" si="7"/>
        <v>0</v>
      </c>
      <c r="J29" s="75">
        <f t="shared" si="7"/>
        <v>0</v>
      </c>
      <c r="K29" s="75">
        <f t="shared" si="7"/>
        <v>0</v>
      </c>
      <c r="L29" s="75">
        <f t="shared" si="7"/>
        <v>0</v>
      </c>
      <c r="M29" s="75">
        <f t="shared" si="7"/>
        <v>0</v>
      </c>
      <c r="N29" s="75">
        <f t="shared" si="7"/>
        <v>0</v>
      </c>
    </row>
    <row r="30" spans="2:14" ht="11.25">
      <c r="B30" s="66" t="s">
        <v>50</v>
      </c>
      <c r="C30" s="75">
        <f aca="true" t="shared" si="8" ref="C30:N30">+C$10*C16</f>
        <v>7.841715</v>
      </c>
      <c r="D30" s="75">
        <f t="shared" si="8"/>
        <v>7.988213999999999</v>
      </c>
      <c r="E30" s="75">
        <f t="shared" si="8"/>
        <v>8.57888</v>
      </c>
      <c r="F30" s="75">
        <f t="shared" si="8"/>
        <v>8.721760000000002</v>
      </c>
      <c r="G30" s="75">
        <f t="shared" si="8"/>
        <v>8.130936</v>
      </c>
      <c r="H30" s="75">
        <f t="shared" si="8"/>
        <v>7.909776000000002</v>
      </c>
      <c r="I30" s="75">
        <f t="shared" si="8"/>
        <v>9.069840000000001</v>
      </c>
      <c r="J30" s="75">
        <f t="shared" si="8"/>
        <v>6.63556</v>
      </c>
      <c r="K30" s="75">
        <f t="shared" si="8"/>
        <v>10.017756</v>
      </c>
      <c r="L30" s="75">
        <f t="shared" si="8"/>
        <v>7.418648999999999</v>
      </c>
      <c r="M30" s="75">
        <f t="shared" si="8"/>
        <v>7.931531999999999</v>
      </c>
      <c r="N30" s="75">
        <f t="shared" si="8"/>
        <v>7.072023000000001</v>
      </c>
    </row>
    <row r="31" spans="2:14" ht="11.25">
      <c r="B31" s="66" t="s">
        <v>51</v>
      </c>
      <c r="C31" s="75">
        <f aca="true" t="shared" si="9" ref="C31:N31">+C$10*C17</f>
        <v>19.910169999999997</v>
      </c>
      <c r="D31" s="75">
        <f t="shared" si="9"/>
        <v>20.282131999999997</v>
      </c>
      <c r="E31" s="75">
        <f t="shared" si="9"/>
        <v>25.6802</v>
      </c>
      <c r="F31" s="75">
        <f t="shared" si="9"/>
        <v>26.1079</v>
      </c>
      <c r="G31" s="75">
        <f t="shared" si="9"/>
        <v>24.339315000000003</v>
      </c>
      <c r="H31" s="75">
        <f t="shared" si="9"/>
        <v>23.677290000000003</v>
      </c>
      <c r="I31" s="75">
        <f t="shared" si="9"/>
        <v>27.14985</v>
      </c>
      <c r="J31" s="75">
        <f t="shared" si="9"/>
        <v>19.863025</v>
      </c>
      <c r="K31" s="75">
        <f t="shared" si="9"/>
        <v>33.528816</v>
      </c>
      <c r="L31" s="75">
        <f t="shared" si="9"/>
        <v>24.829763999999997</v>
      </c>
      <c r="M31" s="75">
        <f t="shared" si="9"/>
        <v>26.546352</v>
      </c>
      <c r="N31" s="75">
        <f t="shared" si="9"/>
        <v>23.669628000000003</v>
      </c>
    </row>
    <row r="32" spans="2:14" ht="11.25">
      <c r="B32" s="66" t="s">
        <v>52</v>
      </c>
      <c r="C32" s="75">
        <f aca="true" t="shared" si="10" ref="C32:N32">+C$10*C18</f>
        <v>9.065244999999999</v>
      </c>
      <c r="D32" s="75">
        <f t="shared" si="10"/>
        <v>9.234601999999999</v>
      </c>
      <c r="E32" s="75">
        <f t="shared" si="10"/>
        <v>9.933440000000001</v>
      </c>
      <c r="F32" s="75">
        <f t="shared" si="10"/>
        <v>10.098880000000001</v>
      </c>
      <c r="G32" s="75">
        <f t="shared" si="10"/>
        <v>9.414768000000002</v>
      </c>
      <c r="H32" s="75">
        <f t="shared" si="10"/>
        <v>9.158688000000003</v>
      </c>
      <c r="I32" s="75">
        <f t="shared" si="10"/>
        <v>10.501920000000002</v>
      </c>
      <c r="J32" s="75">
        <f t="shared" si="10"/>
        <v>7.683280000000001</v>
      </c>
      <c r="K32" s="75">
        <f t="shared" si="10"/>
        <v>12.130344000000001</v>
      </c>
      <c r="L32" s="75">
        <f t="shared" si="10"/>
        <v>8.983125999999999</v>
      </c>
      <c r="M32" s="75">
        <f t="shared" si="10"/>
        <v>9.604168</v>
      </c>
      <c r="N32" s="75">
        <f t="shared" si="10"/>
        <v>8.563402</v>
      </c>
    </row>
    <row r="33" spans="2:14" ht="11.25">
      <c r="B33" s="66" t="s">
        <v>53</v>
      </c>
      <c r="C33" s="75">
        <f aca="true" t="shared" si="11" ref="C33:N33">+C$10*C19</f>
        <v>1.1679149999999998</v>
      </c>
      <c r="D33" s="75">
        <f t="shared" si="11"/>
        <v>1.1897339999999998</v>
      </c>
      <c r="E33" s="75">
        <f t="shared" si="11"/>
        <v>1.1852399999999998</v>
      </c>
      <c r="F33" s="75">
        <f t="shared" si="11"/>
        <v>1.2049800000000002</v>
      </c>
      <c r="G33" s="75">
        <f t="shared" si="11"/>
        <v>1.123353</v>
      </c>
      <c r="H33" s="75">
        <f t="shared" si="11"/>
        <v>1.0927980000000002</v>
      </c>
      <c r="I33" s="75">
        <f t="shared" si="11"/>
        <v>1.2530700000000001</v>
      </c>
      <c r="J33" s="75">
        <f t="shared" si="11"/>
        <v>0.916755</v>
      </c>
      <c r="K33" s="75">
        <f t="shared" si="11"/>
        <v>1.294812</v>
      </c>
      <c r="L33" s="75">
        <f t="shared" si="11"/>
        <v>0.958873</v>
      </c>
      <c r="M33" s="75">
        <f t="shared" si="11"/>
        <v>1.025164</v>
      </c>
      <c r="N33" s="75">
        <f t="shared" si="11"/>
        <v>0.9140710000000001</v>
      </c>
    </row>
    <row r="34" spans="2:14" ht="11.25">
      <c r="B34" s="66" t="s">
        <v>22</v>
      </c>
      <c r="C34" s="75">
        <f aca="true" t="shared" si="12" ref="C34:N34">+C$10*C20</f>
        <v>68.9626</v>
      </c>
      <c r="D34" s="75">
        <f t="shared" si="12"/>
        <v>70.25095999999999</v>
      </c>
      <c r="E34" s="75">
        <f t="shared" si="12"/>
        <v>94.31124</v>
      </c>
      <c r="F34" s="75">
        <f t="shared" si="12"/>
        <v>95.88198000000001</v>
      </c>
      <c r="G34" s="75">
        <f t="shared" si="12"/>
        <v>89.38680300000001</v>
      </c>
      <c r="H34" s="75">
        <f t="shared" si="12"/>
        <v>86.95549800000002</v>
      </c>
      <c r="I34" s="75">
        <f t="shared" si="12"/>
        <v>99.70857000000001</v>
      </c>
      <c r="J34" s="75">
        <f t="shared" si="12"/>
        <v>72.947505</v>
      </c>
      <c r="K34" s="75">
        <f t="shared" si="12"/>
        <v>120.9627</v>
      </c>
      <c r="L34" s="75">
        <f t="shared" si="12"/>
        <v>89.57892499999998</v>
      </c>
      <c r="M34" s="75">
        <f t="shared" si="12"/>
        <v>95.77189999999999</v>
      </c>
      <c r="N34" s="75">
        <f t="shared" si="12"/>
        <v>85.393475</v>
      </c>
    </row>
    <row r="35" spans="2:14" ht="11.25">
      <c r="B35" s="66" t="s">
        <v>87</v>
      </c>
      <c r="C35" s="75">
        <f aca="true" t="shared" si="13" ref="C35:N35">+C$10*C21</f>
        <v>0</v>
      </c>
      <c r="D35" s="75">
        <f t="shared" si="13"/>
        <v>0</v>
      </c>
      <c r="E35" s="75">
        <f t="shared" si="13"/>
        <v>0</v>
      </c>
      <c r="F35" s="75">
        <f t="shared" si="13"/>
        <v>0</v>
      </c>
      <c r="G35" s="75">
        <f t="shared" si="13"/>
        <v>0</v>
      </c>
      <c r="H35" s="75">
        <f t="shared" si="13"/>
        <v>0</v>
      </c>
      <c r="I35" s="75">
        <f t="shared" si="13"/>
        <v>0</v>
      </c>
      <c r="J35" s="75">
        <f t="shared" si="13"/>
        <v>0</v>
      </c>
      <c r="K35" s="75">
        <f t="shared" si="13"/>
        <v>0</v>
      </c>
      <c r="L35" s="75">
        <f t="shared" si="13"/>
        <v>0</v>
      </c>
      <c r="M35" s="75">
        <f t="shared" si="13"/>
        <v>0</v>
      </c>
      <c r="N35" s="75">
        <f t="shared" si="13"/>
        <v>0</v>
      </c>
    </row>
    <row r="36" spans="2:14" ht="11.25">
      <c r="B36" s="66" t="s">
        <v>54</v>
      </c>
      <c r="C36" s="75">
        <f aca="true" t="shared" si="14" ref="C36:N36">+C$10*C22</f>
        <v>133.197925</v>
      </c>
      <c r="D36" s="75">
        <f t="shared" si="14"/>
        <v>135.68633</v>
      </c>
      <c r="E36" s="75">
        <f t="shared" si="14"/>
        <v>84.9422</v>
      </c>
      <c r="F36" s="75">
        <f t="shared" si="14"/>
        <v>86.35690000000001</v>
      </c>
      <c r="G36" s="75">
        <f t="shared" si="14"/>
        <v>80.50696500000001</v>
      </c>
      <c r="H36" s="75">
        <f t="shared" si="14"/>
        <v>78.31719000000001</v>
      </c>
      <c r="I36" s="75">
        <f t="shared" si="14"/>
        <v>89.80335000000001</v>
      </c>
      <c r="J36" s="75">
        <f t="shared" si="14"/>
        <v>65.700775</v>
      </c>
      <c r="K36" s="75">
        <f t="shared" si="14"/>
        <v>100.109412</v>
      </c>
      <c r="L36" s="75">
        <f t="shared" si="14"/>
        <v>74.136023</v>
      </c>
      <c r="M36" s="75">
        <f t="shared" si="14"/>
        <v>79.261364</v>
      </c>
      <c r="N36" s="75">
        <f t="shared" si="14"/>
        <v>70.672121</v>
      </c>
    </row>
    <row r="37" spans="2:14" ht="11.25">
      <c r="B37" s="66" t="s">
        <v>55</v>
      </c>
      <c r="C37" s="89">
        <f aca="true" t="shared" si="15" ref="C37:N37">+C$10*C23</f>
        <v>179.580835</v>
      </c>
      <c r="D37" s="89">
        <f t="shared" si="15"/>
        <v>182.935766</v>
      </c>
      <c r="E37" s="89">
        <f t="shared" si="15"/>
        <v>197.03204</v>
      </c>
      <c r="F37" s="89">
        <f t="shared" si="15"/>
        <v>200.31358000000003</v>
      </c>
      <c r="G37" s="89">
        <f t="shared" si="15"/>
        <v>186.74406300000004</v>
      </c>
      <c r="H37" s="89">
        <f t="shared" si="15"/>
        <v>181.66465800000006</v>
      </c>
      <c r="I37" s="89">
        <f t="shared" si="15"/>
        <v>208.30797000000004</v>
      </c>
      <c r="J37" s="89">
        <f t="shared" si="15"/>
        <v>152.399605</v>
      </c>
      <c r="K37" s="89">
        <f t="shared" si="15"/>
        <v>225.56988</v>
      </c>
      <c r="L37" s="89">
        <f t="shared" si="15"/>
        <v>167.04577</v>
      </c>
      <c r="M37" s="89">
        <f t="shared" si="15"/>
        <v>178.59436</v>
      </c>
      <c r="N37" s="89">
        <f t="shared" si="15"/>
        <v>159.24079000000003</v>
      </c>
    </row>
    <row r="38" spans="3:14" ht="11.25">
      <c r="C38" s="75">
        <f aca="true" t="shared" si="16" ref="C38:N38">SUM(C27:C37)</f>
        <v>556.15</v>
      </c>
      <c r="D38" s="75">
        <f t="shared" si="16"/>
        <v>566.54</v>
      </c>
      <c r="E38" s="75">
        <f t="shared" si="16"/>
        <v>564.4</v>
      </c>
      <c r="F38" s="75">
        <f t="shared" si="16"/>
        <v>573.8000000000001</v>
      </c>
      <c r="G38" s="75">
        <f t="shared" si="16"/>
        <v>534.9300000000001</v>
      </c>
      <c r="H38" s="75">
        <f t="shared" si="16"/>
        <v>520.3800000000001</v>
      </c>
      <c r="I38" s="75">
        <f t="shared" si="16"/>
        <v>596.7000000000002</v>
      </c>
      <c r="J38" s="75">
        <f t="shared" si="16"/>
        <v>436.55</v>
      </c>
      <c r="K38" s="75">
        <f>SUM(K27:K37)</f>
        <v>681.48</v>
      </c>
      <c r="L38" s="75">
        <f t="shared" si="16"/>
        <v>504.6699999999999</v>
      </c>
      <c r="M38" s="75">
        <f t="shared" si="16"/>
        <v>539.56</v>
      </c>
      <c r="N38" s="75">
        <f t="shared" si="16"/>
        <v>481.09000000000003</v>
      </c>
    </row>
    <row r="39" ht="11.25"/>
    <row r="40" ht="11.25">
      <c r="A40" s="83" t="s">
        <v>57</v>
      </c>
    </row>
    <row r="41" spans="2:14" ht="11.25">
      <c r="B41" s="66" t="s">
        <v>23</v>
      </c>
      <c r="C41" s="93">
        <v>1</v>
      </c>
      <c r="D41" s="94">
        <v>1</v>
      </c>
      <c r="E41" s="94">
        <v>1</v>
      </c>
      <c r="F41" s="94">
        <v>1</v>
      </c>
      <c r="G41" s="94">
        <v>1</v>
      </c>
      <c r="H41" s="94">
        <v>1</v>
      </c>
      <c r="I41" s="94">
        <v>1</v>
      </c>
      <c r="J41" s="94">
        <v>1</v>
      </c>
      <c r="K41" s="94">
        <v>1</v>
      </c>
      <c r="L41" s="94">
        <v>1</v>
      </c>
      <c r="M41" s="94">
        <v>1</v>
      </c>
      <c r="N41" s="94">
        <v>1</v>
      </c>
    </row>
    <row r="42" spans="2:14" ht="11.25">
      <c r="B42" s="66" t="s">
        <v>27</v>
      </c>
      <c r="C42" s="93">
        <v>1</v>
      </c>
      <c r="D42" s="94">
        <v>1</v>
      </c>
      <c r="E42" s="94">
        <v>1</v>
      </c>
      <c r="F42" s="94">
        <v>1</v>
      </c>
      <c r="G42" s="94">
        <v>1</v>
      </c>
      <c r="H42" s="94">
        <v>1</v>
      </c>
      <c r="I42" s="94">
        <v>1</v>
      </c>
      <c r="J42" s="94">
        <v>1</v>
      </c>
      <c r="K42" s="94">
        <v>1</v>
      </c>
      <c r="L42" s="94">
        <v>1</v>
      </c>
      <c r="M42" s="94">
        <v>1</v>
      </c>
      <c r="N42" s="94">
        <v>1</v>
      </c>
    </row>
    <row r="43" spans="2:14" ht="11.25">
      <c r="B43" s="66" t="s">
        <v>49</v>
      </c>
      <c r="C43" s="93">
        <v>1</v>
      </c>
      <c r="D43" s="94">
        <v>1</v>
      </c>
      <c r="E43" s="94">
        <v>1</v>
      </c>
      <c r="F43" s="94">
        <v>1</v>
      </c>
      <c r="G43" s="94">
        <v>1</v>
      </c>
      <c r="H43" s="94">
        <v>1</v>
      </c>
      <c r="I43" s="94">
        <v>1</v>
      </c>
      <c r="J43" s="94">
        <v>1</v>
      </c>
      <c r="K43" s="94">
        <v>1</v>
      </c>
      <c r="L43" s="94">
        <v>1</v>
      </c>
      <c r="M43" s="94">
        <v>1</v>
      </c>
      <c r="N43" s="94">
        <v>1</v>
      </c>
    </row>
    <row r="44" spans="2:14" ht="11.25">
      <c r="B44" s="66" t="s">
        <v>50</v>
      </c>
      <c r="C44" s="93">
        <v>1</v>
      </c>
      <c r="D44" s="94">
        <v>1</v>
      </c>
      <c r="E44" s="94">
        <v>1</v>
      </c>
      <c r="F44" s="94">
        <v>1</v>
      </c>
      <c r="G44" s="94">
        <v>1</v>
      </c>
      <c r="H44" s="94">
        <v>1</v>
      </c>
      <c r="I44" s="94">
        <v>1</v>
      </c>
      <c r="J44" s="94">
        <v>1</v>
      </c>
      <c r="K44" s="94">
        <v>1</v>
      </c>
      <c r="L44" s="94">
        <v>1</v>
      </c>
      <c r="M44" s="94">
        <v>1</v>
      </c>
      <c r="N44" s="94">
        <v>1</v>
      </c>
    </row>
    <row r="45" spans="2:14" ht="11.25">
      <c r="B45" s="66" t="s">
        <v>51</v>
      </c>
      <c r="C45" s="93">
        <v>1</v>
      </c>
      <c r="D45" s="94">
        <v>1</v>
      </c>
      <c r="E45" s="94">
        <v>1</v>
      </c>
      <c r="F45" s="94">
        <v>1</v>
      </c>
      <c r="G45" s="94">
        <v>1</v>
      </c>
      <c r="H45" s="94">
        <v>1</v>
      </c>
      <c r="I45" s="94">
        <v>1</v>
      </c>
      <c r="J45" s="94">
        <v>1</v>
      </c>
      <c r="K45" s="94">
        <v>1</v>
      </c>
      <c r="L45" s="94">
        <v>1</v>
      </c>
      <c r="M45" s="94">
        <v>1</v>
      </c>
      <c r="N45" s="94">
        <v>1</v>
      </c>
    </row>
    <row r="46" spans="2:14" ht="11.25">
      <c r="B46" s="66" t="s">
        <v>52</v>
      </c>
      <c r="C46" s="93">
        <v>1</v>
      </c>
      <c r="D46" s="94">
        <v>1</v>
      </c>
      <c r="E46" s="94">
        <v>1</v>
      </c>
      <c r="F46" s="94">
        <v>1</v>
      </c>
      <c r="G46" s="94">
        <v>1</v>
      </c>
      <c r="H46" s="94">
        <v>1</v>
      </c>
      <c r="I46" s="94">
        <v>1</v>
      </c>
      <c r="J46" s="94">
        <v>1</v>
      </c>
      <c r="K46" s="94">
        <v>1</v>
      </c>
      <c r="L46" s="94">
        <v>1</v>
      </c>
      <c r="M46" s="94">
        <v>1</v>
      </c>
      <c r="N46" s="94">
        <v>1</v>
      </c>
    </row>
    <row r="47" spans="2:14" ht="11.25">
      <c r="B47" s="66" t="s">
        <v>53</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87</v>
      </c>
      <c r="C49" s="93">
        <v>1</v>
      </c>
      <c r="D49" s="94">
        <v>1</v>
      </c>
      <c r="E49" s="94">
        <v>1</v>
      </c>
      <c r="F49" s="94">
        <v>1</v>
      </c>
      <c r="G49" s="94">
        <v>1</v>
      </c>
      <c r="H49" s="94">
        <v>1</v>
      </c>
      <c r="I49" s="94">
        <v>1</v>
      </c>
      <c r="J49" s="94">
        <v>1</v>
      </c>
      <c r="K49" s="94">
        <v>1</v>
      </c>
      <c r="L49" s="94">
        <v>1</v>
      </c>
      <c r="M49" s="94">
        <v>1</v>
      </c>
      <c r="N49" s="94">
        <v>1</v>
      </c>
    </row>
    <row r="50" spans="2:14" ht="11.25">
      <c r="B50" s="66"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55</v>
      </c>
      <c r="C52" s="92">
        <f>+C65/C37</f>
        <v>1.0000000000000002</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58</v>
      </c>
      <c r="L54" s="92"/>
      <c r="N54" s="94"/>
      <c r="Q54" s="102"/>
    </row>
    <row r="55" spans="2:17" ht="11.25">
      <c r="B55" s="66" t="s">
        <v>23</v>
      </c>
      <c r="C55" s="75">
        <f aca="true" t="shared" si="17" ref="C55:N55">+C27*C41</f>
        <v>0</v>
      </c>
      <c r="D55" s="75">
        <f t="shared" si="17"/>
        <v>0</v>
      </c>
      <c r="E55" s="75">
        <f>+E27*E41</f>
        <v>0</v>
      </c>
      <c r="F55" s="75">
        <f t="shared" si="17"/>
        <v>0</v>
      </c>
      <c r="G55" s="75">
        <f t="shared" si="17"/>
        <v>0</v>
      </c>
      <c r="H55" s="75">
        <f t="shared" si="17"/>
        <v>0</v>
      </c>
      <c r="I55" s="75">
        <f t="shared" si="17"/>
        <v>0</v>
      </c>
      <c r="J55" s="75">
        <f t="shared" si="17"/>
        <v>0</v>
      </c>
      <c r="K55" s="75">
        <f>+K27*K41</f>
        <v>0</v>
      </c>
      <c r="L55" s="75">
        <f t="shared" si="17"/>
        <v>0</v>
      </c>
      <c r="M55" s="75">
        <f t="shared" si="17"/>
        <v>0</v>
      </c>
      <c r="N55" s="75">
        <f t="shared" si="17"/>
        <v>0</v>
      </c>
      <c r="O55" s="102"/>
      <c r="Q55" s="102"/>
    </row>
    <row r="56" spans="2:17" ht="12.75">
      <c r="B56" s="66" t="s">
        <v>27</v>
      </c>
      <c r="C56" s="75">
        <f aca="true" t="shared" si="18" ref="C56:N56">+C28*C42</f>
        <v>136.42359499999998</v>
      </c>
      <c r="D56" s="75">
        <f t="shared" si="18"/>
        <v>138.97226199999997</v>
      </c>
      <c r="E56" s="75">
        <f t="shared" si="18"/>
        <v>142.73676</v>
      </c>
      <c r="F56" s="75">
        <f t="shared" si="18"/>
        <v>145.11402000000004</v>
      </c>
      <c r="G56" s="75">
        <f t="shared" si="18"/>
        <v>135.28379700000002</v>
      </c>
      <c r="H56" s="75">
        <f t="shared" si="18"/>
        <v>131.60410200000004</v>
      </c>
      <c r="I56" s="75">
        <f t="shared" si="18"/>
        <v>150.90543000000002</v>
      </c>
      <c r="J56" s="75">
        <f t="shared" si="18"/>
        <v>110.403495</v>
      </c>
      <c r="K56" s="75">
        <f>+K28*K42</f>
        <v>177.86628000000002</v>
      </c>
      <c r="L56" s="75">
        <f t="shared" si="18"/>
        <v>131.71886999999998</v>
      </c>
      <c r="M56" s="75">
        <f t="shared" si="18"/>
        <v>140.82515999999998</v>
      </c>
      <c r="N56" s="75">
        <f t="shared" si="18"/>
        <v>125.56449</v>
      </c>
      <c r="O56" s="60"/>
      <c r="Q56" s="60"/>
    </row>
    <row r="57" spans="2:17" ht="12.75">
      <c r="B57" s="66" t="s">
        <v>49</v>
      </c>
      <c r="C57" s="75">
        <f aca="true" t="shared" si="19" ref="C57:N57">+C29*C43</f>
        <v>0</v>
      </c>
      <c r="D57" s="75">
        <f t="shared" si="19"/>
        <v>0</v>
      </c>
      <c r="E57" s="75">
        <f t="shared" si="19"/>
        <v>0</v>
      </c>
      <c r="F57" s="75">
        <f t="shared" si="19"/>
        <v>0</v>
      </c>
      <c r="G57" s="75">
        <f t="shared" si="19"/>
        <v>0</v>
      </c>
      <c r="H57" s="75">
        <f t="shared" si="19"/>
        <v>0</v>
      </c>
      <c r="I57" s="75">
        <f t="shared" si="19"/>
        <v>0</v>
      </c>
      <c r="J57" s="75">
        <f t="shared" si="19"/>
        <v>0</v>
      </c>
      <c r="K57" s="75">
        <f t="shared" si="19"/>
        <v>0</v>
      </c>
      <c r="L57" s="75">
        <f t="shared" si="19"/>
        <v>0</v>
      </c>
      <c r="M57" s="75">
        <f t="shared" si="19"/>
        <v>0</v>
      </c>
      <c r="N57" s="75">
        <f t="shared" si="19"/>
        <v>0</v>
      </c>
      <c r="O57" s="60"/>
      <c r="Q57" s="60"/>
    </row>
    <row r="58" spans="2:17" ht="12.75">
      <c r="B58" s="66" t="s">
        <v>50</v>
      </c>
      <c r="C58" s="75">
        <f aca="true" t="shared" si="20" ref="C58:N58">+C30*C44</f>
        <v>7.841715</v>
      </c>
      <c r="D58" s="75">
        <f t="shared" si="20"/>
        <v>7.988213999999999</v>
      </c>
      <c r="E58" s="75">
        <f t="shared" si="20"/>
        <v>8.57888</v>
      </c>
      <c r="F58" s="75">
        <f t="shared" si="20"/>
        <v>8.721760000000002</v>
      </c>
      <c r="G58" s="75">
        <f t="shared" si="20"/>
        <v>8.130936</v>
      </c>
      <c r="H58" s="75">
        <f t="shared" si="20"/>
        <v>7.909776000000002</v>
      </c>
      <c r="I58" s="75">
        <f t="shared" si="20"/>
        <v>9.069840000000001</v>
      </c>
      <c r="J58" s="75">
        <f t="shared" si="20"/>
        <v>6.63556</v>
      </c>
      <c r="K58" s="75">
        <f t="shared" si="20"/>
        <v>10.017756</v>
      </c>
      <c r="L58" s="75">
        <f t="shared" si="20"/>
        <v>7.418648999999999</v>
      </c>
      <c r="M58" s="75">
        <f t="shared" si="20"/>
        <v>7.931531999999999</v>
      </c>
      <c r="N58" s="75">
        <f t="shared" si="20"/>
        <v>7.072023000000001</v>
      </c>
      <c r="O58" s="60"/>
      <c r="Q58" s="60"/>
    </row>
    <row r="59" spans="2:17" ht="12.75">
      <c r="B59" s="66" t="s">
        <v>51</v>
      </c>
      <c r="C59" s="75">
        <f aca="true" t="shared" si="21" ref="C59:N59">+C31*C45</f>
        <v>19.910169999999997</v>
      </c>
      <c r="D59" s="75">
        <f t="shared" si="21"/>
        <v>20.282131999999997</v>
      </c>
      <c r="E59" s="75">
        <f t="shared" si="21"/>
        <v>25.6802</v>
      </c>
      <c r="F59" s="75">
        <f t="shared" si="21"/>
        <v>26.1079</v>
      </c>
      <c r="G59" s="75">
        <f t="shared" si="21"/>
        <v>24.339315000000003</v>
      </c>
      <c r="H59" s="75">
        <f t="shared" si="21"/>
        <v>23.677290000000003</v>
      </c>
      <c r="I59" s="75">
        <f t="shared" si="21"/>
        <v>27.14985</v>
      </c>
      <c r="J59" s="75">
        <f t="shared" si="21"/>
        <v>19.863025</v>
      </c>
      <c r="K59" s="75">
        <f t="shared" si="21"/>
        <v>33.528816</v>
      </c>
      <c r="L59" s="75">
        <f t="shared" si="21"/>
        <v>24.829763999999997</v>
      </c>
      <c r="M59" s="75">
        <f t="shared" si="21"/>
        <v>26.546352</v>
      </c>
      <c r="N59" s="75">
        <f t="shared" si="21"/>
        <v>23.669628000000003</v>
      </c>
      <c r="O59" s="60"/>
      <c r="Q59" s="60"/>
    </row>
    <row r="60" spans="2:17" ht="12.75">
      <c r="B60" s="66" t="s">
        <v>52</v>
      </c>
      <c r="C60" s="95">
        <f aca="true" t="shared" si="22" ref="C60:N60">+C32*C46</f>
        <v>9.065244999999999</v>
      </c>
      <c r="D60" s="95">
        <f t="shared" si="22"/>
        <v>9.234601999999999</v>
      </c>
      <c r="E60" s="95">
        <f t="shared" si="22"/>
        <v>9.933440000000001</v>
      </c>
      <c r="F60" s="95">
        <f t="shared" si="22"/>
        <v>10.098880000000001</v>
      </c>
      <c r="G60" s="95">
        <f t="shared" si="22"/>
        <v>9.414768000000002</v>
      </c>
      <c r="H60" s="95">
        <f t="shared" si="22"/>
        <v>9.158688000000003</v>
      </c>
      <c r="I60" s="95">
        <f t="shared" si="22"/>
        <v>10.501920000000002</v>
      </c>
      <c r="J60" s="95">
        <f t="shared" si="22"/>
        <v>7.683280000000001</v>
      </c>
      <c r="K60" s="95">
        <f t="shared" si="22"/>
        <v>12.130344000000001</v>
      </c>
      <c r="L60" s="95">
        <f t="shared" si="22"/>
        <v>8.983125999999999</v>
      </c>
      <c r="M60" s="95">
        <f t="shared" si="22"/>
        <v>9.604168</v>
      </c>
      <c r="N60" s="95">
        <f t="shared" si="22"/>
        <v>8.563402</v>
      </c>
      <c r="O60" s="60"/>
      <c r="Q60" s="60"/>
    </row>
    <row r="61" spans="2:17" ht="12.75">
      <c r="B61" s="66" t="s">
        <v>53</v>
      </c>
      <c r="C61" s="75">
        <f aca="true" t="shared" si="23" ref="C61:N61">+C33*C47</f>
        <v>1.1679149999999998</v>
      </c>
      <c r="D61" s="75">
        <f t="shared" si="23"/>
        <v>1.1897339999999998</v>
      </c>
      <c r="E61" s="75">
        <f t="shared" si="23"/>
        <v>1.1852399999999998</v>
      </c>
      <c r="F61" s="75">
        <f t="shared" si="23"/>
        <v>1.2049800000000002</v>
      </c>
      <c r="G61" s="75">
        <f t="shared" si="23"/>
        <v>1.123353</v>
      </c>
      <c r="H61" s="75">
        <f t="shared" si="23"/>
        <v>1.0927980000000002</v>
      </c>
      <c r="I61" s="75">
        <f t="shared" si="23"/>
        <v>1.2530700000000001</v>
      </c>
      <c r="J61" s="75">
        <f t="shared" si="23"/>
        <v>0.916755</v>
      </c>
      <c r="K61" s="75">
        <f t="shared" si="23"/>
        <v>1.294812</v>
      </c>
      <c r="L61" s="75">
        <f t="shared" si="23"/>
        <v>0.958873</v>
      </c>
      <c r="M61" s="75">
        <f t="shared" si="23"/>
        <v>1.025164</v>
      </c>
      <c r="N61" s="75">
        <f t="shared" si="23"/>
        <v>0.9140710000000001</v>
      </c>
      <c r="O61" s="60"/>
      <c r="Q61" s="60"/>
    </row>
    <row r="62" spans="2:17" ht="12.75">
      <c r="B62" s="66" t="s">
        <v>46</v>
      </c>
      <c r="C62" s="75">
        <f aca="true" t="shared" si="24" ref="C62:N62">+C34*C48</f>
        <v>68.9626</v>
      </c>
      <c r="D62" s="75">
        <f t="shared" si="24"/>
        <v>70.25095999999999</v>
      </c>
      <c r="E62" s="75">
        <f t="shared" si="24"/>
        <v>94.31124</v>
      </c>
      <c r="F62" s="75">
        <f t="shared" si="24"/>
        <v>95.88198000000001</v>
      </c>
      <c r="G62" s="75">
        <f t="shared" si="24"/>
        <v>89.38680300000001</v>
      </c>
      <c r="H62" s="75">
        <f t="shared" si="24"/>
        <v>86.95549800000002</v>
      </c>
      <c r="I62" s="75">
        <f t="shared" si="24"/>
        <v>99.70857000000001</v>
      </c>
      <c r="J62" s="75">
        <f t="shared" si="24"/>
        <v>72.947505</v>
      </c>
      <c r="K62" s="75">
        <f t="shared" si="24"/>
        <v>120.9627</v>
      </c>
      <c r="L62" s="75">
        <f t="shared" si="24"/>
        <v>89.57892499999998</v>
      </c>
      <c r="M62" s="75">
        <f t="shared" si="24"/>
        <v>95.77189999999999</v>
      </c>
      <c r="N62" s="75">
        <f t="shared" si="24"/>
        <v>85.393475</v>
      </c>
      <c r="O62" s="60"/>
      <c r="Q62" s="60"/>
    </row>
    <row r="63" spans="2:17" ht="12.75">
      <c r="B63" s="66" t="s">
        <v>87</v>
      </c>
      <c r="C63" s="75">
        <f aca="true" t="shared" si="25" ref="C63:N63">+C35*C49</f>
        <v>0</v>
      </c>
      <c r="D63" s="75">
        <f t="shared" si="25"/>
        <v>0</v>
      </c>
      <c r="E63" s="75">
        <f t="shared" si="25"/>
        <v>0</v>
      </c>
      <c r="F63" s="75">
        <f t="shared" si="25"/>
        <v>0</v>
      </c>
      <c r="G63" s="75">
        <f t="shared" si="25"/>
        <v>0</v>
      </c>
      <c r="H63" s="75">
        <f t="shared" si="25"/>
        <v>0</v>
      </c>
      <c r="I63" s="75">
        <f t="shared" si="25"/>
        <v>0</v>
      </c>
      <c r="J63" s="75">
        <f t="shared" si="25"/>
        <v>0</v>
      </c>
      <c r="K63" s="75">
        <f t="shared" si="25"/>
        <v>0</v>
      </c>
      <c r="L63" s="75">
        <f t="shared" si="25"/>
        <v>0</v>
      </c>
      <c r="M63" s="75">
        <f t="shared" si="25"/>
        <v>0</v>
      </c>
      <c r="N63" s="75">
        <f t="shared" si="25"/>
        <v>0</v>
      </c>
      <c r="O63" s="60"/>
      <c r="Q63" s="60"/>
    </row>
    <row r="64" spans="2:17" ht="12.75">
      <c r="B64" s="66" t="s">
        <v>54</v>
      </c>
      <c r="C64" s="75">
        <f aca="true" t="shared" si="26" ref="C64:N64">+C36*C50</f>
        <v>133.197925</v>
      </c>
      <c r="D64" s="75">
        <f t="shared" si="26"/>
        <v>135.68633</v>
      </c>
      <c r="E64" s="75">
        <f t="shared" si="26"/>
        <v>84.9422</v>
      </c>
      <c r="F64" s="75">
        <f t="shared" si="26"/>
        <v>86.35690000000001</v>
      </c>
      <c r="G64" s="75">
        <f t="shared" si="26"/>
        <v>80.50696500000001</v>
      </c>
      <c r="H64" s="75">
        <f t="shared" si="26"/>
        <v>78.31719000000001</v>
      </c>
      <c r="I64" s="75">
        <f t="shared" si="26"/>
        <v>89.80335000000001</v>
      </c>
      <c r="J64" s="75">
        <f t="shared" si="26"/>
        <v>65.700775</v>
      </c>
      <c r="K64" s="75">
        <f t="shared" si="26"/>
        <v>100.109412</v>
      </c>
      <c r="L64" s="75">
        <f t="shared" si="26"/>
        <v>74.136023</v>
      </c>
      <c r="M64" s="75">
        <f t="shared" si="26"/>
        <v>79.261364</v>
      </c>
      <c r="N64" s="75">
        <f t="shared" si="26"/>
        <v>70.672121</v>
      </c>
      <c r="P64" s="146"/>
      <c r="Q64" s="102"/>
    </row>
    <row r="65" spans="2:22" ht="12.75">
      <c r="B65" s="66" t="s">
        <v>55</v>
      </c>
      <c r="C65" s="89">
        <f aca="true" t="shared" si="27" ref="C65:N65">+C7-SUM(C55:C64)</f>
        <v>179.58083500000004</v>
      </c>
      <c r="D65" s="89">
        <f t="shared" si="27"/>
        <v>182.93576600000006</v>
      </c>
      <c r="E65" s="89">
        <f t="shared" si="27"/>
        <v>197.03204</v>
      </c>
      <c r="F65" s="89">
        <f t="shared" si="27"/>
        <v>200.31358</v>
      </c>
      <c r="G65" s="89">
        <f t="shared" si="27"/>
        <v>186.74406299999998</v>
      </c>
      <c r="H65" s="89">
        <f t="shared" si="27"/>
        <v>181.66465800000003</v>
      </c>
      <c r="I65" s="89">
        <f t="shared" si="27"/>
        <v>208.30796999999995</v>
      </c>
      <c r="J65" s="89">
        <f t="shared" si="27"/>
        <v>152.399605</v>
      </c>
      <c r="K65" s="89">
        <f t="shared" si="27"/>
        <v>225.56987999999996</v>
      </c>
      <c r="L65" s="89">
        <f t="shared" si="27"/>
        <v>167.04577000000006</v>
      </c>
      <c r="M65" s="89">
        <f t="shared" si="27"/>
        <v>178.59436</v>
      </c>
      <c r="N65" s="89">
        <f t="shared" si="27"/>
        <v>159.24079</v>
      </c>
      <c r="P65" s="146"/>
      <c r="Q65" s="102"/>
      <c r="R65" s="102"/>
      <c r="S65" s="102"/>
      <c r="T65" s="102"/>
      <c r="U65" s="102"/>
      <c r="V65" s="102"/>
    </row>
    <row r="66" spans="3:22" ht="12.75">
      <c r="C66" s="75">
        <f aca="true" t="shared" si="28" ref="C66:N66">SUM(C55:C65)</f>
        <v>556.15</v>
      </c>
      <c r="D66" s="75">
        <f t="shared" si="28"/>
        <v>566.54</v>
      </c>
      <c r="E66" s="75">
        <f t="shared" si="28"/>
        <v>564.4</v>
      </c>
      <c r="F66" s="75">
        <f t="shared" si="28"/>
        <v>573.8000000000001</v>
      </c>
      <c r="G66" s="75">
        <f t="shared" si="28"/>
        <v>534.9300000000001</v>
      </c>
      <c r="H66" s="75">
        <f t="shared" si="28"/>
        <v>520.3800000000001</v>
      </c>
      <c r="I66" s="75">
        <f t="shared" si="28"/>
        <v>596.7</v>
      </c>
      <c r="J66" s="75">
        <f t="shared" si="28"/>
        <v>436.55</v>
      </c>
      <c r="K66" s="75">
        <f t="shared" si="28"/>
        <v>681.48</v>
      </c>
      <c r="L66" s="75">
        <f t="shared" si="28"/>
        <v>504.66999999999996</v>
      </c>
      <c r="M66" s="75">
        <f t="shared" si="28"/>
        <v>539.56</v>
      </c>
      <c r="N66" s="75">
        <f t="shared" si="28"/>
        <v>481.09000000000003</v>
      </c>
      <c r="P66" s="146"/>
      <c r="Q66" s="102"/>
      <c r="R66" s="102"/>
      <c r="S66" s="102"/>
      <c r="T66" s="102"/>
      <c r="U66" s="102"/>
      <c r="V66" s="102"/>
    </row>
    <row r="67" spans="16:22" ht="12.75">
      <c r="P67" s="148"/>
      <c r="Q67" s="102"/>
      <c r="R67" s="102"/>
      <c r="S67" s="102"/>
      <c r="T67" s="102"/>
      <c r="U67" s="102"/>
      <c r="V67" s="102"/>
    </row>
    <row r="68" spans="1:22" ht="12.75">
      <c r="A68" s="96" t="s">
        <v>59</v>
      </c>
      <c r="P68" s="148"/>
      <c r="Q68" s="102"/>
      <c r="R68" s="102"/>
      <c r="S68" s="102"/>
      <c r="T68" s="102"/>
      <c r="U68" s="102"/>
      <c r="V68" s="102"/>
    </row>
    <row r="69" spans="2:22" ht="12">
      <c r="B69" s="66" t="s">
        <v>23</v>
      </c>
      <c r="C69" s="155">
        <v>0</v>
      </c>
      <c r="D69" s="155">
        <v>0</v>
      </c>
      <c r="E69" s="155">
        <v>0</v>
      </c>
      <c r="F69" s="155">
        <v>0</v>
      </c>
      <c r="G69" s="156">
        <v>0</v>
      </c>
      <c r="H69" s="156">
        <v>0</v>
      </c>
      <c r="I69" s="155">
        <v>0</v>
      </c>
      <c r="J69" s="155">
        <v>0</v>
      </c>
      <c r="K69" s="155">
        <v>0</v>
      </c>
      <c r="L69" s="157">
        <v>0</v>
      </c>
      <c r="M69" s="157">
        <v>0</v>
      </c>
      <c r="N69" s="155">
        <v>0</v>
      </c>
      <c r="P69" s="147"/>
      <c r="Q69" s="102"/>
      <c r="R69" s="102"/>
      <c r="S69" s="102"/>
      <c r="T69" s="102"/>
      <c r="U69" s="152"/>
      <c r="V69" s="102"/>
    </row>
    <row r="70" spans="2:22" ht="12">
      <c r="B70" s="66" t="s">
        <v>27</v>
      </c>
      <c r="C70" s="155">
        <v>131.504</v>
      </c>
      <c r="D70" s="155">
        <v>154.096</v>
      </c>
      <c r="E70" s="155">
        <v>142.168</v>
      </c>
      <c r="F70" s="155">
        <v>146.29600000000002</v>
      </c>
      <c r="G70" s="156">
        <v>153.20000000000002</v>
      </c>
      <c r="H70" s="156">
        <v>151.29600000000002</v>
      </c>
      <c r="I70" s="155">
        <v>129.08800000000002</v>
      </c>
      <c r="J70" s="155">
        <v>119.28</v>
      </c>
      <c r="K70" s="155">
        <v>83.224</v>
      </c>
      <c r="L70" s="155">
        <v>107.94400000000002</v>
      </c>
      <c r="M70" s="155">
        <v>104.48800000000001</v>
      </c>
      <c r="N70" s="155">
        <v>105.84000000000002</v>
      </c>
      <c r="P70" s="147"/>
      <c r="Q70" s="102"/>
      <c r="R70" s="102"/>
      <c r="S70" s="102"/>
      <c r="T70" s="102"/>
      <c r="U70" s="152"/>
      <c r="V70" s="102"/>
    </row>
    <row r="71" spans="2:22" ht="12">
      <c r="B71" s="66" t="s">
        <v>49</v>
      </c>
      <c r="C71" s="155">
        <v>0</v>
      </c>
      <c r="D71" s="155">
        <v>0</v>
      </c>
      <c r="E71" s="155">
        <v>0</v>
      </c>
      <c r="F71" s="155">
        <v>0</v>
      </c>
      <c r="G71" s="156">
        <v>0</v>
      </c>
      <c r="H71" s="156">
        <v>0</v>
      </c>
      <c r="I71" s="155">
        <v>0</v>
      </c>
      <c r="J71" s="155">
        <v>0</v>
      </c>
      <c r="K71" s="155">
        <v>0</v>
      </c>
      <c r="L71" s="155">
        <v>0</v>
      </c>
      <c r="M71" s="155">
        <v>0</v>
      </c>
      <c r="N71" s="155">
        <v>0</v>
      </c>
      <c r="P71" s="147"/>
      <c r="Q71" s="102"/>
      <c r="R71" s="102"/>
      <c r="S71" s="102"/>
      <c r="T71" s="102"/>
      <c r="U71" s="152"/>
      <c r="V71" s="102"/>
    </row>
    <row r="72" spans="2:22" ht="12">
      <c r="B72" s="66" t="s">
        <v>50</v>
      </c>
      <c r="C72" s="155">
        <v>176.12800000000001</v>
      </c>
      <c r="D72" s="155">
        <v>209.168</v>
      </c>
      <c r="E72" s="155">
        <v>189.88</v>
      </c>
      <c r="F72" s="155">
        <v>171.784</v>
      </c>
      <c r="G72" s="156">
        <v>154.28</v>
      </c>
      <c r="H72" s="156">
        <v>155.34400000000002</v>
      </c>
      <c r="I72" s="155">
        <v>160.656</v>
      </c>
      <c r="J72" s="155">
        <v>168.928</v>
      </c>
      <c r="K72" s="155">
        <v>112.04000000000002</v>
      </c>
      <c r="L72" s="155">
        <v>131.264</v>
      </c>
      <c r="M72" s="155">
        <v>134.504</v>
      </c>
      <c r="N72" s="155">
        <v>158.15200000000002</v>
      </c>
      <c r="P72" s="147"/>
      <c r="Q72" s="102"/>
      <c r="R72" s="102"/>
      <c r="S72" s="102"/>
      <c r="T72" s="102"/>
      <c r="U72" s="152"/>
      <c r="V72" s="102"/>
    </row>
    <row r="73" spans="2:22" ht="12">
      <c r="B73" s="66" t="s">
        <v>51</v>
      </c>
      <c r="C73" s="155">
        <v>299.36916201117316</v>
      </c>
      <c r="D73" s="155">
        <v>444.90221229050275</v>
      </c>
      <c r="E73" s="155">
        <v>363.4323868131869</v>
      </c>
      <c r="F73" s="155">
        <v>436.2276747252748</v>
      </c>
      <c r="G73" s="156">
        <v>382.0567384615385</v>
      </c>
      <c r="H73" s="156">
        <v>262.971287912088</v>
      </c>
      <c r="I73" s="155">
        <v>275.3715692307693</v>
      </c>
      <c r="J73" s="155">
        <v>235.31657142857142</v>
      </c>
      <c r="K73" s="155">
        <v>150.526243902439</v>
      </c>
      <c r="L73" s="155">
        <v>212.95260162601625</v>
      </c>
      <c r="M73" s="155">
        <v>268.1524552845528</v>
      </c>
      <c r="N73" s="155">
        <v>324.9494634146342</v>
      </c>
      <c r="P73" s="147"/>
      <c r="Q73" s="102"/>
      <c r="R73" s="102"/>
      <c r="S73" s="102"/>
      <c r="T73" s="102"/>
      <c r="U73" s="152"/>
      <c r="V73" s="102"/>
    </row>
    <row r="74" spans="2:22" ht="12">
      <c r="B74" s="66" t="s">
        <v>52</v>
      </c>
      <c r="C74" s="155">
        <v>1189.808</v>
      </c>
      <c r="D74" s="155">
        <v>1217.48</v>
      </c>
      <c r="E74" s="155">
        <v>1261.632</v>
      </c>
      <c r="F74" s="155">
        <v>1291.592</v>
      </c>
      <c r="G74" s="156">
        <v>1399.968</v>
      </c>
      <c r="H74" s="156">
        <v>1432.5680000000002</v>
      </c>
      <c r="I74" s="155">
        <v>1208.28</v>
      </c>
      <c r="J74" s="155">
        <v>1267.616</v>
      </c>
      <c r="K74" s="155">
        <v>1508.5120000000002</v>
      </c>
      <c r="L74" s="155">
        <v>1715.4240000000002</v>
      </c>
      <c r="M74" s="155">
        <v>1859.6560000000002</v>
      </c>
      <c r="N74" s="155">
        <v>1816.8400000000001</v>
      </c>
      <c r="P74" s="147"/>
      <c r="Q74" s="102"/>
      <c r="R74" s="102"/>
      <c r="S74" s="102"/>
      <c r="T74" s="102"/>
      <c r="U74" s="152"/>
      <c r="V74" s="102"/>
    </row>
    <row r="75" spans="2:22" ht="12">
      <c r="B75" s="66" t="s">
        <v>53</v>
      </c>
      <c r="C75" s="155">
        <v>142.04000000000002</v>
      </c>
      <c r="D75" s="155">
        <v>165.69600000000003</v>
      </c>
      <c r="E75" s="155">
        <v>150.072</v>
      </c>
      <c r="F75" s="155">
        <v>138.856</v>
      </c>
      <c r="G75" s="156">
        <v>123.49600000000001</v>
      </c>
      <c r="H75" s="156">
        <v>135.408</v>
      </c>
      <c r="I75" s="155">
        <v>145.808</v>
      </c>
      <c r="J75" s="155">
        <v>152.824</v>
      </c>
      <c r="K75" s="155">
        <v>86.968</v>
      </c>
      <c r="L75" s="155">
        <v>107.78399999999999</v>
      </c>
      <c r="M75" s="155">
        <v>152.544</v>
      </c>
      <c r="N75" s="155">
        <v>185.48000000000002</v>
      </c>
      <c r="P75" s="147"/>
      <c r="Q75" s="102"/>
      <c r="R75" s="102"/>
      <c r="S75" s="102"/>
      <c r="T75" s="102"/>
      <c r="U75" s="152"/>
      <c r="V75" s="102"/>
    </row>
    <row r="76" spans="2:22" ht="12">
      <c r="B76" s="66" t="s">
        <v>46</v>
      </c>
      <c r="C76" s="157">
        <v>-24.73</v>
      </c>
      <c r="D76" s="157">
        <v>-9.94</v>
      </c>
      <c r="E76" s="157">
        <v>-46.2</v>
      </c>
      <c r="F76" s="157">
        <v>-52.58</v>
      </c>
      <c r="G76" s="158">
        <v>-48.34</v>
      </c>
      <c r="H76" s="158">
        <v>-46.82</v>
      </c>
      <c r="I76" s="155">
        <v>-57.68</v>
      </c>
      <c r="J76" s="155">
        <v>-51.06</v>
      </c>
      <c r="K76" s="155">
        <v>-77.32</v>
      </c>
      <c r="L76" s="155">
        <v>-65.19</v>
      </c>
      <c r="M76" s="155">
        <v>-73.39</v>
      </c>
      <c r="N76" s="155">
        <v>-55.61</v>
      </c>
      <c r="P76" s="147"/>
      <c r="Q76" s="102"/>
      <c r="R76" s="102"/>
      <c r="S76" s="102"/>
      <c r="T76" s="102"/>
      <c r="U76" s="152"/>
      <c r="V76" s="102"/>
    </row>
    <row r="77" spans="2:22" ht="12">
      <c r="B77" s="66" t="s">
        <v>87</v>
      </c>
      <c r="C77" s="157">
        <v>0</v>
      </c>
      <c r="D77" s="157">
        <v>0</v>
      </c>
      <c r="E77" s="157">
        <v>0</v>
      </c>
      <c r="F77" s="157">
        <v>0</v>
      </c>
      <c r="G77" s="158">
        <v>0</v>
      </c>
      <c r="H77" s="158">
        <v>0</v>
      </c>
      <c r="I77" s="157">
        <v>0</v>
      </c>
      <c r="J77" s="157">
        <v>0</v>
      </c>
      <c r="K77" s="157">
        <v>0</v>
      </c>
      <c r="L77" s="157">
        <v>0</v>
      </c>
      <c r="M77" s="157">
        <v>0</v>
      </c>
      <c r="N77" s="157">
        <v>0</v>
      </c>
      <c r="P77" s="147"/>
      <c r="Q77" s="102"/>
      <c r="R77" s="102"/>
      <c r="S77" s="102"/>
      <c r="T77" s="102"/>
      <c r="U77" s="152"/>
      <c r="V77" s="102"/>
    </row>
    <row r="78" spans="2:22" ht="12">
      <c r="B78" s="66" t="s">
        <v>54</v>
      </c>
      <c r="C78" s="157">
        <v>-78.93</v>
      </c>
      <c r="D78" s="157">
        <v>-83.88</v>
      </c>
      <c r="E78" s="157">
        <v>-83.07</v>
      </c>
      <c r="F78" s="157">
        <v>-80.11</v>
      </c>
      <c r="G78" s="158">
        <v>-81.75</v>
      </c>
      <c r="H78" s="158">
        <v>-81.75</v>
      </c>
      <c r="I78" s="157">
        <v>-74.78</v>
      </c>
      <c r="J78" s="157">
        <v>-82.44</v>
      </c>
      <c r="K78" s="157">
        <v>-80.13</v>
      </c>
      <c r="L78" s="157">
        <v>-78.41</v>
      </c>
      <c r="M78" s="157">
        <v>-77.54</v>
      </c>
      <c r="N78" s="157">
        <v>-87.38</v>
      </c>
      <c r="P78" s="147"/>
      <c r="Q78" s="102"/>
      <c r="R78" s="102"/>
      <c r="S78" s="102"/>
      <c r="T78" s="102"/>
      <c r="U78" s="152"/>
      <c r="V78" s="102"/>
    </row>
    <row r="79" spans="2:22" ht="12">
      <c r="B79" s="66" t="s">
        <v>55</v>
      </c>
      <c r="C79" s="155">
        <v>46.64</v>
      </c>
      <c r="D79" s="155">
        <v>64.08800000000001</v>
      </c>
      <c r="E79" s="155">
        <v>50.080000000000005</v>
      </c>
      <c r="F79" s="155">
        <v>57.176</v>
      </c>
      <c r="G79" s="156">
        <v>53.29600000000001</v>
      </c>
      <c r="H79" s="156">
        <v>60.592</v>
      </c>
      <c r="I79" s="155">
        <v>32.848000000000006</v>
      </c>
      <c r="J79" s="155">
        <v>-8.57</v>
      </c>
      <c r="K79" s="155">
        <v>-3.4</v>
      </c>
      <c r="L79" s="155">
        <v>-23.28</v>
      </c>
      <c r="M79" s="155">
        <v>-17.3</v>
      </c>
      <c r="N79" s="157">
        <v>-7.91</v>
      </c>
      <c r="O79" s="110">
        <f>SUM(C69:N79)</f>
        <v>24688.362367100748</v>
      </c>
      <c r="P79" s="147"/>
      <c r="Q79" s="102"/>
      <c r="R79" s="102"/>
      <c r="S79" s="102"/>
      <c r="T79" s="102"/>
      <c r="U79" s="152"/>
      <c r="V79" s="102"/>
    </row>
    <row r="80" spans="16:22" ht="11.25">
      <c r="P80" s="102"/>
      <c r="Q80" s="102"/>
      <c r="R80" s="153"/>
      <c r="S80" s="102"/>
      <c r="T80" s="102"/>
      <c r="U80" s="152"/>
      <c r="V80" s="102"/>
    </row>
    <row r="81" spans="1:22" ht="11.25">
      <c r="A81" s="83" t="s">
        <v>60</v>
      </c>
      <c r="P81" s="102"/>
      <c r="Q81" s="102"/>
      <c r="R81" s="102"/>
      <c r="S81" s="102"/>
      <c r="T81" s="102"/>
      <c r="U81" s="102"/>
      <c r="V81" s="102"/>
    </row>
    <row r="82" spans="2:22" ht="11.25">
      <c r="B82" s="66" t="s">
        <v>23</v>
      </c>
      <c r="C82" s="97">
        <f>+C69*C55</f>
        <v>0</v>
      </c>
      <c r="D82" s="75">
        <f aca="true" t="shared" si="29" ref="D82:M82">+D69*D55</f>
        <v>0</v>
      </c>
      <c r="E82" s="75">
        <f>+E69*E55</f>
        <v>0</v>
      </c>
      <c r="F82" s="75">
        <f t="shared" si="29"/>
        <v>0</v>
      </c>
      <c r="G82" s="75">
        <f>+G69*G55</f>
        <v>0</v>
      </c>
      <c r="H82" s="75">
        <f t="shared" si="29"/>
        <v>0</v>
      </c>
      <c r="I82" s="75">
        <f t="shared" si="29"/>
        <v>0</v>
      </c>
      <c r="J82" s="75">
        <f>+J69*J55</f>
        <v>0</v>
      </c>
      <c r="K82" s="75">
        <f t="shared" si="29"/>
        <v>0</v>
      </c>
      <c r="L82" s="75">
        <f t="shared" si="29"/>
        <v>0</v>
      </c>
      <c r="M82" s="75">
        <f t="shared" si="29"/>
        <v>0</v>
      </c>
      <c r="N82" s="75">
        <f>+N69*N55</f>
        <v>0</v>
      </c>
      <c r="P82" s="102"/>
      <c r="Q82" s="102"/>
      <c r="R82" s="102"/>
      <c r="S82" s="102"/>
      <c r="T82" s="102"/>
      <c r="U82" s="102"/>
      <c r="V82" s="102"/>
    </row>
    <row r="83" spans="2:22" ht="11.25">
      <c r="B83" s="66" t="s">
        <v>27</v>
      </c>
      <c r="C83" s="97">
        <f aca="true" t="shared" si="30" ref="C83:N83">+C70*C56</f>
        <v>17940.248436879996</v>
      </c>
      <c r="D83" s="75">
        <f t="shared" si="30"/>
        <v>21415.069685151997</v>
      </c>
      <c r="E83" s="75">
        <f t="shared" si="30"/>
        <v>20292.59969568</v>
      </c>
      <c r="F83" s="75">
        <f t="shared" si="30"/>
        <v>21229.600669920008</v>
      </c>
      <c r="G83" s="75">
        <f>+G70*G56</f>
        <v>20725.477700400006</v>
      </c>
      <c r="H83" s="75">
        <f t="shared" si="30"/>
        <v>19911.17421619201</v>
      </c>
      <c r="I83" s="75">
        <f t="shared" si="30"/>
        <v>19480.080147840006</v>
      </c>
      <c r="J83" s="75">
        <f t="shared" si="30"/>
        <v>13168.928883600001</v>
      </c>
      <c r="K83" s="75">
        <f t="shared" si="30"/>
        <v>14802.743286720002</v>
      </c>
      <c r="L83" s="75">
        <f t="shared" si="30"/>
        <v>14218.26170328</v>
      </c>
      <c r="M83" s="75">
        <f t="shared" si="30"/>
        <v>14714.53931808</v>
      </c>
      <c r="N83" s="75">
        <f t="shared" si="30"/>
        <v>13289.745621600003</v>
      </c>
      <c r="P83" s="102"/>
      <c r="Q83" s="102"/>
      <c r="R83" s="102"/>
      <c r="S83" s="102"/>
      <c r="T83" s="102"/>
      <c r="U83" s="102"/>
      <c r="V83" s="102"/>
    </row>
    <row r="84" spans="2:22" ht="11.25">
      <c r="B84" s="66" t="s">
        <v>49</v>
      </c>
      <c r="C84" s="97">
        <f aca="true" t="shared" si="31" ref="C84:N84">+C71*C57</f>
        <v>0</v>
      </c>
      <c r="D84" s="75">
        <f t="shared" si="31"/>
        <v>0</v>
      </c>
      <c r="E84" s="75">
        <f t="shared" si="31"/>
        <v>0</v>
      </c>
      <c r="F84" s="75">
        <f t="shared" si="31"/>
        <v>0</v>
      </c>
      <c r="G84" s="75">
        <f t="shared" si="31"/>
        <v>0</v>
      </c>
      <c r="H84" s="75">
        <f t="shared" si="31"/>
        <v>0</v>
      </c>
      <c r="I84" s="75">
        <f t="shared" si="31"/>
        <v>0</v>
      </c>
      <c r="J84" s="75">
        <f t="shared" si="31"/>
        <v>0</v>
      </c>
      <c r="K84" s="75">
        <f t="shared" si="31"/>
        <v>0</v>
      </c>
      <c r="L84" s="75">
        <f t="shared" si="31"/>
        <v>0</v>
      </c>
      <c r="M84" s="75">
        <f t="shared" si="31"/>
        <v>0</v>
      </c>
      <c r="N84" s="75">
        <f t="shared" si="31"/>
        <v>0</v>
      </c>
      <c r="P84" s="102"/>
      <c r="Q84" s="102"/>
      <c r="R84" s="154"/>
      <c r="S84" s="102"/>
      <c r="T84" s="102"/>
      <c r="U84" s="102"/>
      <c r="V84" s="102"/>
    </row>
    <row r="85" spans="2:22" ht="11.25">
      <c r="B85" s="66" t="s">
        <v>50</v>
      </c>
      <c r="C85" s="97">
        <f aca="true" t="shared" si="32" ref="C85:N85">+C72*C58</f>
        <v>1381.1455795200002</v>
      </c>
      <c r="D85" s="75">
        <f t="shared" si="32"/>
        <v>1670.878745952</v>
      </c>
      <c r="E85" s="75">
        <f t="shared" si="32"/>
        <v>1628.9577344</v>
      </c>
      <c r="F85" s="75">
        <f t="shared" si="32"/>
        <v>1498.2588198400001</v>
      </c>
      <c r="G85" s="75">
        <f t="shared" si="32"/>
        <v>1254.4408060800001</v>
      </c>
      <c r="H85" s="75">
        <f t="shared" si="32"/>
        <v>1228.7362429440004</v>
      </c>
      <c r="I85" s="75">
        <f t="shared" si="32"/>
        <v>1457.1242150400003</v>
      </c>
      <c r="J85" s="75">
        <f t="shared" si="32"/>
        <v>1120.93187968</v>
      </c>
      <c r="K85" s="75">
        <f t="shared" si="32"/>
        <v>1122.3893822400003</v>
      </c>
      <c r="L85" s="75">
        <f t="shared" si="32"/>
        <v>973.801542336</v>
      </c>
      <c r="M85" s="75">
        <f t="shared" si="32"/>
        <v>1066.8227801279997</v>
      </c>
      <c r="N85" s="75">
        <f t="shared" si="32"/>
        <v>1118.4545814960002</v>
      </c>
      <c r="P85" s="102"/>
      <c r="Q85" s="102"/>
      <c r="R85" s="154"/>
      <c r="S85" s="102"/>
      <c r="T85" s="102"/>
      <c r="U85" s="102"/>
      <c r="V85" s="102"/>
    </row>
    <row r="86" spans="2:22" ht="11.25">
      <c r="B86" s="66" t="s">
        <v>51</v>
      </c>
      <c r="C86" s="97">
        <f aca="true" t="shared" si="33" ref="C86:N86">+C73*C59</f>
        <v>5960.490908399998</v>
      </c>
      <c r="D86" s="75">
        <f t="shared" si="33"/>
        <v>9023.565396767997</v>
      </c>
      <c r="E86" s="75">
        <f t="shared" si="33"/>
        <v>9333.016379840003</v>
      </c>
      <c r="F86" s="75">
        <f t="shared" si="33"/>
        <v>11388.988508960003</v>
      </c>
      <c r="G86" s="75">
        <f t="shared" si="33"/>
        <v>9298.999305288002</v>
      </c>
      <c r="H86" s="75">
        <f t="shared" si="33"/>
        <v>6226.447445568002</v>
      </c>
      <c r="I86" s="75">
        <f t="shared" si="33"/>
        <v>7476.296798880002</v>
      </c>
      <c r="J86" s="75">
        <f t="shared" si="33"/>
        <v>4674.0989412</v>
      </c>
      <c r="K86" s="75">
        <f t="shared" si="33"/>
        <v>5046.966734975999</v>
      </c>
      <c r="L86" s="75">
        <f t="shared" si="33"/>
        <v>5287.5628415599995</v>
      </c>
      <c r="M86" s="75">
        <f t="shared" si="33"/>
        <v>7118.4694676479985</v>
      </c>
      <c r="N86" s="75">
        <f t="shared" si="33"/>
        <v>7691.432917824001</v>
      </c>
      <c r="P86" s="102"/>
      <c r="Q86" s="102"/>
      <c r="R86" s="102"/>
      <c r="S86" s="102"/>
      <c r="T86" s="102"/>
      <c r="U86" s="102"/>
      <c r="V86" s="102"/>
    </row>
    <row r="87" spans="2:20" ht="11.25">
      <c r="B87" s="66" t="s">
        <v>52</v>
      </c>
      <c r="C87" s="97">
        <f aca="true" t="shared" si="34" ref="C87:N87">+C74*C60</f>
        <v>10785.901022959999</v>
      </c>
      <c r="D87" s="75">
        <f t="shared" si="34"/>
        <v>11242.943242959998</v>
      </c>
      <c r="E87" s="75">
        <f t="shared" si="34"/>
        <v>12532.345774080002</v>
      </c>
      <c r="F87" s="75">
        <f t="shared" si="34"/>
        <v>13043.632616960003</v>
      </c>
      <c r="G87" s="75">
        <f t="shared" si="34"/>
        <v>13180.373927424003</v>
      </c>
      <c r="H87" s="75">
        <f t="shared" si="34"/>
        <v>13120.443350784006</v>
      </c>
      <c r="I87" s="75">
        <f t="shared" si="34"/>
        <v>12689.259897600003</v>
      </c>
      <c r="J87" s="75">
        <f t="shared" si="34"/>
        <v>9739.44866048</v>
      </c>
      <c r="K87" s="75">
        <f t="shared" si="34"/>
        <v>18298.769488128004</v>
      </c>
      <c r="L87" s="75">
        <f t="shared" si="34"/>
        <v>15409.869935424</v>
      </c>
      <c r="M87" s="75">
        <f t="shared" si="34"/>
        <v>17860.448646208002</v>
      </c>
      <c r="N87" s="75">
        <f t="shared" si="34"/>
        <v>15558.331289680002</v>
      </c>
      <c r="S87" s="102"/>
      <c r="T87" s="102"/>
    </row>
    <row r="88" spans="2:20" ht="11.25">
      <c r="B88" s="66" t="s">
        <v>53</v>
      </c>
      <c r="C88" s="97">
        <f aca="true" t="shared" si="35" ref="C88:N88">+C75*C61</f>
        <v>165.8906466</v>
      </c>
      <c r="D88" s="75">
        <f t="shared" si="35"/>
        <v>197.134164864</v>
      </c>
      <c r="E88" s="75">
        <f t="shared" si="35"/>
        <v>177.87133727999998</v>
      </c>
      <c r="F88" s="75">
        <f t="shared" si="35"/>
        <v>167.31870288000002</v>
      </c>
      <c r="G88" s="75">
        <f t="shared" si="35"/>
        <v>138.729602088</v>
      </c>
      <c r="H88" s="75">
        <f t="shared" si="35"/>
        <v>147.97359158400002</v>
      </c>
      <c r="I88" s="75">
        <f t="shared" si="35"/>
        <v>182.70763056</v>
      </c>
      <c r="J88" s="75">
        <f t="shared" si="35"/>
        <v>140.10216612000002</v>
      </c>
      <c r="K88" s="75">
        <f t="shared" si="35"/>
        <v>112.60721001600001</v>
      </c>
      <c r="L88" s="75">
        <f t="shared" si="35"/>
        <v>103.35116743199998</v>
      </c>
      <c r="M88" s="75">
        <f t="shared" si="35"/>
        <v>156.382617216</v>
      </c>
      <c r="N88" s="75">
        <f t="shared" si="35"/>
        <v>169.54188908000003</v>
      </c>
      <c r="S88" s="102"/>
      <c r="T88" s="102"/>
    </row>
    <row r="89" spans="2:20" ht="11.25">
      <c r="B89" s="66" t="s">
        <v>46</v>
      </c>
      <c r="C89" s="97">
        <f aca="true" t="shared" si="36" ref="C89:N89">+C76*C62</f>
        <v>-1705.445098</v>
      </c>
      <c r="D89" s="75">
        <f t="shared" si="36"/>
        <v>-698.2945423999998</v>
      </c>
      <c r="E89" s="75">
        <f t="shared" si="36"/>
        <v>-4357.179288</v>
      </c>
      <c r="F89" s="75">
        <f t="shared" si="36"/>
        <v>-5041.474508400001</v>
      </c>
      <c r="G89" s="75">
        <f t="shared" si="36"/>
        <v>-4320.958057020001</v>
      </c>
      <c r="H89" s="75">
        <f t="shared" si="36"/>
        <v>-4071.256416360001</v>
      </c>
      <c r="I89" s="75">
        <f t="shared" si="36"/>
        <v>-5751.1903176000005</v>
      </c>
      <c r="J89" s="75">
        <f t="shared" si="36"/>
        <v>-3724.6996053000007</v>
      </c>
      <c r="K89" s="75">
        <f t="shared" si="36"/>
        <v>-9352.835964</v>
      </c>
      <c r="L89" s="75">
        <f t="shared" si="36"/>
        <v>-5839.650120749999</v>
      </c>
      <c r="M89" s="75">
        <f t="shared" si="36"/>
        <v>-7028.699740999999</v>
      </c>
      <c r="N89" s="75">
        <f t="shared" si="36"/>
        <v>-4748.73114475</v>
      </c>
      <c r="S89" s="102"/>
      <c r="T89" s="102"/>
    </row>
    <row r="90" spans="2:20" ht="11.25">
      <c r="B90" s="66" t="s">
        <v>87</v>
      </c>
      <c r="C90" s="97">
        <f aca="true" t="shared" si="37" ref="C90:N90">+C77*C63</f>
        <v>0</v>
      </c>
      <c r="D90" s="75">
        <f t="shared" si="37"/>
        <v>0</v>
      </c>
      <c r="E90" s="75">
        <f t="shared" si="37"/>
        <v>0</v>
      </c>
      <c r="F90" s="75">
        <f t="shared" si="37"/>
        <v>0</v>
      </c>
      <c r="G90" s="75">
        <f t="shared" si="37"/>
        <v>0</v>
      </c>
      <c r="H90" s="75">
        <f t="shared" si="37"/>
        <v>0</v>
      </c>
      <c r="I90" s="75">
        <f t="shared" si="37"/>
        <v>0</v>
      </c>
      <c r="J90" s="75">
        <f t="shared" si="37"/>
        <v>0</v>
      </c>
      <c r="K90" s="75">
        <f t="shared" si="37"/>
        <v>0</v>
      </c>
      <c r="L90" s="75">
        <f t="shared" si="37"/>
        <v>0</v>
      </c>
      <c r="M90" s="75">
        <f t="shared" si="37"/>
        <v>0</v>
      </c>
      <c r="N90" s="75">
        <f t="shared" si="37"/>
        <v>0</v>
      </c>
      <c r="S90" s="102"/>
      <c r="T90" s="102"/>
    </row>
    <row r="91" spans="2:14" ht="11.25">
      <c r="B91" s="66" t="s">
        <v>54</v>
      </c>
      <c r="C91" s="97">
        <f aca="true" t="shared" si="38" ref="C91:N91">+C78*C64</f>
        <v>-10513.31222025</v>
      </c>
      <c r="D91" s="75">
        <f t="shared" si="38"/>
        <v>-11381.3693604</v>
      </c>
      <c r="E91" s="75">
        <f t="shared" si="38"/>
        <v>-7056.148553999999</v>
      </c>
      <c r="F91" s="75">
        <f t="shared" si="38"/>
        <v>-6918.051259000001</v>
      </c>
      <c r="G91" s="75">
        <f t="shared" si="38"/>
        <v>-6581.444388750001</v>
      </c>
      <c r="H91" s="75">
        <f t="shared" si="38"/>
        <v>-6402.4302825</v>
      </c>
      <c r="I91" s="75">
        <f t="shared" si="38"/>
        <v>-6715.494513000001</v>
      </c>
      <c r="J91" s="75">
        <f t="shared" si="38"/>
        <v>-5416.371890999999</v>
      </c>
      <c r="K91" s="75">
        <f t="shared" si="38"/>
        <v>-8021.76718356</v>
      </c>
      <c r="L91" s="75">
        <f t="shared" si="38"/>
        <v>-5813.00556343</v>
      </c>
      <c r="M91" s="75">
        <f t="shared" si="38"/>
        <v>-6145.926164560001</v>
      </c>
      <c r="N91" s="75">
        <f t="shared" si="38"/>
        <v>-6175.32993298</v>
      </c>
    </row>
    <row r="92" spans="2:14" ht="11.25">
      <c r="B92" s="66" t="s">
        <v>55</v>
      </c>
      <c r="C92" s="98">
        <f aca="true" t="shared" si="39" ref="C92:N92">+C79*C65</f>
        <v>8375.650144400002</v>
      </c>
      <c r="D92" s="89">
        <f t="shared" si="39"/>
        <v>11723.987371408006</v>
      </c>
      <c r="E92" s="89">
        <f t="shared" si="39"/>
        <v>9867.3645632</v>
      </c>
      <c r="F92" s="89">
        <f t="shared" si="39"/>
        <v>11453.129250080001</v>
      </c>
      <c r="G92" s="89">
        <f t="shared" si="39"/>
        <v>9952.711581648</v>
      </c>
      <c r="H92" s="89">
        <f t="shared" si="39"/>
        <v>11007.424957536</v>
      </c>
      <c r="I92" s="89">
        <f t="shared" si="39"/>
        <v>6842.50019856</v>
      </c>
      <c r="J92" s="89">
        <f t="shared" si="39"/>
        <v>-1306.0646148500002</v>
      </c>
      <c r="K92" s="75">
        <f t="shared" si="39"/>
        <v>-766.9375919999999</v>
      </c>
      <c r="L92" s="75">
        <f t="shared" si="39"/>
        <v>-3888.8255256000016</v>
      </c>
      <c r="M92" s="75">
        <f t="shared" si="39"/>
        <v>-3089.682428</v>
      </c>
      <c r="N92" s="75">
        <f t="shared" si="39"/>
        <v>-1259.5946489</v>
      </c>
    </row>
    <row r="93" spans="1:16" ht="11.25">
      <c r="A93" s="83" t="s">
        <v>61</v>
      </c>
      <c r="B93" s="83"/>
      <c r="C93" s="99">
        <f aca="true" t="shared" si="40" ref="C93:N93">SUM(C82:C92)</f>
        <v>32390.56942051</v>
      </c>
      <c r="D93" s="100">
        <f t="shared" si="40"/>
        <v>43193.914704304</v>
      </c>
      <c r="E93" s="100">
        <f t="shared" si="40"/>
        <v>42418.82764248</v>
      </c>
      <c r="F93" s="100">
        <f t="shared" si="40"/>
        <v>46821.40280124002</v>
      </c>
      <c r="G93" s="100">
        <f t="shared" si="40"/>
        <v>43648.330477158015</v>
      </c>
      <c r="H93" s="100">
        <f t="shared" si="40"/>
        <v>41168.51310574802</v>
      </c>
      <c r="I93" s="100">
        <f t="shared" si="40"/>
        <v>35661.28405788001</v>
      </c>
      <c r="J93" s="100">
        <f t="shared" si="40"/>
        <v>18396.37441993</v>
      </c>
      <c r="K93" s="109">
        <f t="shared" si="40"/>
        <v>21241.93536252001</v>
      </c>
      <c r="L93" s="109">
        <f t="shared" si="40"/>
        <v>20451.365980252</v>
      </c>
      <c r="M93" s="109">
        <f t="shared" si="40"/>
        <v>24652.354495719996</v>
      </c>
      <c r="N93" s="109">
        <f t="shared" si="40"/>
        <v>25643.85057305</v>
      </c>
      <c r="O93" s="110">
        <f>SUM(C93:N93)</f>
        <v>395688.723040792</v>
      </c>
      <c r="P93" s="110">
        <f>O93/2</f>
        <v>197844.361520396</v>
      </c>
    </row>
    <row r="94" spans="1:14" ht="11.25">
      <c r="A94" s="83" t="s">
        <v>62</v>
      </c>
      <c r="B94" s="83"/>
      <c r="C94" s="99">
        <f>+C93/C66</f>
        <v>58.240707400000005</v>
      </c>
      <c r="D94" s="100">
        <f aca="true" t="shared" si="41" ref="D94:N94">+D93/D66</f>
        <v>76.2415976</v>
      </c>
      <c r="E94" s="100">
        <f>+E93/E66</f>
        <v>75.1573842</v>
      </c>
      <c r="F94" s="100">
        <f t="shared" si="41"/>
        <v>81.59881980000003</v>
      </c>
      <c r="G94" s="100">
        <f t="shared" si="41"/>
        <v>81.59634060000002</v>
      </c>
      <c r="H94" s="100">
        <f t="shared" si="41"/>
        <v>79.11240460000002</v>
      </c>
      <c r="I94" s="100">
        <f t="shared" si="41"/>
        <v>59.76417640000001</v>
      </c>
      <c r="J94" s="100">
        <f t="shared" si="41"/>
        <v>42.1403606</v>
      </c>
      <c r="K94" s="75">
        <f t="shared" si="41"/>
        <v>31.170299000000014</v>
      </c>
      <c r="L94" s="75">
        <f t="shared" si="41"/>
        <v>40.524235600000004</v>
      </c>
      <c r="M94" s="75">
        <f t="shared" si="41"/>
        <v>45.689736999999994</v>
      </c>
      <c r="N94" s="75">
        <f t="shared" si="41"/>
        <v>53.303644999999996</v>
      </c>
    </row>
    <row r="95" ht="7.5" customHeight="1"/>
    <row r="96" spans="1:14" ht="11.25">
      <c r="A96" s="83"/>
      <c r="C96" s="110">
        <v>58.24</v>
      </c>
      <c r="D96" s="110">
        <v>76.24</v>
      </c>
      <c r="E96" s="110">
        <v>75.16</v>
      </c>
      <c r="F96" s="110">
        <v>81.6</v>
      </c>
      <c r="G96" s="110">
        <v>81.6</v>
      </c>
      <c r="H96" s="110">
        <v>79.11</v>
      </c>
      <c r="I96" s="110">
        <v>59.76</v>
      </c>
      <c r="J96" s="110">
        <v>42.14</v>
      </c>
      <c r="K96" s="110">
        <v>31.17</v>
      </c>
      <c r="L96" s="110">
        <v>40.52</v>
      </c>
      <c r="M96" s="110">
        <v>45.69</v>
      </c>
      <c r="N96" s="110">
        <v>53.3</v>
      </c>
    </row>
    <row r="97" spans="3:14" ht="11.25">
      <c r="C97" s="97">
        <f>C94-C96</f>
        <v>0.0007074000000031333</v>
      </c>
      <c r="D97" s="97">
        <f aca="true" t="shared" si="42" ref="D97:N97">D94-D96</f>
        <v>0.001597600000010857</v>
      </c>
      <c r="E97" s="97">
        <f t="shared" si="42"/>
        <v>-0.002615800000000945</v>
      </c>
      <c r="F97" s="97">
        <f t="shared" si="42"/>
        <v>-0.0011801999999647705</v>
      </c>
      <c r="G97" s="97">
        <f t="shared" si="42"/>
        <v>-0.0036593999999752214</v>
      </c>
      <c r="H97" s="97">
        <f t="shared" si="42"/>
        <v>0.002404600000019741</v>
      </c>
      <c r="I97" s="97">
        <f t="shared" si="42"/>
        <v>0.004176400000012848</v>
      </c>
      <c r="J97" s="97">
        <f t="shared" si="42"/>
        <v>0.0003606000000004883</v>
      </c>
      <c r="K97" s="97">
        <f t="shared" si="42"/>
        <v>0.0002990000000124837</v>
      </c>
      <c r="L97" s="97">
        <f t="shared" si="42"/>
        <v>0.004235600000001227</v>
      </c>
      <c r="M97" s="97">
        <f t="shared" si="42"/>
        <v>-0.000263000000003899</v>
      </c>
      <c r="N97" s="97">
        <f t="shared" si="42"/>
        <v>0.003644999999998788</v>
      </c>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Z:\Division\Accounting II\WUTC Filings\Commodity Credits\Filing June 2022\Lynnwood\[Lynnwood Multi Family Commodity Credit Template - June 2022.xls]WUTC_AW of Lynnwood_MF</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showGridLines="0" zoomScalePageLayoutView="0" workbookViewId="0" topLeftCell="A1">
      <selection activeCell="A1" sqref="A1"/>
    </sheetView>
  </sheetViews>
  <sheetFormatPr defaultColWidth="9.140625" defaultRowHeight="12.75"/>
  <cols>
    <col min="1" max="1" width="37.7109375" style="0" bestFit="1" customWidth="1"/>
    <col min="2" max="4" width="11.28125" style="0" bestFit="1" customWidth="1"/>
    <col min="5" max="5" width="10.421875" style="0" bestFit="1" customWidth="1"/>
    <col min="6" max="6" width="10.7109375" style="0" bestFit="1" customWidth="1"/>
  </cols>
  <sheetData>
    <row r="3" ht="13.5" thickBot="1"/>
    <row r="4" spans="1:3" ht="13.5" thickBot="1">
      <c r="A4" s="173" t="s">
        <v>96</v>
      </c>
      <c r="B4" s="174"/>
      <c r="C4" s="175"/>
    </row>
    <row r="6" spans="5:6" ht="12.75">
      <c r="E6" s="176" t="s">
        <v>98</v>
      </c>
      <c r="F6" s="176" t="s">
        <v>99</v>
      </c>
    </row>
    <row r="7" spans="1:6" ht="12.75">
      <c r="A7" t="s">
        <v>97</v>
      </c>
      <c r="C7" s="181">
        <f>C4</f>
        <v>0</v>
      </c>
      <c r="E7" s="179" t="e">
        <f>C7*E12</f>
        <v>#DIV/0!</v>
      </c>
      <c r="F7" s="180" t="e">
        <f>C7*F12</f>
        <v>#DIV/0!</v>
      </c>
    </row>
    <row r="11" spans="1:6" ht="12.75">
      <c r="A11" t="s">
        <v>100</v>
      </c>
      <c r="B11" t="s">
        <v>101</v>
      </c>
      <c r="C11" t="s">
        <v>102</v>
      </c>
      <c r="D11" t="s">
        <v>29</v>
      </c>
      <c r="E11" t="s">
        <v>103</v>
      </c>
      <c r="F11" t="s">
        <v>104</v>
      </c>
    </row>
    <row r="12" spans="1:6" ht="12.75">
      <c r="A12">
        <v>4197</v>
      </c>
      <c r="B12" s="177"/>
      <c r="C12" s="177"/>
      <c r="D12" s="177">
        <f>B12+C12</f>
        <v>0</v>
      </c>
      <c r="E12" s="178" t="e">
        <f>B12/$D$12</f>
        <v>#DIV/0!</v>
      </c>
      <c r="F12" s="178" t="e">
        <f>C12/$D$12</f>
        <v>#DIV/0!</v>
      </c>
    </row>
    <row r="20" spans="1:5" ht="12.75">
      <c r="A20" s="171" t="s">
        <v>106</v>
      </c>
      <c r="E20" s="181" t="e">
        <f>E7</f>
        <v>#DIV/0!</v>
      </c>
    </row>
    <row r="22" spans="1:5" ht="12.75">
      <c r="A22" s="171" t="s">
        <v>20</v>
      </c>
      <c r="E22" s="182">
        <f>'WUTC_AW of Lynnwood_SF'!B26</f>
        <v>233402</v>
      </c>
    </row>
    <row r="24" spans="1:5" ht="12.75">
      <c r="A24" s="171" t="s">
        <v>105</v>
      </c>
      <c r="E24" s="183" t="e">
        <f>E20/E22</f>
        <v>#DIV/0!</v>
      </c>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H1:S25"/>
  <sheetViews>
    <sheetView zoomScalePageLayoutView="0" workbookViewId="0" topLeftCell="A1">
      <selection activeCell="A1" sqref="A1"/>
    </sheetView>
  </sheetViews>
  <sheetFormatPr defaultColWidth="9.140625" defaultRowHeight="12.75"/>
  <cols>
    <col min="9" max="9" width="30.28125" style="0" bestFit="1" customWidth="1"/>
    <col min="10" max="10" width="12.28125" style="0" bestFit="1" customWidth="1"/>
    <col min="12" max="12" width="18.421875" style="0" bestFit="1" customWidth="1"/>
    <col min="14" max="14" width="24.8515625" style="0" bestFit="1" customWidth="1"/>
    <col min="17" max="17" width="19.421875" style="0" bestFit="1" customWidth="1"/>
    <col min="19" max="19" width="12.28125" style="0" bestFit="1" customWidth="1"/>
  </cols>
  <sheetData>
    <row r="1" spans="8:19" ht="12.75">
      <c r="H1" t="s">
        <v>107</v>
      </c>
      <c r="Q1" s="202" t="s">
        <v>115</v>
      </c>
      <c r="S1" t="s">
        <v>116</v>
      </c>
    </row>
    <row r="2" spans="8:17" ht="15.75">
      <c r="H2" t="s">
        <v>29</v>
      </c>
      <c r="I2" s="184" t="str">
        <f>"Revenue Retained "</f>
        <v>Revenue Retained </v>
      </c>
      <c r="J2" s="185"/>
      <c r="K2" s="186"/>
      <c r="L2" s="185"/>
      <c r="M2" s="186"/>
      <c r="N2" s="186"/>
      <c r="O2" s="187"/>
      <c r="Q2" s="202"/>
    </row>
    <row r="3" spans="9:17" ht="12.75">
      <c r="I3" s="188" t="s">
        <v>124</v>
      </c>
      <c r="J3" s="189"/>
      <c r="K3" s="190"/>
      <c r="L3" s="189"/>
      <c r="M3" s="190"/>
      <c r="N3" s="190"/>
      <c r="O3" s="191"/>
      <c r="Q3" s="202"/>
    </row>
    <row r="4" spans="9:19" ht="13.5" thickBot="1">
      <c r="I4" s="171"/>
      <c r="J4" s="192" t="s">
        <v>29</v>
      </c>
      <c r="K4" s="171"/>
      <c r="L4" s="193" t="s">
        <v>108</v>
      </c>
      <c r="M4" s="171"/>
      <c r="N4" s="194" t="s">
        <v>109</v>
      </c>
      <c r="O4" s="171"/>
      <c r="Q4" s="202" t="s">
        <v>117</v>
      </c>
      <c r="S4" t="s">
        <v>116</v>
      </c>
    </row>
    <row r="5" spans="9:19" ht="12.75">
      <c r="I5" t="s">
        <v>110</v>
      </c>
      <c r="J5" s="195">
        <f>L5*2</f>
        <v>395701.08</v>
      </c>
      <c r="K5" s="171"/>
      <c r="L5" s="196">
        <f>L13+L22</f>
        <v>197850.54</v>
      </c>
      <c r="M5" s="171"/>
      <c r="N5" s="196">
        <f>L5</f>
        <v>197850.54</v>
      </c>
      <c r="O5" s="171"/>
      <c r="Q5" s="202">
        <f>Q13+Q22</f>
        <v>197761.41619709606</v>
      </c>
      <c r="S5" s="200">
        <f>L5-Q5</f>
        <v>89.12380290395231</v>
      </c>
    </row>
    <row r="6" spans="9:19" ht="12.75">
      <c r="I6" t="s">
        <v>111</v>
      </c>
      <c r="J6" s="195">
        <f>L6*2</f>
        <v>68085.58</v>
      </c>
      <c r="K6" s="171"/>
      <c r="L6" s="196">
        <f>L14+L23</f>
        <v>34042.79</v>
      </c>
      <c r="M6" s="171"/>
      <c r="N6" s="196">
        <f>L6</f>
        <v>34042.79</v>
      </c>
      <c r="O6" s="171"/>
      <c r="Q6" s="202">
        <f>Q14+Q23</f>
        <v>34026.21</v>
      </c>
      <c r="S6" s="200">
        <f>L6-Q6</f>
        <v>16.580000000001746</v>
      </c>
    </row>
    <row r="8" spans="9:19" ht="13.5" thickBot="1">
      <c r="I8" s="197" t="s">
        <v>112</v>
      </c>
      <c r="J8" s="198">
        <f>SUM(J5:J6)</f>
        <v>463786.66000000003</v>
      </c>
      <c r="K8" s="171"/>
      <c r="L8" s="198">
        <f>SUM(L5:L6)</f>
        <v>231893.33000000002</v>
      </c>
      <c r="M8" s="199"/>
      <c r="N8" s="198">
        <f>SUM(N5:N6)</f>
        <v>231893.33000000002</v>
      </c>
      <c r="O8" s="200"/>
      <c r="Q8" s="198">
        <f>SUM(Q5:Q6)</f>
        <v>231787.62619709605</v>
      </c>
      <c r="S8" s="198">
        <f>L8-Q8</f>
        <v>105.70380290396861</v>
      </c>
    </row>
    <row r="10" spans="8:15" ht="15.75">
      <c r="H10" t="s">
        <v>113</v>
      </c>
      <c r="I10" s="184" t="str">
        <f>"Revenue Retained "</f>
        <v>Revenue Retained </v>
      </c>
      <c r="J10" s="185"/>
      <c r="K10" s="186"/>
      <c r="L10" s="185"/>
      <c r="M10" s="186"/>
      <c r="N10" s="186"/>
      <c r="O10" s="187"/>
    </row>
    <row r="11" ht="12.75">
      <c r="I11" s="188" t="s">
        <v>125</v>
      </c>
    </row>
    <row r="12" spans="10:19" ht="13.5" thickBot="1">
      <c r="J12" s="192" t="s">
        <v>29</v>
      </c>
      <c r="K12" s="171"/>
      <c r="L12" s="193" t="s">
        <v>108</v>
      </c>
      <c r="M12" s="171"/>
      <c r="N12" s="194" t="s">
        <v>109</v>
      </c>
      <c r="Q12" s="202" t="s">
        <v>117</v>
      </c>
      <c r="S12" t="s">
        <v>116</v>
      </c>
    </row>
    <row r="13" spans="9:19" ht="12.75">
      <c r="I13" t="s">
        <v>110</v>
      </c>
      <c r="J13" s="195">
        <f>L13*2</f>
        <v>395701.08</v>
      </c>
      <c r="K13" s="171"/>
      <c r="L13" s="201">
        <v>197850.54</v>
      </c>
      <c r="M13" s="171"/>
      <c r="N13" s="196">
        <f>L13</f>
        <v>197850.54</v>
      </c>
      <c r="Q13" s="203">
        <v>197761.41619709606</v>
      </c>
      <c r="S13" s="200">
        <f>L13-Q13</f>
        <v>89.12380290395231</v>
      </c>
    </row>
    <row r="14" spans="9:19" ht="12.75">
      <c r="I14" t="s">
        <v>111</v>
      </c>
      <c r="J14" s="195">
        <f>L14*2</f>
        <v>68085.58</v>
      </c>
      <c r="K14" s="171"/>
      <c r="L14" s="201">
        <v>34042.79</v>
      </c>
      <c r="M14" s="171"/>
      <c r="N14" s="196">
        <f>L14</f>
        <v>34042.79</v>
      </c>
      <c r="Q14" s="203">
        <v>34026.21</v>
      </c>
      <c r="S14" s="200">
        <f>L14-Q14</f>
        <v>16.580000000001746</v>
      </c>
    </row>
    <row r="16" spans="9:19" ht="13.5" thickBot="1">
      <c r="I16" s="197" t="s">
        <v>112</v>
      </c>
      <c r="J16" s="198">
        <f>SUM(J13:J14)</f>
        <v>463786.66000000003</v>
      </c>
      <c r="K16" s="171"/>
      <c r="L16" s="198">
        <f>SUM(L13:L14)</f>
        <v>231893.33000000002</v>
      </c>
      <c r="M16" s="199"/>
      <c r="N16" s="198">
        <f>SUM(N13:N14)</f>
        <v>231893.33000000002</v>
      </c>
      <c r="Q16" s="198">
        <f>SUM(Q13:Q14)</f>
        <v>231787.62619709605</v>
      </c>
      <c r="S16" s="198">
        <f>L16-Q16</f>
        <v>105.70380290396861</v>
      </c>
    </row>
    <row r="18" spans="8:14" ht="15.75">
      <c r="H18" t="s">
        <v>114</v>
      </c>
      <c r="I18" s="184" t="str">
        <f>"Revenue Retained "</f>
        <v>Revenue Retained </v>
      </c>
      <c r="J18" s="185"/>
      <c r="K18" s="186"/>
      <c r="L18" s="185"/>
      <c r="M18" s="186"/>
      <c r="N18" s="186"/>
    </row>
    <row r="19" spans="9:14" ht="12.75">
      <c r="I19" s="188" t="s">
        <v>126</v>
      </c>
      <c r="J19" s="189"/>
      <c r="K19" s="190"/>
      <c r="L19" s="189"/>
      <c r="M19" s="190"/>
      <c r="N19" s="190"/>
    </row>
    <row r="21" spans="10:19" ht="13.5" thickBot="1">
      <c r="J21" s="192" t="s">
        <v>29</v>
      </c>
      <c r="K21" s="171"/>
      <c r="L21" s="193" t="s">
        <v>108</v>
      </c>
      <c r="M21" s="171"/>
      <c r="N21" s="194" t="s">
        <v>109</v>
      </c>
      <c r="Q21" s="202" t="s">
        <v>117</v>
      </c>
      <c r="S21" t="s">
        <v>116</v>
      </c>
    </row>
    <row r="22" spans="9:19" ht="12.75">
      <c r="I22" t="s">
        <v>110</v>
      </c>
      <c r="J22" s="195">
        <f>L22*2</f>
        <v>0</v>
      </c>
      <c r="K22" s="171"/>
      <c r="L22" s="201"/>
      <c r="M22" s="171"/>
      <c r="N22" s="196">
        <f>L22</f>
        <v>0</v>
      </c>
      <c r="Q22" s="203"/>
      <c r="S22" s="200">
        <f>L22-Q22</f>
        <v>0</v>
      </c>
    </row>
    <row r="23" spans="9:19" ht="12.75">
      <c r="I23" t="s">
        <v>111</v>
      </c>
      <c r="J23" s="195">
        <f>L23*2</f>
        <v>0</v>
      </c>
      <c r="K23" s="171"/>
      <c r="L23" s="201"/>
      <c r="M23" s="171"/>
      <c r="N23" s="196">
        <f>L23</f>
        <v>0</v>
      </c>
      <c r="Q23" s="203"/>
      <c r="S23" s="200">
        <f>L23-Q23</f>
        <v>0</v>
      </c>
    </row>
    <row r="25" spans="9:19" ht="13.5" thickBot="1">
      <c r="I25" s="197" t="s">
        <v>112</v>
      </c>
      <c r="J25" s="198">
        <f>SUM(J22:J23)</f>
        <v>0</v>
      </c>
      <c r="K25" s="171"/>
      <c r="L25" s="198">
        <f>SUM(L22:L23)</f>
        <v>0</v>
      </c>
      <c r="M25" s="199"/>
      <c r="N25" s="198">
        <f>SUM(N22:N23)</f>
        <v>0</v>
      </c>
      <c r="Q25" s="198">
        <f>SUM(Q22:Q23)</f>
        <v>0</v>
      </c>
      <c r="S25" s="198">
        <f>L25-Q25</f>
        <v>0</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Gualberto, Christopher</cp:lastModifiedBy>
  <cp:lastPrinted>2019-06-13T22:49:02Z</cp:lastPrinted>
  <dcterms:created xsi:type="dcterms:W3CDTF">2008-05-23T15:47:44Z</dcterms:created>
  <dcterms:modified xsi:type="dcterms:W3CDTF">2022-06-14T20:41:35Z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RABANCO LTD.            </vt:lpwstr>
  </property>
  <property fmtid="{D5CDD505-2E9C-101B-9397-08002B2CF9AE}" pid="8" name="IsConfidential">
    <vt:lpwstr>0</vt:lpwstr>
  </property>
  <property fmtid="{D5CDD505-2E9C-101B-9397-08002B2CF9AE}" pid="9" name="IsEFSEC">
    <vt:lpwstr>0</vt:lpwstr>
  </property>
  <property fmtid="{D5CDD505-2E9C-101B-9397-08002B2CF9AE}" pid="10" name="DocketNumber">
    <vt:lpwstr>220450</vt:lpwstr>
  </property>
  <property fmtid="{D5CDD505-2E9C-101B-9397-08002B2CF9AE}" pid="11" name="Date1">
    <vt:lpwstr>2022-06-15T00:00:00Z</vt:lpwstr>
  </property>
  <property fmtid="{D5CDD505-2E9C-101B-9397-08002B2CF9AE}" pid="12" name="Nickname">
    <vt:lpwstr/>
  </property>
  <property fmtid="{D5CDD505-2E9C-101B-9397-08002B2CF9AE}" pid="13" name="CaseType">
    <vt:lpwstr>Tariff Revision</vt:lpwstr>
  </property>
  <property fmtid="{D5CDD505-2E9C-101B-9397-08002B2CF9AE}" pid="14" name="OpenedDate">
    <vt:lpwstr>2022-06-15T00:00:00Z</vt:lpwstr>
  </property>
  <property fmtid="{D5CDD505-2E9C-101B-9397-08002B2CF9AE}" pid="15" name="Prefix">
    <vt:lpwstr>TG</vt:lpwstr>
  </property>
  <property fmtid="{D5CDD505-2E9C-101B-9397-08002B2CF9AE}" pid="16" name="IndustryCode">
    <vt:lpwstr>227</vt:lpwstr>
  </property>
  <property fmtid="{D5CDD505-2E9C-101B-9397-08002B2CF9AE}" pid="17" name="CaseStatus">
    <vt:lpwstr>Closed</vt:lpwstr>
  </property>
  <property fmtid="{D5CDD505-2E9C-101B-9397-08002B2CF9AE}" pid="18" name="_docset_NoMedatataSyncRequired">
    <vt:lpwstr>False</vt:lpwstr>
  </property>
</Properties>
</file>