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12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externalLinks/externalLink14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Tariffs\1. Open Advices\2021-27 Natural Gas Schedules 101, 106 - PGA (UG-21xxxx) (Eff. 11-01-21)\Sent to UTC 09-17-21\"/>
    </mc:Choice>
  </mc:AlternateContent>
  <bookViews>
    <workbookView xWindow="-1890" yWindow="765" windowWidth="23040" windowHeight="5865" tabRatio="931"/>
  </bookViews>
  <sheets>
    <sheet name="REDACTED VERSION" sheetId="78" r:id="rId1"/>
    <sheet name="Rates Summary " sheetId="36" r:id="rId2"/>
    <sheet name="Rate Change " sheetId="27" r:id="rId3"/>
    <sheet name="Rate Impacts-&gt;" sheetId="73" r:id="rId4"/>
    <sheet name="Rate Impact" sheetId="67" r:id="rId5"/>
    <sheet name="Schedule 101 Revenue" sheetId="75" r:id="rId6"/>
    <sheet name="Res Bill Impact" sheetId="59" r:id="rId7"/>
    <sheet name="Combined Cust Impact" sheetId="32" r:id="rId8"/>
    <sheet name="Gas Supply Demand" sheetId="57" r:id="rId9"/>
    <sheet name="Work Papers --&gt;" sheetId="69" r:id="rId10"/>
    <sheet name="F2021 Forecast " sheetId="5" r:id="rId11"/>
    <sheet name="(R) 2021 PGA Cost" sheetId="77" r:id="rId12"/>
    <sheet name="(R) 2020 PGA Cost" sheetId="72" r:id="rId13"/>
    <sheet name="2019 GRC Gas Cost Allocation" sheetId="66" r:id="rId14"/>
    <sheet name="2019 GRC - Gas RAF" sheetId="7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>[18]INPUTS!$C$11</definedName>
    <definedName name="Case_Name">'[19]KJB-6,13 Cmn Adj'!$B$8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'[20]Transp Data'!$A$6:$C$81</definedName>
    <definedName name="Close_Date">'[12]Capital Projects(Input)'!$D$7:$D$53</definedName>
    <definedName name="Construction_OH">'[21]Virtual 49 Back-Up'!$E$54</definedName>
    <definedName name="ConversionFactor">[9]Assumptions!$I$65</definedName>
    <definedName name="COSFacVal">[7]Inputs!$R$5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'[23]Mix Variance'!$B$1:$N$31</definedName>
    <definedName name="Data.Avg">'[22]Avg Amts'!$A$5:$BP$34</definedName>
    <definedName name="Data.Qtrs.Avg">'[22]Avg Amts'!$A$5:$IV$5</definedName>
    <definedName name="data1">'[24]Mix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[25]Inputs!$D$11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'[26]Assumptions of Purchase'!$B$45</definedName>
    <definedName name="DisFac">'[7]Func Dist Factor Table'!$A$11:$G$25</definedName>
    <definedName name="DocketNumber">'[27]JHS-4'!$AP$2</definedName>
    <definedName name="DP.T">[4]INTERNAL!$A$46:$IV$48</definedName>
    <definedName name="EBFIT.T">[4]INTERNAL!$A$88:$IV$90</definedName>
    <definedName name="EffTax">[18]INPUTS!$F$36</definedName>
    <definedName name="Electric_Prices">'[28]Monthly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[25]Inputs!$D$12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'[21]Virtual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[29]Inputs!$E$112</definedName>
    <definedName name="FedTaxRate">[9]Assumptions!$C$33</definedName>
    <definedName name="FERC_Lookup">'[30]Map Table'!$E$2:$F$58</definedName>
    <definedName name="FIT">'[31]ROR &amp; CONV FACTOR'!$J$20</definedName>
    <definedName name="FIT_Tax_Rate">'[12]Assumptions (Input)'!$B$5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[32]Inputs!$N$18</definedName>
    <definedName name="JP_Bal">[33]ACCOUNTS!$AG$31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'[19]KJB-12 Sum'!$AS$2</definedName>
    <definedName name="k_FITrate">'[19]KJB-3,11 Def'!$L$20</definedName>
    <definedName name="keep_Docket_Number">'[34]KJB-3 Sum'!$AQ$2</definedName>
    <definedName name="keep_FIT">'[34]KJB-7 Def'!$L$20</definedName>
    <definedName name="keep_KJB_3_Rate_Increase">'[34]KJB-7 Def'!$C$3</definedName>
    <definedName name="keep_KJB_4_Electric_Summary">'[34]KJB-3 Sum'!$AQ$3</definedName>
    <definedName name="keep_KJB_8_Common_Adjs">'[34]KJB-5 Cmn Adj'!$L$3</definedName>
    <definedName name="keep_KJB_9_Electric_Only">'[34]KJB-5 El Adj'!$E$3</definedName>
    <definedName name="keep_PSE">'[35]Gas Summary'!$I$5</definedName>
    <definedName name="keep_TESTYEAR">'[35]Gas Detail Pages'!$A$8</definedName>
    <definedName name="kp_DOCKET">'[35]Gas Detail Pages'!$A$9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[33]ACCOUNTS!$AG$167</definedName>
    <definedName name="LoadArray">'[36]Load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[37]M9100F4!$A$1:$V$99</definedName>
    <definedName name="MACRS">'[12]MACRS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[38]!menu1_Button5_Click</definedName>
    <definedName name="menu1_Button6_Click">[38]!menu1_Button6_Click</definedName>
    <definedName name="MERGER_COST">[39]Sheet1!$AF$3:$AJ$28</definedName>
    <definedName name="METER">[4]EXTERNAL!$A$34:$IV$36</definedName>
    <definedName name="Method">[10]Inputs!$C$6</definedName>
    <definedName name="monthlist">[40]Table!$R$2:$S$13</definedName>
    <definedName name="monthtotals">'[40]WA SBC'!$D$40:$O$40</definedName>
    <definedName name="MTD_Format">[41]Mthly!$B$11:$D$11,[41]Mthly!$B$32:$D$32</definedName>
    <definedName name="MTR_YR3">[42]Variables!$E$14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[43]Inputs!$N$18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'[21]Virtual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'[44]Dist Misc'!$F$120</definedName>
    <definedName name="OthRCF">[45]INPUTS!$F$41</definedName>
    <definedName name="OthUnc">[4]INPUTS!$F$36</definedName>
    <definedName name="outlookdata">'[46]pivoted data'!$D$3:$Q$90</definedName>
    <definedName name="peak_new_table">'[47]2008 Extreme Peaks - 080403'!$E$5:$AD$8</definedName>
    <definedName name="peak_table">'[47]Peaks-F01'!$C$5:$E$243</definedName>
    <definedName name="PeakMethod">[10]Inputs!$T$5</definedName>
    <definedName name="Percent_debt">[29]Inputs!$E$129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'[28]Monthly Price Summary'!$C$4:$H$63</definedName>
    <definedName name="_xlnm.Print_Area" localSheetId="12">'(R) 2020 PGA Cost'!$A$1:$H$83</definedName>
    <definedName name="_xlnm.Print_Area" localSheetId="14">'2019 GRC - Gas RAF'!$A$1:$E$20</definedName>
    <definedName name="_xlnm.Print_Area" localSheetId="6">'Res Bill Impact'!$A$1:$N$45</definedName>
    <definedName name="Prior_Month">[48]Sch_120!$I$21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[49]Sheet1!$A$1147:$B$1887</definedName>
    <definedName name="Prov_Cap_Tax">[29]Inputs!$E$111</definedName>
    <definedName name="PSE">'[50]4.04'!$A$6</definedName>
    <definedName name="PSE_Pre_Tax_Equity_Rate">'[26]Assumptions of Purchase'!$B$42</definedName>
    <definedName name="PTDGP.T">[4]INTERNAL!$A$64:$IV$66</definedName>
    <definedName name="PTDP.T">[4]INTERNAL!$A$67:$IV$69</definedName>
    <definedName name="QTD_Format">[51]QTD!$B$11:$D$11,[51]QTD!$B$35:$D$35</definedName>
    <definedName name="RATE2">'[20]Transp Data'!$A$8:$I$112</definedName>
    <definedName name="Rates">[52]Codes!$A$1:$C$500</definedName>
    <definedName name="RB.T">[4]INTERNAL!$A$70:$IV$72</definedName>
    <definedName name="RCF">[33]INPUTS!$F$48</definedName>
    <definedName name="Requlated_scenario">'[12]Assumptions (Input)'!$B$12</definedName>
    <definedName name="ResExchCrRate">[53]Sch_194!$M$31</definedName>
    <definedName name="RESID">[4]EXTERNAL!$A$88:$IV$90</definedName>
    <definedName name="resource_lookup">'[54]#REF'!$B$3:$C$112</definedName>
    <definedName name="ResourceSupplier">[11]Variables!$D$28</definedName>
    <definedName name="ResRCF">[18]INPUTS!$F$44</definedName>
    <definedName name="ResUnc">[18]INPUTS!$F$39</definedName>
    <definedName name="RevClass">[52]Codes!$F$2:$G$10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[4]INPUTS!$F$35</definedName>
    <definedName name="Sch194Rlfwd">'[55]Sch94 Rlfwd'!$B$11</definedName>
    <definedName name="Schedule">[43]Inputs!$N$14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'[27]JHS-6'!$A$7</definedName>
    <definedName name="TFR">[4]CLASSIFIERS!$A$11:$IV$11</definedName>
    <definedName name="ThermalBookLife">[9]Assumptions!$C$25</definedName>
    <definedName name="Title">[9]Assumptions!$A$1</definedName>
    <definedName name="Total_Payment">Scheduled_Payment+Extra_Payment</definedName>
    <definedName name="TotalRateBase">'[7]G+T+D+R+M'!$H$58</definedName>
    <definedName name="TP.T">[4]INTERNAL!$A$91:$IV$93</definedName>
    <definedName name="transdb">'[56]Transp Unbilled'!$A$8:$E$174</definedName>
    <definedName name="TRANSM_2">[57]Transm2!$A$1:$M$461:'[57]10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'[58]Input Tab'!$B$11</definedName>
    <definedName name="WinterPeak">'[59]Load Data'!$D$9:$H$12,'[59]Load Data'!$D$20:$H$22</definedName>
    <definedName name="WUTC_Docket_No._UG_11____">'[6]MJS-6'!$F$2</definedName>
    <definedName name="WUTC_FILING_FEE">'[6]MJS-7'!$O$15</definedName>
    <definedName name="Years_evaluated">'[60]Revison Inputs'!$B$6</definedName>
    <definedName name="YEFactors">[8]Factors!$S$3:$AG$99</definedName>
    <definedName name="YTD_Format">[51]YTD!$B$13:$D$13,[51]YTD!$B$36:$D$36</definedName>
  </definedNames>
  <calcPr calcId="162913"/>
</workbook>
</file>

<file path=xl/calcChain.xml><?xml version="1.0" encoding="utf-8"?>
<calcChain xmlns="http://schemas.openxmlformats.org/spreadsheetml/2006/main">
  <c r="F23" i="67" l="1"/>
  <c r="K23" i="67" l="1"/>
  <c r="L23" i="67"/>
  <c r="M23" i="67"/>
  <c r="I23" i="67"/>
  <c r="N23" i="67"/>
  <c r="Q23" i="67"/>
  <c r="J23" i="67"/>
  <c r="H23" i="67"/>
  <c r="P23" i="67"/>
  <c r="O23" i="67"/>
  <c r="M24" i="5" l="1"/>
  <c r="L24" i="5"/>
  <c r="K24" i="5"/>
  <c r="J24" i="5"/>
  <c r="I24" i="5"/>
  <c r="H24" i="5"/>
  <c r="G24" i="5"/>
  <c r="F24" i="5"/>
  <c r="E24" i="5"/>
  <c r="D24" i="5"/>
  <c r="C24" i="5"/>
  <c r="G19" i="5"/>
  <c r="N8" i="5"/>
  <c r="D19" i="5" l="1"/>
  <c r="E19" i="5"/>
  <c r="I19" i="5"/>
  <c r="H19" i="5"/>
  <c r="F19" i="5"/>
  <c r="C19" i="5"/>
  <c r="N9" i="5"/>
  <c r="N10" i="5"/>
  <c r="N11" i="5"/>
  <c r="N13" i="5"/>
  <c r="N14" i="5"/>
  <c r="N12" i="5"/>
  <c r="A5" i="72" l="1"/>
  <c r="A5" i="77"/>
  <c r="H96" i="72" l="1"/>
  <c r="G96" i="72"/>
  <c r="M23" i="59" l="1"/>
  <c r="D14" i="59" l="1"/>
  <c r="G23" i="59"/>
  <c r="J23" i="59"/>
  <c r="D26" i="59"/>
  <c r="G34" i="75" l="1"/>
  <c r="G30" i="75"/>
  <c r="G29" i="75"/>
  <c r="G19" i="75"/>
  <c r="G16" i="75"/>
  <c r="G35" i="75"/>
  <c r="G36" i="75" l="1"/>
  <c r="D40" i="75"/>
  <c r="G25" i="75"/>
  <c r="D39" i="75"/>
  <c r="G13" i="75"/>
  <c r="G24" i="75"/>
  <c r="G31" i="75"/>
  <c r="G10" i="75"/>
  <c r="G20" i="75"/>
  <c r="G21" i="75" s="1"/>
  <c r="G26" i="75" l="1"/>
  <c r="G38" i="75" s="1"/>
  <c r="B2" i="57" l="1"/>
  <c r="A2" i="32"/>
  <c r="B2" i="59"/>
  <c r="A2" i="27"/>
  <c r="B2" i="36"/>
  <c r="E22" i="67" l="1"/>
  <c r="G22" i="67" s="1"/>
  <c r="E18" i="67"/>
  <c r="G18" i="67" s="1"/>
  <c r="E13" i="67"/>
  <c r="G13" i="67" s="1"/>
  <c r="E15" i="67"/>
  <c r="G15" i="67" s="1"/>
  <c r="E12" i="67"/>
  <c r="G12" i="67" s="1"/>
  <c r="E17" i="67"/>
  <c r="G17" i="67" s="1"/>
  <c r="E21" i="67"/>
  <c r="G21" i="67" s="1"/>
  <c r="D23" i="67"/>
  <c r="E19" i="67"/>
  <c r="G19" i="67" s="1"/>
  <c r="C23" i="67"/>
  <c r="E11" i="67"/>
  <c r="G11" i="67" s="1"/>
  <c r="E16" i="67"/>
  <c r="G16" i="67" s="1"/>
  <c r="E14" i="67"/>
  <c r="G14" i="67" s="1"/>
  <c r="E20" i="67"/>
  <c r="G20" i="67" s="1"/>
  <c r="E10" i="67"/>
  <c r="G10" i="67" s="1"/>
  <c r="E23" i="67" l="1"/>
  <c r="G23" i="67"/>
  <c r="K55" i="66"/>
  <c r="E38" i="66"/>
  <c r="F37" i="66"/>
  <c r="E35" i="66"/>
  <c r="F38" i="66"/>
  <c r="G36" i="66"/>
  <c r="G34" i="66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D21" i="66" l="1"/>
  <c r="D28" i="66"/>
  <c r="D12" i="66"/>
  <c r="D9" i="66"/>
  <c r="H35" i="66"/>
  <c r="D29" i="66"/>
  <c r="D39" i="66"/>
  <c r="H34" i="66"/>
  <c r="H37" i="66"/>
  <c r="E34" i="66"/>
  <c r="F35" i="66"/>
  <c r="D26" i="66"/>
  <c r="E37" i="66"/>
  <c r="F34" i="66"/>
  <c r="G35" i="66"/>
  <c r="D30" i="66"/>
  <c r="H36" i="66"/>
  <c r="E36" i="66"/>
  <c r="G37" i="66"/>
  <c r="D15" i="66"/>
  <c r="D18" i="66"/>
  <c r="H38" i="66"/>
  <c r="F36" i="66"/>
  <c r="D50" i="66"/>
  <c r="D27" i="66"/>
  <c r="G38" i="66"/>
  <c r="D15" i="74"/>
  <c r="E8" i="74"/>
  <c r="D13" i="74"/>
  <c r="H39" i="66" l="1"/>
  <c r="D46" i="66" s="1"/>
  <c r="I54" i="66" s="1"/>
  <c r="E39" i="66"/>
  <c r="D43" i="66" s="1"/>
  <c r="I16" i="66"/>
  <c r="E16" i="66"/>
  <c r="H16" i="66"/>
  <c r="F16" i="66"/>
  <c r="K16" i="66"/>
  <c r="G16" i="66"/>
  <c r="J16" i="66"/>
  <c r="K10" i="66"/>
  <c r="G10" i="66"/>
  <c r="J10" i="66"/>
  <c r="F10" i="66"/>
  <c r="F46" i="66" s="1"/>
  <c r="I10" i="66"/>
  <c r="E10" i="66"/>
  <c r="H10" i="66"/>
  <c r="H13" i="66"/>
  <c r="E13" i="66"/>
  <c r="E43" i="66" s="1"/>
  <c r="K13" i="66"/>
  <c r="G13" i="66"/>
  <c r="I13" i="66"/>
  <c r="J13" i="66"/>
  <c r="J43" i="66" s="1"/>
  <c r="F13" i="66"/>
  <c r="J19" i="66"/>
  <c r="F19" i="66"/>
  <c r="G19" i="66"/>
  <c r="I19" i="66"/>
  <c r="E19" i="66"/>
  <c r="K19" i="66"/>
  <c r="H19" i="66"/>
  <c r="K22" i="66"/>
  <c r="G22" i="66"/>
  <c r="J22" i="66"/>
  <c r="F22" i="66"/>
  <c r="I22" i="66"/>
  <c r="E22" i="66"/>
  <c r="H22" i="66"/>
  <c r="F39" i="66"/>
  <c r="D44" i="66" s="1"/>
  <c r="K43" i="66"/>
  <c r="G43" i="66"/>
  <c r="G39" i="66"/>
  <c r="D45" i="66" s="1"/>
  <c r="J54" i="66"/>
  <c r="D14" i="74"/>
  <c r="D16" i="74" s="1"/>
  <c r="D17" i="74" s="1"/>
  <c r="D18" i="74" s="1"/>
  <c r="E9" i="74"/>
  <c r="E7" i="74"/>
  <c r="H54" i="66" l="1"/>
  <c r="H46" i="66"/>
  <c r="F54" i="66"/>
  <c r="E54" i="66"/>
  <c r="E46" i="66"/>
  <c r="G46" i="66"/>
  <c r="G54" i="66"/>
  <c r="J46" i="66"/>
  <c r="I46" i="66"/>
  <c r="K46" i="66"/>
  <c r="F43" i="66"/>
  <c r="K45" i="66"/>
  <c r="I43" i="66"/>
  <c r="H43" i="66"/>
  <c r="H44" i="66"/>
  <c r="E44" i="66"/>
  <c r="G44" i="66"/>
  <c r="J44" i="66"/>
  <c r="I44" i="66"/>
  <c r="K44" i="66"/>
  <c r="F44" i="66"/>
  <c r="F45" i="66"/>
  <c r="D48" i="66"/>
  <c r="H45" i="66"/>
  <c r="J45" i="66"/>
  <c r="E45" i="66"/>
  <c r="G45" i="66"/>
  <c r="I45" i="66"/>
  <c r="K48" i="66" l="1"/>
  <c r="F48" i="66"/>
  <c r="J53" i="66"/>
  <c r="K13" i="36" s="1"/>
  <c r="F53" i="66"/>
  <c r="F55" i="66" s="1"/>
  <c r="H48" i="66"/>
  <c r="I53" i="66"/>
  <c r="J13" i="36" s="1"/>
  <c r="G53" i="66"/>
  <c r="H13" i="36" s="1"/>
  <c r="J48" i="66"/>
  <c r="H53" i="66"/>
  <c r="E48" i="66"/>
  <c r="E53" i="66"/>
  <c r="G48" i="66"/>
  <c r="I48" i="66"/>
  <c r="J55" i="66" l="1"/>
  <c r="G55" i="66"/>
  <c r="G13" i="36"/>
  <c r="I55" i="66"/>
  <c r="E55" i="66"/>
  <c r="F13" i="36"/>
  <c r="E13" i="36"/>
  <c r="H55" i="66"/>
  <c r="I13" i="36"/>
  <c r="N24" i="32" l="1"/>
  <c r="T32" i="67" l="1"/>
  <c r="G34" i="59" l="1"/>
  <c r="E20" i="36" l="1"/>
  <c r="H20" i="36"/>
  <c r="D44" i="36"/>
  <c r="S32" i="67" l="1"/>
  <c r="A3" i="75"/>
  <c r="A1" i="75"/>
  <c r="M34" i="59"/>
  <c r="J32" i="59"/>
  <c r="J30" i="59"/>
  <c r="K30" i="59" s="1"/>
  <c r="J28" i="59"/>
  <c r="J25" i="59"/>
  <c r="J24" i="59"/>
  <c r="J22" i="59"/>
  <c r="J21" i="59"/>
  <c r="J20" i="59"/>
  <c r="J19" i="59"/>
  <c r="J18" i="59"/>
  <c r="J17" i="59"/>
  <c r="J13" i="59"/>
  <c r="K13" i="59" s="1"/>
  <c r="J12" i="59"/>
  <c r="J11" i="59"/>
  <c r="K11" i="59" s="1"/>
  <c r="G33" i="59"/>
  <c r="G30" i="59"/>
  <c r="H30" i="59" s="1"/>
  <c r="G28" i="59"/>
  <c r="H28" i="59" s="1"/>
  <c r="G25" i="59"/>
  <c r="G24" i="59"/>
  <c r="G22" i="59"/>
  <c r="G21" i="59"/>
  <c r="G20" i="59"/>
  <c r="G19" i="59"/>
  <c r="G18" i="59"/>
  <c r="G17" i="59"/>
  <c r="G13" i="59"/>
  <c r="H13" i="59" s="1"/>
  <c r="G12" i="59"/>
  <c r="G11" i="59"/>
  <c r="H11" i="59" s="1"/>
  <c r="M30" i="59"/>
  <c r="M28" i="59"/>
  <c r="N28" i="59" s="1"/>
  <c r="M25" i="59"/>
  <c r="M24" i="59"/>
  <c r="M22" i="59"/>
  <c r="M21" i="59"/>
  <c r="M20" i="59"/>
  <c r="M19" i="59"/>
  <c r="M18" i="59"/>
  <c r="M17" i="59"/>
  <c r="M13" i="59"/>
  <c r="M12" i="59"/>
  <c r="N12" i="59" s="1"/>
  <c r="M11" i="59"/>
  <c r="N30" i="59"/>
  <c r="N13" i="59"/>
  <c r="K28" i="59"/>
  <c r="K12" i="59"/>
  <c r="H12" i="59"/>
  <c r="E30" i="59"/>
  <c r="E28" i="59"/>
  <c r="D43" i="59"/>
  <c r="E13" i="59"/>
  <c r="E12" i="59"/>
  <c r="E11" i="59"/>
  <c r="A3" i="67"/>
  <c r="A1" i="67"/>
  <c r="A1" i="5"/>
  <c r="M14" i="59" l="1"/>
  <c r="G14" i="59"/>
  <c r="K14" i="59"/>
  <c r="N11" i="59"/>
  <c r="N14" i="59" s="1"/>
  <c r="M26" i="59"/>
  <c r="M43" i="59" s="1"/>
  <c r="J26" i="59"/>
  <c r="J43" i="59" s="1"/>
  <c r="J14" i="59"/>
  <c r="H14" i="59"/>
  <c r="E14" i="59"/>
  <c r="G26" i="59"/>
  <c r="G43" i="59" s="1"/>
  <c r="E26" i="59"/>
  <c r="N26" i="59" l="1"/>
  <c r="K26" i="59"/>
  <c r="H26" i="59"/>
  <c r="F20" i="36" l="1"/>
  <c r="G20" i="36"/>
  <c r="E43" i="36" l="1"/>
  <c r="F43" i="36"/>
  <c r="G43" i="36"/>
  <c r="I43" i="36"/>
  <c r="J43" i="36"/>
  <c r="K43" i="36"/>
  <c r="H43" i="36"/>
  <c r="H45" i="36" s="1"/>
  <c r="F20" i="75" s="1"/>
  <c r="H20" i="75" s="1"/>
  <c r="I20" i="75" s="1"/>
  <c r="J20" i="75" s="1"/>
  <c r="I20" i="36" l="1"/>
  <c r="J20" i="36"/>
  <c r="C7" i="5" l="1"/>
  <c r="D7" i="5" s="1"/>
  <c r="E7" i="5" s="1"/>
  <c r="F7" i="5" s="1"/>
  <c r="G7" i="5" s="1"/>
  <c r="H7" i="5" s="1"/>
  <c r="I7" i="5" s="1"/>
  <c r="J7" i="5" s="1"/>
  <c r="K7" i="5" s="1"/>
  <c r="L7" i="5" s="1"/>
  <c r="M7" i="5" s="1"/>
  <c r="K20" i="36" l="1"/>
  <c r="D20" i="36" s="1"/>
  <c r="M22" i="5" l="1"/>
  <c r="L22" i="5"/>
  <c r="K22" i="5"/>
  <c r="J22" i="5"/>
  <c r="I22" i="5"/>
  <c r="H22" i="5"/>
  <c r="G22" i="5"/>
  <c r="F22" i="5"/>
  <c r="E22" i="5"/>
  <c r="D22" i="5"/>
  <c r="C22" i="5"/>
  <c r="B22" i="5"/>
  <c r="C36" i="27" l="1"/>
  <c r="C32" i="36" l="1"/>
  <c r="D10" i="36"/>
  <c r="I19" i="27"/>
  <c r="H19" i="27"/>
  <c r="E19" i="27"/>
  <c r="H16" i="27"/>
  <c r="G16" i="27"/>
  <c r="G10" i="57"/>
  <c r="F10" i="57"/>
  <c r="F20" i="57" s="1"/>
  <c r="E10" i="57"/>
  <c r="D10" i="57"/>
  <c r="D20" i="57" s="1"/>
  <c r="G19" i="27"/>
  <c r="F19" i="27"/>
  <c r="B11" i="57"/>
  <c r="B14" i="57" s="1"/>
  <c r="B15" i="57" s="1"/>
  <c r="B16" i="57" s="1"/>
  <c r="B19" i="57" s="1"/>
  <c r="B20" i="57" s="1"/>
  <c r="B21" i="57" s="1"/>
  <c r="B23" i="57" s="1"/>
  <c r="B24" i="57" s="1"/>
  <c r="E19" i="57"/>
  <c r="F19" i="57"/>
  <c r="G19" i="57"/>
  <c r="D19" i="27"/>
  <c r="C19" i="27"/>
  <c r="A11" i="32"/>
  <c r="A12" i="32" s="1"/>
  <c r="A15" i="32" s="1"/>
  <c r="A16" i="32" s="1"/>
  <c r="A17" i="32" s="1"/>
  <c r="A20" i="32" s="1"/>
  <c r="A21" i="32" s="1"/>
  <c r="A22" i="32" s="1"/>
  <c r="A23" i="32" s="1"/>
  <c r="A24" i="32" s="1"/>
  <c r="A11" i="27"/>
  <c r="A12" i="27" s="1"/>
  <c r="A14" i="27" s="1"/>
  <c r="A16" i="27" s="1"/>
  <c r="A17" i="27" s="1"/>
  <c r="A19" i="27" s="1"/>
  <c r="A20" i="27" s="1"/>
  <c r="A21" i="27" s="1"/>
  <c r="A23" i="27" s="1"/>
  <c r="A25" i="27" s="1"/>
  <c r="A26" i="27" s="1"/>
  <c r="A28" i="27" s="1"/>
  <c r="A29" i="27" s="1"/>
  <c r="A31" i="27" s="1"/>
  <c r="A32" i="27" s="1"/>
  <c r="A34" i="27" s="1"/>
  <c r="A36" i="27" s="1"/>
  <c r="I16" i="27"/>
  <c r="F25" i="27"/>
  <c r="F26" i="27" s="1"/>
  <c r="G25" i="27"/>
  <c r="G26" i="27" s="1"/>
  <c r="H25" i="27"/>
  <c r="H26" i="27" s="1"/>
  <c r="I25" i="27"/>
  <c r="I26" i="27" s="1"/>
  <c r="B9" i="36"/>
  <c r="B10" i="36" s="1"/>
  <c r="B11" i="36" s="1"/>
  <c r="E45" i="36"/>
  <c r="F45" i="36"/>
  <c r="G45" i="36"/>
  <c r="K45" i="36"/>
  <c r="F35" i="75" s="1"/>
  <c r="H35" i="75" s="1"/>
  <c r="I35" i="75" s="1"/>
  <c r="J35" i="75" s="1"/>
  <c r="G14" i="57" l="1"/>
  <c r="G15" i="57" s="1"/>
  <c r="A2" i="75"/>
  <c r="A2" i="67"/>
  <c r="A2" i="5"/>
  <c r="B13" i="36"/>
  <c r="B14" i="36" s="1"/>
  <c r="B16" i="36" s="1"/>
  <c r="B17" i="36" s="1"/>
  <c r="B19" i="36" s="1"/>
  <c r="B20" i="36" s="1"/>
  <c r="B22" i="36" s="1"/>
  <c r="B23" i="36" s="1"/>
  <c r="B24" i="36" s="1"/>
  <c r="B26" i="36" s="1"/>
  <c r="B27" i="36" s="1"/>
  <c r="B28" i="36" s="1"/>
  <c r="B31" i="36" s="1"/>
  <c r="B32" i="36" s="1"/>
  <c r="B33" i="36" s="1"/>
  <c r="B35" i="36" s="1"/>
  <c r="B36" i="36" s="1"/>
  <c r="B37" i="36" s="1"/>
  <c r="B38" i="36" s="1"/>
  <c r="B39" i="36" s="1"/>
  <c r="B40" i="36" s="1"/>
  <c r="B43" i="36" s="1"/>
  <c r="B44" i="36" s="1"/>
  <c r="B45" i="36" s="1"/>
  <c r="B47" i="36" s="1"/>
  <c r="B48" i="36" s="1"/>
  <c r="B49" i="36" s="1"/>
  <c r="B51" i="36" s="1"/>
  <c r="B52" i="36" s="1"/>
  <c r="B53" i="36" s="1"/>
  <c r="B54" i="36" s="1"/>
  <c r="B55" i="36" s="1"/>
  <c r="I45" i="36"/>
  <c r="F25" i="75" s="1"/>
  <c r="H25" i="75" s="1"/>
  <c r="I25" i="75" s="1"/>
  <c r="J25" i="75" s="1"/>
  <c r="E20" i="57"/>
  <c r="G20" i="57"/>
  <c r="H31" i="27"/>
  <c r="F17" i="27"/>
  <c r="F32" i="27" s="1"/>
  <c r="D14" i="57"/>
  <c r="D15" i="57" s="1"/>
  <c r="J45" i="36"/>
  <c r="F30" i="75" s="1"/>
  <c r="H30" i="75" s="1"/>
  <c r="I30" i="75" s="1"/>
  <c r="J30" i="75" s="1"/>
  <c r="F16" i="27"/>
  <c r="F31" i="27" s="1"/>
  <c r="I31" i="27"/>
  <c r="G31" i="27"/>
  <c r="I17" i="27"/>
  <c r="I32" i="27" s="1"/>
  <c r="G17" i="27" l="1"/>
  <c r="G32" i="27" s="1"/>
  <c r="F14" i="57"/>
  <c r="F15" i="57" s="1"/>
  <c r="E14" i="57"/>
  <c r="E15" i="57" s="1"/>
  <c r="H17" i="27"/>
  <c r="H32" i="27" s="1"/>
  <c r="H20" i="27" l="1"/>
  <c r="H21" i="27" s="1"/>
  <c r="I20" i="27"/>
  <c r="I21" i="27" s="1"/>
  <c r="D20" i="27"/>
  <c r="D21" i="27" s="1"/>
  <c r="F20" i="27"/>
  <c r="F21" i="27" s="1"/>
  <c r="C20" i="27"/>
  <c r="C21" i="27" s="1"/>
  <c r="G20" i="27"/>
  <c r="G21" i="27" s="1"/>
  <c r="E20" i="27"/>
  <c r="E21" i="27" s="1"/>
  <c r="D22" i="32" l="1"/>
  <c r="I23" i="27"/>
  <c r="D21" i="32" l="1"/>
  <c r="H23" i="27"/>
  <c r="D20" i="32"/>
  <c r="G23" i="27"/>
  <c r="D16" i="32"/>
  <c r="F23" i="27"/>
  <c r="D15" i="32"/>
  <c r="E23" i="27"/>
  <c r="D10" i="32" l="1"/>
  <c r="C23" i="27"/>
  <c r="D11" i="32" l="1"/>
  <c r="D23" i="27"/>
  <c r="C27" i="67" l="1"/>
  <c r="C26" i="67"/>
  <c r="C32" i="67"/>
  <c r="D32" i="67" l="1"/>
  <c r="C28" i="67" l="1"/>
  <c r="C30" i="67" l="1"/>
  <c r="D26" i="67"/>
  <c r="C31" i="67"/>
  <c r="D28" i="67" l="1"/>
  <c r="C29" i="67"/>
  <c r="C33" i="67" s="1"/>
  <c r="D27" i="67" l="1"/>
  <c r="D30" i="67"/>
  <c r="D29" i="67" l="1"/>
  <c r="D31" i="67" l="1"/>
  <c r="D33" i="67" s="1"/>
  <c r="G32" i="67" l="1"/>
  <c r="G27" i="67" l="1"/>
  <c r="G28" i="67"/>
  <c r="G31" i="67"/>
  <c r="G29" i="67"/>
  <c r="G30" i="67"/>
  <c r="R21" i="67" l="1"/>
  <c r="G26" i="67"/>
  <c r="G33" i="67" s="1"/>
  <c r="R22" i="67"/>
  <c r="R19" i="67"/>
  <c r="R17" i="67"/>
  <c r="R18" i="67"/>
  <c r="R20" i="67"/>
  <c r="W19" i="67" l="1"/>
  <c r="V19" i="67"/>
  <c r="U19" i="67"/>
  <c r="V18" i="67"/>
  <c r="U18" i="67"/>
  <c r="W18" i="67"/>
  <c r="U21" i="67"/>
  <c r="W21" i="67"/>
  <c r="V21" i="67"/>
  <c r="V22" i="67"/>
  <c r="U22" i="67"/>
  <c r="W22" i="67"/>
  <c r="V20" i="67"/>
  <c r="W20" i="67"/>
  <c r="U20" i="67"/>
  <c r="U17" i="67"/>
  <c r="W17" i="67"/>
  <c r="V17" i="67"/>
  <c r="R32" i="67"/>
  <c r="U32" i="67" l="1"/>
  <c r="W32" i="67"/>
  <c r="V32" i="67"/>
  <c r="I30" i="5" l="1"/>
  <c r="F30" i="5"/>
  <c r="L30" i="5"/>
  <c r="H30" i="5"/>
  <c r="D30" i="5"/>
  <c r="N29" i="5"/>
  <c r="M22" i="32" s="1"/>
  <c r="N28" i="5"/>
  <c r="M21" i="32" s="1"/>
  <c r="N27" i="5"/>
  <c r="M20" i="32" s="1"/>
  <c r="N26" i="5"/>
  <c r="M16" i="32" s="1"/>
  <c r="L15" i="5"/>
  <c r="H15" i="5"/>
  <c r="D15" i="5"/>
  <c r="J15" i="5"/>
  <c r="F15" i="5"/>
  <c r="K15" i="5"/>
  <c r="G15" i="5"/>
  <c r="C15" i="5"/>
  <c r="L22" i="32"/>
  <c r="K11" i="36"/>
  <c r="L21" i="32"/>
  <c r="J11" i="36"/>
  <c r="L20" i="32"/>
  <c r="I11" i="36"/>
  <c r="L16" i="32"/>
  <c r="H11" i="36"/>
  <c r="B15" i="5"/>
  <c r="L11" i="32"/>
  <c r="B24" i="5"/>
  <c r="F11" i="36"/>
  <c r="K30" i="5" l="1"/>
  <c r="N23" i="5"/>
  <c r="M10" i="32" s="1"/>
  <c r="E30" i="5"/>
  <c r="N25" i="5"/>
  <c r="M15" i="32" s="1"/>
  <c r="M17" i="32" s="1"/>
  <c r="G30" i="5"/>
  <c r="M30" i="5"/>
  <c r="J30" i="5"/>
  <c r="C30" i="5"/>
  <c r="M23" i="32"/>
  <c r="E15" i="5"/>
  <c r="M15" i="5"/>
  <c r="L10" i="32"/>
  <c r="L12" i="32" s="1"/>
  <c r="I15" i="5"/>
  <c r="E11" i="36"/>
  <c r="L23" i="32"/>
  <c r="G11" i="57"/>
  <c r="K32" i="36"/>
  <c r="K33" i="36" s="1"/>
  <c r="K14" i="36"/>
  <c r="J14" i="36"/>
  <c r="J32" i="36"/>
  <c r="J33" i="36" s="1"/>
  <c r="F11" i="57"/>
  <c r="I14" i="36"/>
  <c r="E11" i="57"/>
  <c r="I32" i="36"/>
  <c r="I33" i="36" s="1"/>
  <c r="H32" i="36"/>
  <c r="H33" i="36" s="1"/>
  <c r="H14" i="36"/>
  <c r="D11" i="57"/>
  <c r="L15" i="32"/>
  <c r="L17" i="32" s="1"/>
  <c r="G11" i="36"/>
  <c r="F32" i="36"/>
  <c r="F33" i="36" s="1"/>
  <c r="F14" i="36"/>
  <c r="N24" i="5"/>
  <c r="B30" i="5"/>
  <c r="G16" i="57" l="1"/>
  <c r="G21" i="57"/>
  <c r="F21" i="57"/>
  <c r="F16" i="57"/>
  <c r="E16" i="57"/>
  <c r="E21" i="57"/>
  <c r="J19" i="5"/>
  <c r="N15" i="5"/>
  <c r="D16" i="57"/>
  <c r="D21" i="57"/>
  <c r="L24" i="32"/>
  <c r="L25" i="32" s="1"/>
  <c r="G14" i="36"/>
  <c r="G32" i="36"/>
  <c r="G33" i="36" s="1"/>
  <c r="M11" i="32"/>
  <c r="M12" i="32" s="1"/>
  <c r="M24" i="32" s="1"/>
  <c r="N30" i="5"/>
  <c r="E32" i="36"/>
  <c r="E14" i="36"/>
  <c r="D11" i="36"/>
  <c r="G23" i="57" l="1"/>
  <c r="G24" i="57" s="1"/>
  <c r="F23" i="57"/>
  <c r="F24" i="57" s="1"/>
  <c r="D23" i="57"/>
  <c r="D24" i="57" s="1"/>
  <c r="E23" i="57"/>
  <c r="E24" i="57" s="1"/>
  <c r="D14" i="36"/>
  <c r="E16" i="36" s="1"/>
  <c r="D32" i="36"/>
  <c r="E33" i="36"/>
  <c r="D33" i="36" s="1"/>
  <c r="E17" i="36" l="1"/>
  <c r="E22" i="36"/>
  <c r="K16" i="36"/>
  <c r="I16" i="36"/>
  <c r="H16" i="36"/>
  <c r="J16" i="36"/>
  <c r="F16" i="36"/>
  <c r="G16" i="36"/>
  <c r="H22" i="36" l="1"/>
  <c r="H23" i="36" s="1"/>
  <c r="H17" i="36"/>
  <c r="E23" i="36"/>
  <c r="G22" i="36"/>
  <c r="G23" i="36" s="1"/>
  <c r="G17" i="36"/>
  <c r="I22" i="36"/>
  <c r="I23" i="36" s="1"/>
  <c r="I17" i="36"/>
  <c r="F17" i="36"/>
  <c r="F22" i="36"/>
  <c r="F23" i="36" s="1"/>
  <c r="K17" i="36"/>
  <c r="K22" i="36"/>
  <c r="K23" i="36" s="1"/>
  <c r="J17" i="36"/>
  <c r="J22" i="36"/>
  <c r="J23" i="36" s="1"/>
  <c r="D17" i="36" l="1"/>
  <c r="I47" i="36"/>
  <c r="I26" i="36"/>
  <c r="I27" i="36"/>
  <c r="I28" i="36" s="1"/>
  <c r="F47" i="36"/>
  <c r="F26" i="36"/>
  <c r="F27" i="36"/>
  <c r="F28" i="36" s="1"/>
  <c r="F24" i="36"/>
  <c r="G47" i="36"/>
  <c r="G27" i="36"/>
  <c r="G28" i="36" s="1"/>
  <c r="G26" i="36"/>
  <c r="D22" i="36"/>
  <c r="K47" i="36"/>
  <c r="K27" i="36"/>
  <c r="K28" i="36" s="1"/>
  <c r="K26" i="36"/>
  <c r="J47" i="36"/>
  <c r="J27" i="36"/>
  <c r="J28" i="36" s="1"/>
  <c r="J26" i="36"/>
  <c r="E47" i="36"/>
  <c r="E26" i="36"/>
  <c r="E27" i="36"/>
  <c r="E28" i="36" s="1"/>
  <c r="H26" i="36"/>
  <c r="H47" i="36"/>
  <c r="H27" i="36"/>
  <c r="H28" i="36" s="1"/>
  <c r="D26" i="36" l="1"/>
  <c r="C10" i="27"/>
  <c r="F10" i="27"/>
  <c r="H10" i="27"/>
  <c r="I10" i="27"/>
  <c r="E10" i="27"/>
  <c r="D10" i="27"/>
  <c r="G10" i="27"/>
  <c r="D36" i="59" l="1"/>
  <c r="G35" i="59"/>
  <c r="D37" i="59" l="1"/>
  <c r="E36" i="59"/>
  <c r="E37" i="59" s="1"/>
  <c r="E39" i="59" s="1"/>
  <c r="R11" i="67" l="1"/>
  <c r="O11" i="32" l="1"/>
  <c r="R16" i="67" l="1"/>
  <c r="R12" i="67"/>
  <c r="R14" i="67"/>
  <c r="R15" i="67"/>
  <c r="R13" i="67"/>
  <c r="R10" i="67" l="1"/>
  <c r="O21" i="32"/>
  <c r="R30" i="67"/>
  <c r="O16" i="32"/>
  <c r="R28" i="67"/>
  <c r="O20" i="32"/>
  <c r="R29" i="67"/>
  <c r="O15" i="32"/>
  <c r="R27" i="67"/>
  <c r="O22" i="32"/>
  <c r="R31" i="67"/>
  <c r="O17" i="32" l="1"/>
  <c r="O10" i="32"/>
  <c r="R23" i="67"/>
  <c r="R26" i="67"/>
  <c r="O23" i="32"/>
  <c r="O12" i="32" l="1"/>
  <c r="O24" i="32" s="1"/>
  <c r="O25" i="32" s="1"/>
  <c r="R33" i="67"/>
  <c r="M35" i="59" l="1"/>
  <c r="D36" i="36" l="1"/>
  <c r="I36" i="36" l="1"/>
  <c r="K36" i="36"/>
  <c r="F36" i="36"/>
  <c r="J36" i="36"/>
  <c r="G36" i="36"/>
  <c r="H36" i="36"/>
  <c r="E36" i="36"/>
  <c r="J48" i="36" l="1"/>
  <c r="J37" i="36"/>
  <c r="J39" i="36"/>
  <c r="J40" i="36" s="1"/>
  <c r="K37" i="36"/>
  <c r="K48" i="36"/>
  <c r="K39" i="36"/>
  <c r="K40" i="36" s="1"/>
  <c r="E48" i="36"/>
  <c r="E37" i="36"/>
  <c r="E39" i="36"/>
  <c r="E40" i="36" s="1"/>
  <c r="F37" i="36"/>
  <c r="F48" i="36"/>
  <c r="F38" i="36"/>
  <c r="F39" i="36"/>
  <c r="F40" i="36" s="1"/>
  <c r="H37" i="36"/>
  <c r="H48" i="36"/>
  <c r="H39" i="36"/>
  <c r="H40" i="36" s="1"/>
  <c r="G37" i="36"/>
  <c r="G39" i="36"/>
  <c r="G40" i="36" s="1"/>
  <c r="G48" i="36"/>
  <c r="I39" i="36"/>
  <c r="I40" i="36" s="1"/>
  <c r="I48" i="36"/>
  <c r="I37" i="36"/>
  <c r="D37" i="36" l="1"/>
  <c r="D11" i="27"/>
  <c r="D12" i="27" s="1"/>
  <c r="D28" i="27" s="1"/>
  <c r="F49" i="36"/>
  <c r="F51" i="36" s="1"/>
  <c r="F11" i="27"/>
  <c r="F12" i="27" s="1"/>
  <c r="F28" i="27" s="1"/>
  <c r="H49" i="36"/>
  <c r="H51" i="36" s="1"/>
  <c r="E11" i="27"/>
  <c r="E12" i="27" s="1"/>
  <c r="E28" i="27" s="1"/>
  <c r="G49" i="36"/>
  <c r="G51" i="36" s="1"/>
  <c r="C11" i="27"/>
  <c r="C12" i="27" s="1"/>
  <c r="C28" i="27" s="1"/>
  <c r="E49" i="36"/>
  <c r="E51" i="36" s="1"/>
  <c r="G11" i="27"/>
  <c r="G12" i="27" s="1"/>
  <c r="G28" i="27" s="1"/>
  <c r="I49" i="36"/>
  <c r="I51" i="36" s="1"/>
  <c r="I11" i="27"/>
  <c r="I12" i="27" s="1"/>
  <c r="I28" i="27" s="1"/>
  <c r="K49" i="36"/>
  <c r="K51" i="36" s="1"/>
  <c r="H11" i="27"/>
  <c r="H12" i="27" s="1"/>
  <c r="H28" i="27" s="1"/>
  <c r="J49" i="36"/>
  <c r="J51" i="36" s="1"/>
  <c r="F34" i="75" l="1"/>
  <c r="E22" i="32"/>
  <c r="K54" i="36"/>
  <c r="K55" i="36" s="1"/>
  <c r="I34" i="27" s="1"/>
  <c r="I14" i="27"/>
  <c r="I29" i="27" s="1"/>
  <c r="F19" i="75"/>
  <c r="E16" i="32"/>
  <c r="F14" i="27"/>
  <c r="F29" i="27" s="1"/>
  <c r="H54" i="36"/>
  <c r="H55" i="36" s="1"/>
  <c r="F34" i="27" s="1"/>
  <c r="F29" i="75"/>
  <c r="H14" i="27"/>
  <c r="H29" i="27" s="1"/>
  <c r="E21" i="32"/>
  <c r="J54" i="36"/>
  <c r="J55" i="36" s="1"/>
  <c r="H34" i="27" s="1"/>
  <c r="F16" i="75"/>
  <c r="G54" i="36"/>
  <c r="G55" i="36" s="1"/>
  <c r="E34" i="27" s="1"/>
  <c r="E15" i="32"/>
  <c r="E14" i="27"/>
  <c r="E29" i="27" s="1"/>
  <c r="F13" i="75"/>
  <c r="F52" i="36"/>
  <c r="D14" i="27" s="1"/>
  <c r="D29" i="27" s="1"/>
  <c r="E11" i="32"/>
  <c r="F54" i="36"/>
  <c r="F55" i="36" s="1"/>
  <c r="D34" i="27" s="1"/>
  <c r="F10" i="75"/>
  <c r="E54" i="36"/>
  <c r="E55" i="36" s="1"/>
  <c r="C34" i="27" s="1"/>
  <c r="C14" i="27"/>
  <c r="C29" i="27" s="1"/>
  <c r="G32" i="59"/>
  <c r="E10" i="32"/>
  <c r="F24" i="75"/>
  <c r="E20" i="32"/>
  <c r="I54" i="36"/>
  <c r="I55" i="36" s="1"/>
  <c r="G34" i="27" s="1"/>
  <c r="G14" i="27"/>
  <c r="G29" i="27" s="1"/>
  <c r="H10" i="75" l="1"/>
  <c r="I10" i="75" s="1"/>
  <c r="H29" i="75"/>
  <c r="H31" i="75" s="1"/>
  <c r="H19" i="75"/>
  <c r="H21" i="75" s="1"/>
  <c r="H34" i="75"/>
  <c r="I34" i="75" s="1"/>
  <c r="H13" i="75"/>
  <c r="I13" i="75" s="1"/>
  <c r="J13" i="75" s="1"/>
  <c r="H16" i="75"/>
  <c r="I16" i="75" s="1"/>
  <c r="J16" i="75" s="1"/>
  <c r="H24" i="75"/>
  <c r="I24" i="75" s="1"/>
  <c r="M32" i="59"/>
  <c r="G36" i="59"/>
  <c r="I29" i="75" l="1"/>
  <c r="J29" i="75" s="1"/>
  <c r="S12" i="67"/>
  <c r="H26" i="75"/>
  <c r="I19" i="75"/>
  <c r="J19" i="75" s="1"/>
  <c r="H36" i="75"/>
  <c r="S11" i="67"/>
  <c r="G37" i="59"/>
  <c r="H36" i="59"/>
  <c r="H37" i="59" s="1"/>
  <c r="H39" i="59" s="1"/>
  <c r="H40" i="59" s="1"/>
  <c r="H41" i="59" s="1"/>
  <c r="J34" i="75"/>
  <c r="I36" i="75"/>
  <c r="S10" i="67"/>
  <c r="J10" i="75"/>
  <c r="I26" i="75"/>
  <c r="J24" i="75"/>
  <c r="I21" i="75" l="1"/>
  <c r="J21" i="75" s="1"/>
  <c r="P15" i="32"/>
  <c r="U12" i="67"/>
  <c r="S27" i="67"/>
  <c r="U27" i="67" s="1"/>
  <c r="I31" i="75"/>
  <c r="J31" i="75" s="1"/>
  <c r="P11" i="32"/>
  <c r="H38" i="75"/>
  <c r="U11" i="67"/>
  <c r="P10" i="32"/>
  <c r="S26" i="67"/>
  <c r="U10" i="67"/>
  <c r="J36" i="75"/>
  <c r="S16" i="67"/>
  <c r="S14" i="67"/>
  <c r="J26" i="75"/>
  <c r="S13" i="67" l="1"/>
  <c r="S15" i="67"/>
  <c r="I38" i="75"/>
  <c r="J38" i="75" s="1"/>
  <c r="P12" i="32"/>
  <c r="S29" i="67"/>
  <c r="P20" i="32"/>
  <c r="U14" i="67"/>
  <c r="U26" i="67"/>
  <c r="P22" i="32"/>
  <c r="S31" i="67"/>
  <c r="U16" i="67"/>
  <c r="P16" i="32"/>
  <c r="P17" i="32" s="1"/>
  <c r="S28" i="67"/>
  <c r="U13" i="67"/>
  <c r="P21" i="32" l="1"/>
  <c r="P23" i="32" s="1"/>
  <c r="P24" i="32" s="1"/>
  <c r="P25" i="32" s="1"/>
  <c r="S30" i="67"/>
  <c r="U30" i="67" s="1"/>
  <c r="S23" i="67"/>
  <c r="U15" i="67"/>
  <c r="U28" i="67"/>
  <c r="U31" i="67"/>
  <c r="U29" i="67"/>
  <c r="S33" i="67" l="1"/>
  <c r="U33" i="67" s="1"/>
  <c r="I39" i="75"/>
  <c r="U23" i="67"/>
  <c r="J16" i="32" l="1"/>
  <c r="R16" i="32" s="1"/>
  <c r="J21" i="32"/>
  <c r="R21" i="32" s="1"/>
  <c r="J15" i="32"/>
  <c r="R15" i="32" s="1"/>
  <c r="J20" i="32"/>
  <c r="R20" i="32" s="1"/>
  <c r="J22" i="32"/>
  <c r="R22" i="32" s="1"/>
  <c r="T27" i="67"/>
  <c r="V12" i="67"/>
  <c r="Q15" i="32"/>
  <c r="W12" i="67"/>
  <c r="Q16" i="32"/>
  <c r="T28" i="67"/>
  <c r="V13" i="67"/>
  <c r="W13" i="67"/>
  <c r="M33" i="59"/>
  <c r="M36" i="59" s="1"/>
  <c r="J36" i="59"/>
  <c r="T30" i="67"/>
  <c r="Q21" i="32"/>
  <c r="V15" i="67"/>
  <c r="W15" i="67"/>
  <c r="Q20" i="32"/>
  <c r="W14" i="67"/>
  <c r="T29" i="67"/>
  <c r="V14" i="67"/>
  <c r="Q17" i="32" l="1"/>
  <c r="S22" i="32"/>
  <c r="T22" i="32"/>
  <c r="U22" i="32" s="1"/>
  <c r="S21" i="32"/>
  <c r="T21" i="32"/>
  <c r="U21" i="32" s="1"/>
  <c r="S20" i="32"/>
  <c r="R23" i="32"/>
  <c r="T23" i="32" s="1"/>
  <c r="U23" i="32" s="1"/>
  <c r="T20" i="32"/>
  <c r="U20" i="32" s="1"/>
  <c r="T16" i="32"/>
  <c r="U16" i="32" s="1"/>
  <c r="S16" i="32"/>
  <c r="J11" i="32"/>
  <c r="R11" i="32" s="1"/>
  <c r="S15" i="32"/>
  <c r="T15" i="32"/>
  <c r="U15" i="32" s="1"/>
  <c r="R17" i="32"/>
  <c r="T17" i="32" s="1"/>
  <c r="U17" i="32" s="1"/>
  <c r="V29" i="67"/>
  <c r="W29" i="67"/>
  <c r="K36" i="59"/>
  <c r="K37" i="59" s="1"/>
  <c r="K39" i="59" s="1"/>
  <c r="K40" i="59" s="1"/>
  <c r="K41" i="59" s="1"/>
  <c r="J37" i="59"/>
  <c r="V28" i="67"/>
  <c r="W28" i="67"/>
  <c r="T31" i="67"/>
  <c r="W16" i="67"/>
  <c r="Q22" i="32"/>
  <c r="Q23" i="32" s="1"/>
  <c r="V16" i="67"/>
  <c r="V30" i="67"/>
  <c r="W30" i="67"/>
  <c r="N36" i="59"/>
  <c r="N37" i="59" s="1"/>
  <c r="N39" i="59" s="1"/>
  <c r="N40" i="59" s="1"/>
  <c r="N41" i="59" s="1"/>
  <c r="M37" i="59"/>
  <c r="V27" i="67"/>
  <c r="W27" i="67"/>
  <c r="S11" i="32" l="1"/>
  <c r="T11" i="32"/>
  <c r="U11" i="32" s="1"/>
  <c r="J10" i="32"/>
  <c r="R10" i="32" s="1"/>
  <c r="T26" i="67"/>
  <c r="T23" i="67"/>
  <c r="Q10" i="32"/>
  <c r="V10" i="67"/>
  <c r="W10" i="67"/>
  <c r="V31" i="67"/>
  <c r="W31" i="67"/>
  <c r="V11" i="67"/>
  <c r="Q11" i="32"/>
  <c r="W11" i="67"/>
  <c r="R12" i="32" l="1"/>
  <c r="T10" i="32"/>
  <c r="U10" i="32" s="1"/>
  <c r="S10" i="32"/>
  <c r="Q12" i="32"/>
  <c r="Q24" i="32" s="1"/>
  <c r="Q25" i="32" s="1"/>
  <c r="V23" i="67"/>
  <c r="W23" i="67"/>
  <c r="T33" i="67"/>
  <c r="V26" i="67"/>
  <c r="W26" i="67"/>
  <c r="T12" i="32" l="1"/>
  <c r="U12" i="32" s="1"/>
  <c r="R24" i="32"/>
  <c r="R25" i="32" s="1"/>
  <c r="V33" i="67"/>
  <c r="W33" i="67"/>
</calcChain>
</file>

<file path=xl/comments1.xml><?xml version="1.0" encoding="utf-8"?>
<comments xmlns="http://schemas.openxmlformats.org/spreadsheetml/2006/main">
  <authors>
    <author>Kelly Xu</author>
  </authors>
  <commentList>
    <comment ref="H10" authorId="0" shapeId="0">
      <text>
        <r>
          <rPr>
            <b/>
            <sz val="10"/>
            <color indexed="81"/>
            <rFont val="Tahoma"/>
            <family val="2"/>
          </rPr>
          <t>Puget Sound Energy Elena Zakharova: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Contract Demand for schedules 41,85,86,87 are the average actual demand for June through August 2021. </t>
        </r>
      </text>
    </comment>
    <comment ref="D44" authorId="0" shapeId="0">
      <text>
        <r>
          <rPr>
            <b/>
            <sz val="10"/>
            <color indexed="81"/>
            <rFont val="Tahoma"/>
            <family val="2"/>
          </rPr>
          <t>Elena Zakharova:</t>
        </r>
        <r>
          <rPr>
            <sz val="10"/>
            <color indexed="81"/>
            <rFont val="Tahoma"/>
            <family val="2"/>
          </rPr>
          <t xml:space="preserve">
Revenue Adjustment Factor per 2019 GRC compliance filing.</t>
        </r>
      </text>
    </comment>
  </commentList>
</comments>
</file>

<file path=xl/comments2.xml><?xml version="1.0" encoding="utf-8"?>
<comments xmlns="http://schemas.openxmlformats.org/spreadsheetml/2006/main">
  <authors>
    <author>Amy Burton</author>
    <author>Puget Sound Energy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Amy Burton:</t>
        </r>
        <r>
          <rPr>
            <sz val="9"/>
            <color indexed="81"/>
            <rFont val="Tahoma"/>
            <family val="2"/>
          </rPr>
          <t xml:space="preserve">
includes fuel for purchases, injections and withdrawals
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comments3.xml><?xml version="1.0" encoding="utf-8"?>
<comments xmlns="http://schemas.openxmlformats.org/spreadsheetml/2006/main">
  <authors>
    <author>Amy Burton</author>
    <author>Puget Sound Energy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Amy Burton:</t>
        </r>
        <r>
          <rPr>
            <sz val="9"/>
            <color indexed="81"/>
            <rFont val="Tahoma"/>
            <family val="2"/>
          </rPr>
          <t xml:space="preserve">
includes fuel for purchases, injections and withdrawals
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sharedStrings.xml><?xml version="1.0" encoding="utf-8"?>
<sst xmlns="http://schemas.openxmlformats.org/spreadsheetml/2006/main" count="561" uniqueCount="329">
  <si>
    <t>Billing</t>
  </si>
  <si>
    <t>Rate</t>
  </si>
  <si>
    <t>Sales</t>
  </si>
  <si>
    <t>Determinants</t>
  </si>
  <si>
    <t>per</t>
  </si>
  <si>
    <t>Commodity</t>
  </si>
  <si>
    <t>Demand</t>
  </si>
  <si>
    <t>(Dth)</t>
  </si>
  <si>
    <t>Dth/day</t>
  </si>
  <si>
    <t>Costs</t>
  </si>
  <si>
    <t>(a)</t>
  </si>
  <si>
    <t>(b)</t>
  </si>
  <si>
    <t>(c)</t>
  </si>
  <si>
    <t>(d)</t>
  </si>
  <si>
    <t>Total Capacity &amp; Gas Supply</t>
  </si>
  <si>
    <t>Total</t>
  </si>
  <si>
    <t>Schedule</t>
  </si>
  <si>
    <t>Puget Sound Energy</t>
  </si>
  <si>
    <t>Calculation of PGA Demand Rates</t>
  </si>
  <si>
    <t>Line</t>
  </si>
  <si>
    <t>Residential</t>
  </si>
  <si>
    <t>Commercial and Industrial</t>
  </si>
  <si>
    <t>Large Volume</t>
  </si>
  <si>
    <t>(c )</t>
  </si>
  <si>
    <t>(e)</t>
  </si>
  <si>
    <t>(g)</t>
  </si>
  <si>
    <t>(h)</t>
  </si>
  <si>
    <t>Calculation of PGA Commodity Rates</t>
  </si>
  <si>
    <t>Rates</t>
  </si>
  <si>
    <t>Change</t>
  </si>
  <si>
    <t>(f)</t>
  </si>
  <si>
    <t>16 (unit x 19)</t>
  </si>
  <si>
    <t>PGA Period</t>
  </si>
  <si>
    <t>Change Per Customer</t>
  </si>
  <si>
    <t>Annual</t>
  </si>
  <si>
    <t>Monthly</t>
  </si>
  <si>
    <t>Commercial &amp; Industrial</t>
  </si>
  <si>
    <t>Average</t>
  </si>
  <si>
    <t>Annual Sales Volume</t>
  </si>
  <si>
    <t>Schedule:</t>
  </si>
  <si>
    <t>Annual Sales:</t>
  </si>
  <si>
    <t>Current Pre-Tax Commodity Rate</t>
  </si>
  <si>
    <t>Percent Change</t>
  </si>
  <si>
    <t>Proposed Pre-Tax Commodity Rate</t>
  </si>
  <si>
    <t>Description</t>
  </si>
  <si>
    <t>Revenue Under Proposed Rates</t>
  </si>
  <si>
    <t>Revenue</t>
  </si>
  <si>
    <t>Current Commodity Rate (Sched. 101)</t>
  </si>
  <si>
    <t>Total Proposed PGA Rates</t>
  </si>
  <si>
    <t>Calculation of Proposed Schedule 101 Rates</t>
  </si>
  <si>
    <t>Total Residential</t>
  </si>
  <si>
    <t>Total Commercial &amp; Industrial</t>
  </si>
  <si>
    <t>Current</t>
  </si>
  <si>
    <t>Proposed</t>
  </si>
  <si>
    <t>Percent</t>
  </si>
  <si>
    <t>Volume (therms)</t>
  </si>
  <si>
    <t>Rate Sch</t>
  </si>
  <si>
    <t>Projected Sales Volume by Month (Therms)</t>
  </si>
  <si>
    <t>Summary of Proposed Schedule 101 Rate Changes</t>
  </si>
  <si>
    <t>Combined Annual and Monthly Customer Impact for PGA Period</t>
  </si>
  <si>
    <t>(1)</t>
  </si>
  <si>
    <t>(2)</t>
  </si>
  <si>
    <t>Total commodity includes firm and interrruptible sales, utility use, and distribution losses.</t>
  </si>
  <si>
    <t>Total gas supply is actual purchases including firm and interruptible sales, utility use, and distribution and transportation losses.</t>
  </si>
  <si>
    <t>Proposed Total Volumetric Rates</t>
  </si>
  <si>
    <t>Current Volumetric Demand Rates (Sched. 101)</t>
  </si>
  <si>
    <t>Current Gas Supply Demand Rates (Sched. 101)</t>
  </si>
  <si>
    <t>Contract Demand (therms)</t>
  </si>
  <si>
    <t>Current Volumetric Rates Including RAF (Schedule 101)</t>
  </si>
  <si>
    <t>Revenue Adjustment Factor (RAF)</t>
  </si>
  <si>
    <t>Schedule 101 Rates Including RAF</t>
  </si>
  <si>
    <t>Proposed Pre-Tax Volumetric Rate</t>
  </si>
  <si>
    <t>Current Pre-Tax Volumetric Rate</t>
  </si>
  <si>
    <t>Proposed Pre-Tax Gas Supply Demand Rate (1)</t>
  </si>
  <si>
    <t>Current Pre-Tax Gas Supply Demand Rate (1)</t>
  </si>
  <si>
    <t>(1) Gas supply demand charge is billed based on contract or fixed demand.</t>
  </si>
  <si>
    <t>Proposed Pre-Tax Volumetric Demand Rate</t>
  </si>
  <si>
    <t xml:space="preserve">Current Pre-Tax Volumetric Demand Rate </t>
  </si>
  <si>
    <t>Proposed Volumetric Rate Including RAF</t>
  </si>
  <si>
    <t>Total Current Volumetric Rate Including RAF</t>
  </si>
  <si>
    <t>Total Proposed Volumetric Rate Change, Before RAF (line 3 - line 11)</t>
  </si>
  <si>
    <t>Total Proposed Volumetric Rate Change, Including RAF (line 6 - line 14)</t>
  </si>
  <si>
    <t>Proposed Gas Supply Demand Rate Change, Before RAF (line 7 - line 15)</t>
  </si>
  <si>
    <t>Proposed Gas Supply Demand Rate Change, Including RAF (line 8 - line 16)</t>
  </si>
  <si>
    <t>Low income charge (Schedule 129)</t>
  </si>
  <si>
    <t>Conservation charge (Schedule 120)</t>
  </si>
  <si>
    <t>Deferral amortization (Schedule 106)</t>
  </si>
  <si>
    <t>Cost of gas (Schedule 101)</t>
  </si>
  <si>
    <t>Total volumetric charges</t>
  </si>
  <si>
    <t>Delivery charge (Schedule 23)</t>
  </si>
  <si>
    <t>Total monthly bill</t>
  </si>
  <si>
    <t>Change from bill under current rates</t>
  </si>
  <si>
    <t>Percent change from bill under current rates</t>
  </si>
  <si>
    <t>Customer charge ($/month)</t>
  </si>
  <si>
    <t>Volumetric charges ($/therm)</t>
  </si>
  <si>
    <t>from</t>
  </si>
  <si>
    <t>Previous PGA</t>
  </si>
  <si>
    <t xml:space="preserve">Proposed Gas Supply Demand Rate Including RAF </t>
  </si>
  <si>
    <t>Current Gas Supply Demand Rate Including RAF</t>
  </si>
  <si>
    <t>Projected Annual Commodity Cost (Revenue Requirement)</t>
  </si>
  <si>
    <t>Volume</t>
  </si>
  <si>
    <t>Rate Class</t>
  </si>
  <si>
    <t>A</t>
  </si>
  <si>
    <t>B</t>
  </si>
  <si>
    <t>C</t>
  </si>
  <si>
    <t>H</t>
  </si>
  <si>
    <t>Gas Supply Demand Charge Including Revenue Adjustment Factor</t>
  </si>
  <si>
    <t>Change in Average Rate per Therm</t>
  </si>
  <si>
    <t>Rate Schedule</t>
  </si>
  <si>
    <t>Billing Determinants</t>
  </si>
  <si>
    <t>Proposed Contract Demand Rate Including RAF</t>
  </si>
  <si>
    <t>Contract Demand Revenue Under Proposed Rates</t>
  </si>
  <si>
    <t>Proposed Average Rate per Therm</t>
  </si>
  <si>
    <t>Revenue Under Current Rates</t>
  </si>
  <si>
    <t>Current Contract Demand Rates Including RAF</t>
  </si>
  <si>
    <t>Contract Demand Revenue Under Current Rates</t>
  </si>
  <si>
    <t>Current Average Rate per Therm</t>
  </si>
  <si>
    <t>Interruptible</t>
  </si>
  <si>
    <t>Total Interruptible</t>
  </si>
  <si>
    <t>Customers (1)</t>
  </si>
  <si>
    <t>(1) Average customers for schedule 16 is the average numbers of mantles</t>
  </si>
  <si>
    <t>(2) Includes gas supply demand charge.</t>
  </si>
  <si>
    <t>Total Percentage Change Including RAF (2)</t>
  </si>
  <si>
    <t>Charges</t>
  </si>
  <si>
    <t>Subtotal</t>
  </si>
  <si>
    <t>Merger rate credit (Schedule 132)</t>
  </si>
  <si>
    <t>Total volumetric rates less gas costs</t>
  </si>
  <si>
    <t>Current Rates</t>
  </si>
  <si>
    <t>Schedule 101 Change</t>
  </si>
  <si>
    <t xml:space="preserve">Rates </t>
  </si>
  <si>
    <t>Effective date:</t>
  </si>
  <si>
    <t>Basic charge</t>
  </si>
  <si>
    <t>Property tax charge (Schedule 140)</t>
  </si>
  <si>
    <t>Decoupling charge (Schedule 142)</t>
  </si>
  <si>
    <t>Forecasted Sales Volumes and Customer Counts</t>
  </si>
  <si>
    <t>Number of Customers by Month</t>
  </si>
  <si>
    <t>16 (1)</t>
  </si>
  <si>
    <t>(1) Number of mantles</t>
  </si>
  <si>
    <t>41T</t>
  </si>
  <si>
    <t>85T</t>
  </si>
  <si>
    <t>Limited Interruptible</t>
  </si>
  <si>
    <t>86T</t>
  </si>
  <si>
    <t>87T</t>
  </si>
  <si>
    <t>Forecasted</t>
  </si>
  <si>
    <t>Volume (Therms)</t>
  </si>
  <si>
    <t>CRM Charge (Schedule 149)</t>
  </si>
  <si>
    <t>Puget Sound Energy - Gas</t>
  </si>
  <si>
    <t>Summary of Gas Cost Allocation</t>
  </si>
  <si>
    <t>Compliance Filing Test Year With Gas</t>
  </si>
  <si>
    <t>Line No.</t>
  </si>
  <si>
    <t>Residential (16,23,53)</t>
  </si>
  <si>
    <t>Unit Demand Costs from Cost Study (1)</t>
  </si>
  <si>
    <t>Percent of Total Demand Cost</t>
  </si>
  <si>
    <t>Proposed Gas Supply Demand Rates (Sched. 101)</t>
  </si>
  <si>
    <t>Projected Annual Demand Cost (Revenue Requirement) (2)</t>
  </si>
  <si>
    <t>(2) Allocated based on line 6</t>
  </si>
  <si>
    <t>Estimated PGA Revenue Under Cost of Service Rates (line 4 x line 5)</t>
  </si>
  <si>
    <t>Revenue Under Proposed Gas Supply Demand Rates (line 3 x line 9)</t>
  </si>
  <si>
    <t>Revenue Requirement for Volumetric Charge (line 7 - line 10)</t>
  </si>
  <si>
    <t>Proposed Volumetric Demand Rates (line 11 / line 4)</t>
  </si>
  <si>
    <t>Proposed Schedule 16 Rate per Mantle (line 12 x 19)</t>
  </si>
  <si>
    <t>Proposed Total Demand Revenue ((line 2 x line 12) + (line 3 x line 9))</t>
  </si>
  <si>
    <t>Total Forecasted</t>
  </si>
  <si>
    <t>Margin</t>
  </si>
  <si>
    <t>Margin Rate</t>
  </si>
  <si>
    <t>$/Therm</t>
  </si>
  <si>
    <t>Margin Revenue</t>
  </si>
  <si>
    <t>D</t>
  </si>
  <si>
    <t xml:space="preserve">F </t>
  </si>
  <si>
    <t>I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</si>
  <si>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</si>
  <si>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</si>
  <si>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</si>
  <si>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</si>
  <si>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</si>
  <si>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</si>
  <si>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</si>
  <si>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</si>
  <si>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</si>
  <si>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</si>
  <si>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Non-exclusive Interruptible</t>
  </si>
  <si>
    <t>Commercial &amp; Industrial Transportation</t>
  </si>
  <si>
    <t>31T</t>
  </si>
  <si>
    <t>Large Volume Transportation</t>
  </si>
  <si>
    <t>Interruptible Transportation</t>
  </si>
  <si>
    <t>Limited Interruptible Transportation</t>
  </si>
  <si>
    <t>Non-exclusive Interruptible Transportation</t>
  </si>
  <si>
    <t>Contracts</t>
  </si>
  <si>
    <t>By Customer Class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</si>
  <si>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</si>
  <si>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</si>
  <si>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</si>
  <si>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</si>
  <si>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</si>
  <si>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Percent Change in Volumetric Demand Rate</t>
  </si>
  <si>
    <t>Proposed Change in Volumetric Demand Rate (line 12 - line 2)</t>
  </si>
  <si>
    <t>Revenue Under Current Rates (line 17 x line 18)</t>
  </si>
  <si>
    <t>Proposed Commodity Rates (line 20 / line 18)</t>
  </si>
  <si>
    <t>Revenue Under Proposed Rates (line 21 x line 18)</t>
  </si>
  <si>
    <t>Schedule 16 Rate per Mantle (line 21 x 19)</t>
  </si>
  <si>
    <t>Proposed Change in Commodity Rate (line 21 - line 17)</t>
  </si>
  <si>
    <t>Proposed Gas Supply Demand Charge (line 9)</t>
  </si>
  <si>
    <t>Proposed Gas Supply Demand Charge Including RAF (line 26 x (1 + line 27))</t>
  </si>
  <si>
    <t>Proposed Volumetric Demand Rates (line 14)</t>
  </si>
  <si>
    <t>Proposed Commodity Rates (line 21)</t>
  </si>
  <si>
    <t>Proposed Total Volumetric Rates Including RAF (line 31 x (1 + line 27))</t>
  </si>
  <si>
    <t>Schedule 16 Rate per Mantle (line 32 x 19)</t>
  </si>
  <si>
    <t>Proposed Volumetric Change Including RAF (line 32 - line 34)</t>
  </si>
  <si>
    <t>Sources: Exhibit PGA-1</t>
  </si>
  <si>
    <t>Shaded Information is Designated as CONFIDENTIAL per WAC 480-07-160</t>
  </si>
  <si>
    <t>Revenue Adjustment Factor Calculation</t>
  </si>
  <si>
    <t>Operating Revenue Deduction (Bad Debt Rate)</t>
  </si>
  <si>
    <t>State Utility Tax Rate</t>
  </si>
  <si>
    <t>WUTC Filing Fee</t>
  </si>
  <si>
    <t>Bad Debt</t>
  </si>
  <si>
    <t>Net St Utility Tax = [(1-Bad Debt)*State Utility Tax Rate]</t>
  </si>
  <si>
    <t>WUTC Fee</t>
  </si>
  <si>
    <t>Sum</t>
  </si>
  <si>
    <t>1-Sum</t>
  </si>
  <si>
    <t>1/(1-Sum)</t>
  </si>
  <si>
    <t>Rate Change Impacts by Rate Schedule</t>
  </si>
  <si>
    <t>Sch 101</t>
  </si>
  <si>
    <t>Sch 106</t>
  </si>
  <si>
    <t>Sch 120</t>
  </si>
  <si>
    <t>Sch 129</t>
  </si>
  <si>
    <t>Sch 140</t>
  </si>
  <si>
    <t>Sch 141</t>
  </si>
  <si>
    <t>Sch 141X</t>
  </si>
  <si>
    <t>Sch 141Y</t>
  </si>
  <si>
    <t>Sch 142</t>
  </si>
  <si>
    <t>Sch 149</t>
  </si>
  <si>
    <r>
      <t>(Therms)</t>
    </r>
    <r>
      <rPr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</si>
  <si>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vertAlign val="superscript"/>
        <sz val="8"/>
        <color theme="1"/>
        <rFont val="Arial"/>
        <family val="2"/>
      </rPr>
      <t xml:space="preserve"> (1)</t>
    </r>
  </si>
  <si>
    <t>Revenue (3)</t>
  </si>
  <si>
    <t>E=D/C</t>
  </si>
  <si>
    <t xml:space="preserve">G=E*F </t>
  </si>
  <si>
    <t xml:space="preserve">R </t>
  </si>
  <si>
    <t xml:space="preserve">S </t>
  </si>
  <si>
    <t>ERF adjusting charge (Schedule 141)</t>
  </si>
  <si>
    <t xml:space="preserve">Combined </t>
  </si>
  <si>
    <t>EDIT adjusting charge (Schedule 141X)</t>
  </si>
  <si>
    <t>Tax Reform Credit (Schedule 141Y)</t>
  </si>
  <si>
    <t>Deferral amortization (Schedule 106A Supplemental)</t>
  </si>
  <si>
    <t>Deferral amortization (Schedule 106B Supplemental)</t>
  </si>
  <si>
    <t xml:space="preserve">Revenue Impacts </t>
  </si>
  <si>
    <t>Combined</t>
  </si>
  <si>
    <t>U= S/R</t>
  </si>
  <si>
    <t>V= T/R</t>
  </si>
  <si>
    <t>W= S+T/R</t>
  </si>
  <si>
    <t>T</t>
  </si>
  <si>
    <t>cross check</t>
  </si>
  <si>
    <t>% Change</t>
  </si>
  <si>
    <t xml:space="preserve">Revenue </t>
  </si>
  <si>
    <t>Schedule 106 Change (Including Supplemental 106A &amp; 106B)</t>
  </si>
  <si>
    <t>Schedule 106 Rates                  (Including Supplemental 106A &amp; 106B)           Including RAF</t>
  </si>
  <si>
    <t>Schedules 101 and 106 (Including Supplemental 106A &amp; 106B)</t>
  </si>
  <si>
    <t>(Including Supplemental 106A &amp; 106B)</t>
  </si>
  <si>
    <t>Typical Residential Bill Impacts of Proposed Changes to Schedule 101 and 106 Rates (Including Supplemental 106A &amp; 106B)</t>
  </si>
  <si>
    <t>Sch 106 (Including Supplemental 106A &amp; 106B)</t>
  </si>
  <si>
    <t>Total Annual</t>
  </si>
  <si>
    <t>November 1, 2020</t>
  </si>
  <si>
    <t>2019 GRC (UG-190530)</t>
  </si>
  <si>
    <t>2019 GRC (UG-190530) - Test Year Ended December 31, 2018</t>
  </si>
  <si>
    <t>Source: 2019 Gas General Rate Case, Cost of service model.</t>
  </si>
  <si>
    <t>E</t>
  </si>
  <si>
    <t>F</t>
  </si>
  <si>
    <t>G</t>
  </si>
  <si>
    <t>Units</t>
  </si>
  <si>
    <t>Res
16, 23 &amp; 53</t>
  </si>
  <si>
    <t>Commercial &amp; Industrial
31 &amp; 31T</t>
  </si>
  <si>
    <t>Large Volume
41 &amp; 41T</t>
  </si>
  <si>
    <t>Interruptible
85 &amp; 85T</t>
  </si>
  <si>
    <t>Limited Interruptible
86 &amp; 86T</t>
  </si>
  <si>
    <t>Non-Exclusive Interruptible
87 &amp; 87T</t>
  </si>
  <si>
    <t>Spl Contracts</t>
  </si>
  <si>
    <t>Annual Throughput (Sales &amp; Transport Excluding Spl Contracts)</t>
  </si>
  <si>
    <t>(Therms)</t>
  </si>
  <si>
    <t>Annual Sales</t>
  </si>
  <si>
    <t>Nov-Mar Winter Throughput (Sales &amp; Transport Excluding Spl Contracts)</t>
  </si>
  <si>
    <t>Nov-Mar Winter Sales</t>
  </si>
  <si>
    <t>Design Day Sales</t>
  </si>
  <si>
    <t>Cost Allocations</t>
  </si>
  <si>
    <t>Indication</t>
  </si>
  <si>
    <t>Winter Sales</t>
  </si>
  <si>
    <t>Design Peak</t>
  </si>
  <si>
    <t>Sys.Balanc'g</t>
  </si>
  <si>
    <t>Williams Northwest Pipeline,  Gas Transmission Northwest, NGTL, Foothills</t>
  </si>
  <si>
    <t>YR Capacity</t>
  </si>
  <si>
    <t>TF-2 for PSE Owned Storage &amp; JP Leased</t>
  </si>
  <si>
    <t>TF-2</t>
  </si>
  <si>
    <t>Jackson Prairie Storage plus Williams Northwest Pipeline TF-2</t>
  </si>
  <si>
    <t>JP</t>
  </si>
  <si>
    <t>Delivered Product Peaking Contract</t>
  </si>
  <si>
    <t>PC</t>
  </si>
  <si>
    <t>Clay Basin Storage</t>
  </si>
  <si>
    <t>CB</t>
  </si>
  <si>
    <t>Illustrative Costs</t>
  </si>
  <si>
    <t>Clay Basin Storage + Credit for release of JP</t>
  </si>
  <si>
    <t>Illustrative Demand Component</t>
  </si>
  <si>
    <t>PGA Demand Component</t>
  </si>
  <si>
    <t>PGA System Balancing Component</t>
  </si>
  <si>
    <t>(1) Source: 2019 Gas General Rate Case, Cost of service model.</t>
  </si>
  <si>
    <r>
      <t xml:space="preserve">Summary of Projected Gas Costs for PGA Period </t>
    </r>
    <r>
      <rPr>
        <b/>
        <sz val="8"/>
        <color rgb="FF0000FF"/>
        <rFont val="Arial"/>
        <family val="2"/>
      </rPr>
      <t>November 2020 - October 2021</t>
    </r>
  </si>
  <si>
    <t>Sched 101</t>
  </si>
  <si>
    <t>Proposed Rates</t>
  </si>
  <si>
    <t>Schedule 23 Residential</t>
  </si>
  <si>
    <t>Delivery Charge</t>
  </si>
  <si>
    <t>Therms</t>
  </si>
  <si>
    <t>Schedule 16 Gas Lights</t>
  </si>
  <si>
    <t>Schedule 31 Commercial &amp; Industrial - Sales</t>
  </si>
  <si>
    <t>Schedule 41 Large Volume High Load Factor - Sales</t>
  </si>
  <si>
    <t>Delivery Charge:</t>
  </si>
  <si>
    <t>Demand Charge</t>
  </si>
  <si>
    <t>Schedule 85 Interruptible - Sales</t>
  </si>
  <si>
    <t>Schedule 86 Limited Interruptible - Sales</t>
  </si>
  <si>
    <t>Schedule 87 Non-exclusive Interruptible - Sales</t>
  </si>
  <si>
    <t>EDIT adjusting charge (Schedule 141Z)</t>
  </si>
  <si>
    <r>
      <t xml:space="preserve">Projected Volume </t>
    </r>
    <r>
      <rPr>
        <sz val="8"/>
        <color rgb="FF0000FF"/>
        <rFont val="Arial"/>
        <family val="2"/>
      </rPr>
      <t>Nov. 21 - Oct. 22</t>
    </r>
    <r>
      <rPr>
        <sz val="8"/>
        <rFont val="Arial"/>
        <family val="2"/>
      </rPr>
      <t xml:space="preserve"> (therms)</t>
    </r>
  </si>
  <si>
    <t>November 1, 2021</t>
  </si>
  <si>
    <t>Nov 21 - Oct 22</t>
  </si>
  <si>
    <r>
      <t xml:space="preserve">Summary of Projected Gas Costs for PGA Period </t>
    </r>
    <r>
      <rPr>
        <b/>
        <sz val="8"/>
        <color rgb="FF0000FF"/>
        <rFont val="Arial"/>
        <family val="2"/>
      </rPr>
      <t>November 2021 - October 2022</t>
    </r>
  </si>
  <si>
    <t>Source: 2021 Forecast customer counts and delivered volumes.</t>
  </si>
  <si>
    <t>12ME Oct 2022</t>
  </si>
  <si>
    <r>
      <rPr>
        <vertAlign val="superscript"/>
        <sz val="8"/>
        <rFont val="Arial"/>
        <family val="2"/>
      </rPr>
      <t xml:space="preserve">(1) </t>
    </r>
    <r>
      <rPr>
        <sz val="8"/>
        <rFont val="Arial"/>
        <family val="2"/>
      </rPr>
      <t>Rates for Schedule 23 customers in effect May 1, 2021</t>
    </r>
  </si>
  <si>
    <t>UG-190530</t>
  </si>
  <si>
    <t>(1) Weather normalized volume and margin for 12 months ending December 2018, at approved rates from UG-190530 GRC compliance filing. The rates do not include schedules 140, 141 and 142.</t>
  </si>
  <si>
    <t>(2) Forecasted revenues at current rates effective May 1, 2021.</t>
  </si>
  <si>
    <t>12ME Oct. 2022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</si>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</sst>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&quot;$&quot;#,##0.0000_);\(&quot;$&quot;#,##0.0000\)"/>
    <numFmt numFmtId="165" formatCode="&quot;$&quot;#,##0.0000"/>
    <numFmt numFmtId="166" formatCode="0.0000"/>
    <numFmt numFmtId="167" formatCode="&quot;$&quot;#,##0"/>
    <numFmt numFmtId="168" formatCode="&quot;$&quot;#,##0.000"/>
    <numFmt numFmtId="169" formatCode="_(&quot;$&quot;* #,##0_);_(&quot;$&quot;* \(#,##0\);_(&quot;$&quot;* &quot;-&quot;??_);_(@_)"/>
    <numFmt numFmtId="170" formatCode="0.0000%"/>
    <numFmt numFmtId="171" formatCode="&quot;$&quot;#,##0.00000"/>
    <numFmt numFmtId="172" formatCode="_(* #,##0_);_(* \(#,##0\);_(* &quot;-&quot;??_);_(@_)"/>
    <numFmt numFmtId="173" formatCode="0.000%"/>
    <numFmt numFmtId="174" formatCode="_(&quot;$&quot;* #,##0.00000_);_(&quot;$&quot;* \(#,##0.00000\);_(&quot;$&quot;* &quot;-&quot;??_);_(@_)"/>
    <numFmt numFmtId="175" formatCode="0.0%"/>
    <numFmt numFmtId="176" formatCode="&quot;$&quot;#,##0.00000_);[Red]\(&quot;$&quot;#,##0.00000\)"/>
    <numFmt numFmtId="177" formatCode="&quot;$&quot;#,##0.00000_);\(&quot;$&quot;#,##0.00000\)"/>
    <numFmt numFmtId="178" formatCode="#,##0.00000_);[Red]\(#,##0.00000\)"/>
    <numFmt numFmtId="179" formatCode="#,##0.00000_);\(#,##0.00000\)"/>
    <numFmt numFmtId="180" formatCode="_(* #,##0.00000_);_(* \(#,##0.00000\);_(* &quot;-&quot;??_);_(@_)"/>
    <numFmt numFmtId="181" formatCode="_(&quot;$&quot;* #,##0.00000_);_(&quot;$&quot;* \(#,##0.00000\);_(&quot;$&quot;* &quot;-&quot;?????_);_(@_)"/>
    <numFmt numFmtId="182" formatCode="_(&quot;$&quot;* #,##0.0000_);_(&quot;$&quot;* \(#,##0.0000\);_(&quot;$&quot;* &quot;-&quot;?????_);_(@_)"/>
    <numFmt numFmtId="183" formatCode="_(&quot;$&quot;* #,##0.00_);_(&quot;$&quot;* \(#,##0.00\);_(&quot;$&quot;* &quot;-&quot;?????_);_(@_)"/>
    <numFmt numFmtId="184" formatCode="_(&quot;$&quot;* #,##0.00_);_(&quot;$&quot;* \(#,##0.00\);_(&quot;$&quot;* &quot;-&quot;_);_(@_)"/>
    <numFmt numFmtId="185" formatCode="0.000000%"/>
    <numFmt numFmtId="186" formatCode="_(* #,##0.0000000_);_(* \(#,##0.0000000\);_(* &quot;-&quot;???????_);_(@_)"/>
    <numFmt numFmtId="187" formatCode="_(* #,##0.0000000_);_(* \(#,##0.0000000\);_(* &quot;-&quot;??????_);_(@_)"/>
    <numFmt numFmtId="188" formatCode="_(* #,##0.0000_);_(* \(#,##0.000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8"/>
      <color rgb="FF008080"/>
      <name val="Arial"/>
      <family val="2"/>
    </font>
    <font>
      <b/>
      <sz val="8"/>
      <color rgb="FF009999"/>
      <name val="Arial"/>
      <family val="2"/>
    </font>
    <font>
      <sz val="8"/>
      <color rgb="FF009999"/>
      <name val="Arial"/>
      <family val="2"/>
    </font>
    <font>
      <sz val="8"/>
      <color indexed="21"/>
      <name val="Arial"/>
      <family val="2"/>
    </font>
    <font>
      <sz val="8"/>
      <color rgb="FF0000FF"/>
      <name val="Arial"/>
      <family val="2"/>
    </font>
    <font>
      <sz val="8"/>
      <color indexed="57"/>
      <name val="Arial"/>
      <family val="2"/>
    </font>
    <font>
      <sz val="8"/>
      <color rgb="FF008080"/>
      <name val="Arial"/>
      <family val="2"/>
    </font>
    <font>
      <sz val="8"/>
      <color indexed="12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sz val="8"/>
      <color rgb="FF0070C0"/>
      <name val="Arial"/>
      <family val="2"/>
    </font>
    <font>
      <sz val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/>
      <right style="medium">
        <color rgb="FFFFFF00"/>
      </right>
      <top/>
      <bottom/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/>
      <right style="medium">
        <color rgb="FFFFFF00"/>
      </right>
      <top/>
      <bottom style="thin">
        <color indexed="64"/>
      </bottom>
      <diagonal/>
    </border>
    <border>
      <left style="medium">
        <color rgb="FFFFFF00"/>
      </left>
      <right/>
      <top style="thin">
        <color indexed="64"/>
      </top>
      <bottom/>
      <diagonal/>
    </border>
  </borders>
  <cellStyleXfs count="10">
    <xf numFmtId="0" fontId="0" fillId="0" borderId="0"/>
    <xf numFmtId="44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3" borderId="2" applyNumberFormat="0">
      <alignment horizontal="center" vertical="center" wrapText="1"/>
    </xf>
    <xf numFmtId="0" fontId="2" fillId="0" borderId="0"/>
    <xf numFmtId="0" fontId="1" fillId="0" borderId="0"/>
    <xf numFmtId="9" fontId="2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574">
    <xf numFmtId="0" fontId="0" fillId="0" borderId="0" xfId="0"/>
    <xf numFmtId="0" fontId="12" fillId="0" borderId="0" xfId="0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4" fillId="0" borderId="0" xfId="0" applyFont="1"/>
    <xf numFmtId="0" fontId="13" fillId="0" borderId="0" xfId="0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4" fillId="0" borderId="0" xfId="0" applyFont="1" applyFill="1"/>
    <xf numFmtId="0" fontId="4" fillId="0" borderId="7" xfId="0" applyFont="1" applyBorder="1"/>
    <xf numFmtId="0" fontId="4" fillId="0" borderId="2" xfId="0" applyFont="1" applyBorder="1" applyAlignment="1">
      <alignment horizontal="centerContinuous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4" fontId="15" fillId="0" borderId="0" xfId="1" applyFont="1" applyBorder="1" applyAlignment="1">
      <alignment horizontal="center"/>
    </xf>
    <xf numFmtId="0" fontId="4" fillId="0" borderId="0" xfId="0" applyFont="1" applyBorder="1"/>
    <xf numFmtId="181" fontId="15" fillId="0" borderId="0" xfId="0" applyNumberFormat="1" applyFont="1" applyFill="1" applyBorder="1"/>
    <xf numFmtId="37" fontId="4" fillId="0" borderId="0" xfId="0" applyNumberFormat="1" applyFont="1"/>
    <xf numFmtId="2" fontId="4" fillId="0" borderId="0" xfId="0" applyNumberFormat="1" applyFont="1"/>
    <xf numFmtId="3" fontId="4" fillId="0" borderId="0" xfId="0" applyNumberFormat="1" applyFont="1"/>
    <xf numFmtId="3" fontId="18" fillId="0" borderId="0" xfId="0" applyNumberFormat="1" applyFont="1"/>
    <xf numFmtId="181" fontId="19" fillId="0" borderId="0" xfId="0" applyNumberFormat="1" applyFont="1"/>
    <xf numFmtId="42" fontId="4" fillId="0" borderId="0" xfId="0" applyNumberFormat="1" applyFont="1"/>
    <xf numFmtId="44" fontId="4" fillId="0" borderId="0" xfId="0" applyNumberFormat="1" applyFont="1"/>
    <xf numFmtId="175" fontId="4" fillId="0" borderId="0" xfId="0" applyNumberFormat="1" applyFont="1"/>
    <xf numFmtId="44" fontId="17" fillId="0" borderId="0" xfId="0" applyNumberFormat="1" applyFont="1" applyFill="1"/>
    <xf numFmtId="174" fontId="4" fillId="0" borderId="0" xfId="0" applyNumberFormat="1" applyFont="1"/>
    <xf numFmtId="181" fontId="4" fillId="0" borderId="0" xfId="0" applyNumberFormat="1" applyFont="1" applyBorder="1"/>
    <xf numFmtId="175" fontId="4" fillId="0" borderId="0" xfId="0" applyNumberFormat="1" applyFont="1" applyFill="1"/>
    <xf numFmtId="0" fontId="12" fillId="0" borderId="0" xfId="0" applyFont="1"/>
    <xf numFmtId="181" fontId="4" fillId="0" borderId="0" xfId="0" applyNumberFormat="1" applyFont="1" applyFill="1" applyBorder="1"/>
    <xf numFmtId="181" fontId="4" fillId="0" borderId="0" xfId="0" applyNumberFormat="1" applyFont="1"/>
    <xf numFmtId="9" fontId="4" fillId="0" borderId="0" xfId="0" applyNumberFormat="1" applyFont="1"/>
    <xf numFmtId="42" fontId="4" fillId="0" borderId="0" xfId="0" applyNumberFormat="1" applyFont="1" applyFill="1"/>
    <xf numFmtId="184" fontId="4" fillId="0" borderId="0" xfId="0" applyNumberFormat="1" applyFont="1"/>
    <xf numFmtId="0" fontId="4" fillId="0" borderId="0" xfId="0" applyFont="1" applyAlignment="1"/>
    <xf numFmtId="170" fontId="15" fillId="0" borderId="0" xfId="0" applyNumberFormat="1" applyFont="1" applyFill="1" applyBorder="1"/>
    <xf numFmtId="181" fontId="4" fillId="0" borderId="3" xfId="0" applyNumberFormat="1" applyFont="1" applyBorder="1"/>
    <xf numFmtId="183" fontId="4" fillId="0" borderId="0" xfId="0" applyNumberFormat="1" applyFont="1"/>
    <xf numFmtId="177" fontId="4" fillId="0" borderId="0" xfId="0" applyNumberFormat="1" applyFont="1"/>
    <xf numFmtId="181" fontId="15" fillId="0" borderId="0" xfId="0" applyNumberFormat="1" applyFont="1" applyFill="1"/>
    <xf numFmtId="0" fontId="4" fillId="0" borderId="0" xfId="0" applyFont="1" applyAlignment="1">
      <alignment horizontal="left" textRotation="180"/>
    </xf>
    <xf numFmtId="0" fontId="1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Continuous"/>
    </xf>
    <xf numFmtId="5" fontId="4" fillId="0" borderId="0" xfId="0" applyNumberFormat="1" applyFont="1" applyFill="1"/>
    <xf numFmtId="6" fontId="4" fillId="0" borderId="0" xfId="0" applyNumberFormat="1" applyFont="1" applyFill="1"/>
    <xf numFmtId="0" fontId="4" fillId="0" borderId="0" xfId="0" applyFont="1" applyFill="1" applyBorder="1"/>
    <xf numFmtId="178" fontId="20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Continuous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center" wrapText="1"/>
    </xf>
    <xf numFmtId="17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81" fontId="16" fillId="0" borderId="0" xfId="0" applyNumberFormat="1" applyFont="1" applyFill="1" applyBorder="1"/>
    <xf numFmtId="44" fontId="16" fillId="0" borderId="0" xfId="0" applyNumberFormat="1" applyFont="1" applyFill="1" applyBorder="1"/>
    <xf numFmtId="181" fontId="19" fillId="0" borderId="0" xfId="0" applyNumberFormat="1" applyFont="1" applyFill="1" applyBorder="1"/>
    <xf numFmtId="181" fontId="4" fillId="0" borderId="3" xfId="0" applyNumberFormat="1" applyFont="1" applyFill="1" applyBorder="1"/>
    <xf numFmtId="44" fontId="4" fillId="0" borderId="3" xfId="0" applyNumberFormat="1" applyFont="1" applyFill="1" applyBorder="1"/>
    <xf numFmtId="44" fontId="4" fillId="0" borderId="0" xfId="0" applyNumberFormat="1" applyFont="1" applyFill="1" applyBorder="1" applyAlignment="1">
      <alignment horizontal="left"/>
    </xf>
    <xf numFmtId="183" fontId="16" fillId="0" borderId="0" xfId="0" applyNumberFormat="1" applyFont="1" applyFill="1" applyBorder="1"/>
    <xf numFmtId="44" fontId="4" fillId="0" borderId="0" xfId="0" applyNumberFormat="1" applyFont="1" applyFill="1" applyBorder="1"/>
    <xf numFmtId="179" fontId="4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175" fontId="16" fillId="0" borderId="0" xfId="0" applyNumberFormat="1" applyFont="1" applyFill="1" applyBorder="1"/>
    <xf numFmtId="175" fontId="4" fillId="0" borderId="0" xfId="0" applyNumberFormat="1" applyFont="1" applyFill="1" applyBorder="1"/>
    <xf numFmtId="170" fontId="19" fillId="0" borderId="0" xfId="0" applyNumberFormat="1" applyFont="1" applyFill="1" applyBorder="1"/>
    <xf numFmtId="175" fontId="12" fillId="0" borderId="0" xfId="0" applyNumberFormat="1" applyFont="1" applyFill="1" applyBorder="1"/>
    <xf numFmtId="173" fontId="20" fillId="0" borderId="0" xfId="0" applyNumberFormat="1" applyFont="1" applyFill="1" applyBorder="1"/>
    <xf numFmtId="0" fontId="4" fillId="0" borderId="0" xfId="0" quotePrefix="1" applyFont="1" applyFill="1" applyBorder="1" applyAlignment="1">
      <alignment horizontal="left"/>
    </xf>
    <xf numFmtId="185" fontId="20" fillId="0" borderId="0" xfId="0" applyNumberFormat="1" applyFont="1" applyFill="1" applyBorder="1"/>
    <xf numFmtId="0" fontId="12" fillId="0" borderId="0" xfId="0" applyFont="1" applyFill="1" applyAlignment="1"/>
    <xf numFmtId="0" fontId="12" fillId="0" borderId="0" xfId="0" applyFont="1" applyFill="1"/>
    <xf numFmtId="17" fontId="4" fillId="0" borderId="2" xfId="0" applyNumberFormat="1" applyFont="1" applyFill="1" applyBorder="1" applyAlignment="1">
      <alignment horizontal="center"/>
    </xf>
    <xf numFmtId="172" fontId="4" fillId="0" borderId="0" xfId="0" applyNumberFormat="1" applyFont="1" applyFill="1"/>
    <xf numFmtId="172" fontId="4" fillId="0" borderId="0" xfId="0" applyNumberFormat="1" applyFont="1" applyFill="1" applyBorder="1"/>
    <xf numFmtId="37" fontId="4" fillId="0" borderId="3" xfId="0" applyNumberFormat="1" applyFont="1" applyFill="1" applyBorder="1"/>
    <xf numFmtId="37" fontId="4" fillId="0" borderId="0" xfId="0" applyNumberFormat="1" applyFont="1" applyFill="1"/>
    <xf numFmtId="37" fontId="22" fillId="0" borderId="0" xfId="0" applyNumberFormat="1" applyFont="1" applyFill="1"/>
    <xf numFmtId="37" fontId="22" fillId="0" borderId="0" xfId="0" applyNumberFormat="1" applyFont="1" applyFill="1" applyBorder="1"/>
    <xf numFmtId="37" fontId="4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17" fontId="4" fillId="0" borderId="2" xfId="0" applyNumberFormat="1" applyFont="1" applyFill="1" applyBorder="1"/>
    <xf numFmtId="17" fontId="17" fillId="0" borderId="2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4" fillId="0" borderId="0" xfId="0" applyNumberFormat="1" applyFont="1" applyFill="1" applyAlignment="1"/>
    <xf numFmtId="0" fontId="12" fillId="0" borderId="0" xfId="0" applyNumberFormat="1" applyFont="1" applyFill="1" applyAlignment="1">
      <alignment horizontal="centerContinuous"/>
    </xf>
    <xf numFmtId="0" fontId="12" fillId="0" borderId="0" xfId="0" applyNumberFormat="1" applyFont="1" applyFill="1" applyAlignment="1"/>
    <xf numFmtId="41" fontId="12" fillId="0" borderId="2" xfId="0" applyNumberFormat="1" applyFont="1" applyFill="1" applyBorder="1" applyAlignment="1">
      <alignment horizontal="center" wrapText="1"/>
    </xf>
    <xf numFmtId="0" fontId="4" fillId="0" borderId="0" xfId="0" applyNumberFormat="1" applyFont="1" applyFill="1" applyAlignment="1">
      <alignment horizontal="center"/>
    </xf>
    <xf numFmtId="181" fontId="4" fillId="0" borderId="0" xfId="0" applyNumberFormat="1" applyFont="1" applyFill="1"/>
    <xf numFmtId="0" fontId="12" fillId="0" borderId="0" xfId="2" applyFont="1" applyAlignment="1">
      <alignment horizontal="centerContinuous"/>
    </xf>
    <xf numFmtId="0" fontId="12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12" fillId="0" borderId="0" xfId="2" applyFont="1" applyAlignment="1">
      <alignment horizontal="center"/>
    </xf>
    <xf numFmtId="0" fontId="4" fillId="0" borderId="0" xfId="2" applyNumberFormat="1" applyFont="1" applyAlignment="1">
      <alignment horizontal="center"/>
    </xf>
    <xf numFmtId="170" fontId="4" fillId="0" borderId="0" xfId="3" applyNumberFormat="1" applyFont="1" applyAlignment="1">
      <alignment horizontal="right"/>
    </xf>
    <xf numFmtId="0" fontId="4" fillId="0" borderId="0" xfId="2" applyFont="1" applyAlignment="1">
      <alignment horizontal="right"/>
    </xf>
    <xf numFmtId="0" fontId="4" fillId="0" borderId="0" xfId="2" quotePrefix="1" applyFont="1" applyAlignment="1">
      <alignment horizontal="right"/>
    </xf>
    <xf numFmtId="0" fontId="23" fillId="0" borderId="0" xfId="6" applyFont="1"/>
    <xf numFmtId="3" fontId="4" fillId="0" borderId="0" xfId="6" applyNumberFormat="1" applyFont="1" applyFill="1" applyBorder="1"/>
    <xf numFmtId="181" fontId="4" fillId="0" borderId="0" xfId="6" applyNumberFormat="1" applyFont="1" applyFill="1" applyBorder="1"/>
    <xf numFmtId="181" fontId="4" fillId="0" borderId="0" xfId="6" applyNumberFormat="1" applyFont="1" applyFill="1"/>
    <xf numFmtId="175" fontId="4" fillId="0" borderId="0" xfId="6" applyNumberFormat="1" applyFont="1"/>
    <xf numFmtId="10" fontId="4" fillId="0" borderId="0" xfId="6" applyNumberFormat="1" applyFont="1"/>
    <xf numFmtId="0" fontId="4" fillId="0" borderId="0" xfId="6" applyFont="1"/>
    <xf numFmtId="0" fontId="4" fillId="0" borderId="0" xfId="6" applyFont="1" applyFill="1"/>
    <xf numFmtId="172" fontId="4" fillId="0" borderId="0" xfId="6" applyNumberFormat="1" applyFont="1" applyFill="1"/>
    <xf numFmtId="169" fontId="4" fillId="0" borderId="0" xfId="6" applyNumberFormat="1" applyFont="1" applyFill="1"/>
    <xf numFmtId="0" fontId="4" fillId="0" borderId="0" xfId="6" applyFont="1" applyFill="1" applyBorder="1" applyAlignment="1">
      <alignment horizontal="left"/>
    </xf>
    <xf numFmtId="0" fontId="4" fillId="0" borderId="0" xfId="6" applyFont="1" applyFill="1" applyBorder="1"/>
    <xf numFmtId="169" fontId="4" fillId="0" borderId="0" xfId="6" applyNumberFormat="1" applyFont="1" applyFill="1" applyBorder="1"/>
    <xf numFmtId="172" fontId="4" fillId="0" borderId="3" xfId="6" applyNumberFormat="1" applyFont="1" applyFill="1" applyBorder="1"/>
    <xf numFmtId="169" fontId="4" fillId="0" borderId="3" xfId="6" applyNumberFormat="1" applyFont="1" applyFill="1" applyBorder="1"/>
    <xf numFmtId="44" fontId="4" fillId="0" borderId="0" xfId="6" applyNumberFormat="1" applyFont="1"/>
    <xf numFmtId="0" fontId="12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5" fillId="0" borderId="0" xfId="0" applyFont="1" applyFill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left"/>
    </xf>
    <xf numFmtId="0" fontId="20" fillId="0" borderId="0" xfId="0" applyFont="1" applyFill="1"/>
    <xf numFmtId="184" fontId="4" fillId="0" borderId="0" xfId="0" applyNumberFormat="1" applyFont="1" applyFill="1"/>
    <xf numFmtId="0" fontId="20" fillId="0" borderId="0" xfId="0" applyFont="1" applyFill="1" applyBorder="1"/>
    <xf numFmtId="0" fontId="28" fillId="0" borderId="0" xfId="0" applyFont="1"/>
    <xf numFmtId="44" fontId="20" fillId="0" borderId="0" xfId="0" applyNumberFormat="1" applyFont="1" applyFill="1" applyBorder="1"/>
    <xf numFmtId="181" fontId="20" fillId="0" borderId="0" xfId="0" applyNumberFormat="1" applyFont="1" applyFill="1"/>
    <xf numFmtId="181" fontId="20" fillId="0" borderId="0" xfId="0" applyNumberFormat="1" applyFont="1" applyFill="1" applyBorder="1"/>
    <xf numFmtId="181" fontId="19" fillId="0" borderId="0" xfId="0" applyNumberFormat="1" applyFont="1" applyFill="1"/>
    <xf numFmtId="9" fontId="4" fillId="0" borderId="0" xfId="0" applyNumberFormat="1" applyFont="1" applyFill="1"/>
    <xf numFmtId="0" fontId="4" fillId="0" borderId="0" xfId="6" applyFont="1" applyFill="1" applyAlignment="1"/>
    <xf numFmtId="0" fontId="20" fillId="0" borderId="0" xfId="6" applyFont="1"/>
    <xf numFmtId="184" fontId="4" fillId="0" borderId="0" xfId="6" applyNumberFormat="1" applyFont="1"/>
    <xf numFmtId="44" fontId="20" fillId="0" borderId="0" xfId="6" applyNumberFormat="1" applyFont="1"/>
    <xf numFmtId="184" fontId="4" fillId="0" borderId="0" xfId="6" applyNumberFormat="1" applyFont="1" applyBorder="1"/>
    <xf numFmtId="44" fontId="4" fillId="0" borderId="3" xfId="6" applyNumberFormat="1" applyFont="1" applyBorder="1"/>
    <xf numFmtId="181" fontId="4" fillId="0" borderId="3" xfId="6" applyNumberFormat="1" applyFont="1" applyBorder="1"/>
    <xf numFmtId="181" fontId="4" fillId="0" borderId="0" xfId="6" applyNumberFormat="1" applyFont="1"/>
    <xf numFmtId="184" fontId="4" fillId="0" borderId="3" xfId="6" applyNumberFormat="1" applyFont="1" applyBorder="1"/>
    <xf numFmtId="44" fontId="4" fillId="0" borderId="0" xfId="6" applyNumberFormat="1" applyFont="1" applyBorder="1"/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6" fontId="4" fillId="0" borderId="0" xfId="0" applyNumberFormat="1" applyFont="1" applyAlignment="1"/>
    <xf numFmtId="44" fontId="4" fillId="0" borderId="0" xfId="0" applyNumberFormat="1" applyFont="1" applyAlignment="1"/>
    <xf numFmtId="0" fontId="4" fillId="0" borderId="0" xfId="0" applyFont="1" applyAlignment="1">
      <alignment horizontal="center"/>
    </xf>
    <xf numFmtId="44" fontId="4" fillId="0" borderId="0" xfId="0" applyNumberFormat="1" applyFont="1" applyBorder="1" applyAlignment="1">
      <alignment horizontal="centerContinuous"/>
    </xf>
    <xf numFmtId="44" fontId="21" fillId="0" borderId="2" xfId="0" applyNumberFormat="1" applyFont="1" applyBorder="1" applyAlignment="1">
      <alignment horizontal="centerContinuous"/>
    </xf>
    <xf numFmtId="44" fontId="4" fillId="0" borderId="2" xfId="0" applyNumberFormat="1" applyFont="1" applyBorder="1" applyAlignment="1">
      <alignment horizontal="center"/>
    </xf>
    <xf numFmtId="44" fontId="4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4" fillId="0" borderId="0" xfId="0" applyFont="1" applyFill="1" applyAlignment="1">
      <alignment horizontal="right"/>
    </xf>
    <xf numFmtId="44" fontId="4" fillId="0" borderId="0" xfId="0" applyNumberFormat="1" applyFont="1" applyAlignment="1">
      <alignment horizontal="right"/>
    </xf>
    <xf numFmtId="181" fontId="16" fillId="0" borderId="0" xfId="0" applyNumberFormat="1" applyFont="1" applyFill="1"/>
    <xf numFmtId="181" fontId="18" fillId="0" borderId="0" xfId="0" applyNumberFormat="1" applyFont="1" applyFill="1"/>
    <xf numFmtId="44" fontId="4" fillId="0" borderId="1" xfId="0" applyNumberFormat="1" applyFont="1" applyBorder="1" applyAlignment="1">
      <alignment horizontal="right"/>
    </xf>
    <xf numFmtId="38" fontId="4" fillId="0" borderId="0" xfId="0" applyNumberFormat="1" applyFont="1" applyFill="1" applyAlignment="1">
      <alignment horizontal="right"/>
    </xf>
    <xf numFmtId="38" fontId="4" fillId="0" borderId="0" xfId="0" applyNumberFormat="1" applyFont="1" applyFill="1" applyBorder="1" applyAlignment="1">
      <alignment horizontal="right"/>
    </xf>
    <xf numFmtId="38" fontId="4" fillId="0" borderId="1" xfId="0" applyNumberFormat="1" applyFont="1" applyFill="1" applyBorder="1" applyAlignment="1">
      <alignment horizontal="right"/>
    </xf>
    <xf numFmtId="44" fontId="4" fillId="0" borderId="0" xfId="0" applyNumberFormat="1" applyFont="1" applyBorder="1" applyAlignment="1">
      <alignment horizontal="right"/>
    </xf>
    <xf numFmtId="176" fontId="4" fillId="0" borderId="0" xfId="0" applyNumberFormat="1" applyFont="1" applyFill="1"/>
    <xf numFmtId="8" fontId="4" fillId="0" borderId="0" xfId="0" applyNumberFormat="1" applyFont="1" applyFill="1"/>
    <xf numFmtId="181" fontId="19" fillId="0" borderId="0" xfId="6" applyNumberFormat="1" applyFont="1"/>
    <xf numFmtId="44" fontId="16" fillId="0" borderId="0" xfId="0" applyNumberFormat="1" applyFont="1"/>
    <xf numFmtId="44" fontId="19" fillId="0" borderId="0" xfId="0" applyNumberFormat="1" applyFont="1"/>
    <xf numFmtId="44" fontId="17" fillId="0" borderId="0" xfId="0" applyNumberFormat="1" applyFont="1"/>
    <xf numFmtId="10" fontId="4" fillId="0" borderId="0" xfId="0" applyNumberFormat="1" applyFont="1"/>
    <xf numFmtId="3" fontId="17" fillId="0" borderId="0" xfId="0" applyNumberFormat="1" applyFont="1"/>
    <xf numFmtId="0" fontId="23" fillId="0" borderId="0" xfId="6" applyFont="1" applyFill="1"/>
    <xf numFmtId="0" fontId="23" fillId="0" borderId="0" xfId="6" applyFont="1" applyFill="1" applyAlignment="1">
      <alignment horizontal="center"/>
    </xf>
    <xf numFmtId="42" fontId="4" fillId="0" borderId="0" xfId="0" applyNumberFormat="1" applyFont="1" applyAlignment="1">
      <alignment horizontal="left"/>
    </xf>
    <xf numFmtId="0" fontId="22" fillId="0" borderId="0" xfId="0" applyFont="1" applyFill="1"/>
    <xf numFmtId="186" fontId="19" fillId="0" borderId="0" xfId="2" applyNumberFormat="1" applyFont="1" applyAlignment="1">
      <alignment horizontal="right"/>
    </xf>
    <xf numFmtId="0" fontId="19" fillId="0" borderId="0" xfId="2" applyFont="1" applyAlignment="1">
      <alignment horizontal="left"/>
    </xf>
    <xf numFmtId="187" fontId="4" fillId="0" borderId="0" xfId="2" applyNumberFormat="1" applyFont="1" applyAlignment="1">
      <alignment horizontal="right"/>
    </xf>
    <xf numFmtId="187" fontId="4" fillId="0" borderId="3" xfId="2" applyNumberFormat="1" applyFont="1" applyBorder="1" applyAlignment="1">
      <alignment horizontal="right"/>
    </xf>
    <xf numFmtId="187" fontId="4" fillId="0" borderId="15" xfId="2" applyNumberFormat="1" applyFont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8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37" fontId="25" fillId="0" borderId="8" xfId="0" applyNumberFormat="1" applyFont="1" applyFill="1" applyBorder="1" applyAlignment="1" applyProtection="1">
      <alignment horizontal="center" vertical="center" wrapText="1"/>
    </xf>
    <xf numFmtId="37" fontId="25" fillId="0" borderId="1" xfId="0" applyNumberFormat="1" applyFont="1" applyFill="1" applyBorder="1" applyAlignment="1" applyProtection="1">
      <alignment horizontal="center" vertical="center" wrapText="1"/>
    </xf>
    <xf numFmtId="37" fontId="25" fillId="0" borderId="6" xfId="0" applyNumberFormat="1" applyFont="1" applyFill="1" applyBorder="1" applyAlignment="1" applyProtection="1">
      <alignment horizontal="center" vertical="center" wrapText="1"/>
    </xf>
    <xf numFmtId="0" fontId="23" fillId="0" borderId="17" xfId="0" applyFont="1" applyBorder="1"/>
    <xf numFmtId="0" fontId="23" fillId="0" borderId="12" xfId="0" applyFont="1" applyBorder="1" applyAlignment="1">
      <alignment horizontal="center"/>
    </xf>
    <xf numFmtId="172" fontId="23" fillId="0" borderId="12" xfId="0" applyNumberFormat="1" applyFont="1" applyBorder="1"/>
    <xf numFmtId="172" fontId="19" fillId="0" borderId="17" xfId="0" applyNumberFormat="1" applyFont="1" applyFill="1" applyBorder="1"/>
    <xf numFmtId="172" fontId="19" fillId="0" borderId="0" xfId="0" applyNumberFormat="1" applyFont="1" applyFill="1" applyBorder="1"/>
    <xf numFmtId="172" fontId="19" fillId="0" borderId="7" xfId="0" applyNumberFormat="1" applyFont="1" applyFill="1" applyBorder="1"/>
    <xf numFmtId="0" fontId="23" fillId="0" borderId="12" xfId="0" applyFont="1" applyBorder="1"/>
    <xf numFmtId="10" fontId="23" fillId="0" borderId="17" xfId="0" applyNumberFormat="1" applyFont="1" applyFill="1" applyBorder="1"/>
    <xf numFmtId="10" fontId="23" fillId="0" borderId="0" xfId="0" applyNumberFormat="1" applyFont="1" applyFill="1" applyBorder="1"/>
    <xf numFmtId="10" fontId="23" fillId="0" borderId="7" xfId="0" applyNumberFormat="1" applyFont="1" applyFill="1" applyBorder="1"/>
    <xf numFmtId="172" fontId="23" fillId="0" borderId="17" xfId="0" applyNumberFormat="1" applyFont="1" applyFill="1" applyBorder="1"/>
    <xf numFmtId="172" fontId="23" fillId="0" borderId="0" xfId="0" applyNumberFormat="1" applyFont="1" applyFill="1" applyBorder="1"/>
    <xf numFmtId="172" fontId="23" fillId="0" borderId="7" xfId="0" applyNumberFormat="1" applyFont="1" applyFill="1" applyBorder="1"/>
    <xf numFmtId="0" fontId="23" fillId="0" borderId="4" xfId="0" applyFont="1" applyBorder="1"/>
    <xf numFmtId="0" fontId="23" fillId="0" borderId="13" xfId="0" applyFont="1" applyBorder="1"/>
    <xf numFmtId="172" fontId="23" fillId="0" borderId="13" xfId="0" applyNumberFormat="1" applyFont="1" applyBorder="1"/>
    <xf numFmtId="10" fontId="23" fillId="0" borderId="4" xfId="0" applyNumberFormat="1" applyFont="1" applyFill="1" applyBorder="1"/>
    <xf numFmtId="10" fontId="23" fillId="0" borderId="2" xfId="0" applyNumberFormat="1" applyFont="1" applyFill="1" applyBorder="1"/>
    <xf numFmtId="10" fontId="23" fillId="0" borderId="5" xfId="0" applyNumberFormat="1" applyFont="1" applyFill="1" applyBorder="1"/>
    <xf numFmtId="0" fontId="23" fillId="0" borderId="0" xfId="0" applyFont="1"/>
    <xf numFmtId="172" fontId="23" fillId="0" borderId="0" xfId="0" applyNumberFormat="1" applyFont="1"/>
    <xf numFmtId="0" fontId="25" fillId="0" borderId="0" xfId="0" applyFont="1"/>
    <xf numFmtId="0" fontId="25" fillId="0" borderId="14" xfId="0" applyFont="1" applyBorder="1"/>
    <xf numFmtId="0" fontId="25" fillId="0" borderId="1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3" fillId="0" borderId="11" xfId="0" applyFont="1" applyBorder="1"/>
    <xf numFmtId="175" fontId="23" fillId="0" borderId="11" xfId="0" applyNumberFormat="1" applyFont="1" applyBorder="1"/>
    <xf numFmtId="175" fontId="19" fillId="0" borderId="3" xfId="0" applyNumberFormat="1" applyFont="1" applyBorder="1"/>
    <xf numFmtId="175" fontId="19" fillId="0" borderId="18" xfId="0" applyNumberFormat="1" applyFont="1" applyBorder="1"/>
    <xf numFmtId="0" fontId="23" fillId="0" borderId="12" xfId="0" applyFont="1" applyFill="1" applyBorder="1"/>
    <xf numFmtId="175" fontId="23" fillId="0" borderId="12" xfId="0" applyNumberFormat="1" applyFont="1" applyBorder="1"/>
    <xf numFmtId="0" fontId="23" fillId="0" borderId="0" xfId="0" applyFont="1" applyBorder="1"/>
    <xf numFmtId="175" fontId="19" fillId="0" borderId="0" xfId="0" applyNumberFormat="1" applyFont="1" applyBorder="1"/>
    <xf numFmtId="175" fontId="19" fillId="0" borderId="7" xfId="0" applyNumberFormat="1" applyFont="1" applyBorder="1"/>
    <xf numFmtId="0" fontId="19" fillId="0" borderId="0" xfId="0" applyFont="1" applyBorder="1"/>
    <xf numFmtId="9" fontId="19" fillId="0" borderId="0" xfId="0" applyNumberFormat="1" applyFont="1" applyBorder="1"/>
    <xf numFmtId="0" fontId="23" fillId="0" borderId="13" xfId="0" applyFont="1" applyFill="1" applyBorder="1"/>
    <xf numFmtId="175" fontId="23" fillId="0" borderId="13" xfId="0" applyNumberFormat="1" applyFont="1" applyBorder="1"/>
    <xf numFmtId="0" fontId="23" fillId="0" borderId="2" xfId="0" applyFont="1" applyBorder="1"/>
    <xf numFmtId="9" fontId="19" fillId="0" borderId="2" xfId="0" applyNumberFormat="1" applyFont="1" applyBorder="1"/>
    <xf numFmtId="175" fontId="19" fillId="0" borderId="5" xfId="0" applyNumberFormat="1" applyFont="1" applyBorder="1"/>
    <xf numFmtId="175" fontId="23" fillId="0" borderId="0" xfId="0" applyNumberFormat="1" applyFont="1" applyBorder="1"/>
    <xf numFmtId="0" fontId="25" fillId="0" borderId="0" xfId="0" applyFont="1" applyBorder="1"/>
    <xf numFmtId="0" fontId="25" fillId="0" borderId="1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42" fontId="19" fillId="0" borderId="12" xfId="0" applyNumberFormat="1" applyFont="1" applyFill="1" applyBorder="1"/>
    <xf numFmtId="42" fontId="23" fillId="0" borderId="0" xfId="0" applyNumberFormat="1" applyFont="1" applyBorder="1"/>
    <xf numFmtId="42" fontId="23" fillId="0" borderId="18" xfId="0" applyNumberFormat="1" applyFont="1" applyBorder="1"/>
    <xf numFmtId="42" fontId="23" fillId="0" borderId="7" xfId="0" applyNumberFormat="1" applyFont="1" applyBorder="1"/>
    <xf numFmtId="42" fontId="23" fillId="0" borderId="5" xfId="0" applyNumberFormat="1" applyFont="1" applyBorder="1"/>
    <xf numFmtId="0" fontId="23" fillId="0" borderId="14" xfId="0" applyFont="1" applyBorder="1"/>
    <xf numFmtId="42" fontId="23" fillId="0" borderId="14" xfId="0" applyNumberFormat="1" applyFont="1" applyBorder="1" applyAlignment="1">
      <alignment horizontal="center"/>
    </xf>
    <xf numFmtId="42" fontId="23" fillId="0" borderId="1" xfId="0" applyNumberFormat="1" applyFont="1" applyBorder="1" applyAlignment="1">
      <alignment horizontal="center"/>
    </xf>
    <xf numFmtId="42" fontId="23" fillId="0" borderId="6" xfId="0" applyNumberFormat="1" applyFont="1" applyBorder="1" applyAlignment="1">
      <alignment horizontal="center"/>
    </xf>
    <xf numFmtId="0" fontId="25" fillId="0" borderId="8" xfId="0" applyFont="1" applyBorder="1"/>
    <xf numFmtId="0" fontId="25" fillId="0" borderId="1" xfId="0" applyFont="1" applyBorder="1"/>
    <xf numFmtId="0" fontId="23" fillId="0" borderId="7" xfId="0" applyFont="1" applyBorder="1"/>
    <xf numFmtId="169" fontId="4" fillId="0" borderId="12" xfId="0" applyNumberFormat="1" applyFont="1" applyBorder="1"/>
    <xf numFmtId="169" fontId="4" fillId="0" borderId="0" xfId="0" applyNumberFormat="1" applyFont="1" applyBorder="1"/>
    <xf numFmtId="169" fontId="4" fillId="0" borderId="7" xfId="0" applyNumberFormat="1" applyFont="1" applyBorder="1"/>
    <xf numFmtId="169" fontId="23" fillId="0" borderId="12" xfId="0" applyNumberFormat="1" applyFont="1" applyBorder="1"/>
    <xf numFmtId="169" fontId="23" fillId="0" borderId="0" xfId="0" applyNumberFormat="1" applyFont="1" applyBorder="1"/>
    <xf numFmtId="169" fontId="23" fillId="0" borderId="7" xfId="0" applyNumberFormat="1" applyFont="1" applyBorder="1"/>
    <xf numFmtId="0" fontId="23" fillId="0" borderId="8" xfId="0" applyFont="1" applyFill="1" applyBorder="1"/>
    <xf numFmtId="0" fontId="23" fillId="0" borderId="1" xfId="0" applyFont="1" applyBorder="1"/>
    <xf numFmtId="169" fontId="23" fillId="0" borderId="14" xfId="0" applyNumberFormat="1" applyFont="1" applyBorder="1"/>
    <xf numFmtId="169" fontId="23" fillId="0" borderId="1" xfId="0" applyNumberFormat="1" applyFont="1" applyBorder="1"/>
    <xf numFmtId="169" fontId="23" fillId="0" borderId="6" xfId="0" applyNumberFormat="1" applyFont="1" applyBorder="1"/>
    <xf numFmtId="0" fontId="23" fillId="0" borderId="3" xfId="0" applyFont="1" applyFill="1" applyBorder="1"/>
    <xf numFmtId="172" fontId="23" fillId="0" borderId="0" xfId="0" applyNumberFormat="1" applyFont="1" applyBorder="1"/>
    <xf numFmtId="172" fontId="23" fillId="0" borderId="1" xfId="0" applyNumberFormat="1" applyFont="1" applyBorder="1"/>
    <xf numFmtId="172" fontId="19" fillId="0" borderId="1" xfId="0" applyNumberFormat="1" applyFont="1" applyBorder="1"/>
    <xf numFmtId="172" fontId="19" fillId="0" borderId="6" xfId="0" applyNumberFormat="1" applyFont="1" applyBorder="1"/>
    <xf numFmtId="0" fontId="23" fillId="0" borderId="0" xfId="0" applyFont="1" applyFill="1" applyBorder="1"/>
    <xf numFmtId="0" fontId="25" fillId="0" borderId="0" xfId="0" applyFont="1" applyFill="1" applyBorder="1"/>
    <xf numFmtId="0" fontId="23" fillId="0" borderId="19" xfId="0" applyFont="1" applyFill="1" applyBorder="1"/>
    <xf numFmtId="0" fontId="23" fillId="0" borderId="3" xfId="0" applyFont="1" applyBorder="1"/>
    <xf numFmtId="188" fontId="23" fillId="0" borderId="3" xfId="0" applyNumberFormat="1" applyFont="1" applyBorder="1"/>
    <xf numFmtId="174" fontId="23" fillId="0" borderId="3" xfId="0" applyNumberFormat="1" applyFont="1" applyBorder="1"/>
    <xf numFmtId="174" fontId="23" fillId="0" borderId="18" xfId="0" applyNumberFormat="1" applyFont="1" applyBorder="1"/>
    <xf numFmtId="0" fontId="23" fillId="0" borderId="17" xfId="0" applyFont="1" applyFill="1" applyBorder="1"/>
    <xf numFmtId="188" fontId="23" fillId="0" borderId="0" xfId="0" applyNumberFormat="1" applyFont="1" applyBorder="1"/>
    <xf numFmtId="174" fontId="23" fillId="0" borderId="0" xfId="0" applyNumberFormat="1" applyFont="1" applyBorder="1"/>
    <xf numFmtId="174" fontId="23" fillId="0" borderId="7" xfId="0" applyNumberFormat="1" applyFont="1" applyBorder="1"/>
    <xf numFmtId="188" fontId="23" fillId="0" borderId="1" xfId="0" applyNumberFormat="1" applyFont="1" applyBorder="1"/>
    <xf numFmtId="174" fontId="23" fillId="0" borderId="1" xfId="0" applyNumberFormat="1" applyFont="1" applyBorder="1"/>
    <xf numFmtId="174" fontId="23" fillId="0" borderId="6" xfId="0" applyNumberFormat="1" applyFont="1" applyBorder="1"/>
    <xf numFmtId="181" fontId="4" fillId="0" borderId="0" xfId="0" applyNumberFormat="1" applyFont="1" applyFill="1" applyAlignment="1"/>
    <xf numFmtId="0" fontId="4" fillId="0" borderId="8" xfId="0" applyFont="1" applyBorder="1" applyAlignment="1">
      <alignment horizontal="centerContinuous"/>
    </xf>
    <xf numFmtId="0" fontId="4" fillId="0" borderId="6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8" xfId="0" applyFont="1" applyFill="1" applyBorder="1" applyAlignment="1">
      <alignment horizontal="centerContinuous"/>
    </xf>
    <xf numFmtId="0" fontId="4" fillId="0" borderId="6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175" fontId="4" fillId="0" borderId="0" xfId="0" applyNumberFormat="1" applyFont="1" applyBorder="1"/>
    <xf numFmtId="0" fontId="4" fillId="0" borderId="0" xfId="2" applyFont="1"/>
    <xf numFmtId="0" fontId="4" fillId="0" borderId="0" xfId="2" applyFont="1" applyFill="1"/>
    <xf numFmtId="0" fontId="4" fillId="0" borderId="0" xfId="2" applyFont="1" applyBorder="1" applyAlignment="1">
      <alignment horizontal="center"/>
    </xf>
    <xf numFmtId="0" fontId="4" fillId="0" borderId="0" xfId="2" applyFont="1" applyFill="1" applyBorder="1"/>
    <xf numFmtId="0" fontId="4" fillId="0" borderId="0" xfId="2" applyFont="1" applyBorder="1"/>
    <xf numFmtId="0" fontId="4" fillId="0" borderId="9" xfId="2" applyFont="1" applyBorder="1"/>
    <xf numFmtId="0" fontId="12" fillId="0" borderId="0" xfId="2" applyFont="1" applyFill="1" applyBorder="1"/>
    <xf numFmtId="0" fontId="20" fillId="0" borderId="10" xfId="2" quotePrefix="1" applyFont="1" applyBorder="1"/>
    <xf numFmtId="0" fontId="4" fillId="0" borderId="0" xfId="2" applyFont="1" applyBorder="1" applyAlignment="1">
      <alignment horizontal="left"/>
    </xf>
    <xf numFmtId="0" fontId="12" fillId="0" borderId="0" xfId="2" applyFont="1" applyBorder="1" applyAlignment="1">
      <alignment horizontal="left"/>
    </xf>
    <xf numFmtId="0" fontId="12" fillId="0" borderId="0" xfId="2" applyFont="1" applyBorder="1" applyAlignment="1">
      <alignment horizontal="center"/>
    </xf>
    <xf numFmtId="0" fontId="32" fillId="0" borderId="0" xfId="2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44" fontId="4" fillId="0" borderId="2" xfId="2" applyNumberFormat="1" applyFont="1" applyBorder="1" applyAlignment="1">
      <alignment horizontal="center"/>
    </xf>
    <xf numFmtId="0" fontId="32" fillId="0" borderId="0" xfId="2" applyFont="1" applyBorder="1"/>
    <xf numFmtId="3" fontId="4" fillId="0" borderId="0" xfId="2" applyNumberFormat="1" applyFont="1" applyBorder="1"/>
    <xf numFmtId="166" fontId="4" fillId="0" borderId="0" xfId="2" applyNumberFormat="1" applyFont="1" applyBorder="1"/>
    <xf numFmtId="165" fontId="4" fillId="0" borderId="0" xfId="2" applyNumberFormat="1" applyFont="1" applyBorder="1"/>
    <xf numFmtId="168" fontId="4" fillId="0" borderId="0" xfId="2" applyNumberFormat="1" applyFont="1" applyBorder="1"/>
    <xf numFmtId="0" fontId="4" fillId="0" borderId="0" xfId="2" applyFont="1" applyFill="1" applyBorder="1" applyAlignment="1">
      <alignment horizontal="right"/>
    </xf>
    <xf numFmtId="3" fontId="4" fillId="0" borderId="0" xfId="2" applyNumberFormat="1" applyFont="1" applyFill="1" applyBorder="1"/>
    <xf numFmtId="42" fontId="4" fillId="0" borderId="0" xfId="2" applyNumberFormat="1" applyFont="1" applyFill="1" applyBorder="1"/>
    <xf numFmtId="5" fontId="4" fillId="0" borderId="0" xfId="2" applyNumberFormat="1" applyFont="1" applyBorder="1"/>
    <xf numFmtId="5" fontId="4" fillId="0" borderId="0" xfId="2" applyNumberFormat="1" applyFont="1" applyFill="1" applyBorder="1"/>
    <xf numFmtId="182" fontId="4" fillId="0" borderId="0" xfId="2" applyNumberFormat="1" applyFont="1" applyFill="1" applyBorder="1"/>
    <xf numFmtId="0" fontId="30" fillId="0" borderId="0" xfId="2" applyFont="1" applyBorder="1"/>
    <xf numFmtId="0" fontId="12" fillId="0" borderId="0" xfId="2" applyFont="1" applyBorder="1" applyAlignment="1">
      <alignment horizontal="centerContinuous"/>
    </xf>
    <xf numFmtId="167" fontId="4" fillId="0" borderId="0" xfId="2" applyNumberFormat="1" applyFont="1" applyBorder="1"/>
    <xf numFmtId="0" fontId="4" fillId="0" borderId="0" xfId="2" quotePrefix="1" applyFont="1" applyAlignment="1">
      <alignment horizontal="center"/>
    </xf>
    <xf numFmtId="3" fontId="4" fillId="0" borderId="0" xfId="2" applyNumberFormat="1" applyFont="1"/>
    <xf numFmtId="42" fontId="4" fillId="0" borderId="0" xfId="2" applyNumberFormat="1" applyFont="1"/>
    <xf numFmtId="0" fontId="4" fillId="0" borderId="0" xfId="2" applyFont="1" applyAlignment="1">
      <alignment horizontal="center"/>
    </xf>
    <xf numFmtId="9" fontId="4" fillId="0" borderId="0" xfId="2" applyNumberFormat="1" applyFont="1"/>
    <xf numFmtId="0" fontId="4" fillId="0" borderId="0" xfId="2" applyFont="1" applyBorder="1" applyAlignment="1">
      <alignment horizontal="right" vertical="top"/>
    </xf>
    <xf numFmtId="0" fontId="4" fillId="0" borderId="0" xfId="2" applyFont="1" applyAlignment="1">
      <alignment horizontal="right" textRotation="180"/>
    </xf>
    <xf numFmtId="171" fontId="4" fillId="0" borderId="0" xfId="2" applyNumberFormat="1" applyFont="1" applyBorder="1" applyAlignment="1">
      <alignment horizontal="right"/>
    </xf>
    <xf numFmtId="175" fontId="4" fillId="0" borderId="0" xfId="2" applyNumberFormat="1" applyFont="1"/>
    <xf numFmtId="166" fontId="4" fillId="0" borderId="0" xfId="2" applyNumberFormat="1" applyFont="1" applyFill="1" applyBorder="1"/>
    <xf numFmtId="168" fontId="4" fillId="0" borderId="0" xfId="2" applyNumberFormat="1" applyFont="1" applyFill="1" applyBorder="1"/>
    <xf numFmtId="165" fontId="4" fillId="0" borderId="0" xfId="2" applyNumberFormat="1" applyFont="1" applyFill="1" applyBorder="1"/>
    <xf numFmtId="0" fontId="4" fillId="0" borderId="0" xfId="0" applyFont="1" applyBorder="1" applyAlignment="1">
      <alignment horizontal="center"/>
    </xf>
    <xf numFmtId="0" fontId="34" fillId="0" borderId="2" xfId="0" applyFont="1" applyBorder="1"/>
    <xf numFmtId="0" fontId="34" fillId="0" borderId="2" xfId="0" applyFont="1" applyBorder="1" applyAlignment="1">
      <alignment horizontal="center"/>
    </xf>
    <xf numFmtId="0" fontId="36" fillId="0" borderId="0" xfId="0" applyFont="1" applyBorder="1" applyProtection="1">
      <protection locked="0"/>
    </xf>
    <xf numFmtId="0" fontId="34" fillId="0" borderId="0" xfId="0" applyFont="1"/>
    <xf numFmtId="42" fontId="4" fillId="0" borderId="0" xfId="0" applyNumberFormat="1" applyFont="1" applyBorder="1" applyAlignment="1">
      <alignment horizontal="center"/>
    </xf>
    <xf numFmtId="0" fontId="34" fillId="0" borderId="0" xfId="0" applyFont="1" applyBorder="1"/>
    <xf numFmtId="174" fontId="35" fillId="0" borderId="0" xfId="0" applyNumberFormat="1" applyFont="1" applyFill="1"/>
    <xf numFmtId="42" fontId="34" fillId="0" borderId="0" xfId="0" applyNumberFormat="1" applyFont="1" applyBorder="1"/>
    <xf numFmtId="0" fontId="34" fillId="0" borderId="0" xfId="0" applyFont="1" applyBorder="1" applyProtection="1">
      <protection locked="0"/>
    </xf>
    <xf numFmtId="174" fontId="35" fillId="0" borderId="0" xfId="0" applyNumberFormat="1" applyFont="1"/>
    <xf numFmtId="0" fontId="36" fillId="0" borderId="0" xfId="0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/>
    <xf numFmtId="0" fontId="34" fillId="0" borderId="0" xfId="0" applyFont="1" applyFill="1" applyBorder="1"/>
    <xf numFmtId="44" fontId="35" fillId="0" borderId="0" xfId="0" applyNumberFormat="1" applyFont="1"/>
    <xf numFmtId="42" fontId="34" fillId="0" borderId="3" xfId="0" applyNumberFormat="1" applyFont="1" applyBorder="1"/>
    <xf numFmtId="175" fontId="4" fillId="0" borderId="3" xfId="0" applyNumberFormat="1" applyFont="1" applyBorder="1"/>
    <xf numFmtId="0" fontId="35" fillId="0" borderId="0" xfId="0" applyFont="1" applyFill="1"/>
    <xf numFmtId="42" fontId="4" fillId="0" borderId="0" xfId="0" applyNumberFormat="1" applyFont="1" applyBorder="1"/>
    <xf numFmtId="0" fontId="37" fillId="0" borderId="0" xfId="0" applyFont="1"/>
    <xf numFmtId="42" fontId="4" fillId="0" borderId="3" xfId="0" applyNumberFormat="1" applyFont="1" applyBorder="1"/>
    <xf numFmtId="169" fontId="4" fillId="0" borderId="0" xfId="0" applyNumberFormat="1" applyFont="1"/>
    <xf numFmtId="42" fontId="22" fillId="0" borderId="0" xfId="0" applyNumberFormat="1" applyFont="1"/>
    <xf numFmtId="44" fontId="17" fillId="0" borderId="0" xfId="0" applyNumberFormat="1" applyFont="1" applyBorder="1"/>
    <xf numFmtId="181" fontId="17" fillId="0" borderId="0" xfId="6" applyNumberFormat="1" applyFont="1"/>
    <xf numFmtId="181" fontId="17" fillId="0" borderId="0" xfId="6" applyNumberFormat="1" applyFont="1" applyFill="1"/>
    <xf numFmtId="10" fontId="4" fillId="0" borderId="0" xfId="2" applyNumberFormat="1" applyFont="1" applyFill="1" applyBorder="1"/>
    <xf numFmtId="10" fontId="4" fillId="0" borderId="0" xfId="2" applyNumberFormat="1" applyFont="1" applyBorder="1"/>
    <xf numFmtId="180" fontId="4" fillId="0" borderId="0" xfId="2" applyNumberFormat="1" applyFont="1" applyBorder="1"/>
    <xf numFmtId="0" fontId="4" fillId="0" borderId="0" xfId="2" applyFont="1" applyFill="1" applyBorder="1" applyAlignment="1">
      <alignment horizontal="right" textRotation="180"/>
    </xf>
    <xf numFmtId="0" fontId="4" fillId="0" borderId="0" xfId="2" applyFont="1" applyBorder="1" applyAlignment="1">
      <alignment vertical="top" textRotation="180"/>
    </xf>
    <xf numFmtId="0" fontId="4" fillId="0" borderId="0" xfId="2" applyFont="1" applyFill="1" applyAlignment="1">
      <alignment horizontal="right"/>
    </xf>
    <xf numFmtId="0" fontId="4" fillId="0" borderId="0" xfId="2" applyFont="1" applyFill="1" applyBorder="1" applyAlignment="1">
      <alignment horizontal="right" vertical="top"/>
    </xf>
    <xf numFmtId="175" fontId="4" fillId="0" borderId="0" xfId="2" applyNumberFormat="1" applyFont="1" applyFill="1" applyBorder="1"/>
    <xf numFmtId="171" fontId="12" fillId="0" borderId="0" xfId="2" applyNumberFormat="1" applyFont="1" applyFill="1" applyBorder="1" applyAlignment="1">
      <alignment horizontal="center"/>
    </xf>
    <xf numFmtId="3" fontId="4" fillId="0" borderId="0" xfId="2" applyNumberFormat="1" applyFont="1" applyFill="1" applyBorder="1" applyAlignment="1">
      <alignment horizontal="center"/>
    </xf>
    <xf numFmtId="0" fontId="4" fillId="0" borderId="0" xfId="2" applyNumberFormat="1" applyFont="1" applyFill="1" applyBorder="1"/>
    <xf numFmtId="175" fontId="12" fillId="0" borderId="0" xfId="2" applyNumberFormat="1" applyFont="1" applyBorder="1"/>
    <xf numFmtId="5" fontId="12" fillId="0" borderId="0" xfId="2" applyNumberFormat="1" applyFont="1" applyFill="1" applyBorder="1"/>
    <xf numFmtId="42" fontId="12" fillId="0" borderId="0" xfId="2" applyNumberFormat="1" applyFont="1" applyFill="1" applyBorder="1"/>
    <xf numFmtId="175" fontId="4" fillId="0" borderId="0" xfId="2" applyNumberFormat="1" applyFont="1" applyBorder="1"/>
    <xf numFmtId="44" fontId="4" fillId="0" borderId="0" xfId="2" applyNumberFormat="1" applyFont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left"/>
    </xf>
    <xf numFmtId="37" fontId="12" fillId="0" borderId="0" xfId="2" applyNumberFormat="1" applyFont="1" applyFill="1" applyBorder="1" applyAlignment="1"/>
    <xf numFmtId="0" fontId="4" fillId="0" borderId="0" xfId="2" applyFont="1" applyFill="1" applyBorder="1" applyAlignment="1">
      <alignment horizontal="centerContinuous"/>
    </xf>
    <xf numFmtId="0" fontId="4" fillId="0" borderId="0" xfId="2" applyFont="1" applyBorder="1" applyAlignment="1">
      <alignment horizontal="centerContinuous"/>
    </xf>
    <xf numFmtId="37" fontId="12" fillId="0" borderId="0" xfId="2" applyNumberFormat="1" applyFont="1" applyFill="1" applyBorder="1" applyAlignment="1">
      <alignment horizontal="centerContinuous"/>
    </xf>
    <xf numFmtId="0" fontId="31" fillId="0" borderId="0" xfId="2" applyFont="1" applyBorder="1" applyAlignment="1">
      <alignment horizontal="left"/>
    </xf>
    <xf numFmtId="164" fontId="31" fillId="0" borderId="0" xfId="2" applyNumberFormat="1" applyFont="1" applyBorder="1" applyAlignment="1">
      <alignment horizontal="left"/>
    </xf>
    <xf numFmtId="37" fontId="31" fillId="0" borderId="0" xfId="2" applyNumberFormat="1" applyFont="1" applyBorder="1" applyAlignment="1">
      <alignment horizontal="left"/>
    </xf>
    <xf numFmtId="37" fontId="13" fillId="0" borderId="0" xfId="2" applyNumberFormat="1" applyFont="1" applyFill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164" fontId="31" fillId="0" borderId="0" xfId="2" applyNumberFormat="1" applyFont="1" applyBorder="1" applyAlignment="1">
      <alignment horizontal="centerContinuous"/>
    </xf>
    <xf numFmtId="37" fontId="31" fillId="0" borderId="0" xfId="2" applyNumberFormat="1" applyFont="1" applyBorder="1" applyAlignment="1">
      <alignment horizontal="centerContinuous"/>
    </xf>
    <xf numFmtId="37" fontId="30" fillId="0" borderId="0" xfId="2" applyNumberFormat="1" applyFont="1" applyBorder="1" applyAlignment="1">
      <alignment horizontal="centerContinuous"/>
    </xf>
    <xf numFmtId="5" fontId="30" fillId="0" borderId="0" xfId="2" applyNumberFormat="1" applyFont="1" applyBorder="1" applyAlignment="1">
      <alignment horizontal="centerContinuous"/>
    </xf>
    <xf numFmtId="0" fontId="12" fillId="0" borderId="0" xfId="2" applyFont="1" applyBorder="1" applyAlignment="1">
      <alignment horizontal="right" vertical="top"/>
    </xf>
    <xf numFmtId="0" fontId="12" fillId="0" borderId="0" xfId="2" applyFont="1" applyBorder="1" applyAlignment="1">
      <alignment horizontal="right"/>
    </xf>
    <xf numFmtId="0" fontId="4" fillId="0" borderId="16" xfId="2" applyFont="1" applyFill="1" applyBorder="1" applyAlignment="1">
      <alignment wrapText="1"/>
    </xf>
    <xf numFmtId="0" fontId="12" fillId="0" borderId="0" xfId="2" applyFont="1" applyFill="1" applyBorder="1" applyAlignment="1">
      <alignment horizontal="right"/>
    </xf>
    <xf numFmtId="37" fontId="19" fillId="0" borderId="0" xfId="0" applyNumberFormat="1" applyFont="1" applyFill="1" applyBorder="1"/>
    <xf numFmtId="37" fontId="19" fillId="0" borderId="2" xfId="0" applyNumberFormat="1" applyFont="1" applyFill="1" applyBorder="1"/>
    <xf numFmtId="0" fontId="22" fillId="0" borderId="0" xfId="0" applyFont="1" applyFill="1" applyAlignment="1">
      <alignment horizontal="right"/>
    </xf>
    <xf numFmtId="3" fontId="19" fillId="0" borderId="0" xfId="0" applyNumberFormat="1" applyFont="1" applyFill="1"/>
    <xf numFmtId="3" fontId="16" fillId="0" borderId="0" xfId="0" applyNumberFormat="1" applyFont="1" applyFill="1"/>
    <xf numFmtId="0" fontId="35" fillId="0" borderId="2" xfId="0" applyFont="1" applyFill="1" applyBorder="1" applyAlignment="1">
      <alignment horizontal="center"/>
    </xf>
    <xf numFmtId="3" fontId="35" fillId="0" borderId="0" xfId="0" applyNumberFormat="1" applyFont="1" applyFill="1"/>
    <xf numFmtId="3" fontId="4" fillId="0" borderId="0" xfId="0" applyNumberFormat="1" applyFont="1" applyFill="1"/>
    <xf numFmtId="0" fontId="24" fillId="0" borderId="0" xfId="6" applyFont="1" applyFill="1" applyBorder="1" applyAlignment="1">
      <alignment horizontal="center"/>
    </xf>
    <xf numFmtId="0" fontId="23" fillId="0" borderId="0" xfId="6" applyFont="1" applyFill="1" applyBorder="1" applyAlignment="1">
      <alignment horizontal="center"/>
    </xf>
    <xf numFmtId="3" fontId="13" fillId="0" borderId="0" xfId="6" applyNumberFormat="1" applyFont="1" applyFill="1" applyBorder="1" applyAlignment="1">
      <alignment horizontal="center"/>
    </xf>
    <xf numFmtId="0" fontId="24" fillId="0" borderId="0" xfId="6" applyFont="1" applyFill="1" applyBorder="1" applyAlignment="1">
      <alignment horizontal="center" wrapText="1"/>
    </xf>
    <xf numFmtId="0" fontId="23" fillId="0" borderId="2" xfId="6" applyFont="1" applyFill="1" applyBorder="1" applyAlignment="1">
      <alignment horizontal="center"/>
    </xf>
    <xf numFmtId="3" fontId="24" fillId="0" borderId="2" xfId="6" applyNumberFormat="1" applyFont="1" applyFill="1" applyBorder="1" applyAlignment="1">
      <alignment horizontal="center"/>
    </xf>
    <xf numFmtId="3" fontId="23" fillId="0" borderId="0" xfId="6" applyNumberFormat="1" applyFont="1" applyFill="1" applyBorder="1" applyAlignment="1">
      <alignment horizontal="center"/>
    </xf>
    <xf numFmtId="42" fontId="23" fillId="0" borderId="0" xfId="6" applyNumberFormat="1" applyFont="1" applyFill="1" applyBorder="1" applyAlignment="1">
      <alignment horizontal="center"/>
    </xf>
    <xf numFmtId="0" fontId="23" fillId="0" borderId="0" xfId="6" applyFont="1" applyFill="1" applyAlignment="1">
      <alignment horizontal="left"/>
    </xf>
    <xf numFmtId="3" fontId="19" fillId="0" borderId="0" xfId="6" applyNumberFormat="1" applyFont="1" applyFill="1" applyBorder="1"/>
    <xf numFmtId="174" fontId="23" fillId="0" borderId="0" xfId="6" applyNumberFormat="1" applyFont="1" applyFill="1"/>
    <xf numFmtId="42" fontId="23" fillId="0" borderId="0" xfId="6" applyNumberFormat="1" applyFont="1" applyFill="1"/>
    <xf numFmtId="42" fontId="19" fillId="0" borderId="0" xfId="6" applyNumberFormat="1" applyFont="1" applyFill="1"/>
    <xf numFmtId="42" fontId="4" fillId="0" borderId="0" xfId="6" applyNumberFormat="1" applyFont="1" applyFill="1"/>
    <xf numFmtId="10" fontId="23" fillId="0" borderId="0" xfId="6" applyNumberFormat="1" applyFont="1" applyFill="1"/>
    <xf numFmtId="3" fontId="19" fillId="0" borderId="2" xfId="6" applyNumberFormat="1" applyFont="1" applyFill="1" applyBorder="1"/>
    <xf numFmtId="174" fontId="23" fillId="0" borderId="2" xfId="6" applyNumberFormat="1" applyFont="1" applyFill="1" applyBorder="1"/>
    <xf numFmtId="3" fontId="23" fillId="0" borderId="3" xfId="6" applyNumberFormat="1" applyFont="1" applyFill="1" applyBorder="1"/>
    <xf numFmtId="42" fontId="23" fillId="0" borderId="3" xfId="6" applyNumberFormat="1" applyFont="1" applyFill="1" applyBorder="1"/>
    <xf numFmtId="42" fontId="4" fillId="0" borderId="3" xfId="6" applyNumberFormat="1" applyFont="1" applyFill="1" applyBorder="1"/>
    <xf numFmtId="10" fontId="23" fillId="0" borderId="3" xfId="6" applyNumberFormat="1" applyFont="1" applyFill="1" applyBorder="1"/>
    <xf numFmtId="181" fontId="16" fillId="0" borderId="0" xfId="6" applyNumberFormat="1" applyFont="1" applyFill="1"/>
    <xf numFmtId="10" fontId="4" fillId="0" borderId="0" xfId="6" applyNumberFormat="1" applyFont="1" applyFill="1"/>
    <xf numFmtId="0" fontId="12" fillId="0" borderId="0" xfId="6" applyFont="1" applyFill="1" applyAlignment="1">
      <alignment horizontal="left"/>
    </xf>
    <xf numFmtId="42" fontId="4" fillId="0" borderId="0" xfId="6" applyNumberFormat="1" applyFont="1" applyFill="1" applyBorder="1"/>
    <xf numFmtId="0" fontId="4" fillId="0" borderId="0" xfId="6" applyFont="1" applyFill="1" applyAlignment="1">
      <alignment horizontal="left"/>
    </xf>
    <xf numFmtId="0" fontId="4" fillId="0" borderId="2" xfId="6" applyFont="1" applyFill="1" applyBorder="1" applyAlignment="1">
      <alignment horizontal="left"/>
    </xf>
    <xf numFmtId="0" fontId="4" fillId="0" borderId="3" xfId="6" applyFont="1" applyFill="1" applyBorder="1" applyAlignment="1">
      <alignment horizontal="left"/>
    </xf>
    <xf numFmtId="3" fontId="23" fillId="0" borderId="0" xfId="6" applyNumberFormat="1" applyFont="1" applyFill="1"/>
    <xf numFmtId="169" fontId="23" fillId="0" borderId="0" xfId="6" applyNumberFormat="1" applyFont="1" applyFill="1"/>
    <xf numFmtId="181" fontId="19" fillId="0" borderId="0" xfId="6" applyNumberFormat="1" applyFont="1" applyFill="1"/>
    <xf numFmtId="184" fontId="4" fillId="0" borderId="0" xfId="6" applyNumberFormat="1" applyFont="1" applyFill="1"/>
    <xf numFmtId="181" fontId="4" fillId="0" borderId="2" xfId="6" applyNumberFormat="1" applyFont="1" applyFill="1" applyBorder="1"/>
    <xf numFmtId="181" fontId="4" fillId="0" borderId="3" xfId="6" applyNumberFormat="1" applyFont="1" applyFill="1" applyBorder="1"/>
    <xf numFmtId="184" fontId="4" fillId="0" borderId="3" xfId="6" applyNumberFormat="1" applyFont="1" applyFill="1" applyBorder="1"/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0" fillId="0" borderId="0" xfId="0" applyFill="1" applyBorder="1" applyAlignment="1">
      <alignment horizontal="center" wrapText="1"/>
    </xf>
    <xf numFmtId="6" fontId="4" fillId="0" borderId="0" xfId="0" applyNumberFormat="1" applyFont="1" applyFill="1" applyBorder="1" applyAlignment="1">
      <alignment horizontal="centerContinuous"/>
    </xf>
    <xf numFmtId="38" fontId="4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4" fontId="4" fillId="0" borderId="2" xfId="0" applyNumberFormat="1" applyFont="1" applyFill="1" applyBorder="1" applyAlignment="1">
      <alignment horizontal="centerContinuous"/>
    </xf>
    <xf numFmtId="38" fontId="4" fillId="0" borderId="2" xfId="0" applyNumberFormat="1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44" fontId="4" fillId="0" borderId="2" xfId="0" applyNumberFormat="1" applyFont="1" applyFill="1" applyBorder="1" applyAlignment="1">
      <alignment horizontal="center"/>
    </xf>
    <xf numFmtId="6" fontId="4" fillId="0" borderId="0" xfId="0" applyNumberFormat="1" applyFont="1" applyFill="1" applyAlignment="1">
      <alignment horizontal="center"/>
    </xf>
    <xf numFmtId="44" fontId="4" fillId="0" borderId="0" xfId="0" applyNumberFormat="1" applyFont="1" applyFill="1" applyAlignment="1">
      <alignment horizontal="center"/>
    </xf>
    <xf numFmtId="6" fontId="4" fillId="0" borderId="0" xfId="0" applyNumberFormat="1" applyFont="1" applyFill="1" applyAlignment="1">
      <alignment horizontal="right"/>
    </xf>
    <xf numFmtId="44" fontId="4" fillId="0" borderId="0" xfId="0" applyNumberFormat="1" applyFont="1" applyFill="1" applyAlignment="1">
      <alignment horizontal="right"/>
    </xf>
    <xf numFmtId="38" fontId="16" fillId="0" borderId="0" xfId="0" applyNumberFormat="1" applyFont="1" applyFill="1" applyAlignment="1">
      <alignment horizontal="right"/>
    </xf>
    <xf numFmtId="42" fontId="4" fillId="0" borderId="0" xfId="0" applyNumberFormat="1" applyFont="1" applyFill="1" applyAlignment="1">
      <alignment horizontal="right"/>
    </xf>
    <xf numFmtId="10" fontId="4" fillId="0" borderId="0" xfId="7" applyNumberFormat="1" applyFont="1" applyFill="1" applyAlignment="1">
      <alignment horizontal="center"/>
    </xf>
    <xf numFmtId="42" fontId="4" fillId="0" borderId="1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44" fontId="4" fillId="0" borderId="1" xfId="0" applyNumberFormat="1" applyFont="1" applyFill="1" applyBorder="1" applyAlignment="1">
      <alignment horizontal="right"/>
    </xf>
    <xf numFmtId="42" fontId="4" fillId="0" borderId="0" xfId="0" applyNumberFormat="1" applyFont="1" applyFill="1" applyBorder="1" applyAlignment="1">
      <alignment horizontal="right"/>
    </xf>
    <xf numFmtId="44" fontId="4" fillId="0" borderId="0" xfId="0" applyNumberFormat="1" applyFont="1" applyFill="1" applyBorder="1" applyAlignment="1">
      <alignment horizontal="right"/>
    </xf>
    <xf numFmtId="44" fontId="4" fillId="0" borderId="0" xfId="0" applyNumberFormat="1" applyFont="1" applyFill="1"/>
    <xf numFmtId="42" fontId="22" fillId="0" borderId="0" xfId="0" applyNumberFormat="1" applyFont="1" applyFill="1"/>
    <xf numFmtId="0" fontId="2" fillId="2" borderId="0" xfId="2" applyFill="1"/>
    <xf numFmtId="0" fontId="6" fillId="2" borderId="0" xfId="5" applyFont="1" applyFill="1"/>
    <xf numFmtId="5" fontId="17" fillId="5" borderId="0" xfId="0" applyNumberFormat="1" applyFont="1" applyFill="1"/>
    <xf numFmtId="42" fontId="17" fillId="5" borderId="0" xfId="0" applyNumberFormat="1" applyFont="1" applyFill="1"/>
    <xf numFmtId="0" fontId="14" fillId="0" borderId="0" xfId="6" applyFont="1" applyFill="1" applyAlignment="1">
      <alignment horizontal="center"/>
    </xf>
    <xf numFmtId="0" fontId="25" fillId="0" borderId="0" xfId="6" applyFont="1" applyFill="1" applyAlignment="1">
      <alignment horizontal="center"/>
    </xf>
    <xf numFmtId="0" fontId="14" fillId="0" borderId="0" xfId="6" applyFont="1" applyAlignment="1">
      <alignment horizontal="center"/>
    </xf>
    <xf numFmtId="0" fontId="12" fillId="0" borderId="0" xfId="6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4" fillId="0" borderId="0" xfId="2" applyFont="1" applyBorder="1" applyAlignment="1">
      <alignment horizontal="center"/>
    </xf>
    <xf numFmtId="0" fontId="12" fillId="4" borderId="0" xfId="2" applyFont="1" applyFill="1" applyBorder="1" applyAlignment="1">
      <alignment horizontal="center" wrapText="1"/>
    </xf>
    <xf numFmtId="0" fontId="4" fillId="4" borderId="0" xfId="2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167" fontId="33" fillId="0" borderId="0" xfId="2" applyNumberFormat="1" applyFont="1" applyFill="1" applyBorder="1" applyAlignment="1">
      <alignment horizontal="center" wrapText="1"/>
    </xf>
    <xf numFmtId="0" fontId="12" fillId="6" borderId="20" xfId="8" applyFont="1" applyFill="1" applyBorder="1"/>
    <xf numFmtId="0" fontId="4" fillId="6" borderId="21" xfId="8" applyFont="1" applyFill="1" applyBorder="1"/>
    <xf numFmtId="0" fontId="4" fillId="6" borderId="21" xfId="8" applyFont="1" applyFill="1" applyBorder="1" applyAlignment="1">
      <alignment horizontal="right"/>
    </xf>
    <xf numFmtId="0" fontId="4" fillId="6" borderId="25" xfId="8" applyFont="1" applyFill="1" applyBorder="1"/>
    <xf numFmtId="0" fontId="12" fillId="6" borderId="22" xfId="8" applyFont="1" applyFill="1" applyBorder="1"/>
    <xf numFmtId="0" fontId="4" fillId="6" borderId="0" xfId="8" applyFont="1" applyFill="1" applyBorder="1"/>
    <xf numFmtId="0" fontId="4" fillId="6" borderId="0" xfId="8" applyFont="1" applyFill="1" applyBorder="1" applyAlignment="1">
      <alignment horizontal="right"/>
    </xf>
    <xf numFmtId="0" fontId="4" fillId="6" borderId="26" xfId="8" applyFont="1" applyFill="1" applyBorder="1"/>
    <xf numFmtId="0" fontId="32" fillId="6" borderId="22" xfId="8" applyFont="1" applyFill="1" applyBorder="1"/>
    <xf numFmtId="0" fontId="4" fillId="6" borderId="22" xfId="8" applyFont="1" applyFill="1" applyBorder="1"/>
    <xf numFmtId="3" fontId="19" fillId="6" borderId="0" xfId="8" applyNumberFormat="1" applyFont="1" applyFill="1" applyBorder="1" applyAlignment="1">
      <alignment horizontal="right"/>
    </xf>
    <xf numFmtId="177" fontId="19" fillId="6" borderId="26" xfId="8" applyNumberFormat="1" applyFont="1" applyFill="1" applyBorder="1"/>
    <xf numFmtId="0" fontId="4" fillId="6" borderId="22" xfId="2" applyFont="1" applyFill="1" applyBorder="1"/>
    <xf numFmtId="177" fontId="4" fillId="6" borderId="26" xfId="8" applyNumberFormat="1" applyFont="1" applyFill="1" applyBorder="1"/>
    <xf numFmtId="0" fontId="4" fillId="6" borderId="22" xfId="8" applyFont="1" applyFill="1" applyBorder="1" applyAlignment="1">
      <alignment horizontal="left" indent="1"/>
    </xf>
    <xf numFmtId="0" fontId="30" fillId="6" borderId="22" xfId="8" applyFont="1" applyFill="1" applyBorder="1" applyAlignment="1">
      <alignment horizontal="left" indent="2"/>
    </xf>
    <xf numFmtId="0" fontId="12" fillId="6" borderId="0" xfId="8" applyFont="1" applyFill="1" applyBorder="1"/>
    <xf numFmtId="3" fontId="4" fillId="6" borderId="0" xfId="8" applyNumberFormat="1" applyFont="1" applyFill="1" applyBorder="1" applyAlignment="1">
      <alignment horizontal="right"/>
    </xf>
    <xf numFmtId="0" fontId="23" fillId="6" borderId="22" xfId="2" applyFont="1" applyFill="1" applyBorder="1"/>
    <xf numFmtId="0" fontId="23" fillId="6" borderId="0" xfId="2" applyFont="1" applyFill="1" applyBorder="1"/>
    <xf numFmtId="177" fontId="23" fillId="6" borderId="26" xfId="2" applyNumberFormat="1" applyFont="1" applyFill="1" applyBorder="1"/>
    <xf numFmtId="0" fontId="4" fillId="6" borderId="22" xfId="8" applyFont="1" applyFill="1" applyBorder="1" applyAlignment="1">
      <alignment horizontal="left" indent="2"/>
    </xf>
    <xf numFmtId="0" fontId="23" fillId="6" borderId="26" xfId="2" applyFont="1" applyFill="1" applyBorder="1"/>
    <xf numFmtId="3" fontId="12" fillId="6" borderId="0" xfId="8" applyNumberFormat="1" applyFont="1" applyFill="1" applyBorder="1" applyAlignment="1">
      <alignment horizontal="right"/>
    </xf>
    <xf numFmtId="0" fontId="12" fillId="6" borderId="26" xfId="8" applyFont="1" applyFill="1" applyBorder="1"/>
    <xf numFmtId="0" fontId="4" fillId="6" borderId="0" xfId="2" applyFont="1" applyFill="1" applyBorder="1"/>
    <xf numFmtId="3" fontId="4" fillId="6" borderId="0" xfId="2" applyNumberFormat="1" applyFont="1" applyFill="1" applyBorder="1" applyAlignment="1">
      <alignment horizontal="right"/>
    </xf>
    <xf numFmtId="0" fontId="30" fillId="6" borderId="22" xfId="8" applyFont="1" applyFill="1" applyBorder="1"/>
    <xf numFmtId="0" fontId="12" fillId="6" borderId="0" xfId="8" applyFont="1" applyFill="1" applyBorder="1" applyAlignment="1">
      <alignment horizontal="right"/>
    </xf>
    <xf numFmtId="0" fontId="4" fillId="6" borderId="23" xfId="2" applyFont="1" applyFill="1" applyBorder="1"/>
    <xf numFmtId="0" fontId="4" fillId="6" borderId="24" xfId="2" applyFont="1" applyFill="1" applyBorder="1"/>
    <xf numFmtId="37" fontId="15" fillId="6" borderId="24" xfId="2" applyNumberFormat="1" applyFont="1" applyFill="1" applyBorder="1"/>
    <xf numFmtId="181" fontId="17" fillId="6" borderId="27" xfId="2" applyNumberFormat="1" applyFont="1" applyFill="1" applyBorder="1"/>
    <xf numFmtId="0" fontId="4" fillId="6" borderId="20" xfId="2" applyFont="1" applyFill="1" applyBorder="1"/>
    <xf numFmtId="0" fontId="4" fillId="6" borderId="21" xfId="2" applyFont="1" applyFill="1" applyBorder="1"/>
    <xf numFmtId="0" fontId="4" fillId="6" borderId="25" xfId="2" applyFont="1" applyFill="1" applyBorder="1"/>
    <xf numFmtId="42" fontId="22" fillId="6" borderId="22" xfId="2" applyNumberFormat="1" applyFont="1" applyFill="1" applyBorder="1"/>
    <xf numFmtId="42" fontId="22" fillId="6" borderId="0" xfId="2" applyNumberFormat="1" applyFont="1" applyFill="1" applyBorder="1"/>
    <xf numFmtId="175" fontId="4" fillId="6" borderId="0" xfId="2" applyNumberFormat="1" applyFont="1" applyFill="1" applyBorder="1"/>
    <xf numFmtId="5" fontId="15" fillId="6" borderId="0" xfId="2" applyNumberFormat="1" applyFont="1" applyFill="1" applyBorder="1"/>
    <xf numFmtId="42" fontId="4" fillId="6" borderId="0" xfId="2" applyNumberFormat="1" applyFont="1" applyFill="1" applyBorder="1"/>
    <xf numFmtId="175" fontId="4" fillId="6" borderId="26" xfId="2" applyNumberFormat="1" applyFont="1" applyFill="1" applyBorder="1"/>
    <xf numFmtId="42" fontId="4" fillId="6" borderId="22" xfId="2" applyNumberFormat="1" applyFont="1" applyFill="1" applyBorder="1"/>
    <xf numFmtId="42" fontId="17" fillId="6" borderId="0" xfId="2" applyNumberFormat="1" applyFont="1" applyFill="1" applyBorder="1"/>
    <xf numFmtId="42" fontId="15" fillId="6" borderId="22" xfId="2" applyNumberFormat="1" applyFont="1" applyFill="1" applyBorder="1"/>
    <xf numFmtId="42" fontId="15" fillId="6" borderId="0" xfId="2" applyNumberFormat="1" applyFont="1" applyFill="1" applyBorder="1"/>
    <xf numFmtId="5" fontId="4" fillId="6" borderId="0" xfId="2" applyNumberFormat="1" applyFont="1" applyFill="1" applyBorder="1"/>
    <xf numFmtId="5" fontId="15" fillId="6" borderId="2" xfId="2" applyNumberFormat="1" applyFont="1" applyFill="1" applyBorder="1"/>
    <xf numFmtId="5" fontId="4" fillId="6" borderId="2" xfId="2" applyNumberFormat="1" applyFont="1" applyFill="1" applyBorder="1"/>
    <xf numFmtId="42" fontId="4" fillId="6" borderId="29" xfId="2" applyNumberFormat="1" applyFont="1" applyFill="1" applyBorder="1"/>
    <xf numFmtId="42" fontId="4" fillId="6" borderId="3" xfId="2" applyNumberFormat="1" applyFont="1" applyFill="1" applyBorder="1"/>
    <xf numFmtId="5" fontId="15" fillId="6" borderId="22" xfId="2" applyNumberFormat="1" applyFont="1" applyFill="1" applyBorder="1"/>
    <xf numFmtId="42" fontId="15" fillId="6" borderId="23" xfId="2" applyNumberFormat="1" applyFont="1" applyFill="1" applyBorder="1"/>
    <xf numFmtId="42" fontId="15" fillId="6" borderId="24" xfId="2" applyNumberFormat="1" applyFont="1" applyFill="1" applyBorder="1"/>
    <xf numFmtId="175" fontId="4" fillId="6" borderId="24" xfId="2" applyNumberFormat="1" applyFont="1" applyFill="1" applyBorder="1"/>
    <xf numFmtId="5" fontId="15" fillId="6" borderId="24" xfId="2" applyNumberFormat="1" applyFont="1" applyFill="1" applyBorder="1"/>
    <xf numFmtId="42" fontId="4" fillId="6" borderId="24" xfId="2" applyNumberFormat="1" applyFont="1" applyFill="1" applyBorder="1"/>
    <xf numFmtId="175" fontId="4" fillId="6" borderId="27" xfId="2" applyNumberFormat="1" applyFont="1" applyFill="1" applyBorder="1"/>
    <xf numFmtId="170" fontId="4" fillId="6" borderId="21" xfId="2" applyNumberFormat="1" applyFont="1" applyFill="1" applyBorder="1"/>
    <xf numFmtId="10" fontId="4" fillId="6" borderId="21" xfId="2" applyNumberFormat="1" applyFont="1" applyFill="1" applyBorder="1"/>
    <xf numFmtId="42" fontId="15" fillId="6" borderId="21" xfId="2" applyNumberFormat="1" applyFont="1" applyFill="1" applyBorder="1"/>
    <xf numFmtId="42" fontId="4" fillId="6" borderId="21" xfId="2" applyNumberFormat="1" applyFont="1" applyFill="1" applyBorder="1"/>
    <xf numFmtId="175" fontId="4" fillId="6" borderId="21" xfId="2" applyNumberFormat="1" applyFont="1" applyFill="1" applyBorder="1"/>
    <xf numFmtId="0" fontId="4" fillId="6" borderId="25" xfId="2" applyNumberFormat="1" applyFont="1" applyFill="1" applyBorder="1"/>
    <xf numFmtId="10" fontId="4" fillId="6" borderId="0" xfId="2" applyNumberFormat="1" applyFont="1" applyFill="1" applyBorder="1"/>
    <xf numFmtId="3" fontId="4" fillId="6" borderId="0" xfId="2" applyNumberFormat="1" applyFont="1" applyFill="1" applyBorder="1" applyAlignment="1">
      <alignment horizontal="center"/>
    </xf>
    <xf numFmtId="0" fontId="4" fillId="6" borderId="26" xfId="2" applyFont="1" applyFill="1" applyBorder="1"/>
    <xf numFmtId="171" fontId="4" fillId="6" borderId="0" xfId="2" applyNumberFormat="1" applyFont="1" applyFill="1" applyBorder="1" applyAlignment="1">
      <alignment horizontal="right"/>
    </xf>
    <xf numFmtId="171" fontId="4" fillId="6" borderId="0" xfId="2" applyNumberFormat="1" applyFont="1" applyFill="1" applyBorder="1"/>
    <xf numFmtId="171" fontId="4" fillId="6" borderId="0" xfId="2" applyNumberFormat="1" applyFont="1" applyFill="1" applyBorder="1" applyAlignment="1"/>
    <xf numFmtId="9" fontId="4" fillId="6" borderId="24" xfId="2" applyNumberFormat="1" applyFont="1" applyFill="1" applyBorder="1"/>
    <xf numFmtId="171" fontId="4" fillId="6" borderId="24" xfId="2" applyNumberFormat="1" applyFont="1" applyFill="1" applyBorder="1" applyAlignment="1">
      <alignment horizontal="right"/>
    </xf>
    <xf numFmtId="171" fontId="4" fillId="6" borderId="24" xfId="2" applyNumberFormat="1" applyFont="1" applyFill="1" applyBorder="1"/>
    <xf numFmtId="0" fontId="38" fillId="0" borderId="0" xfId="2" applyFont="1"/>
    <xf numFmtId="3" fontId="17" fillId="6" borderId="0" xfId="8" applyNumberFormat="1" applyFont="1" applyFill="1" applyBorder="1" applyAlignment="1">
      <alignment horizontal="right"/>
    </xf>
    <xf numFmtId="177" fontId="17" fillId="6" borderId="26" xfId="8" applyNumberFormat="1" applyFont="1" applyFill="1" applyBorder="1"/>
    <xf numFmtId="0" fontId="17" fillId="6" borderId="0" xfId="8" applyFont="1" applyFill="1" applyBorder="1" applyAlignment="1">
      <alignment horizontal="right"/>
    </xf>
    <xf numFmtId="0" fontId="17" fillId="6" borderId="26" xfId="8" applyFont="1" applyFill="1" applyBorder="1"/>
    <xf numFmtId="0" fontId="17" fillId="6" borderId="0" xfId="2" applyFont="1" applyFill="1" applyBorder="1"/>
    <xf numFmtId="0" fontId="17" fillId="6" borderId="26" xfId="2" applyFont="1" applyFill="1" applyBorder="1"/>
    <xf numFmtId="3" fontId="24" fillId="6" borderId="0" xfId="8" applyNumberFormat="1" applyFont="1" applyFill="1" applyBorder="1" applyAlignment="1">
      <alignment horizontal="right"/>
    </xf>
    <xf numFmtId="0" fontId="24" fillId="6" borderId="26" xfId="8" applyFont="1" applyFill="1" applyBorder="1"/>
    <xf numFmtId="3" fontId="17" fillId="6" borderId="0" xfId="2" applyNumberFormat="1" applyFont="1" applyFill="1" applyBorder="1" applyAlignment="1">
      <alignment horizontal="right"/>
    </xf>
    <xf numFmtId="0" fontId="24" fillId="6" borderId="0" xfId="8" applyFont="1" applyFill="1" applyBorder="1" applyAlignment="1">
      <alignment horizontal="right"/>
    </xf>
    <xf numFmtId="37" fontId="17" fillId="6" borderId="24" xfId="2" applyNumberFormat="1" applyFont="1" applyFill="1" applyBorder="1"/>
    <xf numFmtId="5" fontId="15" fillId="6" borderId="26" xfId="2" applyNumberFormat="1" applyFont="1" applyFill="1" applyBorder="1"/>
    <xf numFmtId="42" fontId="17" fillId="6" borderId="26" xfId="2" applyNumberFormat="1" applyFont="1" applyFill="1" applyBorder="1"/>
    <xf numFmtId="42" fontId="15" fillId="6" borderId="26" xfId="2" applyNumberFormat="1" applyFont="1" applyFill="1" applyBorder="1"/>
    <xf numFmtId="5" fontId="17" fillId="6" borderId="26" xfId="2" applyNumberFormat="1" applyFont="1" applyFill="1" applyBorder="1"/>
    <xf numFmtId="5" fontId="17" fillId="6" borderId="28" xfId="2" applyNumberFormat="1" applyFont="1" applyFill="1" applyBorder="1"/>
    <xf numFmtId="5" fontId="4" fillId="6" borderId="26" xfId="2" applyNumberFormat="1" applyFont="1" applyFill="1" applyBorder="1"/>
    <xf numFmtId="42" fontId="4" fillId="6" borderId="26" xfId="2" applyNumberFormat="1" applyFont="1" applyFill="1" applyBorder="1"/>
    <xf numFmtId="5" fontId="17" fillId="6" borderId="22" xfId="2" applyNumberFormat="1" applyFont="1" applyFill="1" applyBorder="1"/>
    <xf numFmtId="5" fontId="15" fillId="6" borderId="27" xfId="2" applyNumberFormat="1" applyFont="1" applyFill="1" applyBorder="1"/>
    <xf numFmtId="42" fontId="17" fillId="6" borderId="21" xfId="2" applyNumberFormat="1" applyFont="1" applyFill="1" applyBorder="1"/>
    <xf numFmtId="42" fontId="4" fillId="6" borderId="25" xfId="2" applyNumberFormat="1" applyFont="1" applyFill="1" applyBorder="1"/>
    <xf numFmtId="3" fontId="4" fillId="6" borderId="26" xfId="2" applyNumberFormat="1" applyFont="1" applyFill="1" applyBorder="1" applyAlignment="1">
      <alignment horizontal="center"/>
    </xf>
    <xf numFmtId="171" fontId="4" fillId="6" borderId="26" xfId="2" applyNumberFormat="1" applyFont="1" applyFill="1" applyBorder="1" applyAlignment="1"/>
    <xf numFmtId="171" fontId="4" fillId="6" borderId="27" xfId="2" applyNumberFormat="1" applyFont="1" applyFill="1" applyBorder="1" applyAlignment="1">
      <alignment horizontal="right"/>
    </xf>
  </cellXfs>
  <cellStyles count="10">
    <cellStyle name="Currency" xfId="1" builtinId="4"/>
    <cellStyle name="Currency 10" xfId="9"/>
    <cellStyle name="Normal" xfId="0" builtinId="0"/>
    <cellStyle name="Normal - Style1 2 2 3 4" xfId="2"/>
    <cellStyle name="Normal 2 10" xfId="8"/>
    <cellStyle name="Normal 2 2" xfId="5"/>
    <cellStyle name="Normal 5" xfId="6"/>
    <cellStyle name="Percent" xfId="7" builtinId="5"/>
    <cellStyle name="Percent 10" xfId="3"/>
    <cellStyle name="Report Heading" xfId="4"/>
  </cellStyles>
  <dxfs count="0"/>
  <tableStyles count="0" defaultTableStyle="TableStyleMedium9" defaultPivotStyle="PivotStyleLight16"/>
  <colors>
    <mruColors>
      <color rgb="FF0000FF"/>
      <color rgb="FF008080"/>
      <color rgb="FF00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customXml" Target="../customXml/item5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180975</xdr:colOff>
      <xdr:row>1</xdr:row>
      <xdr:rowOff>47625</xdr:rowOff>
    </xdr:from>
    <xdr:to>
      <xdr:col>29</xdr:col>
      <xdr:colOff>560784</xdr:colOff>
      <xdr:row>41</xdr:row>
      <xdr:rowOff>94484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0" y="190500"/>
          <a:ext cx="9523809" cy="6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35</xdr:row>
      <xdr:rowOff>47625</xdr:rowOff>
    </xdr:from>
    <xdr:to>
      <xdr:col>4</xdr:col>
      <xdr:colOff>508635</xdr:colOff>
      <xdr:row>37</xdr:row>
      <xdr:rowOff>102870</xdr:rowOff>
    </xdr:to>
    <xdr:sp macro="" textlink="">
      <xdr:nvSpPr>
        <xdr:cNvPr id="2" name="TextBox 1"/>
        <xdr:cNvSpPr txBox="1"/>
      </xdr:nvSpPr>
      <xdr:spPr>
        <a:xfrm>
          <a:off x="3400425" y="50958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7</xdr:col>
      <xdr:colOff>790575</xdr:colOff>
      <xdr:row>35</xdr:row>
      <xdr:rowOff>66675</xdr:rowOff>
    </xdr:from>
    <xdr:to>
      <xdr:col>9</xdr:col>
      <xdr:colOff>603885</xdr:colOff>
      <xdr:row>37</xdr:row>
      <xdr:rowOff>121920</xdr:rowOff>
    </xdr:to>
    <xdr:sp macro="" textlink="">
      <xdr:nvSpPr>
        <xdr:cNvPr id="3" name="TextBox 2"/>
        <xdr:cNvSpPr txBox="1"/>
      </xdr:nvSpPr>
      <xdr:spPr>
        <a:xfrm>
          <a:off x="6296025" y="51149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69</xdr:row>
      <xdr:rowOff>0</xdr:rowOff>
    </xdr:from>
    <xdr:to>
      <xdr:col>4</xdr:col>
      <xdr:colOff>489585</xdr:colOff>
      <xdr:row>71</xdr:row>
      <xdr:rowOff>55245</xdr:rowOff>
    </xdr:to>
    <xdr:sp macro="" textlink="">
      <xdr:nvSpPr>
        <xdr:cNvPr id="4" name="TextBox 3"/>
        <xdr:cNvSpPr txBox="1"/>
      </xdr:nvSpPr>
      <xdr:spPr>
        <a:xfrm>
          <a:off x="3381375" y="99060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0</xdr:colOff>
      <xdr:row>69</xdr:row>
      <xdr:rowOff>0</xdr:rowOff>
    </xdr:from>
    <xdr:to>
      <xdr:col>9</xdr:col>
      <xdr:colOff>622935</xdr:colOff>
      <xdr:row>71</xdr:row>
      <xdr:rowOff>55245</xdr:rowOff>
    </xdr:to>
    <xdr:sp macro="" textlink="">
      <xdr:nvSpPr>
        <xdr:cNvPr id="5" name="TextBox 4"/>
        <xdr:cNvSpPr txBox="1"/>
      </xdr:nvSpPr>
      <xdr:spPr>
        <a:xfrm>
          <a:off x="6315075" y="99060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98</xdr:row>
      <xdr:rowOff>0</xdr:rowOff>
    </xdr:from>
    <xdr:to>
      <xdr:col>4</xdr:col>
      <xdr:colOff>489585</xdr:colOff>
      <xdr:row>100</xdr:row>
      <xdr:rowOff>55245</xdr:rowOff>
    </xdr:to>
    <xdr:sp macro="" textlink="">
      <xdr:nvSpPr>
        <xdr:cNvPr id="6" name="TextBox 5"/>
        <xdr:cNvSpPr txBox="1"/>
      </xdr:nvSpPr>
      <xdr:spPr>
        <a:xfrm>
          <a:off x="3381375" y="140684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76200</xdr:colOff>
      <xdr:row>97</xdr:row>
      <xdr:rowOff>114300</xdr:rowOff>
    </xdr:from>
    <xdr:to>
      <xdr:col>9</xdr:col>
      <xdr:colOff>699135</xdr:colOff>
      <xdr:row>100</xdr:row>
      <xdr:rowOff>26670</xdr:rowOff>
    </xdr:to>
    <xdr:sp macro="" textlink="">
      <xdr:nvSpPr>
        <xdr:cNvPr id="7" name="TextBox 6"/>
        <xdr:cNvSpPr txBox="1"/>
      </xdr:nvSpPr>
      <xdr:spPr>
        <a:xfrm>
          <a:off x="6391275" y="140398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31</xdr:row>
      <xdr:rowOff>114300</xdr:rowOff>
    </xdr:from>
    <xdr:to>
      <xdr:col>4</xdr:col>
      <xdr:colOff>470535</xdr:colOff>
      <xdr:row>34</xdr:row>
      <xdr:rowOff>26670</xdr:rowOff>
    </xdr:to>
    <xdr:sp macro="" textlink="">
      <xdr:nvSpPr>
        <xdr:cNvPr id="2" name="TextBox 1"/>
        <xdr:cNvSpPr txBox="1"/>
      </xdr:nvSpPr>
      <xdr:spPr>
        <a:xfrm>
          <a:off x="3362325" y="45910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161925</xdr:colOff>
      <xdr:row>31</xdr:row>
      <xdr:rowOff>104775</xdr:rowOff>
    </xdr:from>
    <xdr:to>
      <xdr:col>7</xdr:col>
      <xdr:colOff>508635</xdr:colOff>
      <xdr:row>34</xdr:row>
      <xdr:rowOff>17145</xdr:rowOff>
    </xdr:to>
    <xdr:sp macro="" textlink="">
      <xdr:nvSpPr>
        <xdr:cNvPr id="3" name="TextBox 2"/>
        <xdr:cNvSpPr txBox="1"/>
      </xdr:nvSpPr>
      <xdr:spPr>
        <a:xfrm>
          <a:off x="4857750" y="45815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2</xdr:col>
      <xdr:colOff>1038225</xdr:colOff>
      <xdr:row>70</xdr:row>
      <xdr:rowOff>66675</xdr:rowOff>
    </xdr:from>
    <xdr:to>
      <xdr:col>4</xdr:col>
      <xdr:colOff>470535</xdr:colOff>
      <xdr:row>72</xdr:row>
      <xdr:rowOff>121920</xdr:rowOff>
    </xdr:to>
    <xdr:sp macro="" textlink="">
      <xdr:nvSpPr>
        <xdr:cNvPr id="4" name="TextBox 3"/>
        <xdr:cNvSpPr txBox="1"/>
      </xdr:nvSpPr>
      <xdr:spPr>
        <a:xfrm>
          <a:off x="3362325" y="101155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209550</xdr:colOff>
      <xdr:row>70</xdr:row>
      <xdr:rowOff>38100</xdr:rowOff>
    </xdr:from>
    <xdr:to>
      <xdr:col>7</xdr:col>
      <xdr:colOff>556260</xdr:colOff>
      <xdr:row>72</xdr:row>
      <xdr:rowOff>93345</xdr:rowOff>
    </xdr:to>
    <xdr:sp macro="" textlink="">
      <xdr:nvSpPr>
        <xdr:cNvPr id="5" name="TextBox 4"/>
        <xdr:cNvSpPr txBox="1"/>
      </xdr:nvSpPr>
      <xdr:spPr>
        <a:xfrm>
          <a:off x="4905375" y="100869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98</xdr:row>
      <xdr:rowOff>0</xdr:rowOff>
    </xdr:from>
    <xdr:to>
      <xdr:col>4</xdr:col>
      <xdr:colOff>489585</xdr:colOff>
      <xdr:row>100</xdr:row>
      <xdr:rowOff>55245</xdr:rowOff>
    </xdr:to>
    <xdr:sp macro="" textlink="">
      <xdr:nvSpPr>
        <xdr:cNvPr id="6" name="TextBox 5"/>
        <xdr:cNvSpPr txBox="1"/>
      </xdr:nvSpPr>
      <xdr:spPr>
        <a:xfrm>
          <a:off x="3381375" y="140684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200025</xdr:colOff>
      <xdr:row>97</xdr:row>
      <xdr:rowOff>133350</xdr:rowOff>
    </xdr:from>
    <xdr:to>
      <xdr:col>7</xdr:col>
      <xdr:colOff>546735</xdr:colOff>
      <xdr:row>100</xdr:row>
      <xdr:rowOff>45720</xdr:rowOff>
    </xdr:to>
    <xdr:sp macro="" textlink="">
      <xdr:nvSpPr>
        <xdr:cNvPr id="7" name="TextBox 6"/>
        <xdr:cNvSpPr txBox="1"/>
      </xdr:nvSpPr>
      <xdr:spPr>
        <a:xfrm>
          <a:off x="4895850" y="140589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"/>
  <sheetViews>
    <sheetView tabSelected="1" workbookViewId="0"/>
  </sheetViews>
  <sheetFormatPr defaultColWidth="9.140625" defaultRowHeight="12.75" x14ac:dyDescent="0.2"/>
  <cols>
    <col min="1" max="16384" width="9.140625" style="453"/>
  </cols>
  <sheetData>
    <row r="2" spans="1:1" ht="15.75" x14ac:dyDescent="0.25">
      <c r="A2" s="454" t="s">
        <v>328</v>
      </c>
    </row>
  </sheetData>
  <pageMargins left="0.75" right="0.75" top="1" bottom="1" header="0.5" footer="0.5"/>
  <pageSetup scale="95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>
      <selection activeCell="I39" sqref="I39"/>
    </sheetView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58"/>
  <sheetViews>
    <sheetView zoomScaleNormal="100" workbookViewId="0">
      <selection activeCell="P20" sqref="P20"/>
    </sheetView>
  </sheetViews>
  <sheetFormatPr defaultColWidth="9.140625" defaultRowHeight="11.25" x14ac:dyDescent="0.2"/>
  <cols>
    <col min="1" max="1" width="35.5703125" style="6" customWidth="1"/>
    <col min="2" max="2" width="12.7109375" style="6" bestFit="1" customWidth="1"/>
    <col min="3" max="3" width="13.28515625" style="6" bestFit="1" customWidth="1"/>
    <col min="4" max="4" width="13.42578125" style="6" bestFit="1" customWidth="1"/>
    <col min="5" max="5" width="13.28515625" style="6" bestFit="1" customWidth="1"/>
    <col min="6" max="6" width="12.7109375" style="6" bestFit="1" customWidth="1"/>
    <col min="7" max="7" width="11.85546875" style="6" bestFit="1" customWidth="1"/>
    <col min="8" max="8" width="12" style="6" bestFit="1" customWidth="1"/>
    <col min="9" max="9" width="12.5703125" style="6" bestFit="1" customWidth="1"/>
    <col min="10" max="10" width="13.28515625" style="6" bestFit="1" customWidth="1"/>
    <col min="11" max="11" width="12.42578125" style="6" bestFit="1" customWidth="1"/>
    <col min="12" max="13" width="12" style="6" bestFit="1" customWidth="1"/>
    <col min="14" max="14" width="12.140625" style="6" bestFit="1" customWidth="1"/>
    <col min="15" max="15" width="11.28515625" style="6" bestFit="1" customWidth="1"/>
    <col min="16" max="16384" width="9.140625" style="6"/>
  </cols>
  <sheetData>
    <row r="1" spans="1:15" x14ac:dyDescent="0.2">
      <c r="A1" s="4" t="str">
        <f>'Rates Summary '!B1</f>
        <v>Puget Sound Energy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74"/>
    </row>
    <row r="2" spans="1:15" x14ac:dyDescent="0.2">
      <c r="A2" s="4" t="str">
        <f>'Rates Summary '!B2</f>
        <v>PGA Filing Proposed Effective November 1, 2021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74"/>
    </row>
    <row r="3" spans="1:15" x14ac:dyDescent="0.2">
      <c r="A3" s="1" t="s">
        <v>134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74"/>
    </row>
    <row r="4" spans="1:15" x14ac:dyDescent="0.2">
      <c r="A4" s="75"/>
      <c r="B4" s="44"/>
      <c r="C4" s="44"/>
      <c r="D4" s="44"/>
      <c r="E4" s="44"/>
      <c r="F4" s="44"/>
      <c r="G4" s="44"/>
      <c r="H4" s="44"/>
      <c r="I4" s="44"/>
      <c r="J4" s="44"/>
      <c r="K4" s="75"/>
      <c r="L4" s="44"/>
      <c r="M4" s="44"/>
      <c r="N4" s="44"/>
    </row>
    <row r="5" spans="1:15" x14ac:dyDescent="0.2">
      <c r="A5" s="75"/>
      <c r="B5" s="44"/>
      <c r="C5" s="44"/>
      <c r="D5" s="44"/>
      <c r="E5" s="44"/>
      <c r="F5" s="44"/>
      <c r="G5" s="44"/>
      <c r="H5" s="44"/>
      <c r="I5" s="44"/>
      <c r="J5" s="44"/>
      <c r="K5" s="75"/>
      <c r="L5" s="44"/>
      <c r="M5" s="44"/>
      <c r="N5" s="44"/>
    </row>
    <row r="6" spans="1:15" x14ac:dyDescent="0.2">
      <c r="A6" s="75" t="s">
        <v>57</v>
      </c>
      <c r="G6" s="75"/>
      <c r="H6" s="75"/>
      <c r="N6" s="87" t="s">
        <v>319</v>
      </c>
    </row>
    <row r="7" spans="1:15" x14ac:dyDescent="0.2">
      <c r="A7" s="53" t="s">
        <v>56</v>
      </c>
      <c r="B7" s="86">
        <v>44501</v>
      </c>
      <c r="C7" s="76">
        <f>EDATE(B7,1)</f>
        <v>44531</v>
      </c>
      <c r="D7" s="76">
        <f t="shared" ref="D7:M7" si="0">EDATE(C7,1)</f>
        <v>44562</v>
      </c>
      <c r="E7" s="76">
        <f t="shared" si="0"/>
        <v>44593</v>
      </c>
      <c r="F7" s="76">
        <f t="shared" si="0"/>
        <v>44621</v>
      </c>
      <c r="G7" s="76">
        <f t="shared" si="0"/>
        <v>44652</v>
      </c>
      <c r="H7" s="76">
        <f t="shared" si="0"/>
        <v>44682</v>
      </c>
      <c r="I7" s="76">
        <f t="shared" si="0"/>
        <v>44713</v>
      </c>
      <c r="J7" s="76">
        <f t="shared" si="0"/>
        <v>44743</v>
      </c>
      <c r="K7" s="76">
        <f t="shared" si="0"/>
        <v>44774</v>
      </c>
      <c r="L7" s="76">
        <f t="shared" si="0"/>
        <v>44805</v>
      </c>
      <c r="M7" s="76">
        <f t="shared" si="0"/>
        <v>44835</v>
      </c>
      <c r="N7" s="53" t="s">
        <v>15</v>
      </c>
    </row>
    <row r="8" spans="1:15" x14ac:dyDescent="0.2">
      <c r="A8" s="50">
        <v>23</v>
      </c>
      <c r="B8" s="386">
        <v>77226266</v>
      </c>
      <c r="C8" s="386">
        <v>101228189</v>
      </c>
      <c r="D8" s="386">
        <v>97629643</v>
      </c>
      <c r="E8" s="386">
        <v>82776520</v>
      </c>
      <c r="F8" s="386">
        <v>75711323</v>
      </c>
      <c r="G8" s="386">
        <v>53531967</v>
      </c>
      <c r="H8" s="386">
        <v>30642000</v>
      </c>
      <c r="I8" s="386">
        <v>20339874</v>
      </c>
      <c r="J8" s="386">
        <v>14770079</v>
      </c>
      <c r="K8" s="386">
        <v>14130402</v>
      </c>
      <c r="L8" s="386">
        <v>20723185</v>
      </c>
      <c r="M8" s="386">
        <v>47412595</v>
      </c>
      <c r="N8" s="77">
        <f>SUM(B8:M8)</f>
        <v>636122043</v>
      </c>
      <c r="O8" s="78"/>
    </row>
    <row r="9" spans="1:15" x14ac:dyDescent="0.2">
      <c r="A9" s="50">
        <v>16</v>
      </c>
      <c r="B9" s="386">
        <v>736</v>
      </c>
      <c r="C9" s="386">
        <v>736</v>
      </c>
      <c r="D9" s="386">
        <v>736</v>
      </c>
      <c r="E9" s="386">
        <v>736</v>
      </c>
      <c r="F9" s="386">
        <v>736</v>
      </c>
      <c r="G9" s="386">
        <v>736</v>
      </c>
      <c r="H9" s="386">
        <v>736</v>
      </c>
      <c r="I9" s="386">
        <v>736</v>
      </c>
      <c r="J9" s="386">
        <v>736</v>
      </c>
      <c r="K9" s="386">
        <v>736</v>
      </c>
      <c r="L9" s="386">
        <v>736</v>
      </c>
      <c r="M9" s="386">
        <v>736</v>
      </c>
      <c r="N9" s="77">
        <f t="shared" ref="N9:N14" si="1">SUM(B9:M9)</f>
        <v>8832</v>
      </c>
      <c r="O9" s="78"/>
    </row>
    <row r="10" spans="1:15" x14ac:dyDescent="0.2">
      <c r="A10" s="50">
        <v>31</v>
      </c>
      <c r="B10" s="386">
        <v>25696666</v>
      </c>
      <c r="C10" s="386">
        <v>34604284</v>
      </c>
      <c r="D10" s="386">
        <v>32247826</v>
      </c>
      <c r="E10" s="386">
        <v>29473501</v>
      </c>
      <c r="F10" s="386">
        <v>26722299</v>
      </c>
      <c r="G10" s="386">
        <v>19380229</v>
      </c>
      <c r="H10" s="386">
        <v>13744464</v>
      </c>
      <c r="I10" s="386">
        <v>10592700</v>
      </c>
      <c r="J10" s="386">
        <v>8776103</v>
      </c>
      <c r="K10" s="386">
        <v>9060379</v>
      </c>
      <c r="L10" s="386">
        <v>10256642</v>
      </c>
      <c r="M10" s="386">
        <v>17267214</v>
      </c>
      <c r="N10" s="77">
        <f t="shared" si="1"/>
        <v>237822307</v>
      </c>
      <c r="O10" s="78"/>
    </row>
    <row r="11" spans="1:15" x14ac:dyDescent="0.2">
      <c r="A11" s="50">
        <v>41</v>
      </c>
      <c r="B11" s="386">
        <v>7215199</v>
      </c>
      <c r="C11" s="386">
        <v>8430886</v>
      </c>
      <c r="D11" s="386">
        <v>7828852</v>
      </c>
      <c r="E11" s="386">
        <v>7587579</v>
      </c>
      <c r="F11" s="386">
        <v>7109959</v>
      </c>
      <c r="G11" s="386">
        <v>5558340</v>
      </c>
      <c r="H11" s="386">
        <v>4385104</v>
      </c>
      <c r="I11" s="386">
        <v>3622276</v>
      </c>
      <c r="J11" s="386">
        <v>2887132</v>
      </c>
      <c r="K11" s="386">
        <v>3010217</v>
      </c>
      <c r="L11" s="386">
        <v>3460063</v>
      </c>
      <c r="M11" s="386">
        <v>5364177</v>
      </c>
      <c r="N11" s="77">
        <f t="shared" si="1"/>
        <v>66459784</v>
      </c>
      <c r="O11" s="78"/>
    </row>
    <row r="12" spans="1:15" x14ac:dyDescent="0.2">
      <c r="A12" s="50">
        <v>85</v>
      </c>
      <c r="B12" s="386">
        <v>1230237</v>
      </c>
      <c r="C12" s="386">
        <v>1558385</v>
      </c>
      <c r="D12" s="386">
        <v>1304020</v>
      </c>
      <c r="E12" s="386">
        <v>1285951</v>
      </c>
      <c r="F12" s="386">
        <v>1181874</v>
      </c>
      <c r="G12" s="386">
        <v>952572</v>
      </c>
      <c r="H12" s="386">
        <v>858589</v>
      </c>
      <c r="I12" s="386">
        <v>655198</v>
      </c>
      <c r="J12" s="386">
        <v>618117</v>
      </c>
      <c r="K12" s="386">
        <v>677311</v>
      </c>
      <c r="L12" s="386">
        <v>685720</v>
      </c>
      <c r="M12" s="386">
        <v>979115</v>
      </c>
      <c r="N12" s="77">
        <f t="shared" si="1"/>
        <v>11987089</v>
      </c>
      <c r="O12" s="78"/>
    </row>
    <row r="13" spans="1:15" x14ac:dyDescent="0.2">
      <c r="A13" s="50">
        <v>86</v>
      </c>
      <c r="B13" s="386">
        <v>650859</v>
      </c>
      <c r="C13" s="386">
        <v>950945</v>
      </c>
      <c r="D13" s="386">
        <v>816495</v>
      </c>
      <c r="E13" s="386">
        <v>803229</v>
      </c>
      <c r="F13" s="386">
        <v>753977</v>
      </c>
      <c r="G13" s="386">
        <v>526235</v>
      </c>
      <c r="H13" s="386">
        <v>441272</v>
      </c>
      <c r="I13" s="386">
        <v>265181</v>
      </c>
      <c r="J13" s="386">
        <v>191912</v>
      </c>
      <c r="K13" s="386">
        <v>156558</v>
      </c>
      <c r="L13" s="386">
        <v>175194</v>
      </c>
      <c r="M13" s="386">
        <v>393875</v>
      </c>
      <c r="N13" s="77">
        <f t="shared" si="1"/>
        <v>6125732</v>
      </c>
      <c r="O13" s="78"/>
    </row>
    <row r="14" spans="1:15" x14ac:dyDescent="0.2">
      <c r="A14" s="50">
        <v>87</v>
      </c>
      <c r="B14" s="386">
        <v>1890183</v>
      </c>
      <c r="C14" s="386">
        <v>2322769</v>
      </c>
      <c r="D14" s="386">
        <v>1713555</v>
      </c>
      <c r="E14" s="386">
        <v>1658047</v>
      </c>
      <c r="F14" s="386">
        <v>1575980</v>
      </c>
      <c r="G14" s="386">
        <v>1204234</v>
      </c>
      <c r="H14" s="386">
        <v>1185540</v>
      </c>
      <c r="I14" s="386">
        <v>958990</v>
      </c>
      <c r="J14" s="386">
        <v>955191</v>
      </c>
      <c r="K14" s="386">
        <v>1028475</v>
      </c>
      <c r="L14" s="386">
        <v>1054506</v>
      </c>
      <c r="M14" s="386">
        <v>1669422</v>
      </c>
      <c r="N14" s="77">
        <f t="shared" si="1"/>
        <v>17216892</v>
      </c>
      <c r="O14" s="78"/>
    </row>
    <row r="15" spans="1:15" x14ac:dyDescent="0.2">
      <c r="A15" s="6" t="s">
        <v>2</v>
      </c>
      <c r="B15" s="79">
        <f>SUM(B8:B14)</f>
        <v>113910146</v>
      </c>
      <c r="C15" s="79">
        <f t="shared" ref="C15:M15" si="2">SUM(C8:C14)</f>
        <v>149096194</v>
      </c>
      <c r="D15" s="79">
        <f t="shared" si="2"/>
        <v>141541127</v>
      </c>
      <c r="E15" s="79">
        <f t="shared" si="2"/>
        <v>123585563</v>
      </c>
      <c r="F15" s="79">
        <f t="shared" si="2"/>
        <v>113056148</v>
      </c>
      <c r="G15" s="79">
        <f t="shared" si="2"/>
        <v>81154313</v>
      </c>
      <c r="H15" s="79">
        <f t="shared" si="2"/>
        <v>51257705</v>
      </c>
      <c r="I15" s="79">
        <f t="shared" si="2"/>
        <v>36434955</v>
      </c>
      <c r="J15" s="79">
        <f t="shared" si="2"/>
        <v>28199270</v>
      </c>
      <c r="K15" s="79">
        <f t="shared" si="2"/>
        <v>28064078</v>
      </c>
      <c r="L15" s="79">
        <f t="shared" si="2"/>
        <v>36356046</v>
      </c>
      <c r="M15" s="79">
        <f t="shared" si="2"/>
        <v>73087134</v>
      </c>
      <c r="N15" s="79">
        <f>SUM(N8:N14)</f>
        <v>975742679</v>
      </c>
      <c r="O15" s="78"/>
    </row>
    <row r="16" spans="1:15" x14ac:dyDescent="0.2">
      <c r="A16" s="388" t="s">
        <v>250</v>
      </c>
      <c r="B16" s="81">
        <v>0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/>
      <c r="O16" s="78"/>
    </row>
    <row r="17" spans="1:14" x14ac:dyDescent="0.2">
      <c r="A17" s="75" t="s">
        <v>38</v>
      </c>
      <c r="E17" s="83"/>
      <c r="F17" s="83"/>
      <c r="G17" s="83"/>
      <c r="H17" s="83"/>
      <c r="I17" s="83"/>
      <c r="J17" s="83"/>
      <c r="K17" s="83"/>
      <c r="L17" s="83"/>
      <c r="M17" s="83"/>
      <c r="N17" s="48"/>
    </row>
    <row r="18" spans="1:14" x14ac:dyDescent="0.2">
      <c r="A18" s="84" t="s">
        <v>39</v>
      </c>
      <c r="C18" s="53">
        <v>23</v>
      </c>
      <c r="D18" s="53">
        <v>16</v>
      </c>
      <c r="E18" s="53">
        <v>31</v>
      </c>
      <c r="F18" s="53">
        <v>41</v>
      </c>
      <c r="G18" s="53">
        <v>85</v>
      </c>
      <c r="H18" s="53">
        <v>86</v>
      </c>
      <c r="I18" s="53">
        <v>87</v>
      </c>
      <c r="J18" s="53" t="s">
        <v>15</v>
      </c>
    </row>
    <row r="19" spans="1:14" x14ac:dyDescent="0.2">
      <c r="A19" s="84" t="s">
        <v>40</v>
      </c>
      <c r="C19" s="77">
        <f>SUM(B8:M8)</f>
        <v>636122043</v>
      </c>
      <c r="D19" s="77">
        <f>SUM(B9:M9)</f>
        <v>8832</v>
      </c>
      <c r="E19" s="77">
        <f>SUM(B10:M10)</f>
        <v>237822307</v>
      </c>
      <c r="F19" s="77">
        <f>SUM(B11:M11)</f>
        <v>66459784</v>
      </c>
      <c r="G19" s="77">
        <f>SUM(B12:M12)</f>
        <v>11987089</v>
      </c>
      <c r="H19" s="77">
        <f>SUM(B13:M13)</f>
        <v>6125732</v>
      </c>
      <c r="I19" s="77">
        <f>SUM(B14:M14)</f>
        <v>17216892</v>
      </c>
      <c r="J19" s="80">
        <f>SUM(C19:I19)</f>
        <v>975742679</v>
      </c>
    </row>
    <row r="20" spans="1:14" x14ac:dyDescent="0.2">
      <c r="A20" s="84"/>
    </row>
    <row r="21" spans="1:14" x14ac:dyDescent="0.2">
      <c r="A21" s="75" t="s">
        <v>135</v>
      </c>
    </row>
    <row r="22" spans="1:14" x14ac:dyDescent="0.2">
      <c r="B22" s="85">
        <f t="shared" ref="B22:M22" si="3">B7</f>
        <v>44501</v>
      </c>
      <c r="C22" s="85">
        <f t="shared" si="3"/>
        <v>44531</v>
      </c>
      <c r="D22" s="85">
        <f t="shared" si="3"/>
        <v>44562</v>
      </c>
      <c r="E22" s="85">
        <f t="shared" si="3"/>
        <v>44593</v>
      </c>
      <c r="F22" s="85">
        <f t="shared" si="3"/>
        <v>44621</v>
      </c>
      <c r="G22" s="85">
        <f t="shared" si="3"/>
        <v>44652</v>
      </c>
      <c r="H22" s="85">
        <f t="shared" si="3"/>
        <v>44682</v>
      </c>
      <c r="I22" s="85">
        <f t="shared" si="3"/>
        <v>44713</v>
      </c>
      <c r="J22" s="85">
        <f t="shared" si="3"/>
        <v>44743</v>
      </c>
      <c r="K22" s="85">
        <f t="shared" si="3"/>
        <v>44774</v>
      </c>
      <c r="L22" s="85">
        <f t="shared" si="3"/>
        <v>44805</v>
      </c>
      <c r="M22" s="85">
        <f t="shared" si="3"/>
        <v>44835</v>
      </c>
      <c r="N22" s="53" t="s">
        <v>37</v>
      </c>
    </row>
    <row r="23" spans="1:14" x14ac:dyDescent="0.2">
      <c r="A23" s="50">
        <v>23</v>
      </c>
      <c r="B23" s="386">
        <v>805936</v>
      </c>
      <c r="C23" s="386">
        <v>807340</v>
      </c>
      <c r="D23" s="386">
        <v>808299</v>
      </c>
      <c r="E23" s="386">
        <v>808849</v>
      </c>
      <c r="F23" s="386">
        <v>809107</v>
      </c>
      <c r="G23" s="386">
        <v>808961</v>
      </c>
      <c r="H23" s="386">
        <v>809185</v>
      </c>
      <c r="I23" s="386">
        <v>809409</v>
      </c>
      <c r="J23" s="386">
        <v>809633</v>
      </c>
      <c r="K23" s="386">
        <v>809858</v>
      </c>
      <c r="L23" s="386">
        <v>810788</v>
      </c>
      <c r="M23" s="386">
        <v>813385</v>
      </c>
      <c r="N23" s="83">
        <f t="shared" ref="N23:N29" si="4">AVERAGE(B23:M23)</f>
        <v>809229.16666666663</v>
      </c>
    </row>
    <row r="24" spans="1:14" x14ac:dyDescent="0.2">
      <c r="A24" s="50" t="s">
        <v>136</v>
      </c>
      <c r="B24" s="83">
        <f>ROUND(+B9/19,0)</f>
        <v>39</v>
      </c>
      <c r="C24" s="83">
        <f t="shared" ref="C24:M24" si="5">ROUND(+C9/19,0)</f>
        <v>39</v>
      </c>
      <c r="D24" s="83">
        <f t="shared" si="5"/>
        <v>39</v>
      </c>
      <c r="E24" s="83">
        <f t="shared" si="5"/>
        <v>39</v>
      </c>
      <c r="F24" s="83">
        <f t="shared" si="5"/>
        <v>39</v>
      </c>
      <c r="G24" s="83">
        <f t="shared" si="5"/>
        <v>39</v>
      </c>
      <c r="H24" s="83">
        <f t="shared" si="5"/>
        <v>39</v>
      </c>
      <c r="I24" s="83">
        <f t="shared" si="5"/>
        <v>39</v>
      </c>
      <c r="J24" s="83">
        <f t="shared" si="5"/>
        <v>39</v>
      </c>
      <c r="K24" s="83">
        <f t="shared" si="5"/>
        <v>39</v>
      </c>
      <c r="L24" s="83">
        <f t="shared" si="5"/>
        <v>39</v>
      </c>
      <c r="M24" s="83">
        <f t="shared" si="5"/>
        <v>39</v>
      </c>
      <c r="N24" s="83">
        <f t="shared" si="4"/>
        <v>39</v>
      </c>
    </row>
    <row r="25" spans="1:14" x14ac:dyDescent="0.2">
      <c r="A25" s="50">
        <v>31</v>
      </c>
      <c r="B25" s="386">
        <v>57731</v>
      </c>
      <c r="C25" s="386">
        <v>57857</v>
      </c>
      <c r="D25" s="386">
        <v>57945</v>
      </c>
      <c r="E25" s="386">
        <v>58037</v>
      </c>
      <c r="F25" s="386">
        <v>57995</v>
      </c>
      <c r="G25" s="386">
        <v>57958</v>
      </c>
      <c r="H25" s="386">
        <v>57935</v>
      </c>
      <c r="I25" s="386">
        <v>57905</v>
      </c>
      <c r="J25" s="386">
        <v>57890</v>
      </c>
      <c r="K25" s="386">
        <v>57867</v>
      </c>
      <c r="L25" s="386">
        <v>57966</v>
      </c>
      <c r="M25" s="386">
        <v>58021</v>
      </c>
      <c r="N25" s="83">
        <f t="shared" si="4"/>
        <v>57925.583333333336</v>
      </c>
    </row>
    <row r="26" spans="1:14" x14ac:dyDescent="0.2">
      <c r="A26" s="50">
        <v>41</v>
      </c>
      <c r="B26" s="386">
        <v>1295</v>
      </c>
      <c r="C26" s="386">
        <v>1294</v>
      </c>
      <c r="D26" s="386">
        <v>1313</v>
      </c>
      <c r="E26" s="386">
        <v>1312</v>
      </c>
      <c r="F26" s="386">
        <v>1313</v>
      </c>
      <c r="G26" s="386">
        <v>1311</v>
      </c>
      <c r="H26" s="386">
        <v>1307</v>
      </c>
      <c r="I26" s="386">
        <v>1305</v>
      </c>
      <c r="J26" s="386">
        <v>1293</v>
      </c>
      <c r="K26" s="386">
        <v>1289</v>
      </c>
      <c r="L26" s="386">
        <v>1292</v>
      </c>
      <c r="M26" s="386">
        <v>1294</v>
      </c>
      <c r="N26" s="83">
        <f t="shared" si="4"/>
        <v>1301.5</v>
      </c>
    </row>
    <row r="27" spans="1:14" x14ac:dyDescent="0.2">
      <c r="A27" s="50">
        <v>85</v>
      </c>
      <c r="B27" s="386">
        <v>31</v>
      </c>
      <c r="C27" s="386">
        <v>31</v>
      </c>
      <c r="D27" s="386">
        <v>31</v>
      </c>
      <c r="E27" s="386">
        <v>31</v>
      </c>
      <c r="F27" s="386">
        <v>31</v>
      </c>
      <c r="G27" s="386">
        <v>31</v>
      </c>
      <c r="H27" s="386">
        <v>31</v>
      </c>
      <c r="I27" s="386">
        <v>31</v>
      </c>
      <c r="J27" s="386">
        <v>31</v>
      </c>
      <c r="K27" s="386">
        <v>31</v>
      </c>
      <c r="L27" s="386">
        <v>31</v>
      </c>
      <c r="M27" s="386">
        <v>31</v>
      </c>
      <c r="N27" s="83">
        <f t="shared" si="4"/>
        <v>31</v>
      </c>
    </row>
    <row r="28" spans="1:14" x14ac:dyDescent="0.2">
      <c r="A28" s="50">
        <v>86</v>
      </c>
      <c r="B28" s="386">
        <v>113</v>
      </c>
      <c r="C28" s="386">
        <v>113</v>
      </c>
      <c r="D28" s="386">
        <v>112</v>
      </c>
      <c r="E28" s="386">
        <v>112</v>
      </c>
      <c r="F28" s="386">
        <v>111</v>
      </c>
      <c r="G28" s="386">
        <v>111</v>
      </c>
      <c r="H28" s="386">
        <v>110</v>
      </c>
      <c r="I28" s="386">
        <v>110</v>
      </c>
      <c r="J28" s="386">
        <v>109</v>
      </c>
      <c r="K28" s="386">
        <v>109</v>
      </c>
      <c r="L28" s="386">
        <v>108</v>
      </c>
      <c r="M28" s="386">
        <v>108</v>
      </c>
      <c r="N28" s="83">
        <f t="shared" si="4"/>
        <v>110.5</v>
      </c>
    </row>
    <row r="29" spans="1:14" x14ac:dyDescent="0.2">
      <c r="A29" s="50">
        <v>87</v>
      </c>
      <c r="B29" s="387">
        <v>5</v>
      </c>
      <c r="C29" s="387">
        <v>5</v>
      </c>
      <c r="D29" s="387">
        <v>5</v>
      </c>
      <c r="E29" s="387">
        <v>5</v>
      </c>
      <c r="F29" s="387">
        <v>5</v>
      </c>
      <c r="G29" s="387">
        <v>5</v>
      </c>
      <c r="H29" s="387">
        <v>5</v>
      </c>
      <c r="I29" s="387">
        <v>5</v>
      </c>
      <c r="J29" s="387">
        <v>5</v>
      </c>
      <c r="K29" s="387">
        <v>5</v>
      </c>
      <c r="L29" s="387">
        <v>5</v>
      </c>
      <c r="M29" s="387">
        <v>5</v>
      </c>
      <c r="N29" s="83">
        <f t="shared" si="4"/>
        <v>5</v>
      </c>
    </row>
    <row r="30" spans="1:14" x14ac:dyDescent="0.2">
      <c r="A30" s="6" t="s">
        <v>15</v>
      </c>
      <c r="B30" s="83">
        <f t="shared" ref="B30:N30" si="6">SUM(B27:B29,B25:B26,B23:B24)</f>
        <v>865150</v>
      </c>
      <c r="C30" s="83">
        <f t="shared" si="6"/>
        <v>866679</v>
      </c>
      <c r="D30" s="83">
        <f t="shared" si="6"/>
        <v>867744</v>
      </c>
      <c r="E30" s="83">
        <f t="shared" si="6"/>
        <v>868385</v>
      </c>
      <c r="F30" s="83">
        <f t="shared" si="6"/>
        <v>868601</v>
      </c>
      <c r="G30" s="83">
        <f t="shared" si="6"/>
        <v>868416</v>
      </c>
      <c r="H30" s="83">
        <f t="shared" si="6"/>
        <v>868612</v>
      </c>
      <c r="I30" s="83">
        <f t="shared" si="6"/>
        <v>868804</v>
      </c>
      <c r="J30" s="83">
        <f t="shared" si="6"/>
        <v>869000</v>
      </c>
      <c r="K30" s="83">
        <f t="shared" si="6"/>
        <v>869198</v>
      </c>
      <c r="L30" s="83">
        <f t="shared" si="6"/>
        <v>870229</v>
      </c>
      <c r="M30" s="83">
        <f t="shared" si="6"/>
        <v>872883</v>
      </c>
      <c r="N30" s="83">
        <f t="shared" si="6"/>
        <v>868641.75</v>
      </c>
    </row>
    <row r="31" spans="1:14" x14ac:dyDescent="0.2">
      <c r="A31" s="388" t="s">
        <v>250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2"/>
    </row>
    <row r="32" spans="1:14" x14ac:dyDescent="0.2">
      <c r="A32" s="6" t="s">
        <v>137</v>
      </c>
    </row>
    <row r="34" spans="1:14" x14ac:dyDescent="0.2">
      <c r="A34" s="75" t="s">
        <v>321</v>
      </c>
      <c r="B34" s="75"/>
    </row>
    <row r="36" spans="1:14" x14ac:dyDescent="0.2"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</row>
    <row r="37" spans="1:14" x14ac:dyDescent="0.2"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</row>
    <row r="41" spans="1:14" x14ac:dyDescent="0.2"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</row>
    <row r="45" spans="1:14" x14ac:dyDescent="0.2">
      <c r="A45" s="5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</row>
    <row r="46" spans="1:14" x14ac:dyDescent="0.2">
      <c r="A46" s="5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</row>
    <row r="47" spans="1:14" x14ac:dyDescent="0.2"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</row>
    <row r="48" spans="1:14" x14ac:dyDescent="0.2">
      <c r="A48" s="5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</row>
    <row r="49" spans="1:14" x14ac:dyDescent="0.2">
      <c r="A49" s="5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0" spans="1:14" x14ac:dyDescent="0.2">
      <c r="A50" s="5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</row>
    <row r="51" spans="1:14" x14ac:dyDescent="0.2">
      <c r="A51" s="5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</row>
    <row r="52" spans="1:14" x14ac:dyDescent="0.2">
      <c r="A52" s="5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</row>
    <row r="53" spans="1:14" x14ac:dyDescent="0.2">
      <c r="A53" s="5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</row>
    <row r="54" spans="1:14" x14ac:dyDescent="0.2">
      <c r="A54" s="5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</row>
    <row r="55" spans="1:14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</row>
    <row r="57" spans="1:14" x14ac:dyDescent="0.2"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</row>
    <row r="58" spans="1:14" x14ac:dyDescent="0.2"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</sheetData>
  <phoneticPr fontId="4" type="noConversion"/>
  <printOptions horizontalCentered="1"/>
  <pageMargins left="0.75" right="0.75" top="1" bottom="1" header="0.5" footer="0.5"/>
  <pageSetup scale="70" orientation="landscape" blackAndWhite="1" r:id="rId1"/>
  <headerFooter alignWithMargins="0">
    <oddFooter>&amp;L&amp;F 
&amp;A&amp;CPage# &amp;P of &amp;N&amp;R&amp;F 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1537"/>
  <sheetViews>
    <sheetView workbookViewId="0">
      <pane ySplit="11" topLeftCell="A12" activePane="bottomLeft" state="frozen"/>
      <selection pane="bottomLeft" activeCell="D1" sqref="D1"/>
    </sheetView>
  </sheetViews>
  <sheetFormatPr defaultColWidth="9.140625" defaultRowHeight="11.25" x14ac:dyDescent="0.2"/>
  <cols>
    <col min="1" max="1" width="3" style="284" bestFit="1" customWidth="1"/>
    <col min="2" max="2" width="31.85546875" style="284" customWidth="1"/>
    <col min="3" max="3" width="15.85546875" style="284" customWidth="1"/>
    <col min="4" max="4" width="10" style="284" bestFit="1" customWidth="1"/>
    <col min="5" max="5" width="8.85546875" style="284" bestFit="1" customWidth="1"/>
    <col min="6" max="6" width="0.85546875" style="284" customWidth="1"/>
    <col min="7" max="8" width="12.140625" style="284" bestFit="1" customWidth="1"/>
    <col min="9" max="9" width="8" style="284" bestFit="1" customWidth="1"/>
    <col min="10" max="10" width="11" style="284" bestFit="1" customWidth="1"/>
    <col min="11" max="11" width="10.5703125" style="284" bestFit="1" customWidth="1"/>
    <col min="12" max="12" width="6.85546875" style="284" bestFit="1" customWidth="1"/>
    <col min="13" max="13" width="1.140625" style="285" customWidth="1"/>
    <col min="14" max="14" width="13.7109375" style="284" bestFit="1" customWidth="1"/>
    <col min="15" max="15" width="2.28515625" style="284" customWidth="1"/>
    <col min="16" max="16" width="15.85546875" style="284" customWidth="1"/>
    <col min="17" max="17" width="3" style="284" customWidth="1"/>
    <col min="18" max="18" width="13.7109375" style="284" customWidth="1"/>
    <col min="19" max="16384" width="9.140625" style="284"/>
  </cols>
  <sheetData>
    <row r="1" spans="1:18" ht="12.75" customHeight="1" thickBot="1" x14ac:dyDescent="0.25">
      <c r="D1" s="548" t="s">
        <v>328</v>
      </c>
      <c r="G1" s="285"/>
      <c r="H1" s="285"/>
      <c r="I1" s="285"/>
      <c r="J1" s="470"/>
      <c r="K1" s="470"/>
      <c r="L1" s="470"/>
      <c r="M1" s="367"/>
      <c r="O1" s="288"/>
      <c r="P1" s="287"/>
      <c r="Q1" s="287"/>
      <c r="R1" s="385"/>
    </row>
    <row r="2" spans="1:18" x14ac:dyDescent="0.2">
      <c r="A2" s="471" t="s">
        <v>209</v>
      </c>
      <c r="B2" s="472"/>
      <c r="C2" s="472"/>
      <c r="D2" s="472"/>
      <c r="E2" s="472"/>
      <c r="F2" s="472"/>
      <c r="G2" s="472"/>
      <c r="H2" s="473"/>
      <c r="I2" s="473"/>
      <c r="J2" s="473"/>
      <c r="K2" s="473"/>
      <c r="L2" s="473"/>
      <c r="M2" s="384"/>
      <c r="N2" s="289" t="s">
        <v>130</v>
      </c>
      <c r="O2" s="288"/>
      <c r="P2" s="288"/>
      <c r="Q2" s="288"/>
      <c r="R2" s="383"/>
    </row>
    <row r="3" spans="1:18" s="288" customFormat="1" ht="12.75" customHeight="1" thickBot="1" x14ac:dyDescent="0.25">
      <c r="A3" s="287"/>
      <c r="B3" s="290"/>
      <c r="J3" s="470"/>
      <c r="K3" s="470"/>
      <c r="L3" s="470"/>
      <c r="M3" s="367"/>
      <c r="N3" s="291" t="s">
        <v>318</v>
      </c>
      <c r="R3" s="382"/>
    </row>
    <row r="4" spans="1:18" s="288" customFormat="1" x14ac:dyDescent="0.2">
      <c r="A4" s="310" t="s">
        <v>17</v>
      </c>
      <c r="B4" s="381"/>
      <c r="C4" s="377"/>
      <c r="D4" s="380"/>
      <c r="E4" s="379"/>
      <c r="F4" s="379"/>
      <c r="G4" s="378"/>
      <c r="H4" s="378"/>
      <c r="I4" s="378"/>
      <c r="J4" s="377"/>
      <c r="K4" s="377"/>
      <c r="L4" s="371"/>
      <c r="M4" s="370"/>
      <c r="N4" s="375"/>
      <c r="O4" s="375"/>
      <c r="P4" s="374"/>
      <c r="Q4" s="373"/>
      <c r="R4" s="373"/>
    </row>
    <row r="5" spans="1:18" s="288" customFormat="1" x14ac:dyDescent="0.2">
      <c r="A5" s="376" t="str">
        <f>"PGA Filing Proposed Effective " &amp; N3</f>
        <v>PGA Filing Proposed Effective November 1, 2021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1"/>
      <c r="M5" s="370"/>
      <c r="N5" s="375"/>
      <c r="O5" s="375"/>
      <c r="P5" s="374"/>
      <c r="Q5" s="373"/>
      <c r="R5" s="373"/>
    </row>
    <row r="6" spans="1:18" s="288" customFormat="1" x14ac:dyDescent="0.2">
      <c r="A6" s="372" t="s">
        <v>320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1"/>
      <c r="M6" s="370"/>
      <c r="N6" s="369"/>
      <c r="O6" s="369"/>
      <c r="P6" s="369"/>
      <c r="Q6" s="369"/>
      <c r="R6" s="369"/>
    </row>
    <row r="7" spans="1:18" s="288" customFormat="1" x14ac:dyDescent="0.2">
      <c r="L7" s="292"/>
      <c r="M7" s="368"/>
      <c r="N7" s="292"/>
      <c r="O7" s="292"/>
      <c r="P7" s="292"/>
      <c r="Q7" s="292"/>
      <c r="R7" s="292"/>
    </row>
    <row r="8" spans="1:18" s="288" customFormat="1" x14ac:dyDescent="0.2">
      <c r="D8" s="286" t="s">
        <v>0</v>
      </c>
      <c r="E8" s="286" t="s">
        <v>1</v>
      </c>
      <c r="F8" s="286"/>
      <c r="G8" s="286" t="s">
        <v>2</v>
      </c>
      <c r="H8" s="286" t="s">
        <v>29</v>
      </c>
      <c r="I8" s="286"/>
      <c r="J8" s="286" t="s">
        <v>2</v>
      </c>
      <c r="K8" s="286" t="s">
        <v>29</v>
      </c>
      <c r="L8" s="286"/>
      <c r="M8" s="367"/>
      <c r="N8" s="293"/>
      <c r="O8" s="293"/>
      <c r="P8" s="293"/>
      <c r="Q8" s="293"/>
      <c r="R8" s="293"/>
    </row>
    <row r="9" spans="1:18" s="288" customFormat="1" x14ac:dyDescent="0.2">
      <c r="D9" s="286" t="s">
        <v>3</v>
      </c>
      <c r="E9" s="286" t="s">
        <v>4</v>
      </c>
      <c r="F9" s="286"/>
      <c r="G9" s="286" t="s">
        <v>5</v>
      </c>
      <c r="H9" s="286" t="s">
        <v>95</v>
      </c>
      <c r="I9" s="286" t="s">
        <v>54</v>
      </c>
      <c r="J9" s="286" t="s">
        <v>6</v>
      </c>
      <c r="K9" s="286" t="s">
        <v>95</v>
      </c>
      <c r="L9" s="286" t="s">
        <v>54</v>
      </c>
      <c r="M9" s="367"/>
      <c r="N9" s="294"/>
      <c r="O9" s="294"/>
      <c r="P9" s="294"/>
      <c r="Q9" s="294"/>
      <c r="R9" s="294"/>
    </row>
    <row r="10" spans="1:18" s="288" customFormat="1" x14ac:dyDescent="0.2">
      <c r="D10" s="286" t="s">
        <v>7</v>
      </c>
      <c r="E10" s="286" t="s">
        <v>8</v>
      </c>
      <c r="F10" s="286"/>
      <c r="G10" s="286" t="s">
        <v>9</v>
      </c>
      <c r="H10" s="286" t="s">
        <v>96</v>
      </c>
      <c r="I10" s="286" t="s">
        <v>29</v>
      </c>
      <c r="J10" s="286" t="s">
        <v>9</v>
      </c>
      <c r="K10" s="286" t="s">
        <v>96</v>
      </c>
      <c r="L10" s="286" t="s">
        <v>29</v>
      </c>
      <c r="M10" s="367"/>
      <c r="N10" s="295"/>
      <c r="O10" s="295"/>
      <c r="P10" s="295"/>
      <c r="Q10" s="294"/>
      <c r="R10" s="295"/>
    </row>
    <row r="11" spans="1:18" s="288" customFormat="1" x14ac:dyDescent="0.2">
      <c r="D11" s="296" t="s">
        <v>10</v>
      </c>
      <c r="E11" s="296" t="s">
        <v>11</v>
      </c>
      <c r="F11" s="296"/>
      <c r="G11" s="297" t="s">
        <v>12</v>
      </c>
      <c r="H11" s="296" t="s">
        <v>13</v>
      </c>
      <c r="I11" s="296" t="s">
        <v>24</v>
      </c>
      <c r="J11" s="296" t="s">
        <v>30</v>
      </c>
      <c r="K11" s="296" t="s">
        <v>25</v>
      </c>
      <c r="L11" s="296" t="s">
        <v>26</v>
      </c>
      <c r="M11" s="367"/>
      <c r="N11" s="286"/>
      <c r="O11" s="286"/>
      <c r="P11" s="366"/>
      <c r="Q11" s="366"/>
      <c r="R11" s="286"/>
    </row>
    <row r="12" spans="1:18" s="288" customFormat="1" ht="12" thickBot="1" x14ac:dyDescent="0.25">
      <c r="A12" s="286">
        <v>1</v>
      </c>
      <c r="B12" s="298"/>
      <c r="D12" s="299"/>
      <c r="M12" s="287"/>
      <c r="P12" s="306"/>
      <c r="Q12" s="306"/>
      <c r="R12" s="306"/>
    </row>
    <row r="13" spans="1:18" s="288" customFormat="1" x14ac:dyDescent="0.2">
      <c r="A13" s="286">
        <v>2</v>
      </c>
      <c r="B13" s="475"/>
      <c r="C13" s="476"/>
      <c r="D13" s="477"/>
      <c r="E13" s="478"/>
      <c r="F13" s="287"/>
      <c r="G13" s="508"/>
      <c r="H13" s="509"/>
      <c r="I13" s="509"/>
      <c r="J13" s="509"/>
      <c r="K13" s="509"/>
      <c r="L13" s="510"/>
      <c r="M13" s="287"/>
      <c r="P13" s="306"/>
      <c r="Q13" s="306"/>
      <c r="R13" s="306"/>
    </row>
    <row r="14" spans="1:18" s="288" customFormat="1" x14ac:dyDescent="0.2">
      <c r="A14" s="286">
        <v>3</v>
      </c>
      <c r="B14" s="479"/>
      <c r="C14" s="480"/>
      <c r="D14" s="481"/>
      <c r="E14" s="482"/>
      <c r="F14" s="321"/>
      <c r="G14" s="511"/>
      <c r="H14" s="512"/>
      <c r="I14" s="513"/>
      <c r="J14" s="514"/>
      <c r="K14" s="515"/>
      <c r="L14" s="516"/>
      <c r="M14" s="358"/>
      <c r="N14" s="474"/>
      <c r="O14" s="300"/>
      <c r="P14" s="307"/>
      <c r="Q14" s="306"/>
      <c r="R14" s="307"/>
    </row>
    <row r="15" spans="1:18" s="288" customFormat="1" x14ac:dyDescent="0.2">
      <c r="A15" s="286">
        <v>4</v>
      </c>
      <c r="B15" s="483"/>
      <c r="C15" s="480"/>
      <c r="D15" s="481"/>
      <c r="E15" s="482"/>
      <c r="F15" s="322"/>
      <c r="G15" s="517"/>
      <c r="H15" s="515"/>
      <c r="I15" s="513"/>
      <c r="J15" s="518"/>
      <c r="K15" s="515"/>
      <c r="L15" s="516"/>
      <c r="M15" s="358"/>
      <c r="N15" s="474"/>
      <c r="O15" s="302"/>
      <c r="P15" s="307"/>
      <c r="Q15" s="306"/>
      <c r="R15" s="306"/>
    </row>
    <row r="16" spans="1:18" s="288" customFormat="1" x14ac:dyDescent="0.2">
      <c r="A16" s="286">
        <v>5</v>
      </c>
      <c r="B16" s="479"/>
      <c r="C16" s="480"/>
      <c r="D16" s="481"/>
      <c r="E16" s="482"/>
      <c r="F16" s="322"/>
      <c r="G16" s="519"/>
      <c r="H16" s="520"/>
      <c r="I16" s="513"/>
      <c r="J16" s="520"/>
      <c r="K16" s="515"/>
      <c r="L16" s="516"/>
      <c r="M16" s="358"/>
      <c r="N16" s="474"/>
      <c r="O16" s="302"/>
      <c r="P16" s="307"/>
      <c r="Q16" s="306"/>
      <c r="R16" s="306"/>
    </row>
    <row r="17" spans="1:18" s="288" customFormat="1" x14ac:dyDescent="0.2">
      <c r="A17" s="286">
        <v>6</v>
      </c>
      <c r="B17" s="479"/>
      <c r="C17" s="480"/>
      <c r="D17" s="481"/>
      <c r="E17" s="482"/>
      <c r="F17" s="322"/>
      <c r="G17" s="517"/>
      <c r="H17" s="515"/>
      <c r="I17" s="513"/>
      <c r="J17" s="518"/>
      <c r="K17" s="515"/>
      <c r="L17" s="516"/>
      <c r="M17" s="358"/>
      <c r="N17" s="301"/>
      <c r="O17" s="302"/>
      <c r="P17" s="307"/>
      <c r="Q17" s="306"/>
      <c r="R17" s="306"/>
    </row>
    <row r="18" spans="1:18" s="288" customFormat="1" x14ac:dyDescent="0.2">
      <c r="A18" s="286">
        <v>7</v>
      </c>
      <c r="B18" s="484"/>
      <c r="C18" s="480"/>
      <c r="D18" s="485"/>
      <c r="E18" s="486"/>
      <c r="F18" s="322"/>
      <c r="G18" s="519"/>
      <c r="H18" s="520"/>
      <c r="I18" s="513"/>
      <c r="J18" s="514"/>
      <c r="K18" s="521"/>
      <c r="L18" s="516"/>
      <c r="M18" s="358"/>
      <c r="O18" s="302"/>
      <c r="P18" s="307"/>
      <c r="Q18" s="306"/>
      <c r="R18" s="306"/>
    </row>
    <row r="19" spans="1:18" s="288" customFormat="1" x14ac:dyDescent="0.2">
      <c r="A19" s="286">
        <v>8</v>
      </c>
      <c r="B19" s="487"/>
      <c r="C19" s="480"/>
      <c r="D19" s="485"/>
      <c r="E19" s="486"/>
      <c r="F19" s="322"/>
      <c r="G19" s="519"/>
      <c r="H19" s="520"/>
      <c r="I19" s="513"/>
      <c r="J19" s="514"/>
      <c r="K19" s="521"/>
      <c r="L19" s="516"/>
      <c r="M19" s="358"/>
      <c r="N19" s="301"/>
      <c r="O19" s="302"/>
      <c r="P19" s="307"/>
      <c r="Q19" s="306"/>
      <c r="R19" s="306"/>
    </row>
    <row r="20" spans="1:18" s="288" customFormat="1" x14ac:dyDescent="0.2">
      <c r="A20" s="286">
        <v>9</v>
      </c>
      <c r="B20" s="484"/>
      <c r="C20" s="480"/>
      <c r="D20" s="481"/>
      <c r="E20" s="488"/>
      <c r="F20" s="321"/>
      <c r="G20" s="517"/>
      <c r="H20" s="515"/>
      <c r="I20" s="513"/>
      <c r="J20" s="515"/>
      <c r="K20" s="521"/>
      <c r="L20" s="516"/>
      <c r="M20" s="358"/>
      <c r="N20" s="301"/>
      <c r="O20" s="300"/>
      <c r="P20" s="307"/>
      <c r="Q20" s="306"/>
      <c r="R20" s="307"/>
    </row>
    <row r="21" spans="1:18" s="288" customFormat="1" x14ac:dyDescent="0.2">
      <c r="A21" s="286">
        <v>10</v>
      </c>
      <c r="B21" s="489"/>
      <c r="C21" s="480"/>
      <c r="D21" s="485"/>
      <c r="E21" s="486"/>
      <c r="F21" s="322"/>
      <c r="G21" s="519"/>
      <c r="H21" s="520"/>
      <c r="I21" s="513"/>
      <c r="J21" s="514"/>
      <c r="K21" s="521"/>
      <c r="L21" s="516"/>
      <c r="M21" s="287"/>
      <c r="N21" s="301"/>
      <c r="O21" s="301"/>
      <c r="P21" s="307"/>
      <c r="Q21" s="306"/>
      <c r="R21" s="306"/>
    </row>
    <row r="22" spans="1:18" s="288" customFormat="1" x14ac:dyDescent="0.2">
      <c r="A22" s="286">
        <v>11</v>
      </c>
      <c r="B22" s="489"/>
      <c r="C22" s="480"/>
      <c r="D22" s="485"/>
      <c r="E22" s="486"/>
      <c r="F22" s="322"/>
      <c r="G22" s="519"/>
      <c r="H22" s="520"/>
      <c r="I22" s="513"/>
      <c r="J22" s="514"/>
      <c r="K22" s="521"/>
      <c r="L22" s="516"/>
      <c r="M22" s="358"/>
      <c r="N22" s="301"/>
      <c r="O22" s="300"/>
      <c r="P22" s="307"/>
      <c r="Q22" s="306"/>
      <c r="R22" s="307"/>
    </row>
    <row r="23" spans="1:18" s="288" customFormat="1" x14ac:dyDescent="0.2">
      <c r="A23" s="286">
        <v>12</v>
      </c>
      <c r="B23" s="489"/>
      <c r="C23" s="480"/>
      <c r="D23" s="485"/>
      <c r="E23" s="486"/>
      <c r="F23" s="322"/>
      <c r="G23" s="519"/>
      <c r="H23" s="520"/>
      <c r="I23" s="513"/>
      <c r="J23" s="522"/>
      <c r="K23" s="523"/>
      <c r="L23" s="516"/>
      <c r="M23" s="358"/>
      <c r="N23" s="301"/>
      <c r="O23" s="300"/>
      <c r="P23" s="307"/>
      <c r="Q23" s="306"/>
      <c r="R23" s="307"/>
    </row>
    <row r="24" spans="1:18" s="288" customFormat="1" x14ac:dyDescent="0.2">
      <c r="A24" s="286">
        <v>13</v>
      </c>
      <c r="B24" s="490"/>
      <c r="C24" s="491"/>
      <c r="D24" s="492"/>
      <c r="E24" s="488"/>
      <c r="F24" s="321"/>
      <c r="G24" s="519"/>
      <c r="H24" s="520"/>
      <c r="I24" s="513"/>
      <c r="J24" s="521"/>
      <c r="K24" s="521"/>
      <c r="L24" s="516"/>
      <c r="M24" s="358"/>
      <c r="N24" s="301"/>
      <c r="O24" s="300"/>
      <c r="P24" s="307"/>
      <c r="Q24" s="306"/>
      <c r="R24" s="307"/>
    </row>
    <row r="25" spans="1:18" s="288" customFormat="1" x14ac:dyDescent="0.2">
      <c r="A25" s="286">
        <v>14</v>
      </c>
      <c r="B25" s="493"/>
      <c r="C25" s="494"/>
      <c r="D25" s="494"/>
      <c r="E25" s="495"/>
      <c r="F25" s="287"/>
      <c r="G25" s="517"/>
      <c r="H25" s="515"/>
      <c r="I25" s="513"/>
      <c r="J25" s="518"/>
      <c r="K25" s="515"/>
      <c r="L25" s="516"/>
      <c r="M25" s="358"/>
      <c r="N25" s="301"/>
      <c r="P25" s="307"/>
      <c r="Q25" s="306"/>
      <c r="R25" s="307"/>
    </row>
    <row r="26" spans="1:18" s="288" customFormat="1" x14ac:dyDescent="0.2">
      <c r="A26" s="286">
        <v>15</v>
      </c>
      <c r="B26" s="479"/>
      <c r="C26" s="491"/>
      <c r="D26" s="492"/>
      <c r="E26" s="488"/>
      <c r="F26" s="287"/>
      <c r="G26" s="517"/>
      <c r="H26" s="515"/>
      <c r="I26" s="513"/>
      <c r="J26" s="515"/>
      <c r="K26" s="515"/>
      <c r="L26" s="516"/>
      <c r="M26" s="358"/>
      <c r="N26" s="301"/>
      <c r="P26" s="307"/>
      <c r="Q26" s="306"/>
      <c r="R26" s="307"/>
    </row>
    <row r="27" spans="1:18" s="288" customFormat="1" x14ac:dyDescent="0.2">
      <c r="A27" s="286">
        <v>16</v>
      </c>
      <c r="B27" s="487"/>
      <c r="C27" s="480"/>
      <c r="D27" s="485"/>
      <c r="E27" s="486"/>
      <c r="F27" s="322"/>
      <c r="G27" s="519"/>
      <c r="H27" s="520"/>
      <c r="I27" s="513"/>
      <c r="J27" s="522"/>
      <c r="K27" s="523"/>
      <c r="L27" s="516"/>
      <c r="M27" s="287"/>
      <c r="N27" s="301"/>
      <c r="O27" s="301"/>
      <c r="P27" s="307"/>
      <c r="Q27" s="306"/>
      <c r="R27" s="306"/>
    </row>
    <row r="28" spans="1:18" s="288" customFormat="1" x14ac:dyDescent="0.2">
      <c r="A28" s="286">
        <v>17</v>
      </c>
      <c r="B28" s="490"/>
      <c r="C28" s="491"/>
      <c r="D28" s="492"/>
      <c r="E28" s="488"/>
      <c r="F28" s="323"/>
      <c r="G28" s="519"/>
      <c r="H28" s="520"/>
      <c r="I28" s="513"/>
      <c r="J28" s="515"/>
      <c r="K28" s="515"/>
      <c r="L28" s="516"/>
      <c r="M28" s="358"/>
      <c r="N28" s="301"/>
      <c r="O28" s="301"/>
      <c r="P28" s="307"/>
      <c r="Q28" s="306"/>
      <c r="R28" s="306"/>
    </row>
    <row r="29" spans="1:18" s="288" customFormat="1" x14ac:dyDescent="0.2">
      <c r="A29" s="286">
        <v>18</v>
      </c>
      <c r="B29" s="490"/>
      <c r="C29" s="491"/>
      <c r="D29" s="492"/>
      <c r="E29" s="488"/>
      <c r="F29" s="287"/>
      <c r="G29" s="519"/>
      <c r="H29" s="520"/>
      <c r="I29" s="513"/>
      <c r="J29" s="514"/>
      <c r="K29" s="515"/>
      <c r="L29" s="516"/>
      <c r="M29" s="358"/>
      <c r="P29" s="306"/>
      <c r="Q29" s="306"/>
      <c r="R29" s="306"/>
    </row>
    <row r="30" spans="1:18" s="288" customFormat="1" x14ac:dyDescent="0.2">
      <c r="A30" s="286">
        <v>19</v>
      </c>
      <c r="B30" s="479"/>
      <c r="C30" s="491"/>
      <c r="D30" s="492"/>
      <c r="E30" s="488"/>
      <c r="F30" s="287"/>
      <c r="G30" s="517"/>
      <c r="H30" s="515"/>
      <c r="I30" s="513"/>
      <c r="J30" s="520"/>
      <c r="K30" s="515"/>
      <c r="L30" s="516"/>
      <c r="M30" s="358"/>
      <c r="P30" s="306"/>
      <c r="Q30" s="306"/>
      <c r="R30" s="306"/>
    </row>
    <row r="31" spans="1:18" s="288" customFormat="1" x14ac:dyDescent="0.2">
      <c r="A31" s="286">
        <v>20</v>
      </c>
      <c r="B31" s="496"/>
      <c r="C31" s="480"/>
      <c r="D31" s="485"/>
      <c r="E31" s="486"/>
      <c r="F31" s="322"/>
      <c r="G31" s="519"/>
      <c r="H31" s="520"/>
      <c r="I31" s="513"/>
      <c r="J31" s="522"/>
      <c r="K31" s="523"/>
      <c r="L31" s="516"/>
      <c r="M31" s="358"/>
      <c r="P31" s="306"/>
      <c r="Q31" s="306"/>
      <c r="R31" s="306"/>
    </row>
    <row r="32" spans="1:18" s="288" customFormat="1" x14ac:dyDescent="0.2">
      <c r="A32" s="286">
        <v>21</v>
      </c>
      <c r="B32" s="490"/>
      <c r="C32" s="491"/>
      <c r="D32" s="492"/>
      <c r="E32" s="482"/>
      <c r="F32" s="287"/>
      <c r="G32" s="517"/>
      <c r="H32" s="515"/>
      <c r="I32" s="513"/>
      <c r="J32" s="515"/>
      <c r="K32" s="515"/>
      <c r="L32" s="516"/>
      <c r="M32" s="358"/>
      <c r="N32" s="303"/>
      <c r="O32" s="303"/>
      <c r="P32" s="307"/>
      <c r="Q32" s="306"/>
      <c r="R32" s="307"/>
    </row>
    <row r="33" spans="1:18" s="288" customFormat="1" x14ac:dyDescent="0.2">
      <c r="A33" s="286">
        <v>22</v>
      </c>
      <c r="B33" s="490"/>
      <c r="C33" s="491"/>
      <c r="D33" s="492"/>
      <c r="E33" s="482"/>
      <c r="F33" s="287"/>
      <c r="G33" s="517"/>
      <c r="H33" s="515"/>
      <c r="I33" s="513"/>
      <c r="J33" s="515"/>
      <c r="K33" s="515"/>
      <c r="L33" s="516"/>
      <c r="M33" s="358"/>
      <c r="N33" s="303"/>
      <c r="O33" s="303"/>
      <c r="P33" s="307"/>
      <c r="Q33" s="306"/>
      <c r="R33" s="307"/>
    </row>
    <row r="34" spans="1:18" s="288" customFormat="1" x14ac:dyDescent="0.2">
      <c r="A34" s="286">
        <v>23</v>
      </c>
      <c r="B34" s="479"/>
      <c r="C34" s="494"/>
      <c r="D34" s="494"/>
      <c r="E34" s="497"/>
      <c r="F34" s="303"/>
      <c r="G34" s="519"/>
      <c r="H34" s="520"/>
      <c r="I34" s="513"/>
      <c r="J34" s="514"/>
      <c r="K34" s="515"/>
      <c r="L34" s="516"/>
      <c r="M34" s="358"/>
      <c r="N34" s="303"/>
      <c r="O34" s="303"/>
      <c r="P34" s="307"/>
      <c r="Q34" s="306"/>
      <c r="R34" s="307"/>
    </row>
    <row r="35" spans="1:18" s="288" customFormat="1" x14ac:dyDescent="0.2">
      <c r="A35" s="286">
        <v>24</v>
      </c>
      <c r="B35" s="484"/>
      <c r="C35" s="480"/>
      <c r="D35" s="485"/>
      <c r="E35" s="486"/>
      <c r="F35" s="322"/>
      <c r="G35" s="519"/>
      <c r="H35" s="520"/>
      <c r="I35" s="513"/>
      <c r="J35" s="522"/>
      <c r="K35" s="523"/>
      <c r="L35" s="516"/>
      <c r="M35" s="358"/>
      <c r="P35" s="307"/>
      <c r="Q35" s="306"/>
      <c r="R35" s="307"/>
    </row>
    <row r="36" spans="1:18" s="288" customFormat="1" x14ac:dyDescent="0.2">
      <c r="A36" s="286">
        <v>25</v>
      </c>
      <c r="B36" s="490"/>
      <c r="C36" s="491"/>
      <c r="D36" s="498"/>
      <c r="E36" s="499"/>
      <c r="F36" s="303"/>
      <c r="G36" s="517"/>
      <c r="H36" s="515"/>
      <c r="I36" s="513"/>
      <c r="J36" s="515"/>
      <c r="K36" s="515"/>
      <c r="L36" s="516"/>
      <c r="M36" s="358"/>
      <c r="P36" s="307"/>
      <c r="Q36" s="306"/>
      <c r="R36" s="307"/>
    </row>
    <row r="37" spans="1:18" s="288" customFormat="1" x14ac:dyDescent="0.2">
      <c r="A37" s="286">
        <v>26</v>
      </c>
      <c r="B37" s="490"/>
      <c r="C37" s="491"/>
      <c r="D37" s="492"/>
      <c r="E37" s="482"/>
      <c r="F37" s="303"/>
      <c r="G37" s="519"/>
      <c r="H37" s="520"/>
      <c r="I37" s="513"/>
      <c r="J37" s="514"/>
      <c r="K37" s="515"/>
      <c r="L37" s="516"/>
      <c r="M37" s="358"/>
      <c r="P37" s="306"/>
      <c r="Q37" s="306"/>
      <c r="R37" s="306"/>
    </row>
    <row r="38" spans="1:18" s="288" customFormat="1" x14ac:dyDescent="0.2">
      <c r="A38" s="286">
        <v>27</v>
      </c>
      <c r="B38" s="483"/>
      <c r="C38" s="494"/>
      <c r="D38" s="494"/>
      <c r="E38" s="497"/>
      <c r="F38" s="287"/>
      <c r="G38" s="519"/>
      <c r="H38" s="520"/>
      <c r="I38" s="513"/>
      <c r="J38" s="514"/>
      <c r="K38" s="515"/>
      <c r="L38" s="516"/>
      <c r="M38" s="358"/>
      <c r="P38" s="306"/>
      <c r="Q38" s="306"/>
      <c r="R38" s="306"/>
    </row>
    <row r="39" spans="1:18" s="288" customFormat="1" x14ac:dyDescent="0.2">
      <c r="A39" s="286">
        <v>28</v>
      </c>
      <c r="B39" s="493"/>
      <c r="C39" s="494"/>
      <c r="D39" s="494"/>
      <c r="E39" s="497"/>
      <c r="F39" s="287"/>
      <c r="G39" s="519"/>
      <c r="H39" s="520"/>
      <c r="I39" s="513"/>
      <c r="J39" s="514"/>
      <c r="K39" s="515"/>
      <c r="L39" s="516"/>
      <c r="M39" s="358"/>
      <c r="P39" s="306"/>
      <c r="Q39" s="306"/>
      <c r="R39" s="306"/>
    </row>
    <row r="40" spans="1:18" s="288" customFormat="1" x14ac:dyDescent="0.2">
      <c r="A40" s="286">
        <v>29</v>
      </c>
      <c r="B40" s="479"/>
      <c r="C40" s="480"/>
      <c r="D40" s="481"/>
      <c r="E40" s="482"/>
      <c r="F40" s="287"/>
      <c r="G40" s="517"/>
      <c r="H40" s="515"/>
      <c r="I40" s="513"/>
      <c r="J40" s="518"/>
      <c r="K40" s="515"/>
      <c r="L40" s="516"/>
      <c r="M40" s="358"/>
      <c r="P40" s="306"/>
      <c r="Q40" s="306"/>
      <c r="R40" s="306"/>
    </row>
    <row r="41" spans="1:18" s="288" customFormat="1" x14ac:dyDescent="0.2">
      <c r="A41" s="286">
        <v>30</v>
      </c>
      <c r="B41" s="487"/>
      <c r="C41" s="500"/>
      <c r="D41" s="485"/>
      <c r="E41" s="486"/>
      <c r="F41" s="322"/>
      <c r="G41" s="519"/>
      <c r="H41" s="520"/>
      <c r="I41" s="513"/>
      <c r="J41" s="514"/>
      <c r="K41" s="521"/>
      <c r="L41" s="516"/>
      <c r="M41" s="358"/>
      <c r="P41" s="306"/>
      <c r="Q41" s="306"/>
      <c r="R41" s="306"/>
    </row>
    <row r="42" spans="1:18" s="288" customFormat="1" x14ac:dyDescent="0.2">
      <c r="A42" s="286">
        <v>31</v>
      </c>
      <c r="B42" s="487"/>
      <c r="C42" s="500"/>
      <c r="D42" s="485"/>
      <c r="E42" s="486"/>
      <c r="F42" s="322"/>
      <c r="G42" s="519"/>
      <c r="H42" s="520"/>
      <c r="I42" s="513"/>
      <c r="J42" s="522"/>
      <c r="K42" s="523"/>
      <c r="L42" s="516"/>
      <c r="M42" s="358"/>
      <c r="P42" s="306"/>
      <c r="Q42" s="306"/>
      <c r="R42" s="306"/>
    </row>
    <row r="43" spans="1:18" s="288" customFormat="1" x14ac:dyDescent="0.2">
      <c r="A43" s="286">
        <v>32</v>
      </c>
      <c r="B43" s="490"/>
      <c r="C43" s="491"/>
      <c r="D43" s="501"/>
      <c r="E43" s="482"/>
      <c r="F43" s="287"/>
      <c r="G43" s="519"/>
      <c r="H43" s="520"/>
      <c r="I43" s="513"/>
      <c r="J43" s="515"/>
      <c r="K43" s="515"/>
      <c r="L43" s="516"/>
      <c r="M43" s="358"/>
      <c r="P43" s="306"/>
      <c r="Q43" s="306"/>
      <c r="R43" s="306"/>
    </row>
    <row r="44" spans="1:18" s="288" customFormat="1" x14ac:dyDescent="0.2">
      <c r="A44" s="286">
        <v>33</v>
      </c>
      <c r="B44" s="502"/>
      <c r="C44" s="491"/>
      <c r="D44" s="501"/>
      <c r="E44" s="482"/>
      <c r="F44" s="287"/>
      <c r="G44" s="519"/>
      <c r="H44" s="520"/>
      <c r="I44" s="513"/>
      <c r="J44" s="514"/>
      <c r="K44" s="515"/>
      <c r="L44" s="516"/>
      <c r="M44" s="358"/>
      <c r="P44" s="306"/>
      <c r="Q44" s="306"/>
      <c r="R44" s="306"/>
    </row>
    <row r="45" spans="1:18" s="288" customFormat="1" x14ac:dyDescent="0.2">
      <c r="A45" s="286">
        <v>34</v>
      </c>
      <c r="B45" s="479"/>
      <c r="C45" s="491"/>
      <c r="D45" s="501"/>
      <c r="E45" s="482"/>
      <c r="F45" s="287"/>
      <c r="G45" s="517"/>
      <c r="H45" s="515"/>
      <c r="I45" s="513"/>
      <c r="J45" s="518"/>
      <c r="K45" s="515"/>
      <c r="L45" s="516"/>
      <c r="M45" s="358"/>
      <c r="P45" s="306"/>
      <c r="Q45" s="306"/>
      <c r="R45" s="306"/>
    </row>
    <row r="46" spans="1:18" s="288" customFormat="1" x14ac:dyDescent="0.2">
      <c r="A46" s="286">
        <v>35</v>
      </c>
      <c r="B46" s="484"/>
      <c r="C46" s="480"/>
      <c r="D46" s="485"/>
      <c r="E46" s="486"/>
      <c r="F46" s="322"/>
      <c r="G46" s="519"/>
      <c r="H46" s="520"/>
      <c r="I46" s="513"/>
      <c r="J46" s="514"/>
      <c r="K46" s="521"/>
      <c r="L46" s="516"/>
      <c r="M46" s="358"/>
      <c r="P46" s="306"/>
      <c r="Q46" s="306"/>
      <c r="R46" s="306"/>
    </row>
    <row r="47" spans="1:18" s="288" customFormat="1" x14ac:dyDescent="0.2">
      <c r="A47" s="286">
        <v>36</v>
      </c>
      <c r="B47" s="484"/>
      <c r="C47" s="500"/>
      <c r="D47" s="485"/>
      <c r="E47" s="486"/>
      <c r="F47" s="322"/>
      <c r="G47" s="519"/>
      <c r="H47" s="520"/>
      <c r="I47" s="513"/>
      <c r="J47" s="522"/>
      <c r="K47" s="523"/>
      <c r="L47" s="516"/>
      <c r="M47" s="358"/>
      <c r="P47" s="306"/>
      <c r="Q47" s="306"/>
      <c r="R47" s="306"/>
    </row>
    <row r="48" spans="1:18" s="288" customFormat="1" x14ac:dyDescent="0.2">
      <c r="A48" s="286">
        <v>37</v>
      </c>
      <c r="B48" s="490"/>
      <c r="C48" s="491"/>
      <c r="D48" s="501"/>
      <c r="E48" s="482"/>
      <c r="F48" s="287"/>
      <c r="G48" s="519"/>
      <c r="H48" s="520"/>
      <c r="I48" s="513"/>
      <c r="J48" s="515"/>
      <c r="K48" s="521"/>
      <c r="L48" s="516"/>
      <c r="M48" s="358"/>
      <c r="P48" s="306"/>
      <c r="Q48" s="306"/>
      <c r="R48" s="306"/>
    </row>
    <row r="49" spans="1:18" s="288" customFormat="1" x14ac:dyDescent="0.2">
      <c r="A49" s="286">
        <v>38</v>
      </c>
      <c r="B49" s="490"/>
      <c r="C49" s="491"/>
      <c r="D49" s="501"/>
      <c r="E49" s="482"/>
      <c r="F49" s="287"/>
      <c r="G49" s="517"/>
      <c r="H49" s="515"/>
      <c r="I49" s="513"/>
      <c r="J49" s="515"/>
      <c r="K49" s="515"/>
      <c r="L49" s="516"/>
      <c r="M49" s="358"/>
      <c r="P49" s="306"/>
      <c r="Q49" s="306"/>
      <c r="R49" s="306"/>
    </row>
    <row r="50" spans="1:18" s="288" customFormat="1" x14ac:dyDescent="0.2">
      <c r="A50" s="286">
        <v>39</v>
      </c>
      <c r="B50" s="483"/>
      <c r="C50" s="494"/>
      <c r="D50" s="501"/>
      <c r="E50" s="482"/>
      <c r="F50" s="287"/>
      <c r="G50" s="519"/>
      <c r="H50" s="520"/>
      <c r="I50" s="513"/>
      <c r="J50" s="514"/>
      <c r="K50" s="515"/>
      <c r="L50" s="516"/>
      <c r="M50" s="358"/>
      <c r="P50" s="306"/>
      <c r="Q50" s="306"/>
      <c r="R50" s="306"/>
    </row>
    <row r="51" spans="1:18" s="288" customFormat="1" x14ac:dyDescent="0.2">
      <c r="A51" s="286">
        <v>40</v>
      </c>
      <c r="B51" s="484"/>
      <c r="C51" s="480"/>
      <c r="D51" s="485"/>
      <c r="E51" s="486"/>
      <c r="F51" s="322"/>
      <c r="G51" s="519"/>
      <c r="H51" s="520"/>
      <c r="I51" s="513"/>
      <c r="J51" s="522"/>
      <c r="K51" s="523"/>
      <c r="L51" s="516"/>
      <c r="M51" s="358"/>
      <c r="P51" s="306"/>
      <c r="Q51" s="306"/>
      <c r="R51" s="306"/>
    </row>
    <row r="52" spans="1:18" s="288" customFormat="1" x14ac:dyDescent="0.2">
      <c r="A52" s="286">
        <v>41</v>
      </c>
      <c r="B52" s="490"/>
      <c r="C52" s="491"/>
      <c r="D52" s="501"/>
      <c r="E52" s="482"/>
      <c r="F52" s="287"/>
      <c r="G52" s="519"/>
      <c r="H52" s="520"/>
      <c r="I52" s="513"/>
      <c r="J52" s="515"/>
      <c r="K52" s="515"/>
      <c r="L52" s="516"/>
      <c r="M52" s="358"/>
      <c r="P52" s="306"/>
      <c r="Q52" s="306"/>
      <c r="R52" s="306"/>
    </row>
    <row r="53" spans="1:18" s="288" customFormat="1" x14ac:dyDescent="0.2">
      <c r="A53" s="286">
        <v>42</v>
      </c>
      <c r="B53" s="490"/>
      <c r="C53" s="491"/>
      <c r="D53" s="501"/>
      <c r="E53" s="482"/>
      <c r="F53" s="287"/>
      <c r="G53" s="519"/>
      <c r="H53" s="520"/>
      <c r="I53" s="513"/>
      <c r="J53" s="514"/>
      <c r="K53" s="515"/>
      <c r="L53" s="516"/>
      <c r="M53" s="358"/>
      <c r="P53" s="306"/>
      <c r="Q53" s="306"/>
      <c r="R53" s="306"/>
    </row>
    <row r="54" spans="1:18" s="288" customFormat="1" x14ac:dyDescent="0.2">
      <c r="A54" s="286">
        <v>43</v>
      </c>
      <c r="B54" s="483"/>
      <c r="C54" s="480"/>
      <c r="D54" s="501"/>
      <c r="E54" s="482"/>
      <c r="F54" s="287"/>
      <c r="G54" s="519"/>
      <c r="H54" s="520"/>
      <c r="I54" s="513"/>
      <c r="J54" s="514"/>
      <c r="K54" s="515"/>
      <c r="L54" s="516"/>
      <c r="M54" s="358"/>
      <c r="P54" s="306"/>
      <c r="Q54" s="306"/>
      <c r="R54" s="306"/>
    </row>
    <row r="55" spans="1:18" s="288" customFormat="1" x14ac:dyDescent="0.2">
      <c r="A55" s="286">
        <v>44</v>
      </c>
      <c r="B55" s="479"/>
      <c r="C55" s="480"/>
      <c r="D55" s="501"/>
      <c r="E55" s="482"/>
      <c r="F55" s="287"/>
      <c r="G55" s="519"/>
      <c r="H55" s="520"/>
      <c r="I55" s="513"/>
      <c r="J55" s="514"/>
      <c r="K55" s="515"/>
      <c r="L55" s="516"/>
      <c r="M55" s="358"/>
      <c r="P55" s="306"/>
      <c r="Q55" s="306"/>
      <c r="R55" s="306"/>
    </row>
    <row r="56" spans="1:18" s="288" customFormat="1" x14ac:dyDescent="0.2">
      <c r="A56" s="286">
        <v>45</v>
      </c>
      <c r="B56" s="484"/>
      <c r="C56" s="480"/>
      <c r="D56" s="485"/>
      <c r="E56" s="486"/>
      <c r="F56" s="322"/>
      <c r="G56" s="519"/>
      <c r="H56" s="520"/>
      <c r="I56" s="513"/>
      <c r="J56" s="514"/>
      <c r="K56" s="521"/>
      <c r="L56" s="516"/>
      <c r="M56" s="358"/>
      <c r="P56" s="306"/>
      <c r="Q56" s="306"/>
      <c r="R56" s="306"/>
    </row>
    <row r="57" spans="1:18" s="288" customFormat="1" x14ac:dyDescent="0.2">
      <c r="A57" s="286">
        <v>46</v>
      </c>
      <c r="B57" s="484"/>
      <c r="C57" s="480"/>
      <c r="D57" s="485"/>
      <c r="E57" s="486"/>
      <c r="F57" s="322"/>
      <c r="G57" s="519"/>
      <c r="H57" s="520"/>
      <c r="I57" s="513"/>
      <c r="J57" s="514"/>
      <c r="K57" s="521"/>
      <c r="L57" s="516"/>
      <c r="M57" s="358"/>
      <c r="P57" s="306"/>
      <c r="Q57" s="306"/>
      <c r="R57" s="306"/>
    </row>
    <row r="58" spans="1:18" s="288" customFormat="1" x14ac:dyDescent="0.2">
      <c r="A58" s="286">
        <v>47</v>
      </c>
      <c r="B58" s="484"/>
      <c r="C58" s="480"/>
      <c r="D58" s="485"/>
      <c r="E58" s="486"/>
      <c r="F58" s="322"/>
      <c r="G58" s="519"/>
      <c r="H58" s="520"/>
      <c r="I58" s="513"/>
      <c r="J58" s="522"/>
      <c r="K58" s="523"/>
      <c r="L58" s="516"/>
      <c r="M58" s="358"/>
      <c r="P58" s="306"/>
      <c r="Q58" s="306"/>
      <c r="R58" s="306"/>
    </row>
    <row r="59" spans="1:18" s="288" customFormat="1" x14ac:dyDescent="0.2">
      <c r="A59" s="286">
        <v>48</v>
      </c>
      <c r="B59" s="490"/>
      <c r="C59" s="491"/>
      <c r="D59" s="501"/>
      <c r="E59" s="482"/>
      <c r="F59" s="287"/>
      <c r="G59" s="519"/>
      <c r="H59" s="520"/>
      <c r="I59" s="513"/>
      <c r="J59" s="521"/>
      <c r="K59" s="521"/>
      <c r="L59" s="516"/>
      <c r="M59" s="358"/>
      <c r="P59" s="306"/>
      <c r="Q59" s="306"/>
      <c r="R59" s="306"/>
    </row>
    <row r="60" spans="1:18" s="288" customFormat="1" x14ac:dyDescent="0.2">
      <c r="A60" s="286">
        <v>49</v>
      </c>
      <c r="B60" s="493"/>
      <c r="C60" s="494"/>
      <c r="D60" s="501"/>
      <c r="E60" s="482"/>
      <c r="F60" s="287"/>
      <c r="G60" s="519"/>
      <c r="H60" s="520"/>
      <c r="I60" s="513"/>
      <c r="J60" s="514"/>
      <c r="K60" s="515"/>
      <c r="L60" s="516"/>
      <c r="M60" s="358"/>
      <c r="P60" s="306"/>
      <c r="Q60" s="306"/>
      <c r="R60" s="306"/>
    </row>
    <row r="61" spans="1:18" s="288" customFormat="1" x14ac:dyDescent="0.2">
      <c r="A61" s="286">
        <v>50</v>
      </c>
      <c r="B61" s="479"/>
      <c r="C61" s="480"/>
      <c r="D61" s="501"/>
      <c r="E61" s="482"/>
      <c r="F61" s="287"/>
      <c r="G61" s="519"/>
      <c r="H61" s="520"/>
      <c r="I61" s="513"/>
      <c r="J61" s="514"/>
      <c r="K61" s="515"/>
      <c r="L61" s="516"/>
      <c r="M61" s="358"/>
      <c r="P61" s="306"/>
      <c r="Q61" s="306"/>
      <c r="R61" s="306"/>
    </row>
    <row r="62" spans="1:18" s="288" customFormat="1" x14ac:dyDescent="0.2">
      <c r="A62" s="286">
        <v>51</v>
      </c>
      <c r="B62" s="484"/>
      <c r="C62" s="480"/>
      <c r="D62" s="485"/>
      <c r="E62" s="486"/>
      <c r="F62" s="322"/>
      <c r="G62" s="519"/>
      <c r="H62" s="520"/>
      <c r="I62" s="513"/>
      <c r="J62" s="514"/>
      <c r="K62" s="521"/>
      <c r="L62" s="516"/>
      <c r="M62" s="358"/>
      <c r="P62" s="306"/>
      <c r="Q62" s="306"/>
      <c r="R62" s="306"/>
    </row>
    <row r="63" spans="1:18" s="288" customFormat="1" x14ac:dyDescent="0.2">
      <c r="A63" s="286">
        <v>52</v>
      </c>
      <c r="B63" s="484"/>
      <c r="C63" s="480"/>
      <c r="D63" s="485"/>
      <c r="E63" s="486"/>
      <c r="F63" s="322"/>
      <c r="G63" s="519"/>
      <c r="H63" s="520"/>
      <c r="I63" s="513"/>
      <c r="J63" s="522"/>
      <c r="K63" s="523"/>
      <c r="L63" s="516"/>
      <c r="M63" s="358"/>
      <c r="P63" s="306"/>
      <c r="Q63" s="306"/>
      <c r="R63" s="306"/>
    </row>
    <row r="64" spans="1:18" s="288" customFormat="1" x14ac:dyDescent="0.2">
      <c r="A64" s="286">
        <v>53</v>
      </c>
      <c r="B64" s="490"/>
      <c r="C64" s="480"/>
      <c r="D64" s="481"/>
      <c r="E64" s="482"/>
      <c r="F64" s="287"/>
      <c r="G64" s="519"/>
      <c r="H64" s="520"/>
      <c r="I64" s="513"/>
      <c r="J64" s="521"/>
      <c r="K64" s="515"/>
      <c r="L64" s="516"/>
      <c r="M64" s="358"/>
      <c r="P64" s="306"/>
      <c r="Q64" s="306"/>
      <c r="R64" s="306"/>
    </row>
    <row r="65" spans="1:18" s="288" customFormat="1" x14ac:dyDescent="0.2">
      <c r="A65" s="286">
        <v>54</v>
      </c>
      <c r="B65" s="490"/>
      <c r="C65" s="491"/>
      <c r="D65" s="503"/>
      <c r="E65" s="499"/>
      <c r="F65" s="287"/>
      <c r="G65" s="519"/>
      <c r="H65" s="520"/>
      <c r="I65" s="513"/>
      <c r="J65" s="514"/>
      <c r="K65" s="515"/>
      <c r="L65" s="516"/>
      <c r="M65" s="358"/>
      <c r="P65" s="306"/>
      <c r="Q65" s="306"/>
      <c r="R65" s="306"/>
    </row>
    <row r="66" spans="1:18" s="288" customFormat="1" x14ac:dyDescent="0.2">
      <c r="A66" s="286">
        <v>57</v>
      </c>
      <c r="B66" s="479"/>
      <c r="C66" s="480"/>
      <c r="D66" s="481"/>
      <c r="E66" s="482"/>
      <c r="F66" s="287"/>
      <c r="G66" s="519"/>
      <c r="H66" s="520"/>
      <c r="I66" s="513"/>
      <c r="J66" s="514"/>
      <c r="K66" s="515"/>
      <c r="L66" s="516"/>
      <c r="M66" s="358"/>
      <c r="P66" s="306"/>
      <c r="Q66" s="306"/>
      <c r="R66" s="306"/>
    </row>
    <row r="67" spans="1:18" s="288" customFormat="1" x14ac:dyDescent="0.2">
      <c r="A67" s="286">
        <v>58</v>
      </c>
      <c r="B67" s="479"/>
      <c r="C67" s="480"/>
      <c r="D67" s="481"/>
      <c r="E67" s="482"/>
      <c r="F67" s="287"/>
      <c r="G67" s="519"/>
      <c r="H67" s="520"/>
      <c r="I67" s="513"/>
      <c r="J67" s="514"/>
      <c r="K67" s="515"/>
      <c r="L67" s="516"/>
      <c r="M67" s="358"/>
      <c r="P67" s="306"/>
      <c r="Q67" s="306"/>
      <c r="R67" s="306"/>
    </row>
    <row r="68" spans="1:18" s="288" customFormat="1" x14ac:dyDescent="0.2">
      <c r="A68" s="286">
        <v>59</v>
      </c>
      <c r="B68" s="479"/>
      <c r="C68" s="480"/>
      <c r="D68" s="481"/>
      <c r="E68" s="482"/>
      <c r="F68" s="287"/>
      <c r="G68" s="519"/>
      <c r="H68" s="520"/>
      <c r="I68" s="513"/>
      <c r="J68" s="514"/>
      <c r="K68" s="515"/>
      <c r="L68" s="516"/>
      <c r="M68" s="358"/>
      <c r="P68" s="306"/>
      <c r="Q68" s="306"/>
      <c r="R68" s="306"/>
    </row>
    <row r="69" spans="1:18" s="288" customFormat="1" x14ac:dyDescent="0.2">
      <c r="A69" s="286">
        <v>60</v>
      </c>
      <c r="B69" s="484"/>
      <c r="C69" s="480"/>
      <c r="D69" s="485"/>
      <c r="E69" s="486"/>
      <c r="F69" s="322"/>
      <c r="G69" s="517"/>
      <c r="H69" s="515"/>
      <c r="I69" s="513"/>
      <c r="J69" s="514"/>
      <c r="K69" s="515"/>
      <c r="L69" s="516"/>
      <c r="M69" s="358"/>
      <c r="P69" s="306"/>
      <c r="Q69" s="306"/>
      <c r="R69" s="306"/>
    </row>
    <row r="70" spans="1:18" s="288" customFormat="1" x14ac:dyDescent="0.2">
      <c r="A70" s="286">
        <v>61</v>
      </c>
      <c r="B70" s="490"/>
      <c r="C70" s="480"/>
      <c r="D70" s="492"/>
      <c r="E70" s="482"/>
      <c r="F70" s="287"/>
      <c r="G70" s="524"/>
      <c r="H70" s="525"/>
      <c r="I70" s="513"/>
      <c r="J70" s="514"/>
      <c r="K70" s="515"/>
      <c r="L70" s="516"/>
      <c r="M70" s="358"/>
      <c r="P70" s="306"/>
      <c r="Q70" s="306"/>
      <c r="R70" s="306"/>
    </row>
    <row r="71" spans="1:18" s="288" customFormat="1" x14ac:dyDescent="0.2">
      <c r="A71" s="286">
        <v>62</v>
      </c>
      <c r="B71" s="484"/>
      <c r="C71" s="480"/>
      <c r="D71" s="492"/>
      <c r="E71" s="482"/>
      <c r="F71" s="287"/>
      <c r="G71" s="519"/>
      <c r="H71" s="520"/>
      <c r="I71" s="513"/>
      <c r="J71" s="514"/>
      <c r="K71" s="515"/>
      <c r="L71" s="516"/>
      <c r="M71" s="358"/>
      <c r="P71" s="306"/>
      <c r="Q71" s="306"/>
      <c r="R71" s="306"/>
    </row>
    <row r="72" spans="1:18" s="288" customFormat="1" x14ac:dyDescent="0.2">
      <c r="A72" s="286">
        <v>63</v>
      </c>
      <c r="B72" s="479"/>
      <c r="C72" s="480"/>
      <c r="D72" s="492"/>
      <c r="E72" s="482"/>
      <c r="F72" s="287"/>
      <c r="G72" s="519"/>
      <c r="H72" s="520"/>
      <c r="I72" s="513"/>
      <c r="J72" s="514"/>
      <c r="K72" s="515"/>
      <c r="L72" s="516"/>
      <c r="M72" s="358"/>
      <c r="P72" s="306"/>
      <c r="Q72" s="306"/>
      <c r="R72" s="306"/>
    </row>
    <row r="73" spans="1:18" s="288" customFormat="1" x14ac:dyDescent="0.2">
      <c r="A73" s="286">
        <v>64</v>
      </c>
      <c r="B73" s="484"/>
      <c r="C73" s="480"/>
      <c r="D73" s="485"/>
      <c r="E73" s="486"/>
      <c r="F73" s="322"/>
      <c r="G73" s="517"/>
      <c r="H73" s="515"/>
      <c r="I73" s="513"/>
      <c r="J73" s="514"/>
      <c r="K73" s="515"/>
      <c r="L73" s="516"/>
      <c r="M73" s="358"/>
      <c r="P73" s="306"/>
      <c r="Q73" s="306"/>
      <c r="R73" s="306"/>
    </row>
    <row r="74" spans="1:18" s="288" customFormat="1" x14ac:dyDescent="0.2">
      <c r="A74" s="286">
        <v>65</v>
      </c>
      <c r="B74" s="484"/>
      <c r="C74" s="500"/>
      <c r="D74" s="485"/>
      <c r="E74" s="486"/>
      <c r="F74" s="322"/>
      <c r="G74" s="517"/>
      <c r="H74" s="515"/>
      <c r="I74" s="513"/>
      <c r="J74" s="514"/>
      <c r="K74" s="515"/>
      <c r="L74" s="516"/>
      <c r="M74" s="358"/>
      <c r="P74" s="306"/>
      <c r="Q74" s="306"/>
      <c r="R74" s="306"/>
    </row>
    <row r="75" spans="1:18" s="288" customFormat="1" x14ac:dyDescent="0.2">
      <c r="A75" s="286">
        <v>66</v>
      </c>
      <c r="B75" s="490"/>
      <c r="C75" s="500"/>
      <c r="D75" s="501"/>
      <c r="E75" s="482"/>
      <c r="F75" s="287"/>
      <c r="G75" s="524"/>
      <c r="H75" s="525"/>
      <c r="I75" s="513"/>
      <c r="J75" s="514"/>
      <c r="K75" s="515"/>
      <c r="L75" s="516"/>
      <c r="M75" s="358"/>
      <c r="P75" s="306"/>
      <c r="Q75" s="306"/>
      <c r="R75" s="306"/>
    </row>
    <row r="76" spans="1:18" s="288" customFormat="1" x14ac:dyDescent="0.2">
      <c r="A76" s="286">
        <v>67</v>
      </c>
      <c r="B76" s="484"/>
      <c r="C76" s="480"/>
      <c r="D76" s="501"/>
      <c r="E76" s="482"/>
      <c r="F76" s="287"/>
      <c r="G76" s="519"/>
      <c r="H76" s="520"/>
      <c r="I76" s="513"/>
      <c r="J76" s="514"/>
      <c r="K76" s="515"/>
      <c r="L76" s="516"/>
      <c r="M76" s="358"/>
      <c r="P76" s="306"/>
      <c r="Q76" s="306"/>
      <c r="R76" s="306"/>
    </row>
    <row r="77" spans="1:18" s="288" customFormat="1" x14ac:dyDescent="0.2">
      <c r="A77" s="286">
        <v>68</v>
      </c>
      <c r="B77" s="479"/>
      <c r="C77" s="494"/>
      <c r="D77" s="501"/>
      <c r="E77" s="482"/>
      <c r="F77" s="287"/>
      <c r="G77" s="519"/>
      <c r="H77" s="520"/>
      <c r="I77" s="513"/>
      <c r="J77" s="514"/>
      <c r="K77" s="515"/>
      <c r="L77" s="516"/>
      <c r="M77" s="358"/>
      <c r="P77" s="306"/>
      <c r="Q77" s="306"/>
      <c r="R77" s="306"/>
    </row>
    <row r="78" spans="1:18" s="288" customFormat="1" x14ac:dyDescent="0.2">
      <c r="A78" s="286">
        <v>69</v>
      </c>
      <c r="B78" s="493"/>
      <c r="C78" s="494"/>
      <c r="D78" s="485"/>
      <c r="E78" s="486"/>
      <c r="F78" s="322"/>
      <c r="G78" s="517"/>
      <c r="H78" s="515"/>
      <c r="I78" s="513"/>
      <c r="J78" s="514"/>
      <c r="K78" s="515"/>
      <c r="L78" s="516"/>
      <c r="M78" s="358"/>
      <c r="P78" s="306"/>
      <c r="Q78" s="306"/>
      <c r="R78" s="306"/>
    </row>
    <row r="79" spans="1:18" s="288" customFormat="1" x14ac:dyDescent="0.2">
      <c r="A79" s="286">
        <v>70</v>
      </c>
      <c r="B79" s="493"/>
      <c r="C79" s="494"/>
      <c r="D79" s="485"/>
      <c r="E79" s="486"/>
      <c r="F79" s="322"/>
      <c r="G79" s="517"/>
      <c r="H79" s="515"/>
      <c r="I79" s="513"/>
      <c r="J79" s="514"/>
      <c r="K79" s="515"/>
      <c r="L79" s="516"/>
      <c r="M79" s="358"/>
      <c r="P79" s="306"/>
      <c r="Q79" s="306"/>
      <c r="R79" s="306"/>
    </row>
    <row r="80" spans="1:18" s="288" customFormat="1" x14ac:dyDescent="0.2">
      <c r="A80" s="286">
        <v>76</v>
      </c>
      <c r="B80" s="490"/>
      <c r="C80" s="480"/>
      <c r="D80" s="501"/>
      <c r="E80" s="482"/>
      <c r="F80" s="287"/>
      <c r="G80" s="524"/>
      <c r="H80" s="525"/>
      <c r="I80" s="513"/>
      <c r="J80" s="514"/>
      <c r="K80" s="515"/>
      <c r="L80" s="516"/>
      <c r="M80" s="358"/>
      <c r="P80" s="306"/>
      <c r="Q80" s="306"/>
      <c r="R80" s="306"/>
    </row>
    <row r="81" spans="1:18" s="288" customFormat="1" x14ac:dyDescent="0.2">
      <c r="A81" s="286">
        <v>77</v>
      </c>
      <c r="B81" s="484"/>
      <c r="C81" s="480"/>
      <c r="D81" s="501"/>
      <c r="E81" s="482"/>
      <c r="F81" s="287"/>
      <c r="G81" s="519"/>
      <c r="H81" s="520"/>
      <c r="I81" s="513"/>
      <c r="J81" s="514"/>
      <c r="K81" s="515"/>
      <c r="L81" s="516"/>
      <c r="M81" s="358"/>
      <c r="P81" s="306"/>
      <c r="Q81" s="306"/>
      <c r="R81" s="306"/>
    </row>
    <row r="82" spans="1:18" s="288" customFormat="1" x14ac:dyDescent="0.2">
      <c r="A82" s="286">
        <v>78</v>
      </c>
      <c r="B82" s="479"/>
      <c r="C82" s="494"/>
      <c r="D82" s="501"/>
      <c r="E82" s="482"/>
      <c r="F82" s="287"/>
      <c r="G82" s="519"/>
      <c r="H82" s="520"/>
      <c r="I82" s="513"/>
      <c r="J82" s="514"/>
      <c r="K82" s="515"/>
      <c r="L82" s="516"/>
      <c r="M82" s="358"/>
      <c r="P82" s="306"/>
      <c r="Q82" s="306"/>
      <c r="R82" s="306"/>
    </row>
    <row r="83" spans="1:18" s="288" customFormat="1" x14ac:dyDescent="0.2">
      <c r="A83" s="286">
        <v>79</v>
      </c>
      <c r="B83" s="484"/>
      <c r="C83" s="480"/>
      <c r="D83" s="485"/>
      <c r="E83" s="486"/>
      <c r="F83" s="322"/>
      <c r="G83" s="517"/>
      <c r="H83" s="515"/>
      <c r="I83" s="513"/>
      <c r="J83" s="514"/>
      <c r="K83" s="515"/>
      <c r="L83" s="516"/>
      <c r="M83" s="358"/>
      <c r="P83" s="306"/>
      <c r="Q83" s="306"/>
      <c r="R83" s="306"/>
    </row>
    <row r="84" spans="1:18" s="288" customFormat="1" x14ac:dyDescent="0.2">
      <c r="A84" s="286">
        <v>80</v>
      </c>
      <c r="B84" s="484"/>
      <c r="C84" s="480"/>
      <c r="D84" s="485"/>
      <c r="E84" s="486"/>
      <c r="F84" s="322"/>
      <c r="G84" s="517"/>
      <c r="H84" s="515"/>
      <c r="I84" s="513"/>
      <c r="J84" s="514"/>
      <c r="K84" s="515"/>
      <c r="L84" s="516"/>
      <c r="M84" s="358"/>
      <c r="P84" s="306"/>
      <c r="Q84" s="306"/>
      <c r="R84" s="306"/>
    </row>
    <row r="85" spans="1:18" s="288" customFormat="1" x14ac:dyDescent="0.2">
      <c r="A85" s="286">
        <v>81</v>
      </c>
      <c r="B85" s="490"/>
      <c r="C85" s="480"/>
      <c r="D85" s="501"/>
      <c r="E85" s="482"/>
      <c r="F85" s="287"/>
      <c r="G85" s="524"/>
      <c r="H85" s="525"/>
      <c r="I85" s="513"/>
      <c r="J85" s="514"/>
      <c r="K85" s="515"/>
      <c r="L85" s="516"/>
      <c r="M85" s="358"/>
      <c r="P85" s="306"/>
      <c r="Q85" s="306"/>
      <c r="R85" s="306"/>
    </row>
    <row r="86" spans="1:18" s="288" customFormat="1" x14ac:dyDescent="0.2">
      <c r="A86" s="286">
        <v>82</v>
      </c>
      <c r="B86" s="484"/>
      <c r="C86" s="480"/>
      <c r="D86" s="501"/>
      <c r="E86" s="482"/>
      <c r="F86" s="287"/>
      <c r="G86" s="519"/>
      <c r="H86" s="520"/>
      <c r="I86" s="513"/>
      <c r="J86" s="514"/>
      <c r="K86" s="515"/>
      <c r="L86" s="516"/>
      <c r="M86" s="358"/>
      <c r="P86" s="306"/>
      <c r="Q86" s="306"/>
      <c r="R86" s="306"/>
    </row>
    <row r="87" spans="1:18" s="288" customFormat="1" x14ac:dyDescent="0.2">
      <c r="A87" s="286">
        <v>83</v>
      </c>
      <c r="B87" s="479"/>
      <c r="C87" s="480"/>
      <c r="D87" s="501"/>
      <c r="E87" s="482"/>
      <c r="F87" s="287"/>
      <c r="G87" s="519"/>
      <c r="H87" s="520"/>
      <c r="I87" s="513"/>
      <c r="J87" s="514"/>
      <c r="K87" s="515"/>
      <c r="L87" s="516"/>
      <c r="M87" s="358"/>
      <c r="P87" s="306"/>
      <c r="Q87" s="306"/>
      <c r="R87" s="306"/>
    </row>
    <row r="88" spans="1:18" s="288" customFormat="1" x14ac:dyDescent="0.2">
      <c r="A88" s="286">
        <v>84</v>
      </c>
      <c r="B88" s="493"/>
      <c r="C88" s="494"/>
      <c r="D88" s="485"/>
      <c r="E88" s="486"/>
      <c r="F88" s="322"/>
      <c r="G88" s="517"/>
      <c r="H88" s="515"/>
      <c r="I88" s="513"/>
      <c r="J88" s="514"/>
      <c r="K88" s="515"/>
      <c r="L88" s="516"/>
      <c r="M88" s="358"/>
      <c r="P88" s="306"/>
      <c r="Q88" s="306"/>
      <c r="R88" s="306"/>
    </row>
    <row r="89" spans="1:18" s="288" customFormat="1" x14ac:dyDescent="0.2">
      <c r="A89" s="286">
        <v>85</v>
      </c>
      <c r="B89" s="493"/>
      <c r="C89" s="494"/>
      <c r="D89" s="501"/>
      <c r="E89" s="482"/>
      <c r="F89" s="287"/>
      <c r="G89" s="524"/>
      <c r="H89" s="525"/>
      <c r="I89" s="513"/>
      <c r="J89" s="514"/>
      <c r="K89" s="515"/>
      <c r="L89" s="516"/>
      <c r="M89" s="358"/>
      <c r="P89" s="306"/>
      <c r="Q89" s="306"/>
      <c r="R89" s="306"/>
    </row>
    <row r="90" spans="1:18" s="288" customFormat="1" x14ac:dyDescent="0.2">
      <c r="A90" s="286">
        <v>86</v>
      </c>
      <c r="B90" s="493"/>
      <c r="C90" s="494"/>
      <c r="D90" s="501"/>
      <c r="E90" s="482"/>
      <c r="F90" s="287"/>
      <c r="G90" s="519"/>
      <c r="H90" s="520"/>
      <c r="I90" s="513"/>
      <c r="J90" s="514"/>
      <c r="K90" s="515"/>
      <c r="L90" s="516"/>
      <c r="M90" s="358"/>
      <c r="P90" s="306"/>
      <c r="Q90" s="306"/>
      <c r="R90" s="306"/>
    </row>
    <row r="91" spans="1:18" s="288" customFormat="1" x14ac:dyDescent="0.2">
      <c r="A91" s="286">
        <v>87</v>
      </c>
      <c r="B91" s="479"/>
      <c r="C91" s="494"/>
      <c r="D91" s="501"/>
      <c r="E91" s="482"/>
      <c r="F91" s="287"/>
      <c r="G91" s="519"/>
      <c r="H91" s="520"/>
      <c r="I91" s="513"/>
      <c r="J91" s="514"/>
      <c r="K91" s="515"/>
      <c r="L91" s="516"/>
      <c r="M91" s="358"/>
      <c r="P91" s="306"/>
      <c r="Q91" s="306"/>
      <c r="R91" s="306"/>
    </row>
    <row r="92" spans="1:18" s="288" customFormat="1" x14ac:dyDescent="0.2">
      <c r="A92" s="286">
        <v>88</v>
      </c>
      <c r="B92" s="484"/>
      <c r="C92" s="480"/>
      <c r="D92" s="492"/>
      <c r="E92" s="482"/>
      <c r="F92" s="287"/>
      <c r="G92" s="526"/>
      <c r="H92" s="515"/>
      <c r="I92" s="513"/>
      <c r="J92" s="514"/>
      <c r="K92" s="515"/>
      <c r="L92" s="516"/>
      <c r="M92" s="358"/>
      <c r="P92" s="306"/>
      <c r="Q92" s="306"/>
      <c r="R92" s="306"/>
    </row>
    <row r="93" spans="1:18" s="288" customFormat="1" x14ac:dyDescent="0.2">
      <c r="A93" s="286">
        <v>88</v>
      </c>
      <c r="B93" s="490"/>
      <c r="C93" s="494"/>
      <c r="D93" s="501"/>
      <c r="E93" s="482"/>
      <c r="F93" s="287"/>
      <c r="G93" s="524"/>
      <c r="H93" s="525"/>
      <c r="I93" s="513"/>
      <c r="J93" s="514"/>
      <c r="K93" s="515"/>
      <c r="L93" s="516"/>
      <c r="M93" s="358"/>
      <c r="P93" s="306"/>
      <c r="Q93" s="306"/>
      <c r="R93" s="306"/>
    </row>
    <row r="94" spans="1:18" s="288" customFormat="1" ht="12" thickBot="1" x14ac:dyDescent="0.25">
      <c r="A94" s="286">
        <v>88</v>
      </c>
      <c r="B94" s="504"/>
      <c r="C94" s="505"/>
      <c r="D94" s="506"/>
      <c r="E94" s="507"/>
      <c r="F94" s="287"/>
      <c r="G94" s="527"/>
      <c r="H94" s="528"/>
      <c r="I94" s="529"/>
      <c r="J94" s="530"/>
      <c r="K94" s="531"/>
      <c r="L94" s="532"/>
      <c r="M94" s="358"/>
      <c r="P94" s="306"/>
      <c r="Q94" s="306"/>
      <c r="R94" s="306"/>
    </row>
    <row r="95" spans="1:18" s="288" customFormat="1" x14ac:dyDescent="0.2">
      <c r="A95" s="286">
        <v>88</v>
      </c>
      <c r="B95" s="287"/>
      <c r="C95" s="287"/>
      <c r="D95" s="304"/>
      <c r="E95" s="308"/>
      <c r="F95" s="301"/>
      <c r="G95" s="305"/>
      <c r="H95" s="305"/>
      <c r="I95" s="358"/>
      <c r="J95" s="305"/>
      <c r="K95" s="305"/>
      <c r="L95" s="365"/>
      <c r="M95" s="358"/>
      <c r="N95" s="306"/>
    </row>
    <row r="96" spans="1:18" s="288" customFormat="1" x14ac:dyDescent="0.2">
      <c r="A96" s="286">
        <v>88</v>
      </c>
      <c r="B96" s="309" t="s">
        <v>14</v>
      </c>
      <c r="D96" s="299"/>
      <c r="G96" s="364"/>
      <c r="H96" s="364"/>
      <c r="I96" s="362"/>
      <c r="J96" s="363"/>
      <c r="K96" s="363"/>
      <c r="L96" s="362"/>
      <c r="M96" s="358"/>
      <c r="N96" s="306"/>
    </row>
    <row r="97" spans="1:18" s="288" customFormat="1" ht="12" thickBot="1" x14ac:dyDescent="0.25">
      <c r="A97" s="286">
        <v>88</v>
      </c>
      <c r="D97" s="299"/>
      <c r="M97" s="287"/>
      <c r="N97" s="307"/>
      <c r="O97" s="287"/>
    </row>
    <row r="98" spans="1:18" s="288" customFormat="1" x14ac:dyDescent="0.2">
      <c r="A98" s="286">
        <v>88</v>
      </c>
      <c r="B98" s="508"/>
      <c r="C98" s="509"/>
      <c r="D98" s="533"/>
      <c r="E98" s="534"/>
      <c r="F98" s="534"/>
      <c r="G98" s="535"/>
      <c r="H98" s="536"/>
      <c r="I98" s="537"/>
      <c r="J98" s="536"/>
      <c r="K98" s="536"/>
      <c r="L98" s="538"/>
      <c r="M98" s="361"/>
      <c r="N98" s="360"/>
      <c r="O98" s="287"/>
    </row>
    <row r="99" spans="1:18" s="288" customFormat="1" x14ac:dyDescent="0.2">
      <c r="A99" s="286">
        <v>88</v>
      </c>
      <c r="B99" s="487"/>
      <c r="C99" s="500"/>
      <c r="D99" s="539"/>
      <c r="E99" s="500"/>
      <c r="F99" s="539"/>
      <c r="G99" s="540"/>
      <c r="H99" s="540"/>
      <c r="I99" s="540"/>
      <c r="J99" s="540"/>
      <c r="K99" s="540"/>
      <c r="L99" s="541"/>
      <c r="M99" s="287"/>
      <c r="N99" s="360"/>
      <c r="O99" s="287"/>
    </row>
    <row r="100" spans="1:18" s="288" customFormat="1" x14ac:dyDescent="0.2">
      <c r="A100" s="286">
        <v>88</v>
      </c>
      <c r="B100" s="487"/>
      <c r="C100" s="500"/>
      <c r="D100" s="500"/>
      <c r="E100" s="500"/>
      <c r="F100" s="500"/>
      <c r="G100" s="542"/>
      <c r="H100" s="543"/>
      <c r="I100" s="513"/>
      <c r="J100" s="544"/>
      <c r="K100" s="543"/>
      <c r="L100" s="516"/>
      <c r="M100" s="358"/>
      <c r="N100" s="359"/>
      <c r="O100" s="287"/>
    </row>
    <row r="101" spans="1:18" s="288" customFormat="1" ht="12" thickBot="1" x14ac:dyDescent="0.25">
      <c r="A101" s="286">
        <v>88</v>
      </c>
      <c r="B101" s="504"/>
      <c r="C101" s="505"/>
      <c r="D101" s="505"/>
      <c r="E101" s="545"/>
      <c r="F101" s="505"/>
      <c r="G101" s="505"/>
      <c r="H101" s="505"/>
      <c r="I101" s="505"/>
      <c r="J101" s="546"/>
      <c r="K101" s="547"/>
      <c r="L101" s="532"/>
      <c r="M101" s="358"/>
      <c r="N101" s="310"/>
    </row>
    <row r="102" spans="1:18" s="288" customFormat="1" x14ac:dyDescent="0.2">
      <c r="A102" s="286"/>
      <c r="D102" s="352"/>
      <c r="G102" s="306"/>
      <c r="H102" s="306"/>
      <c r="I102" s="306"/>
      <c r="J102" s="311"/>
      <c r="K102" s="311"/>
      <c r="M102" s="287"/>
      <c r="P102" s="306"/>
      <c r="R102" s="311"/>
    </row>
    <row r="103" spans="1:18" x14ac:dyDescent="0.2">
      <c r="A103" s="312" t="s">
        <v>60</v>
      </c>
      <c r="B103" s="284" t="s">
        <v>63</v>
      </c>
      <c r="D103" s="313"/>
      <c r="G103" s="285"/>
      <c r="H103" s="285"/>
      <c r="I103" s="285"/>
      <c r="N103" s="288"/>
      <c r="O103" s="288"/>
      <c r="P103" s="288"/>
      <c r="Q103" s="288"/>
      <c r="R103" s="288"/>
    </row>
    <row r="104" spans="1:18" x14ac:dyDescent="0.2">
      <c r="A104" s="312" t="s">
        <v>61</v>
      </c>
      <c r="B104" s="284" t="s">
        <v>62</v>
      </c>
      <c r="J104" s="314"/>
      <c r="K104" s="285"/>
      <c r="L104" s="303"/>
      <c r="M104" s="303"/>
      <c r="N104" s="288"/>
      <c r="O104" s="288"/>
      <c r="P104" s="288"/>
      <c r="Q104" s="288"/>
      <c r="R104" s="288"/>
    </row>
    <row r="105" spans="1:18" x14ac:dyDescent="0.2">
      <c r="A105" s="315"/>
      <c r="E105" s="316"/>
      <c r="N105" s="288"/>
      <c r="O105" s="288"/>
      <c r="P105" s="306"/>
      <c r="Q105" s="288"/>
      <c r="R105" s="306"/>
    </row>
    <row r="106" spans="1:18" x14ac:dyDescent="0.2">
      <c r="A106" s="315"/>
      <c r="E106" s="316"/>
      <c r="K106" s="288"/>
      <c r="L106" s="317"/>
      <c r="M106" s="357"/>
      <c r="N106" s="288"/>
      <c r="O106" s="288"/>
      <c r="P106" s="288"/>
      <c r="Q106" s="288"/>
      <c r="R106" s="288"/>
    </row>
    <row r="107" spans="1:18" x14ac:dyDescent="0.2">
      <c r="A107" s="315"/>
      <c r="K107" s="285"/>
      <c r="N107" s="288"/>
      <c r="O107" s="288"/>
      <c r="P107" s="288"/>
      <c r="Q107" s="288"/>
      <c r="R107" s="288"/>
    </row>
    <row r="108" spans="1:18" x14ac:dyDescent="0.2">
      <c r="A108" s="315"/>
      <c r="G108" s="314"/>
      <c r="H108" s="316"/>
      <c r="K108" s="303"/>
      <c r="L108" s="100"/>
      <c r="M108" s="356"/>
      <c r="N108" s="288"/>
      <c r="O108" s="288"/>
      <c r="P108" s="288"/>
      <c r="Q108" s="288"/>
      <c r="R108" s="288"/>
    </row>
    <row r="109" spans="1:18" x14ac:dyDescent="0.2">
      <c r="A109" s="315"/>
      <c r="I109" s="355"/>
      <c r="J109" s="318"/>
      <c r="K109" s="354"/>
      <c r="N109" s="288"/>
      <c r="O109" s="288"/>
      <c r="P109" s="353"/>
      <c r="Q109" s="353"/>
      <c r="R109" s="353"/>
    </row>
    <row r="110" spans="1:18" x14ac:dyDescent="0.2">
      <c r="G110" s="319"/>
      <c r="H110" s="319"/>
      <c r="I110" s="319"/>
      <c r="N110" s="288"/>
      <c r="O110" s="288"/>
      <c r="P110" s="353"/>
      <c r="Q110" s="353"/>
      <c r="R110" s="353"/>
    </row>
    <row r="111" spans="1:18" x14ac:dyDescent="0.2">
      <c r="G111" s="320"/>
      <c r="H111" s="320"/>
      <c r="I111" s="320"/>
      <c r="N111" s="288"/>
      <c r="O111" s="288"/>
      <c r="P111" s="288"/>
      <c r="Q111" s="288"/>
      <c r="R111" s="288"/>
    </row>
    <row r="112" spans="1:18" x14ac:dyDescent="0.2">
      <c r="N112" s="288"/>
      <c r="O112" s="288"/>
      <c r="P112" s="352"/>
      <c r="Q112" s="288"/>
      <c r="R112" s="352"/>
    </row>
    <row r="113" spans="14:18" x14ac:dyDescent="0.2">
      <c r="N113" s="288"/>
      <c r="O113" s="288"/>
      <c r="P113" s="352"/>
      <c r="Q113" s="288"/>
      <c r="R113" s="352"/>
    </row>
    <row r="114" spans="14:18" x14ac:dyDescent="0.2">
      <c r="N114" s="288"/>
      <c r="O114" s="288"/>
      <c r="P114" s="351"/>
      <c r="Q114" s="288"/>
      <c r="R114" s="288"/>
    </row>
    <row r="115" spans="14:18" x14ac:dyDescent="0.2">
      <c r="N115" s="288"/>
      <c r="O115" s="288"/>
      <c r="P115" s="287"/>
      <c r="Q115" s="288"/>
      <c r="R115" s="288"/>
    </row>
    <row r="116" spans="14:18" x14ac:dyDescent="0.2">
      <c r="N116" s="288"/>
      <c r="O116" s="288"/>
      <c r="P116" s="288"/>
      <c r="Q116" s="288"/>
      <c r="R116" s="288"/>
    </row>
    <row r="117" spans="14:18" x14ac:dyDescent="0.2">
      <c r="N117" s="288"/>
      <c r="O117" s="288"/>
      <c r="P117" s="288"/>
      <c r="Q117" s="288"/>
      <c r="R117" s="288"/>
    </row>
    <row r="118" spans="14:18" x14ac:dyDescent="0.2">
      <c r="N118" s="288"/>
      <c r="O118" s="288"/>
      <c r="P118" s="288"/>
      <c r="Q118" s="288"/>
      <c r="R118" s="288"/>
    </row>
    <row r="119" spans="14:18" x14ac:dyDescent="0.2">
      <c r="N119" s="288"/>
      <c r="O119" s="288"/>
      <c r="P119" s="288"/>
      <c r="Q119" s="288"/>
      <c r="R119" s="288"/>
    </row>
    <row r="120" spans="14:18" x14ac:dyDescent="0.2">
      <c r="N120" s="288"/>
      <c r="O120" s="288"/>
      <c r="P120" s="288"/>
      <c r="Q120" s="288"/>
      <c r="R120" s="288"/>
    </row>
    <row r="121" spans="14:18" x14ac:dyDescent="0.2">
      <c r="N121" s="288"/>
      <c r="O121" s="288"/>
      <c r="P121" s="288"/>
      <c r="Q121" s="288"/>
      <c r="R121" s="288"/>
    </row>
    <row r="122" spans="14:18" x14ac:dyDescent="0.2">
      <c r="N122" s="288"/>
      <c r="O122" s="288"/>
      <c r="P122" s="288"/>
      <c r="Q122" s="288"/>
      <c r="R122" s="288"/>
    </row>
    <row r="123" spans="14:18" x14ac:dyDescent="0.2">
      <c r="N123" s="288"/>
      <c r="O123" s="288"/>
      <c r="P123" s="288"/>
      <c r="Q123" s="288"/>
      <c r="R123" s="288"/>
    </row>
    <row r="124" spans="14:18" x14ac:dyDescent="0.2">
      <c r="N124" s="288"/>
      <c r="O124" s="288"/>
      <c r="P124" s="288"/>
      <c r="Q124" s="288"/>
      <c r="R124" s="288"/>
    </row>
    <row r="125" spans="14:18" x14ac:dyDescent="0.2">
      <c r="N125" s="288"/>
      <c r="O125" s="288"/>
      <c r="P125" s="288"/>
      <c r="Q125" s="288"/>
      <c r="R125" s="288"/>
    </row>
    <row r="126" spans="14:18" x14ac:dyDescent="0.2">
      <c r="N126" s="288"/>
      <c r="O126" s="288"/>
      <c r="P126" s="288"/>
      <c r="Q126" s="288"/>
      <c r="R126" s="288"/>
    </row>
    <row r="127" spans="14:18" x14ac:dyDescent="0.2">
      <c r="N127" s="288"/>
      <c r="O127" s="288"/>
      <c r="P127" s="288"/>
      <c r="Q127" s="288"/>
      <c r="R127" s="288"/>
    </row>
    <row r="128" spans="14:18" x14ac:dyDescent="0.2">
      <c r="N128" s="288"/>
      <c r="O128" s="288"/>
      <c r="P128" s="288"/>
      <c r="Q128" s="288"/>
      <c r="R128" s="288"/>
    </row>
    <row r="129" spans="14:18" x14ac:dyDescent="0.2">
      <c r="N129" s="288"/>
      <c r="O129" s="288"/>
      <c r="P129" s="288"/>
      <c r="Q129" s="288"/>
      <c r="R129" s="288"/>
    </row>
    <row r="130" spans="14:18" x14ac:dyDescent="0.2">
      <c r="N130" s="288"/>
      <c r="O130" s="288"/>
      <c r="P130" s="288"/>
      <c r="Q130" s="288"/>
      <c r="R130" s="288"/>
    </row>
    <row r="131" spans="14:18" x14ac:dyDescent="0.2">
      <c r="N131" s="288"/>
      <c r="O131" s="288"/>
      <c r="P131" s="288"/>
      <c r="Q131" s="288"/>
      <c r="R131" s="288"/>
    </row>
    <row r="132" spans="14:18" x14ac:dyDescent="0.2">
      <c r="N132" s="288"/>
      <c r="O132" s="288"/>
      <c r="P132" s="288"/>
      <c r="Q132" s="288"/>
      <c r="R132" s="288"/>
    </row>
    <row r="133" spans="14:18" x14ac:dyDescent="0.2">
      <c r="N133" s="288"/>
      <c r="O133" s="288"/>
      <c r="P133" s="288"/>
      <c r="Q133" s="288"/>
      <c r="R133" s="288"/>
    </row>
    <row r="134" spans="14:18" x14ac:dyDescent="0.2">
      <c r="N134" s="288"/>
      <c r="O134" s="288"/>
      <c r="P134" s="288"/>
      <c r="Q134" s="288"/>
      <c r="R134" s="288"/>
    </row>
    <row r="135" spans="14:18" x14ac:dyDescent="0.2">
      <c r="N135" s="288"/>
      <c r="O135" s="288"/>
      <c r="P135" s="288"/>
      <c r="Q135" s="288"/>
      <c r="R135" s="288"/>
    </row>
    <row r="136" spans="14:18" x14ac:dyDescent="0.2">
      <c r="N136" s="288"/>
      <c r="O136" s="288"/>
      <c r="P136" s="288"/>
      <c r="Q136" s="288"/>
      <c r="R136" s="288"/>
    </row>
    <row r="137" spans="14:18" x14ac:dyDescent="0.2">
      <c r="N137" s="288"/>
      <c r="O137" s="288"/>
      <c r="P137" s="288"/>
      <c r="Q137" s="288"/>
      <c r="R137" s="288"/>
    </row>
    <row r="138" spans="14:18" x14ac:dyDescent="0.2">
      <c r="N138" s="288"/>
      <c r="O138" s="288"/>
      <c r="P138" s="288"/>
      <c r="Q138" s="288"/>
      <c r="R138" s="288"/>
    </row>
    <row r="139" spans="14:18" x14ac:dyDescent="0.2">
      <c r="N139" s="288"/>
      <c r="O139" s="288"/>
      <c r="P139" s="288"/>
      <c r="Q139" s="288"/>
      <c r="R139" s="288"/>
    </row>
    <row r="140" spans="14:18" x14ac:dyDescent="0.2">
      <c r="N140" s="288"/>
      <c r="O140" s="288"/>
      <c r="P140" s="288"/>
      <c r="Q140" s="288"/>
      <c r="R140" s="288"/>
    </row>
    <row r="141" spans="14:18" x14ac:dyDescent="0.2">
      <c r="N141" s="288"/>
      <c r="O141" s="288"/>
      <c r="P141" s="288"/>
      <c r="Q141" s="288"/>
      <c r="R141" s="288"/>
    </row>
    <row r="142" spans="14:18" x14ac:dyDescent="0.2">
      <c r="N142" s="288"/>
      <c r="O142" s="288"/>
      <c r="P142" s="288"/>
      <c r="Q142" s="288"/>
      <c r="R142" s="288"/>
    </row>
    <row r="143" spans="14:18" x14ac:dyDescent="0.2">
      <c r="N143" s="288"/>
      <c r="O143" s="288"/>
      <c r="P143" s="288"/>
      <c r="Q143" s="288"/>
      <c r="R143" s="288"/>
    </row>
    <row r="144" spans="14:18" x14ac:dyDescent="0.2">
      <c r="N144" s="288"/>
      <c r="O144" s="288"/>
      <c r="P144" s="288"/>
      <c r="Q144" s="288"/>
      <c r="R144" s="288"/>
    </row>
    <row r="145" spans="14:18" x14ac:dyDescent="0.2">
      <c r="N145" s="288"/>
      <c r="O145" s="288"/>
      <c r="P145" s="288"/>
      <c r="Q145" s="288"/>
      <c r="R145" s="288"/>
    </row>
    <row r="146" spans="14:18" x14ac:dyDescent="0.2">
      <c r="N146" s="288"/>
      <c r="O146" s="288"/>
      <c r="P146" s="288"/>
      <c r="Q146" s="288"/>
      <c r="R146" s="288"/>
    </row>
    <row r="147" spans="14:18" x14ac:dyDescent="0.2">
      <c r="N147" s="288"/>
      <c r="O147" s="288"/>
      <c r="P147" s="288"/>
      <c r="Q147" s="288"/>
      <c r="R147" s="288"/>
    </row>
    <row r="148" spans="14:18" x14ac:dyDescent="0.2">
      <c r="N148" s="288"/>
      <c r="O148" s="288"/>
      <c r="P148" s="288"/>
      <c r="Q148" s="288"/>
      <c r="R148" s="288"/>
    </row>
    <row r="149" spans="14:18" x14ac:dyDescent="0.2">
      <c r="N149" s="288"/>
      <c r="O149" s="288"/>
      <c r="P149" s="288"/>
      <c r="Q149" s="288"/>
      <c r="R149" s="288"/>
    </row>
    <row r="150" spans="14:18" x14ac:dyDescent="0.2">
      <c r="N150" s="288"/>
      <c r="O150" s="288"/>
      <c r="P150" s="288"/>
      <c r="Q150" s="288"/>
      <c r="R150" s="288"/>
    </row>
    <row r="151" spans="14:18" x14ac:dyDescent="0.2">
      <c r="N151" s="288"/>
      <c r="O151" s="288"/>
      <c r="P151" s="288"/>
      <c r="Q151" s="288"/>
      <c r="R151" s="288"/>
    </row>
    <row r="152" spans="14:18" x14ac:dyDescent="0.2">
      <c r="N152" s="288"/>
      <c r="O152" s="288"/>
      <c r="P152" s="288"/>
      <c r="Q152" s="288"/>
      <c r="R152" s="288"/>
    </row>
    <row r="153" spans="14:18" x14ac:dyDescent="0.2">
      <c r="N153" s="288"/>
      <c r="O153" s="288"/>
      <c r="P153" s="288"/>
      <c r="Q153" s="288"/>
      <c r="R153" s="288"/>
    </row>
    <row r="154" spans="14:18" x14ac:dyDescent="0.2">
      <c r="N154" s="288"/>
      <c r="O154" s="288"/>
      <c r="P154" s="288"/>
      <c r="Q154" s="288"/>
      <c r="R154" s="288"/>
    </row>
    <row r="155" spans="14:18" x14ac:dyDescent="0.2">
      <c r="N155" s="288"/>
      <c r="O155" s="288"/>
      <c r="P155" s="288"/>
      <c r="Q155" s="288"/>
      <c r="R155" s="288"/>
    </row>
    <row r="156" spans="14:18" x14ac:dyDescent="0.2">
      <c r="N156" s="288"/>
      <c r="O156" s="288"/>
      <c r="P156" s="288"/>
      <c r="Q156" s="288"/>
      <c r="R156" s="288"/>
    </row>
    <row r="157" spans="14:18" x14ac:dyDescent="0.2">
      <c r="N157" s="288"/>
      <c r="O157" s="288"/>
      <c r="P157" s="288"/>
      <c r="Q157" s="288"/>
      <c r="R157" s="288"/>
    </row>
    <row r="158" spans="14:18" x14ac:dyDescent="0.2">
      <c r="N158" s="288"/>
      <c r="O158" s="288"/>
      <c r="P158" s="288"/>
      <c r="Q158" s="288"/>
      <c r="R158" s="288"/>
    </row>
    <row r="159" spans="14:18" x14ac:dyDescent="0.2">
      <c r="N159" s="288"/>
      <c r="O159" s="288"/>
      <c r="P159" s="288"/>
      <c r="Q159" s="288"/>
      <c r="R159" s="288"/>
    </row>
    <row r="160" spans="14:18" x14ac:dyDescent="0.2">
      <c r="N160" s="288"/>
      <c r="O160" s="288"/>
      <c r="P160" s="288"/>
      <c r="Q160" s="288"/>
      <c r="R160" s="288"/>
    </row>
    <row r="161" spans="14:18" x14ac:dyDescent="0.2">
      <c r="N161" s="288"/>
      <c r="O161" s="288"/>
      <c r="P161" s="288"/>
      <c r="Q161" s="288"/>
      <c r="R161" s="288"/>
    </row>
    <row r="162" spans="14:18" x14ac:dyDescent="0.2">
      <c r="N162" s="288"/>
      <c r="O162" s="288"/>
      <c r="P162" s="288"/>
      <c r="Q162" s="288"/>
      <c r="R162" s="288"/>
    </row>
    <row r="163" spans="14:18" x14ac:dyDescent="0.2">
      <c r="N163" s="288"/>
      <c r="O163" s="288"/>
      <c r="P163" s="288"/>
      <c r="Q163" s="288"/>
      <c r="R163" s="288"/>
    </row>
    <row r="164" spans="14:18" x14ac:dyDescent="0.2">
      <c r="N164" s="288"/>
      <c r="O164" s="288"/>
      <c r="P164" s="288"/>
      <c r="Q164" s="288"/>
      <c r="R164" s="288"/>
    </row>
    <row r="165" spans="14:18" x14ac:dyDescent="0.2">
      <c r="N165" s="288"/>
      <c r="O165" s="288"/>
      <c r="P165" s="288"/>
      <c r="Q165" s="288"/>
      <c r="R165" s="288"/>
    </row>
    <row r="166" spans="14:18" x14ac:dyDescent="0.2">
      <c r="N166" s="288"/>
      <c r="O166" s="288"/>
      <c r="P166" s="288"/>
      <c r="Q166" s="288"/>
      <c r="R166" s="288"/>
    </row>
    <row r="167" spans="14:18" x14ac:dyDescent="0.2">
      <c r="N167" s="288"/>
      <c r="O167" s="288"/>
      <c r="P167" s="288"/>
      <c r="Q167" s="288"/>
      <c r="R167" s="288"/>
    </row>
    <row r="168" spans="14:18" x14ac:dyDescent="0.2">
      <c r="N168" s="288"/>
      <c r="O168" s="288"/>
      <c r="P168" s="288"/>
      <c r="Q168" s="288"/>
      <c r="R168" s="288"/>
    </row>
    <row r="169" spans="14:18" x14ac:dyDescent="0.2">
      <c r="N169" s="288"/>
      <c r="O169" s="288"/>
      <c r="P169" s="288"/>
      <c r="Q169" s="288"/>
      <c r="R169" s="288"/>
    </row>
    <row r="170" spans="14:18" x14ac:dyDescent="0.2">
      <c r="N170" s="288"/>
      <c r="O170" s="288"/>
      <c r="P170" s="288"/>
      <c r="Q170" s="288"/>
      <c r="R170" s="288"/>
    </row>
    <row r="171" spans="14:18" x14ac:dyDescent="0.2">
      <c r="N171" s="288"/>
      <c r="O171" s="288"/>
      <c r="P171" s="288"/>
      <c r="Q171" s="288"/>
      <c r="R171" s="288"/>
    </row>
    <row r="172" spans="14:18" x14ac:dyDescent="0.2">
      <c r="N172" s="288"/>
      <c r="O172" s="288"/>
      <c r="P172" s="288"/>
      <c r="Q172" s="288"/>
      <c r="R172" s="288"/>
    </row>
    <row r="173" spans="14:18" x14ac:dyDescent="0.2">
      <c r="N173" s="288"/>
      <c r="O173" s="288"/>
      <c r="P173" s="288"/>
      <c r="Q173" s="288"/>
      <c r="R173" s="288"/>
    </row>
    <row r="174" spans="14:18" x14ac:dyDescent="0.2">
      <c r="N174" s="288"/>
      <c r="O174" s="288"/>
      <c r="P174" s="288"/>
      <c r="Q174" s="288"/>
      <c r="R174" s="288"/>
    </row>
    <row r="175" spans="14:18" x14ac:dyDescent="0.2">
      <c r="N175" s="288"/>
      <c r="O175" s="288"/>
      <c r="P175" s="288"/>
      <c r="Q175" s="288"/>
      <c r="R175" s="288"/>
    </row>
    <row r="176" spans="14:18" x14ac:dyDescent="0.2">
      <c r="N176" s="288"/>
      <c r="O176" s="288"/>
      <c r="P176" s="288"/>
      <c r="Q176" s="288"/>
      <c r="R176" s="288"/>
    </row>
    <row r="177" spans="14:18" x14ac:dyDescent="0.2">
      <c r="N177" s="288"/>
      <c r="O177" s="288"/>
      <c r="P177" s="288"/>
      <c r="Q177" s="288"/>
      <c r="R177" s="288"/>
    </row>
    <row r="178" spans="14:18" x14ac:dyDescent="0.2">
      <c r="N178" s="288"/>
      <c r="O178" s="288"/>
      <c r="P178" s="288"/>
      <c r="Q178" s="288"/>
      <c r="R178" s="288"/>
    </row>
    <row r="179" spans="14:18" x14ac:dyDescent="0.2">
      <c r="N179" s="288"/>
      <c r="O179" s="288"/>
      <c r="P179" s="288"/>
      <c r="Q179" s="288"/>
      <c r="R179" s="288"/>
    </row>
    <row r="180" spans="14:18" x14ac:dyDescent="0.2">
      <c r="N180" s="288"/>
      <c r="O180" s="288"/>
      <c r="P180" s="288"/>
      <c r="Q180" s="288"/>
      <c r="R180" s="288"/>
    </row>
    <row r="181" spans="14:18" x14ac:dyDescent="0.2">
      <c r="N181" s="288"/>
      <c r="O181" s="288"/>
      <c r="P181" s="288"/>
      <c r="Q181" s="288"/>
      <c r="R181" s="288"/>
    </row>
    <row r="182" spans="14:18" x14ac:dyDescent="0.2">
      <c r="N182" s="288"/>
      <c r="O182" s="288"/>
      <c r="P182" s="288"/>
      <c r="Q182" s="288"/>
      <c r="R182" s="288"/>
    </row>
    <row r="183" spans="14:18" x14ac:dyDescent="0.2">
      <c r="N183" s="288"/>
      <c r="O183" s="288"/>
      <c r="P183" s="288"/>
      <c r="Q183" s="288"/>
      <c r="R183" s="288"/>
    </row>
    <row r="184" spans="14:18" x14ac:dyDescent="0.2">
      <c r="N184" s="288"/>
      <c r="O184" s="288"/>
      <c r="P184" s="288"/>
      <c r="Q184" s="288"/>
      <c r="R184" s="288"/>
    </row>
    <row r="185" spans="14:18" x14ac:dyDescent="0.2">
      <c r="N185" s="288"/>
      <c r="O185" s="288"/>
      <c r="P185" s="288"/>
      <c r="Q185" s="288"/>
      <c r="R185" s="288"/>
    </row>
    <row r="186" spans="14:18" x14ac:dyDescent="0.2">
      <c r="N186" s="288"/>
      <c r="O186" s="288"/>
      <c r="P186" s="288"/>
      <c r="Q186" s="288"/>
      <c r="R186" s="288"/>
    </row>
    <row r="187" spans="14:18" x14ac:dyDescent="0.2">
      <c r="N187" s="288"/>
      <c r="O187" s="288"/>
      <c r="P187" s="288"/>
      <c r="Q187" s="288"/>
      <c r="R187" s="288"/>
    </row>
    <row r="188" spans="14:18" x14ac:dyDescent="0.2">
      <c r="N188" s="288"/>
      <c r="O188" s="288"/>
      <c r="P188" s="288"/>
      <c r="Q188" s="288"/>
      <c r="R188" s="288"/>
    </row>
    <row r="189" spans="14:18" x14ac:dyDescent="0.2">
      <c r="N189" s="288"/>
      <c r="O189" s="288"/>
      <c r="P189" s="288"/>
      <c r="Q189" s="288"/>
      <c r="R189" s="288"/>
    </row>
    <row r="190" spans="14:18" x14ac:dyDescent="0.2">
      <c r="N190" s="288"/>
      <c r="O190" s="288"/>
      <c r="P190" s="288"/>
      <c r="Q190" s="288"/>
      <c r="R190" s="288"/>
    </row>
    <row r="191" spans="14:18" x14ac:dyDescent="0.2">
      <c r="N191" s="288"/>
      <c r="O191" s="288"/>
      <c r="P191" s="288"/>
      <c r="Q191" s="288"/>
      <c r="R191" s="288"/>
    </row>
    <row r="192" spans="14:18" x14ac:dyDescent="0.2">
      <c r="N192" s="288"/>
      <c r="O192" s="288"/>
      <c r="P192" s="288"/>
      <c r="Q192" s="288"/>
      <c r="R192" s="288"/>
    </row>
    <row r="193" spans="14:18" x14ac:dyDescent="0.2">
      <c r="N193" s="288"/>
      <c r="O193" s="288"/>
      <c r="P193" s="288"/>
      <c r="Q193" s="288"/>
      <c r="R193" s="288"/>
    </row>
    <row r="194" spans="14:18" x14ac:dyDescent="0.2">
      <c r="N194" s="288"/>
      <c r="O194" s="288"/>
      <c r="P194" s="288"/>
      <c r="Q194" s="288"/>
      <c r="R194" s="288"/>
    </row>
    <row r="195" spans="14:18" x14ac:dyDescent="0.2">
      <c r="N195" s="288"/>
      <c r="O195" s="288"/>
      <c r="P195" s="288"/>
      <c r="Q195" s="288"/>
      <c r="R195" s="288"/>
    </row>
    <row r="196" spans="14:18" x14ac:dyDescent="0.2">
      <c r="N196" s="288"/>
      <c r="O196" s="288"/>
      <c r="P196" s="288"/>
      <c r="Q196" s="288"/>
      <c r="R196" s="288"/>
    </row>
    <row r="197" spans="14:18" x14ac:dyDescent="0.2">
      <c r="N197" s="288"/>
      <c r="O197" s="288"/>
      <c r="P197" s="288"/>
      <c r="Q197" s="288"/>
      <c r="R197" s="288"/>
    </row>
    <row r="198" spans="14:18" x14ac:dyDescent="0.2">
      <c r="N198" s="288"/>
      <c r="O198" s="288"/>
      <c r="P198" s="288"/>
      <c r="Q198" s="288"/>
      <c r="R198" s="288"/>
    </row>
    <row r="199" spans="14:18" x14ac:dyDescent="0.2">
      <c r="N199" s="288"/>
      <c r="O199" s="288"/>
      <c r="P199" s="288"/>
      <c r="Q199" s="288"/>
      <c r="R199" s="288"/>
    </row>
    <row r="200" spans="14:18" x14ac:dyDescent="0.2">
      <c r="N200" s="288"/>
      <c r="O200" s="288"/>
      <c r="P200" s="288"/>
      <c r="Q200" s="288"/>
      <c r="R200" s="288"/>
    </row>
    <row r="201" spans="14:18" x14ac:dyDescent="0.2">
      <c r="N201" s="288"/>
      <c r="O201" s="288"/>
      <c r="P201" s="288"/>
      <c r="Q201" s="288"/>
      <c r="R201" s="288"/>
    </row>
    <row r="202" spans="14:18" x14ac:dyDescent="0.2">
      <c r="N202" s="288"/>
      <c r="O202" s="288"/>
      <c r="P202" s="288"/>
      <c r="Q202" s="288"/>
      <c r="R202" s="288"/>
    </row>
    <row r="203" spans="14:18" x14ac:dyDescent="0.2">
      <c r="N203" s="288"/>
      <c r="O203" s="288"/>
      <c r="P203" s="288"/>
      <c r="Q203" s="288"/>
      <c r="R203" s="288"/>
    </row>
    <row r="204" spans="14:18" x14ac:dyDescent="0.2">
      <c r="N204" s="288"/>
      <c r="O204" s="288"/>
      <c r="P204" s="288"/>
      <c r="Q204" s="288"/>
      <c r="R204" s="288"/>
    </row>
    <row r="205" spans="14:18" x14ac:dyDescent="0.2">
      <c r="N205" s="288"/>
      <c r="O205" s="288"/>
      <c r="P205" s="288"/>
      <c r="Q205" s="288"/>
      <c r="R205" s="288"/>
    </row>
    <row r="206" spans="14:18" x14ac:dyDescent="0.2">
      <c r="N206" s="288"/>
      <c r="O206" s="288"/>
      <c r="P206" s="288"/>
      <c r="Q206" s="288"/>
      <c r="R206" s="288"/>
    </row>
    <row r="207" spans="14:18" x14ac:dyDescent="0.2">
      <c r="N207" s="288"/>
      <c r="O207" s="288"/>
      <c r="P207" s="288"/>
      <c r="Q207" s="288"/>
      <c r="R207" s="288"/>
    </row>
    <row r="208" spans="14:18" x14ac:dyDescent="0.2">
      <c r="N208" s="288"/>
      <c r="O208" s="288"/>
      <c r="P208" s="288"/>
      <c r="Q208" s="288"/>
      <c r="R208" s="288"/>
    </row>
    <row r="209" spans="14:18" x14ac:dyDescent="0.2">
      <c r="N209" s="288"/>
      <c r="O209" s="288"/>
      <c r="P209" s="288"/>
      <c r="Q209" s="288"/>
      <c r="R209" s="288"/>
    </row>
    <row r="210" spans="14:18" x14ac:dyDescent="0.2">
      <c r="N210" s="288"/>
      <c r="O210" s="288"/>
      <c r="P210" s="288"/>
      <c r="Q210" s="288"/>
      <c r="R210" s="288"/>
    </row>
    <row r="211" spans="14:18" x14ac:dyDescent="0.2">
      <c r="N211" s="288"/>
      <c r="O211" s="288"/>
      <c r="P211" s="288"/>
      <c r="Q211" s="288"/>
      <c r="R211" s="288"/>
    </row>
    <row r="212" spans="14:18" x14ac:dyDescent="0.2">
      <c r="N212" s="288"/>
      <c r="O212" s="288"/>
      <c r="P212" s="288"/>
      <c r="Q212" s="288"/>
      <c r="R212" s="288"/>
    </row>
    <row r="213" spans="14:18" x14ac:dyDescent="0.2">
      <c r="N213" s="288"/>
      <c r="O213" s="288"/>
      <c r="P213" s="288"/>
      <c r="Q213" s="288"/>
      <c r="R213" s="288"/>
    </row>
    <row r="214" spans="14:18" x14ac:dyDescent="0.2">
      <c r="N214" s="288"/>
      <c r="O214" s="288"/>
      <c r="P214" s="288"/>
      <c r="Q214" s="288"/>
      <c r="R214" s="288"/>
    </row>
    <row r="215" spans="14:18" x14ac:dyDescent="0.2">
      <c r="N215" s="288"/>
      <c r="O215" s="288"/>
      <c r="P215" s="288"/>
      <c r="Q215" s="288"/>
      <c r="R215" s="288"/>
    </row>
    <row r="216" spans="14:18" x14ac:dyDescent="0.2">
      <c r="N216" s="288"/>
      <c r="O216" s="288"/>
      <c r="P216" s="288"/>
      <c r="Q216" s="288"/>
      <c r="R216" s="288"/>
    </row>
    <row r="217" spans="14:18" x14ac:dyDescent="0.2">
      <c r="N217" s="288"/>
      <c r="O217" s="288"/>
      <c r="P217" s="288"/>
      <c r="Q217" s="288"/>
      <c r="R217" s="288"/>
    </row>
    <row r="218" spans="14:18" x14ac:dyDescent="0.2">
      <c r="N218" s="288"/>
      <c r="O218" s="288"/>
      <c r="P218" s="288"/>
      <c r="Q218" s="288"/>
      <c r="R218" s="288"/>
    </row>
    <row r="219" spans="14:18" x14ac:dyDescent="0.2">
      <c r="N219" s="288"/>
      <c r="O219" s="288"/>
      <c r="P219" s="288"/>
      <c r="Q219" s="288"/>
      <c r="R219" s="288"/>
    </row>
    <row r="220" spans="14:18" x14ac:dyDescent="0.2">
      <c r="N220" s="288"/>
      <c r="O220" s="288"/>
      <c r="P220" s="288"/>
      <c r="Q220" s="288"/>
      <c r="R220" s="288"/>
    </row>
    <row r="221" spans="14:18" x14ac:dyDescent="0.2">
      <c r="N221" s="288"/>
      <c r="O221" s="288"/>
      <c r="P221" s="288"/>
      <c r="Q221" s="288"/>
      <c r="R221" s="288"/>
    </row>
    <row r="222" spans="14:18" x14ac:dyDescent="0.2">
      <c r="N222" s="288"/>
      <c r="O222" s="288"/>
      <c r="P222" s="288"/>
      <c r="Q222" s="288"/>
      <c r="R222" s="288"/>
    </row>
    <row r="223" spans="14:18" x14ac:dyDescent="0.2">
      <c r="N223" s="288"/>
      <c r="O223" s="288"/>
      <c r="P223" s="288"/>
      <c r="Q223" s="288"/>
      <c r="R223" s="288"/>
    </row>
    <row r="224" spans="14:18" x14ac:dyDescent="0.2">
      <c r="N224" s="288"/>
      <c r="O224" s="288"/>
      <c r="P224" s="288"/>
      <c r="Q224" s="288"/>
      <c r="R224" s="288"/>
    </row>
    <row r="225" spans="14:18" x14ac:dyDescent="0.2">
      <c r="N225" s="288"/>
      <c r="O225" s="288"/>
      <c r="P225" s="288"/>
      <c r="Q225" s="288"/>
      <c r="R225" s="288"/>
    </row>
    <row r="226" spans="14:18" x14ac:dyDescent="0.2">
      <c r="N226" s="288"/>
      <c r="O226" s="288"/>
      <c r="P226" s="288"/>
      <c r="Q226" s="288"/>
      <c r="R226" s="288"/>
    </row>
    <row r="227" spans="14:18" x14ac:dyDescent="0.2">
      <c r="N227" s="288"/>
      <c r="O227" s="288"/>
      <c r="P227" s="288"/>
      <c r="Q227" s="288"/>
      <c r="R227" s="288"/>
    </row>
    <row r="228" spans="14:18" x14ac:dyDescent="0.2">
      <c r="N228" s="288"/>
      <c r="O228" s="288"/>
      <c r="P228" s="288"/>
      <c r="Q228" s="288"/>
      <c r="R228" s="288"/>
    </row>
    <row r="229" spans="14:18" x14ac:dyDescent="0.2">
      <c r="N229" s="288"/>
      <c r="O229" s="288"/>
      <c r="P229" s="288"/>
      <c r="Q229" s="288"/>
      <c r="R229" s="288"/>
    </row>
    <row r="230" spans="14:18" x14ac:dyDescent="0.2">
      <c r="N230" s="288"/>
      <c r="O230" s="288"/>
      <c r="P230" s="288"/>
      <c r="Q230" s="288"/>
      <c r="R230" s="288"/>
    </row>
    <row r="231" spans="14:18" x14ac:dyDescent="0.2">
      <c r="N231" s="288"/>
      <c r="O231" s="288"/>
      <c r="P231" s="288"/>
      <c r="Q231" s="288"/>
      <c r="R231" s="288"/>
    </row>
    <row r="232" spans="14:18" x14ac:dyDescent="0.2">
      <c r="N232" s="288"/>
      <c r="O232" s="288"/>
      <c r="P232" s="288"/>
      <c r="Q232" s="288"/>
      <c r="R232" s="288"/>
    </row>
    <row r="233" spans="14:18" x14ac:dyDescent="0.2">
      <c r="N233" s="288"/>
      <c r="O233" s="288"/>
      <c r="P233" s="288"/>
      <c r="Q233" s="288"/>
      <c r="R233" s="288"/>
    </row>
    <row r="234" spans="14:18" x14ac:dyDescent="0.2">
      <c r="N234" s="288"/>
      <c r="O234" s="288"/>
      <c r="P234" s="288"/>
      <c r="Q234" s="288"/>
      <c r="R234" s="288"/>
    </row>
    <row r="235" spans="14:18" x14ac:dyDescent="0.2">
      <c r="N235" s="288"/>
      <c r="O235" s="288"/>
      <c r="P235" s="288"/>
      <c r="Q235" s="288"/>
      <c r="R235" s="288"/>
    </row>
    <row r="236" spans="14:18" x14ac:dyDescent="0.2">
      <c r="N236" s="288"/>
      <c r="O236" s="288"/>
      <c r="P236" s="288"/>
      <c r="Q236" s="288"/>
      <c r="R236" s="288"/>
    </row>
    <row r="237" spans="14:18" x14ac:dyDescent="0.2">
      <c r="N237" s="288"/>
      <c r="O237" s="288"/>
      <c r="P237" s="288"/>
      <c r="Q237" s="288"/>
      <c r="R237" s="288"/>
    </row>
    <row r="238" spans="14:18" x14ac:dyDescent="0.2">
      <c r="N238" s="288"/>
      <c r="O238" s="288"/>
      <c r="P238" s="288"/>
      <c r="Q238" s="288"/>
      <c r="R238" s="288"/>
    </row>
    <row r="239" spans="14:18" x14ac:dyDescent="0.2">
      <c r="N239" s="288"/>
      <c r="O239" s="288"/>
      <c r="P239" s="288"/>
      <c r="Q239" s="288"/>
      <c r="R239" s="288"/>
    </row>
    <row r="240" spans="14:18" x14ac:dyDescent="0.2">
      <c r="N240" s="288"/>
      <c r="O240" s="288"/>
      <c r="P240" s="288"/>
      <c r="Q240" s="288"/>
      <c r="R240" s="288"/>
    </row>
    <row r="241" spans="14:18" x14ac:dyDescent="0.2">
      <c r="N241" s="288"/>
      <c r="O241" s="288"/>
      <c r="P241" s="288"/>
      <c r="Q241" s="288"/>
      <c r="R241" s="288"/>
    </row>
    <row r="242" spans="14:18" x14ac:dyDescent="0.2">
      <c r="N242" s="288"/>
      <c r="O242" s="288"/>
      <c r="P242" s="288"/>
      <c r="Q242" s="288"/>
      <c r="R242" s="288"/>
    </row>
    <row r="243" spans="14:18" x14ac:dyDescent="0.2">
      <c r="N243" s="288"/>
      <c r="O243" s="288"/>
      <c r="P243" s="288"/>
      <c r="Q243" s="288"/>
      <c r="R243" s="288"/>
    </row>
    <row r="244" spans="14:18" x14ac:dyDescent="0.2">
      <c r="N244" s="288"/>
      <c r="O244" s="288"/>
      <c r="P244" s="288"/>
      <c r="Q244" s="288"/>
      <c r="R244" s="288"/>
    </row>
    <row r="245" spans="14:18" x14ac:dyDescent="0.2">
      <c r="N245" s="288"/>
      <c r="O245" s="288"/>
      <c r="P245" s="288"/>
      <c r="Q245" s="288"/>
      <c r="R245" s="288"/>
    </row>
    <row r="246" spans="14:18" x14ac:dyDescent="0.2">
      <c r="N246" s="288"/>
      <c r="O246" s="288"/>
      <c r="P246" s="288"/>
      <c r="Q246" s="288"/>
      <c r="R246" s="288"/>
    </row>
    <row r="247" spans="14:18" x14ac:dyDescent="0.2">
      <c r="N247" s="288"/>
      <c r="O247" s="288"/>
      <c r="P247" s="288"/>
      <c r="Q247" s="288"/>
      <c r="R247" s="288"/>
    </row>
    <row r="248" spans="14:18" x14ac:dyDescent="0.2">
      <c r="N248" s="288"/>
      <c r="O248" s="288"/>
      <c r="P248" s="288"/>
      <c r="Q248" s="288"/>
      <c r="R248" s="288"/>
    </row>
    <row r="249" spans="14:18" x14ac:dyDescent="0.2">
      <c r="N249" s="288"/>
      <c r="O249" s="288"/>
      <c r="P249" s="288"/>
      <c r="Q249" s="288"/>
      <c r="R249" s="288"/>
    </row>
    <row r="250" spans="14:18" x14ac:dyDescent="0.2">
      <c r="N250" s="288"/>
      <c r="O250" s="288"/>
      <c r="P250" s="288"/>
      <c r="Q250" s="288"/>
      <c r="R250" s="288"/>
    </row>
    <row r="251" spans="14:18" x14ac:dyDescent="0.2">
      <c r="N251" s="288"/>
      <c r="O251" s="288"/>
      <c r="P251" s="288"/>
      <c r="Q251" s="288"/>
      <c r="R251" s="288"/>
    </row>
    <row r="252" spans="14:18" x14ac:dyDescent="0.2">
      <c r="N252" s="288"/>
      <c r="O252" s="288"/>
      <c r="P252" s="288"/>
      <c r="Q252" s="288"/>
      <c r="R252" s="288"/>
    </row>
    <row r="253" spans="14:18" x14ac:dyDescent="0.2">
      <c r="N253" s="288"/>
      <c r="O253" s="288"/>
      <c r="P253" s="288"/>
      <c r="Q253" s="288"/>
      <c r="R253" s="288"/>
    </row>
    <row r="254" spans="14:18" x14ac:dyDescent="0.2">
      <c r="N254" s="288"/>
      <c r="O254" s="288"/>
      <c r="P254" s="288"/>
      <c r="Q254" s="288"/>
      <c r="R254" s="288"/>
    </row>
    <row r="255" spans="14:18" x14ac:dyDescent="0.2">
      <c r="N255" s="288"/>
      <c r="O255" s="288"/>
      <c r="P255" s="288"/>
      <c r="Q255" s="288"/>
      <c r="R255" s="288"/>
    </row>
    <row r="256" spans="14:18" x14ac:dyDescent="0.2">
      <c r="N256" s="288"/>
      <c r="O256" s="288"/>
      <c r="P256" s="288"/>
      <c r="Q256" s="288"/>
      <c r="R256" s="288"/>
    </row>
    <row r="257" spans="14:18" x14ac:dyDescent="0.2">
      <c r="N257" s="288"/>
      <c r="O257" s="288"/>
      <c r="P257" s="288"/>
      <c r="Q257" s="288"/>
      <c r="R257" s="288"/>
    </row>
    <row r="258" spans="14:18" x14ac:dyDescent="0.2">
      <c r="N258" s="288"/>
      <c r="O258" s="288"/>
      <c r="P258" s="288"/>
      <c r="Q258" s="288"/>
      <c r="R258" s="288"/>
    </row>
    <row r="259" spans="14:18" x14ac:dyDescent="0.2">
      <c r="N259" s="288"/>
      <c r="O259" s="288"/>
      <c r="P259" s="288"/>
      <c r="Q259" s="288"/>
      <c r="R259" s="288"/>
    </row>
    <row r="260" spans="14:18" x14ac:dyDescent="0.2">
      <c r="N260" s="288"/>
      <c r="O260" s="288"/>
      <c r="P260" s="288"/>
      <c r="Q260" s="288"/>
      <c r="R260" s="288"/>
    </row>
    <row r="261" spans="14:18" x14ac:dyDescent="0.2">
      <c r="N261" s="288"/>
      <c r="O261" s="288"/>
      <c r="P261" s="288"/>
      <c r="Q261" s="288"/>
      <c r="R261" s="288"/>
    </row>
    <row r="262" spans="14:18" x14ac:dyDescent="0.2">
      <c r="N262" s="288"/>
      <c r="O262" s="288"/>
      <c r="P262" s="288"/>
      <c r="Q262" s="288"/>
      <c r="R262" s="288"/>
    </row>
    <row r="263" spans="14:18" x14ac:dyDescent="0.2">
      <c r="N263" s="288"/>
      <c r="O263" s="288"/>
      <c r="P263" s="288"/>
      <c r="Q263" s="288"/>
      <c r="R263" s="288"/>
    </row>
    <row r="264" spans="14:18" x14ac:dyDescent="0.2">
      <c r="N264" s="288"/>
      <c r="O264" s="288"/>
      <c r="P264" s="288"/>
      <c r="Q264" s="288"/>
      <c r="R264" s="288"/>
    </row>
    <row r="265" spans="14:18" x14ac:dyDescent="0.2">
      <c r="N265" s="288"/>
      <c r="O265" s="288"/>
      <c r="P265" s="288"/>
      <c r="Q265" s="288"/>
      <c r="R265" s="288"/>
    </row>
    <row r="266" spans="14:18" x14ac:dyDescent="0.2">
      <c r="N266" s="288"/>
      <c r="O266" s="288"/>
      <c r="P266" s="288"/>
      <c r="Q266" s="288"/>
      <c r="R266" s="288"/>
    </row>
    <row r="267" spans="14:18" x14ac:dyDescent="0.2">
      <c r="N267" s="288"/>
      <c r="O267" s="288"/>
      <c r="P267" s="288"/>
      <c r="Q267" s="288"/>
      <c r="R267" s="288"/>
    </row>
    <row r="268" spans="14:18" x14ac:dyDescent="0.2">
      <c r="N268" s="288"/>
      <c r="O268" s="288"/>
      <c r="P268" s="288"/>
      <c r="Q268" s="288"/>
      <c r="R268" s="288"/>
    </row>
    <row r="269" spans="14:18" x14ac:dyDescent="0.2">
      <c r="N269" s="288"/>
      <c r="O269" s="288"/>
      <c r="P269" s="288"/>
      <c r="Q269" s="288"/>
      <c r="R269" s="288"/>
    </row>
    <row r="270" spans="14:18" x14ac:dyDescent="0.2">
      <c r="N270" s="288"/>
      <c r="O270" s="288"/>
      <c r="P270" s="288"/>
      <c r="Q270" s="288"/>
      <c r="R270" s="288"/>
    </row>
    <row r="271" spans="14:18" x14ac:dyDescent="0.2">
      <c r="N271" s="288"/>
      <c r="O271" s="288"/>
      <c r="P271" s="288"/>
      <c r="Q271" s="288"/>
      <c r="R271" s="288"/>
    </row>
    <row r="272" spans="14:18" x14ac:dyDescent="0.2">
      <c r="N272" s="288"/>
      <c r="O272" s="288"/>
      <c r="P272" s="288"/>
      <c r="Q272" s="288"/>
      <c r="R272" s="288"/>
    </row>
    <row r="273" spans="14:18" x14ac:dyDescent="0.2">
      <c r="N273" s="288"/>
      <c r="O273" s="288"/>
      <c r="P273" s="288"/>
      <c r="Q273" s="288"/>
      <c r="R273" s="288"/>
    </row>
    <row r="274" spans="14:18" x14ac:dyDescent="0.2">
      <c r="N274" s="288"/>
      <c r="O274" s="288"/>
      <c r="P274" s="288"/>
      <c r="Q274" s="288"/>
      <c r="R274" s="288"/>
    </row>
    <row r="275" spans="14:18" x14ac:dyDescent="0.2">
      <c r="N275" s="288"/>
      <c r="O275" s="288"/>
      <c r="P275" s="288"/>
      <c r="Q275" s="288"/>
      <c r="R275" s="288"/>
    </row>
    <row r="276" spans="14:18" x14ac:dyDescent="0.2">
      <c r="N276" s="288"/>
      <c r="O276" s="288"/>
      <c r="P276" s="288"/>
      <c r="Q276" s="288"/>
      <c r="R276" s="288"/>
    </row>
    <row r="277" spans="14:18" x14ac:dyDescent="0.2">
      <c r="N277" s="288"/>
      <c r="O277" s="288"/>
      <c r="P277" s="288"/>
      <c r="Q277" s="288"/>
      <c r="R277" s="288"/>
    </row>
    <row r="278" spans="14:18" x14ac:dyDescent="0.2">
      <c r="N278" s="288"/>
      <c r="O278" s="288"/>
      <c r="P278" s="288"/>
      <c r="Q278" s="288"/>
      <c r="R278" s="288"/>
    </row>
    <row r="279" spans="14:18" x14ac:dyDescent="0.2">
      <c r="N279" s="288"/>
      <c r="O279" s="288"/>
      <c r="P279" s="288"/>
      <c r="Q279" s="288"/>
      <c r="R279" s="288"/>
    </row>
    <row r="280" spans="14:18" x14ac:dyDescent="0.2">
      <c r="N280" s="288"/>
      <c r="O280" s="288"/>
      <c r="P280" s="288"/>
      <c r="Q280" s="288"/>
      <c r="R280" s="288"/>
    </row>
    <row r="281" spans="14:18" x14ac:dyDescent="0.2">
      <c r="N281" s="288"/>
      <c r="O281" s="288"/>
      <c r="P281" s="288"/>
      <c r="Q281" s="288"/>
      <c r="R281" s="288"/>
    </row>
    <row r="282" spans="14:18" x14ac:dyDescent="0.2">
      <c r="N282" s="288"/>
      <c r="O282" s="288"/>
      <c r="P282" s="288"/>
      <c r="Q282" s="288"/>
      <c r="R282" s="288"/>
    </row>
    <row r="283" spans="14:18" x14ac:dyDescent="0.2">
      <c r="N283" s="288"/>
      <c r="O283" s="288"/>
      <c r="P283" s="288"/>
      <c r="Q283" s="288"/>
      <c r="R283" s="288"/>
    </row>
    <row r="284" spans="14:18" x14ac:dyDescent="0.2">
      <c r="N284" s="288"/>
      <c r="O284" s="288"/>
      <c r="P284" s="288"/>
      <c r="Q284" s="288"/>
      <c r="R284" s="288"/>
    </row>
    <row r="285" spans="14:18" x14ac:dyDescent="0.2">
      <c r="N285" s="288"/>
      <c r="O285" s="288"/>
      <c r="P285" s="288"/>
      <c r="Q285" s="288"/>
      <c r="R285" s="288"/>
    </row>
    <row r="286" spans="14:18" x14ac:dyDescent="0.2">
      <c r="N286" s="288"/>
      <c r="O286" s="288"/>
      <c r="P286" s="288"/>
      <c r="Q286" s="288"/>
      <c r="R286" s="288"/>
    </row>
    <row r="287" spans="14:18" x14ac:dyDescent="0.2">
      <c r="N287" s="288"/>
      <c r="O287" s="288"/>
      <c r="P287" s="288"/>
      <c r="Q287" s="288"/>
      <c r="R287" s="288"/>
    </row>
    <row r="288" spans="14:18" x14ac:dyDescent="0.2">
      <c r="N288" s="288"/>
      <c r="O288" s="288"/>
      <c r="P288" s="288"/>
      <c r="Q288" s="288"/>
      <c r="R288" s="288"/>
    </row>
    <row r="289" spans="14:18" x14ac:dyDescent="0.2">
      <c r="N289" s="288"/>
      <c r="O289" s="288"/>
      <c r="P289" s="288"/>
      <c r="Q289" s="288"/>
      <c r="R289" s="288"/>
    </row>
    <row r="290" spans="14:18" x14ac:dyDescent="0.2">
      <c r="N290" s="288"/>
      <c r="O290" s="288"/>
      <c r="P290" s="288"/>
      <c r="Q290" s="288"/>
      <c r="R290" s="288"/>
    </row>
    <row r="291" spans="14:18" x14ac:dyDescent="0.2">
      <c r="N291" s="288"/>
      <c r="O291" s="288"/>
      <c r="P291" s="288"/>
      <c r="Q291" s="288"/>
      <c r="R291" s="288"/>
    </row>
    <row r="292" spans="14:18" x14ac:dyDescent="0.2">
      <c r="N292" s="288"/>
      <c r="O292" s="288"/>
      <c r="P292" s="288"/>
      <c r="Q292" s="288"/>
      <c r="R292" s="288"/>
    </row>
    <row r="293" spans="14:18" x14ac:dyDescent="0.2">
      <c r="N293" s="288"/>
      <c r="O293" s="288"/>
      <c r="P293" s="288"/>
      <c r="Q293" s="288"/>
      <c r="R293" s="288"/>
    </row>
    <row r="294" spans="14:18" x14ac:dyDescent="0.2">
      <c r="N294" s="288"/>
      <c r="O294" s="288"/>
      <c r="P294" s="288"/>
      <c r="Q294" s="288"/>
      <c r="R294" s="288"/>
    </row>
    <row r="295" spans="14:18" x14ac:dyDescent="0.2">
      <c r="N295" s="288"/>
      <c r="O295" s="288"/>
      <c r="P295" s="288"/>
      <c r="Q295" s="288"/>
      <c r="R295" s="288"/>
    </row>
    <row r="296" spans="14:18" x14ac:dyDescent="0.2">
      <c r="N296" s="288"/>
      <c r="O296" s="288"/>
      <c r="P296" s="288"/>
      <c r="Q296" s="288"/>
      <c r="R296" s="288"/>
    </row>
    <row r="297" spans="14:18" x14ac:dyDescent="0.2">
      <c r="N297" s="288"/>
      <c r="O297" s="288"/>
      <c r="P297" s="288"/>
      <c r="Q297" s="288"/>
      <c r="R297" s="288"/>
    </row>
    <row r="298" spans="14:18" x14ac:dyDescent="0.2">
      <c r="N298" s="288"/>
      <c r="O298" s="288"/>
      <c r="P298" s="288"/>
      <c r="Q298" s="288"/>
      <c r="R298" s="288"/>
    </row>
    <row r="299" spans="14:18" x14ac:dyDescent="0.2">
      <c r="N299" s="288"/>
      <c r="O299" s="288"/>
      <c r="P299" s="288"/>
      <c r="Q299" s="288"/>
      <c r="R299" s="288"/>
    </row>
    <row r="300" spans="14:18" x14ac:dyDescent="0.2">
      <c r="N300" s="288"/>
      <c r="O300" s="288"/>
      <c r="P300" s="288"/>
      <c r="Q300" s="288"/>
      <c r="R300" s="288"/>
    </row>
    <row r="301" spans="14:18" x14ac:dyDescent="0.2">
      <c r="N301" s="288"/>
      <c r="O301" s="288"/>
      <c r="P301" s="288"/>
      <c r="Q301" s="288"/>
      <c r="R301" s="288"/>
    </row>
    <row r="302" spans="14:18" x14ac:dyDescent="0.2">
      <c r="N302" s="288"/>
      <c r="O302" s="288"/>
      <c r="P302" s="288"/>
      <c r="Q302" s="288"/>
      <c r="R302" s="288"/>
    </row>
    <row r="303" spans="14:18" x14ac:dyDescent="0.2">
      <c r="N303" s="288"/>
      <c r="O303" s="288"/>
      <c r="P303" s="288"/>
      <c r="Q303" s="288"/>
      <c r="R303" s="288"/>
    </row>
    <row r="304" spans="14:18" x14ac:dyDescent="0.2">
      <c r="N304" s="288"/>
      <c r="O304" s="288"/>
      <c r="P304" s="288"/>
      <c r="Q304" s="288"/>
      <c r="R304" s="288"/>
    </row>
    <row r="305" spans="14:18" x14ac:dyDescent="0.2">
      <c r="N305" s="288"/>
      <c r="O305" s="288"/>
      <c r="P305" s="288"/>
      <c r="Q305" s="288"/>
      <c r="R305" s="288"/>
    </row>
    <row r="306" spans="14:18" x14ac:dyDescent="0.2">
      <c r="N306" s="288"/>
      <c r="O306" s="288"/>
      <c r="P306" s="288"/>
      <c r="Q306" s="288"/>
      <c r="R306" s="288"/>
    </row>
    <row r="307" spans="14:18" x14ac:dyDescent="0.2">
      <c r="N307" s="288"/>
      <c r="O307" s="288"/>
      <c r="P307" s="288"/>
      <c r="Q307" s="288"/>
      <c r="R307" s="288"/>
    </row>
    <row r="308" spans="14:18" x14ac:dyDescent="0.2">
      <c r="N308" s="288"/>
      <c r="O308" s="288"/>
      <c r="P308" s="288"/>
      <c r="Q308" s="288"/>
      <c r="R308" s="288"/>
    </row>
    <row r="309" spans="14:18" x14ac:dyDescent="0.2">
      <c r="N309" s="288"/>
      <c r="O309" s="288"/>
      <c r="P309" s="288"/>
      <c r="Q309" s="288"/>
      <c r="R309" s="288"/>
    </row>
    <row r="310" spans="14:18" x14ac:dyDescent="0.2">
      <c r="N310" s="288"/>
      <c r="O310" s="288"/>
      <c r="P310" s="288"/>
      <c r="Q310" s="288"/>
      <c r="R310" s="288"/>
    </row>
    <row r="311" spans="14:18" x14ac:dyDescent="0.2">
      <c r="N311" s="288"/>
      <c r="O311" s="288"/>
      <c r="P311" s="288"/>
      <c r="Q311" s="288"/>
      <c r="R311" s="288"/>
    </row>
    <row r="312" spans="14:18" x14ac:dyDescent="0.2">
      <c r="N312" s="288"/>
      <c r="O312" s="288"/>
      <c r="P312" s="288"/>
      <c r="Q312" s="288"/>
      <c r="R312" s="288"/>
    </row>
    <row r="313" spans="14:18" x14ac:dyDescent="0.2">
      <c r="N313" s="288"/>
      <c r="O313" s="288"/>
      <c r="P313" s="288"/>
      <c r="Q313" s="288"/>
      <c r="R313" s="288"/>
    </row>
    <row r="314" spans="14:18" x14ac:dyDescent="0.2">
      <c r="N314" s="288"/>
      <c r="O314" s="288"/>
      <c r="P314" s="288"/>
      <c r="Q314" s="288"/>
      <c r="R314" s="288"/>
    </row>
    <row r="315" spans="14:18" x14ac:dyDescent="0.2">
      <c r="N315" s="288"/>
      <c r="O315" s="288"/>
      <c r="P315" s="288"/>
      <c r="Q315" s="288"/>
      <c r="R315" s="288"/>
    </row>
    <row r="316" spans="14:18" x14ac:dyDescent="0.2">
      <c r="N316" s="288"/>
      <c r="O316" s="288"/>
      <c r="P316" s="288"/>
      <c r="Q316" s="288"/>
      <c r="R316" s="288"/>
    </row>
    <row r="317" spans="14:18" x14ac:dyDescent="0.2">
      <c r="N317" s="288"/>
      <c r="O317" s="288"/>
      <c r="P317" s="288"/>
      <c r="Q317" s="288"/>
      <c r="R317" s="288"/>
    </row>
    <row r="318" spans="14:18" x14ac:dyDescent="0.2">
      <c r="N318" s="288"/>
      <c r="O318" s="288"/>
      <c r="P318" s="288"/>
      <c r="Q318" s="288"/>
      <c r="R318" s="288"/>
    </row>
    <row r="319" spans="14:18" x14ac:dyDescent="0.2">
      <c r="N319" s="288"/>
      <c r="O319" s="288"/>
      <c r="P319" s="288"/>
      <c r="Q319" s="288"/>
      <c r="R319" s="288"/>
    </row>
    <row r="320" spans="14:18" x14ac:dyDescent="0.2">
      <c r="N320" s="288"/>
      <c r="O320" s="288"/>
      <c r="P320" s="288"/>
      <c r="Q320" s="288"/>
      <c r="R320" s="288"/>
    </row>
    <row r="321" spans="14:18" x14ac:dyDescent="0.2">
      <c r="N321" s="288"/>
      <c r="O321" s="288"/>
      <c r="P321" s="288"/>
      <c r="Q321" s="288"/>
      <c r="R321" s="288"/>
    </row>
    <row r="322" spans="14:18" x14ac:dyDescent="0.2">
      <c r="N322" s="288"/>
      <c r="O322" s="288"/>
      <c r="P322" s="288"/>
      <c r="Q322" s="288"/>
      <c r="R322" s="288"/>
    </row>
    <row r="323" spans="14:18" x14ac:dyDescent="0.2">
      <c r="N323" s="288"/>
      <c r="O323" s="288"/>
      <c r="P323" s="288"/>
      <c r="Q323" s="288"/>
      <c r="R323" s="288"/>
    </row>
    <row r="324" spans="14:18" x14ac:dyDescent="0.2">
      <c r="N324" s="288"/>
      <c r="O324" s="288"/>
      <c r="P324" s="288"/>
      <c r="Q324" s="288"/>
      <c r="R324" s="288"/>
    </row>
    <row r="325" spans="14:18" x14ac:dyDescent="0.2">
      <c r="N325" s="288"/>
      <c r="O325" s="288"/>
      <c r="P325" s="288"/>
      <c r="Q325" s="288"/>
      <c r="R325" s="288"/>
    </row>
    <row r="326" spans="14:18" x14ac:dyDescent="0.2">
      <c r="N326" s="288"/>
      <c r="O326" s="288"/>
      <c r="P326" s="288"/>
      <c r="Q326" s="288"/>
      <c r="R326" s="288"/>
    </row>
    <row r="327" spans="14:18" x14ac:dyDescent="0.2">
      <c r="N327" s="288"/>
      <c r="O327" s="288"/>
      <c r="P327" s="288"/>
      <c r="Q327" s="288"/>
      <c r="R327" s="288"/>
    </row>
    <row r="328" spans="14:18" x14ac:dyDescent="0.2">
      <c r="N328" s="288"/>
      <c r="O328" s="288"/>
      <c r="P328" s="288"/>
      <c r="Q328" s="288"/>
      <c r="R328" s="288"/>
    </row>
    <row r="329" spans="14:18" x14ac:dyDescent="0.2">
      <c r="N329" s="288"/>
      <c r="O329" s="288"/>
      <c r="P329" s="288"/>
      <c r="Q329" s="288"/>
      <c r="R329" s="288"/>
    </row>
    <row r="330" spans="14:18" x14ac:dyDescent="0.2">
      <c r="N330" s="288"/>
      <c r="O330" s="288"/>
      <c r="P330" s="288"/>
      <c r="Q330" s="288"/>
      <c r="R330" s="288"/>
    </row>
    <row r="331" spans="14:18" x14ac:dyDescent="0.2">
      <c r="N331" s="288"/>
      <c r="O331" s="288"/>
      <c r="P331" s="288"/>
      <c r="Q331" s="288"/>
      <c r="R331" s="288"/>
    </row>
    <row r="332" spans="14:18" x14ac:dyDescent="0.2">
      <c r="N332" s="288"/>
      <c r="O332" s="288"/>
      <c r="P332" s="288"/>
      <c r="Q332" s="288"/>
      <c r="R332" s="288"/>
    </row>
    <row r="333" spans="14:18" x14ac:dyDescent="0.2">
      <c r="N333" s="288"/>
      <c r="O333" s="288"/>
      <c r="P333" s="288"/>
      <c r="Q333" s="288"/>
      <c r="R333" s="288"/>
    </row>
    <row r="334" spans="14:18" x14ac:dyDescent="0.2">
      <c r="N334" s="288"/>
      <c r="O334" s="288"/>
      <c r="P334" s="288"/>
      <c r="Q334" s="288"/>
      <c r="R334" s="288"/>
    </row>
    <row r="335" spans="14:18" x14ac:dyDescent="0.2">
      <c r="N335" s="288"/>
      <c r="O335" s="288"/>
      <c r="P335" s="288"/>
      <c r="Q335" s="288"/>
      <c r="R335" s="288"/>
    </row>
    <row r="336" spans="14:18" x14ac:dyDescent="0.2">
      <c r="N336" s="288"/>
      <c r="O336" s="288"/>
      <c r="P336" s="288"/>
      <c r="Q336" s="288"/>
      <c r="R336" s="288"/>
    </row>
    <row r="337" spans="14:18" x14ac:dyDescent="0.2">
      <c r="N337" s="288"/>
      <c r="O337" s="288"/>
      <c r="P337" s="288"/>
      <c r="Q337" s="288"/>
      <c r="R337" s="288"/>
    </row>
    <row r="338" spans="14:18" x14ac:dyDescent="0.2">
      <c r="N338" s="288"/>
      <c r="O338" s="288"/>
      <c r="P338" s="288"/>
      <c r="Q338" s="288"/>
      <c r="R338" s="288"/>
    </row>
    <row r="339" spans="14:18" x14ac:dyDescent="0.2">
      <c r="N339" s="288"/>
      <c r="O339" s="288"/>
      <c r="P339" s="288"/>
      <c r="Q339" s="288"/>
      <c r="R339" s="288"/>
    </row>
    <row r="340" spans="14:18" x14ac:dyDescent="0.2">
      <c r="N340" s="288"/>
      <c r="O340" s="288"/>
      <c r="P340" s="288"/>
      <c r="Q340" s="288"/>
      <c r="R340" s="288"/>
    </row>
    <row r="341" spans="14:18" x14ac:dyDescent="0.2">
      <c r="N341" s="288"/>
      <c r="O341" s="288"/>
      <c r="P341" s="288"/>
      <c r="Q341" s="288"/>
      <c r="R341" s="288"/>
    </row>
    <row r="342" spans="14:18" x14ac:dyDescent="0.2">
      <c r="N342" s="288"/>
      <c r="O342" s="288"/>
      <c r="P342" s="288"/>
      <c r="Q342" s="288"/>
      <c r="R342" s="288"/>
    </row>
    <row r="343" spans="14:18" x14ac:dyDescent="0.2">
      <c r="N343" s="288"/>
      <c r="O343" s="288"/>
      <c r="P343" s="288"/>
      <c r="Q343" s="288"/>
      <c r="R343" s="288"/>
    </row>
    <row r="344" spans="14:18" x14ac:dyDescent="0.2">
      <c r="N344" s="288"/>
      <c r="O344" s="288"/>
      <c r="P344" s="288"/>
      <c r="Q344" s="288"/>
      <c r="R344" s="288"/>
    </row>
    <row r="345" spans="14:18" x14ac:dyDescent="0.2">
      <c r="N345" s="288"/>
      <c r="O345" s="288"/>
      <c r="P345" s="288"/>
      <c r="Q345" s="288"/>
      <c r="R345" s="288"/>
    </row>
    <row r="346" spans="14:18" x14ac:dyDescent="0.2">
      <c r="N346" s="288"/>
      <c r="O346" s="288"/>
      <c r="P346" s="288"/>
      <c r="Q346" s="288"/>
      <c r="R346" s="288"/>
    </row>
    <row r="347" spans="14:18" x14ac:dyDescent="0.2">
      <c r="N347" s="288"/>
      <c r="O347" s="288"/>
      <c r="P347" s="288"/>
      <c r="Q347" s="288"/>
      <c r="R347" s="288"/>
    </row>
    <row r="348" spans="14:18" x14ac:dyDescent="0.2">
      <c r="N348" s="288"/>
      <c r="O348" s="288"/>
      <c r="P348" s="288"/>
      <c r="Q348" s="288"/>
      <c r="R348" s="288"/>
    </row>
    <row r="349" spans="14:18" x14ac:dyDescent="0.2">
      <c r="N349" s="288"/>
      <c r="O349" s="288"/>
      <c r="P349" s="288"/>
      <c r="Q349" s="288"/>
      <c r="R349" s="288"/>
    </row>
    <row r="350" spans="14:18" x14ac:dyDescent="0.2">
      <c r="N350" s="288"/>
      <c r="O350" s="288"/>
      <c r="P350" s="288"/>
      <c r="Q350" s="288"/>
      <c r="R350" s="288"/>
    </row>
    <row r="351" spans="14:18" x14ac:dyDescent="0.2">
      <c r="N351" s="288"/>
      <c r="O351" s="288"/>
      <c r="P351" s="288"/>
      <c r="Q351" s="288"/>
      <c r="R351" s="288"/>
    </row>
    <row r="352" spans="14:18" x14ac:dyDescent="0.2">
      <c r="N352" s="288"/>
      <c r="O352" s="288"/>
      <c r="P352" s="288"/>
      <c r="Q352" s="288"/>
      <c r="R352" s="288"/>
    </row>
    <row r="353" spans="14:18" x14ac:dyDescent="0.2">
      <c r="N353" s="288"/>
      <c r="O353" s="288"/>
      <c r="P353" s="288"/>
      <c r="Q353" s="288"/>
      <c r="R353" s="288"/>
    </row>
    <row r="354" spans="14:18" x14ac:dyDescent="0.2">
      <c r="N354" s="288"/>
      <c r="O354" s="288"/>
      <c r="P354" s="288"/>
      <c r="Q354" s="288"/>
      <c r="R354" s="288"/>
    </row>
    <row r="355" spans="14:18" x14ac:dyDescent="0.2">
      <c r="N355" s="288"/>
      <c r="O355" s="288"/>
      <c r="P355" s="288"/>
      <c r="Q355" s="288"/>
      <c r="R355" s="288"/>
    </row>
    <row r="356" spans="14:18" x14ac:dyDescent="0.2">
      <c r="N356" s="288"/>
      <c r="O356" s="288"/>
      <c r="P356" s="288"/>
      <c r="Q356" s="288"/>
      <c r="R356" s="288"/>
    </row>
    <row r="357" spans="14:18" x14ac:dyDescent="0.2">
      <c r="N357" s="288"/>
      <c r="O357" s="288"/>
      <c r="P357" s="288"/>
      <c r="Q357" s="288"/>
      <c r="R357" s="288"/>
    </row>
    <row r="358" spans="14:18" x14ac:dyDescent="0.2">
      <c r="N358" s="288"/>
      <c r="O358" s="288"/>
      <c r="P358" s="288"/>
      <c r="Q358" s="288"/>
      <c r="R358" s="288"/>
    </row>
    <row r="359" spans="14:18" x14ac:dyDescent="0.2">
      <c r="N359" s="288"/>
      <c r="O359" s="288"/>
      <c r="P359" s="288"/>
      <c r="Q359" s="288"/>
      <c r="R359" s="288"/>
    </row>
    <row r="360" spans="14:18" x14ac:dyDescent="0.2">
      <c r="N360" s="288"/>
      <c r="O360" s="288"/>
      <c r="P360" s="288"/>
      <c r="Q360" s="288"/>
      <c r="R360" s="288"/>
    </row>
    <row r="361" spans="14:18" x14ac:dyDescent="0.2">
      <c r="N361" s="288"/>
      <c r="O361" s="288"/>
      <c r="P361" s="288"/>
      <c r="Q361" s="288"/>
      <c r="R361" s="288"/>
    </row>
    <row r="362" spans="14:18" x14ac:dyDescent="0.2">
      <c r="N362" s="288"/>
      <c r="O362" s="288"/>
      <c r="P362" s="288"/>
      <c r="Q362" s="288"/>
      <c r="R362" s="288"/>
    </row>
    <row r="363" spans="14:18" x14ac:dyDescent="0.2">
      <c r="N363" s="288"/>
      <c r="O363" s="288"/>
      <c r="P363" s="288"/>
      <c r="Q363" s="288"/>
      <c r="R363" s="288"/>
    </row>
    <row r="364" spans="14:18" x14ac:dyDescent="0.2">
      <c r="N364" s="288"/>
      <c r="O364" s="288"/>
      <c r="P364" s="288"/>
      <c r="Q364" s="288"/>
      <c r="R364" s="288"/>
    </row>
    <row r="365" spans="14:18" x14ac:dyDescent="0.2">
      <c r="N365" s="288"/>
      <c r="O365" s="288"/>
      <c r="P365" s="288"/>
      <c r="Q365" s="288"/>
      <c r="R365" s="288"/>
    </row>
    <row r="366" spans="14:18" x14ac:dyDescent="0.2">
      <c r="N366" s="288"/>
      <c r="O366" s="288"/>
      <c r="P366" s="288"/>
      <c r="Q366" s="288"/>
      <c r="R366" s="288"/>
    </row>
    <row r="367" spans="14:18" x14ac:dyDescent="0.2">
      <c r="N367" s="288"/>
      <c r="O367" s="288"/>
      <c r="P367" s="288"/>
      <c r="Q367" s="288"/>
      <c r="R367" s="288"/>
    </row>
    <row r="368" spans="14:18" x14ac:dyDescent="0.2">
      <c r="N368" s="288"/>
      <c r="O368" s="288"/>
      <c r="P368" s="288"/>
      <c r="Q368" s="288"/>
      <c r="R368" s="288"/>
    </row>
    <row r="369" spans="14:18" x14ac:dyDescent="0.2">
      <c r="N369" s="288"/>
      <c r="O369" s="288"/>
      <c r="P369" s="288"/>
      <c r="Q369" s="288"/>
      <c r="R369" s="288"/>
    </row>
    <row r="370" spans="14:18" x14ac:dyDescent="0.2">
      <c r="N370" s="288"/>
      <c r="O370" s="288"/>
      <c r="P370" s="288"/>
      <c r="Q370" s="288"/>
      <c r="R370" s="288"/>
    </row>
    <row r="371" spans="14:18" x14ac:dyDescent="0.2">
      <c r="N371" s="288"/>
      <c r="O371" s="288"/>
      <c r="P371" s="288"/>
      <c r="Q371" s="288"/>
      <c r="R371" s="288"/>
    </row>
    <row r="372" spans="14:18" x14ac:dyDescent="0.2">
      <c r="N372" s="288"/>
      <c r="O372" s="288"/>
      <c r="P372" s="288"/>
      <c r="Q372" s="288"/>
      <c r="R372" s="288"/>
    </row>
    <row r="373" spans="14:18" x14ac:dyDescent="0.2">
      <c r="N373" s="288"/>
      <c r="O373" s="288"/>
      <c r="P373" s="288"/>
      <c r="Q373" s="288"/>
      <c r="R373" s="288"/>
    </row>
    <row r="374" spans="14:18" x14ac:dyDescent="0.2">
      <c r="N374" s="288"/>
      <c r="O374" s="288"/>
      <c r="P374" s="288"/>
      <c r="Q374" s="288"/>
      <c r="R374" s="288"/>
    </row>
    <row r="375" spans="14:18" x14ac:dyDescent="0.2">
      <c r="N375" s="288"/>
      <c r="O375" s="288"/>
      <c r="P375" s="288"/>
      <c r="Q375" s="288"/>
      <c r="R375" s="288"/>
    </row>
    <row r="376" spans="14:18" x14ac:dyDescent="0.2">
      <c r="N376" s="288"/>
      <c r="O376" s="288"/>
      <c r="P376" s="288"/>
      <c r="Q376" s="288"/>
      <c r="R376" s="288"/>
    </row>
    <row r="377" spans="14:18" x14ac:dyDescent="0.2">
      <c r="N377" s="288"/>
      <c r="O377" s="288"/>
      <c r="P377" s="288"/>
      <c r="Q377" s="288"/>
      <c r="R377" s="288"/>
    </row>
    <row r="378" spans="14:18" x14ac:dyDescent="0.2">
      <c r="N378" s="288"/>
      <c r="O378" s="288"/>
      <c r="P378" s="288"/>
      <c r="Q378" s="288"/>
      <c r="R378" s="288"/>
    </row>
    <row r="379" spans="14:18" x14ac:dyDescent="0.2">
      <c r="N379" s="288"/>
      <c r="O379" s="288"/>
      <c r="P379" s="288"/>
      <c r="Q379" s="288"/>
      <c r="R379" s="288"/>
    </row>
    <row r="380" spans="14:18" x14ac:dyDescent="0.2">
      <c r="N380" s="288"/>
      <c r="O380" s="288"/>
      <c r="P380" s="288"/>
      <c r="Q380" s="288"/>
      <c r="R380" s="288"/>
    </row>
    <row r="381" spans="14:18" x14ac:dyDescent="0.2">
      <c r="N381" s="288"/>
      <c r="O381" s="288"/>
      <c r="P381" s="288"/>
      <c r="Q381" s="288"/>
      <c r="R381" s="288"/>
    </row>
    <row r="382" spans="14:18" x14ac:dyDescent="0.2">
      <c r="N382" s="288"/>
      <c r="O382" s="288"/>
      <c r="P382" s="288"/>
      <c r="Q382" s="288"/>
      <c r="R382" s="288"/>
    </row>
    <row r="383" spans="14:18" x14ac:dyDescent="0.2">
      <c r="N383" s="288"/>
      <c r="O383" s="288"/>
      <c r="P383" s="288"/>
      <c r="Q383" s="288"/>
      <c r="R383" s="288"/>
    </row>
    <row r="384" spans="14:18" x14ac:dyDescent="0.2">
      <c r="N384" s="288"/>
      <c r="O384" s="288"/>
      <c r="P384" s="288"/>
      <c r="Q384" s="288"/>
      <c r="R384" s="288"/>
    </row>
    <row r="385" spans="14:18" x14ac:dyDescent="0.2">
      <c r="N385" s="288"/>
      <c r="O385" s="288"/>
      <c r="P385" s="288"/>
      <c r="Q385" s="288"/>
      <c r="R385" s="288"/>
    </row>
    <row r="386" spans="14:18" x14ac:dyDescent="0.2">
      <c r="N386" s="288"/>
      <c r="O386" s="288"/>
      <c r="P386" s="288"/>
      <c r="Q386" s="288"/>
      <c r="R386" s="288"/>
    </row>
    <row r="387" spans="14:18" x14ac:dyDescent="0.2">
      <c r="N387" s="288"/>
      <c r="O387" s="288"/>
      <c r="P387" s="288"/>
      <c r="Q387" s="288"/>
      <c r="R387" s="288"/>
    </row>
    <row r="388" spans="14:18" x14ac:dyDescent="0.2">
      <c r="N388" s="288"/>
      <c r="O388" s="288"/>
      <c r="P388" s="288"/>
      <c r="Q388" s="288"/>
      <c r="R388" s="288"/>
    </row>
    <row r="389" spans="14:18" x14ac:dyDescent="0.2">
      <c r="N389" s="288"/>
      <c r="O389" s="288"/>
      <c r="P389" s="288"/>
      <c r="Q389" s="288"/>
      <c r="R389" s="288"/>
    </row>
    <row r="390" spans="14:18" x14ac:dyDescent="0.2">
      <c r="N390" s="288"/>
      <c r="O390" s="288"/>
      <c r="P390" s="288"/>
      <c r="Q390" s="288"/>
      <c r="R390" s="288"/>
    </row>
    <row r="391" spans="14:18" x14ac:dyDescent="0.2">
      <c r="N391" s="288"/>
      <c r="O391" s="288"/>
      <c r="P391" s="288"/>
      <c r="Q391" s="288"/>
      <c r="R391" s="288"/>
    </row>
    <row r="392" spans="14:18" x14ac:dyDescent="0.2">
      <c r="N392" s="288"/>
      <c r="O392" s="288"/>
      <c r="P392" s="288"/>
      <c r="Q392" s="288"/>
      <c r="R392" s="288"/>
    </row>
    <row r="393" spans="14:18" x14ac:dyDescent="0.2">
      <c r="N393" s="288"/>
      <c r="O393" s="288"/>
      <c r="P393" s="288"/>
      <c r="Q393" s="288"/>
      <c r="R393" s="288"/>
    </row>
    <row r="394" spans="14:18" x14ac:dyDescent="0.2">
      <c r="N394" s="288"/>
      <c r="O394" s="288"/>
      <c r="P394" s="288"/>
      <c r="Q394" s="288"/>
      <c r="R394" s="288"/>
    </row>
    <row r="395" spans="14:18" x14ac:dyDescent="0.2">
      <c r="N395" s="288"/>
      <c r="O395" s="288"/>
      <c r="P395" s="288"/>
      <c r="Q395" s="288"/>
      <c r="R395" s="288"/>
    </row>
    <row r="396" spans="14:18" x14ac:dyDescent="0.2">
      <c r="N396" s="288"/>
      <c r="O396" s="288"/>
      <c r="P396" s="288"/>
      <c r="Q396" s="288"/>
      <c r="R396" s="288"/>
    </row>
    <row r="397" spans="14:18" x14ac:dyDescent="0.2">
      <c r="N397" s="288"/>
      <c r="O397" s="288"/>
      <c r="P397" s="288"/>
      <c r="Q397" s="288"/>
      <c r="R397" s="288"/>
    </row>
    <row r="398" spans="14:18" x14ac:dyDescent="0.2">
      <c r="N398" s="288"/>
      <c r="O398" s="288"/>
      <c r="P398" s="288"/>
      <c r="Q398" s="288"/>
      <c r="R398" s="288"/>
    </row>
    <row r="399" spans="14:18" x14ac:dyDescent="0.2">
      <c r="N399" s="288"/>
      <c r="O399" s="288"/>
      <c r="P399" s="288"/>
      <c r="Q399" s="288"/>
      <c r="R399" s="288"/>
    </row>
    <row r="400" spans="14:18" x14ac:dyDescent="0.2">
      <c r="N400" s="288"/>
      <c r="O400" s="288"/>
      <c r="P400" s="288"/>
      <c r="Q400" s="288"/>
      <c r="R400" s="288"/>
    </row>
    <row r="401" spans="14:18" x14ac:dyDescent="0.2">
      <c r="N401" s="288"/>
      <c r="O401" s="288"/>
      <c r="P401" s="288"/>
      <c r="Q401" s="288"/>
      <c r="R401" s="288"/>
    </row>
    <row r="402" spans="14:18" x14ac:dyDescent="0.2">
      <c r="N402" s="288"/>
      <c r="O402" s="288"/>
      <c r="P402" s="288"/>
      <c r="Q402" s="288"/>
      <c r="R402" s="288"/>
    </row>
    <row r="403" spans="14:18" x14ac:dyDescent="0.2">
      <c r="N403" s="288"/>
      <c r="O403" s="288"/>
      <c r="P403" s="288"/>
      <c r="Q403" s="288"/>
      <c r="R403" s="288"/>
    </row>
    <row r="404" spans="14:18" x14ac:dyDescent="0.2">
      <c r="N404" s="288"/>
      <c r="O404" s="288"/>
      <c r="P404" s="288"/>
      <c r="Q404" s="288"/>
      <c r="R404" s="288"/>
    </row>
    <row r="405" spans="14:18" x14ac:dyDescent="0.2">
      <c r="N405" s="288"/>
      <c r="O405" s="288"/>
      <c r="P405" s="288"/>
      <c r="Q405" s="288"/>
      <c r="R405" s="288"/>
    </row>
    <row r="406" spans="14:18" x14ac:dyDescent="0.2">
      <c r="N406" s="288"/>
      <c r="O406" s="288"/>
      <c r="P406" s="288"/>
      <c r="Q406" s="288"/>
      <c r="R406" s="288"/>
    </row>
    <row r="407" spans="14:18" x14ac:dyDescent="0.2">
      <c r="N407" s="288"/>
      <c r="O407" s="288"/>
      <c r="P407" s="288"/>
      <c r="Q407" s="288"/>
      <c r="R407" s="288"/>
    </row>
    <row r="408" spans="14:18" x14ac:dyDescent="0.2">
      <c r="N408" s="288"/>
      <c r="O408" s="288"/>
      <c r="P408" s="288"/>
      <c r="Q408" s="288"/>
      <c r="R408" s="288"/>
    </row>
    <row r="409" spans="14:18" x14ac:dyDescent="0.2">
      <c r="N409" s="288"/>
      <c r="O409" s="288"/>
      <c r="P409" s="288"/>
      <c r="Q409" s="288"/>
      <c r="R409" s="288"/>
    </row>
    <row r="410" spans="14:18" x14ac:dyDescent="0.2">
      <c r="N410" s="288"/>
      <c r="O410" s="288"/>
      <c r="P410" s="288"/>
      <c r="Q410" s="288"/>
      <c r="R410" s="288"/>
    </row>
    <row r="411" spans="14:18" x14ac:dyDescent="0.2">
      <c r="N411" s="288"/>
      <c r="O411" s="288"/>
      <c r="P411" s="288"/>
      <c r="Q411" s="288"/>
      <c r="R411" s="288"/>
    </row>
    <row r="412" spans="14:18" x14ac:dyDescent="0.2">
      <c r="N412" s="288"/>
      <c r="O412" s="288"/>
      <c r="P412" s="288"/>
      <c r="Q412" s="288"/>
      <c r="R412" s="288"/>
    </row>
    <row r="413" spans="14:18" x14ac:dyDescent="0.2">
      <c r="N413" s="288"/>
      <c r="O413" s="288"/>
      <c r="P413" s="288"/>
      <c r="Q413" s="288"/>
      <c r="R413" s="288"/>
    </row>
    <row r="414" spans="14:18" x14ac:dyDescent="0.2">
      <c r="N414" s="288"/>
      <c r="O414" s="288"/>
      <c r="P414" s="288"/>
      <c r="Q414" s="288"/>
      <c r="R414" s="288"/>
    </row>
    <row r="415" spans="14:18" x14ac:dyDescent="0.2">
      <c r="N415" s="288"/>
      <c r="O415" s="288"/>
      <c r="P415" s="288"/>
      <c r="Q415" s="288"/>
      <c r="R415" s="288"/>
    </row>
    <row r="416" spans="14:18" x14ac:dyDescent="0.2">
      <c r="N416" s="288"/>
      <c r="O416" s="288"/>
      <c r="P416" s="288"/>
      <c r="Q416" s="288"/>
      <c r="R416" s="288"/>
    </row>
    <row r="417" spans="14:18" x14ac:dyDescent="0.2">
      <c r="N417" s="288"/>
      <c r="O417" s="288"/>
      <c r="P417" s="288"/>
      <c r="Q417" s="288"/>
      <c r="R417" s="288"/>
    </row>
    <row r="418" spans="14:18" x14ac:dyDescent="0.2">
      <c r="N418" s="288"/>
      <c r="O418" s="288"/>
      <c r="P418" s="288"/>
      <c r="Q418" s="288"/>
      <c r="R418" s="288"/>
    </row>
    <row r="419" spans="14:18" x14ac:dyDescent="0.2">
      <c r="N419" s="288"/>
      <c r="O419" s="288"/>
      <c r="P419" s="288"/>
      <c r="Q419" s="288"/>
      <c r="R419" s="288"/>
    </row>
    <row r="420" spans="14:18" x14ac:dyDescent="0.2">
      <c r="N420" s="288"/>
      <c r="O420" s="288"/>
      <c r="P420" s="288"/>
      <c r="Q420" s="288"/>
      <c r="R420" s="288"/>
    </row>
    <row r="421" spans="14:18" x14ac:dyDescent="0.2">
      <c r="N421" s="288"/>
      <c r="O421" s="288"/>
      <c r="P421" s="288"/>
      <c r="Q421" s="288"/>
      <c r="R421" s="288"/>
    </row>
    <row r="422" spans="14:18" x14ac:dyDescent="0.2">
      <c r="N422" s="288"/>
      <c r="O422" s="288"/>
      <c r="P422" s="288"/>
      <c r="Q422" s="288"/>
      <c r="R422" s="288"/>
    </row>
    <row r="423" spans="14:18" x14ac:dyDescent="0.2">
      <c r="N423" s="288"/>
      <c r="O423" s="288"/>
      <c r="P423" s="288"/>
      <c r="Q423" s="288"/>
      <c r="R423" s="288"/>
    </row>
    <row r="424" spans="14:18" x14ac:dyDescent="0.2">
      <c r="N424" s="288"/>
      <c r="O424" s="288"/>
      <c r="P424" s="288"/>
      <c r="Q424" s="288"/>
      <c r="R424" s="288"/>
    </row>
    <row r="425" spans="14:18" x14ac:dyDescent="0.2">
      <c r="N425" s="288"/>
      <c r="O425" s="288"/>
      <c r="P425" s="288"/>
      <c r="Q425" s="288"/>
      <c r="R425" s="288"/>
    </row>
    <row r="426" spans="14:18" x14ac:dyDescent="0.2">
      <c r="N426" s="288"/>
      <c r="O426" s="288"/>
      <c r="P426" s="288"/>
      <c r="Q426" s="288"/>
      <c r="R426" s="288"/>
    </row>
    <row r="427" spans="14:18" x14ac:dyDescent="0.2">
      <c r="N427" s="288"/>
      <c r="O427" s="288"/>
      <c r="P427" s="288"/>
      <c r="Q427" s="288"/>
      <c r="R427" s="288"/>
    </row>
    <row r="428" spans="14:18" x14ac:dyDescent="0.2">
      <c r="N428" s="288"/>
      <c r="O428" s="288"/>
      <c r="P428" s="288"/>
      <c r="Q428" s="288"/>
      <c r="R428" s="288"/>
    </row>
    <row r="429" spans="14:18" x14ac:dyDescent="0.2">
      <c r="N429" s="288"/>
      <c r="O429" s="288"/>
      <c r="P429" s="288"/>
      <c r="Q429" s="288"/>
      <c r="R429" s="288"/>
    </row>
    <row r="430" spans="14:18" x14ac:dyDescent="0.2">
      <c r="N430" s="288"/>
      <c r="O430" s="288"/>
      <c r="P430" s="288"/>
      <c r="Q430" s="288"/>
      <c r="R430" s="288"/>
    </row>
    <row r="431" spans="14:18" x14ac:dyDescent="0.2">
      <c r="N431" s="288"/>
      <c r="O431" s="288"/>
      <c r="P431" s="288"/>
      <c r="Q431" s="288"/>
      <c r="R431" s="288"/>
    </row>
    <row r="432" spans="14:18" x14ac:dyDescent="0.2">
      <c r="N432" s="288"/>
      <c r="O432" s="288"/>
      <c r="P432" s="288"/>
      <c r="Q432" s="288"/>
      <c r="R432" s="288"/>
    </row>
    <row r="433" spans="14:18" x14ac:dyDescent="0.2">
      <c r="N433" s="288"/>
      <c r="O433" s="288"/>
      <c r="P433" s="288"/>
      <c r="Q433" s="288"/>
      <c r="R433" s="288"/>
    </row>
    <row r="434" spans="14:18" x14ac:dyDescent="0.2">
      <c r="N434" s="288"/>
      <c r="O434" s="288"/>
      <c r="P434" s="288"/>
      <c r="Q434" s="288"/>
      <c r="R434" s="288"/>
    </row>
    <row r="435" spans="14:18" x14ac:dyDescent="0.2">
      <c r="N435" s="288"/>
      <c r="O435" s="288"/>
      <c r="P435" s="288"/>
      <c r="Q435" s="288"/>
      <c r="R435" s="288"/>
    </row>
    <row r="436" spans="14:18" x14ac:dyDescent="0.2">
      <c r="N436" s="288"/>
      <c r="O436" s="288"/>
      <c r="P436" s="288"/>
      <c r="Q436" s="288"/>
      <c r="R436" s="288"/>
    </row>
    <row r="437" spans="14:18" x14ac:dyDescent="0.2">
      <c r="N437" s="288"/>
      <c r="O437" s="288"/>
      <c r="P437" s="288"/>
      <c r="Q437" s="288"/>
      <c r="R437" s="288"/>
    </row>
    <row r="438" spans="14:18" x14ac:dyDescent="0.2">
      <c r="N438" s="288"/>
      <c r="O438" s="288"/>
      <c r="P438" s="288"/>
      <c r="Q438" s="288"/>
      <c r="R438" s="288"/>
    </row>
    <row r="439" spans="14:18" x14ac:dyDescent="0.2">
      <c r="N439" s="288"/>
      <c r="O439" s="288"/>
      <c r="P439" s="288"/>
      <c r="Q439" s="288"/>
      <c r="R439" s="288"/>
    </row>
    <row r="440" spans="14:18" x14ac:dyDescent="0.2">
      <c r="N440" s="288"/>
      <c r="O440" s="288"/>
      <c r="P440" s="288"/>
      <c r="Q440" s="288"/>
      <c r="R440" s="288"/>
    </row>
    <row r="441" spans="14:18" x14ac:dyDescent="0.2">
      <c r="N441" s="288"/>
      <c r="O441" s="288"/>
      <c r="P441" s="288"/>
      <c r="Q441" s="288"/>
      <c r="R441" s="288"/>
    </row>
    <row r="442" spans="14:18" x14ac:dyDescent="0.2">
      <c r="N442" s="288"/>
      <c r="O442" s="288"/>
      <c r="P442" s="288"/>
      <c r="Q442" s="288"/>
      <c r="R442" s="288"/>
    </row>
    <row r="443" spans="14:18" x14ac:dyDescent="0.2">
      <c r="N443" s="288"/>
      <c r="O443" s="288"/>
      <c r="P443" s="288"/>
      <c r="Q443" s="288"/>
      <c r="R443" s="288"/>
    </row>
    <row r="444" spans="14:18" x14ac:dyDescent="0.2">
      <c r="N444" s="288"/>
      <c r="O444" s="288"/>
      <c r="P444" s="288"/>
      <c r="Q444" s="288"/>
      <c r="R444" s="288"/>
    </row>
    <row r="445" spans="14:18" x14ac:dyDescent="0.2">
      <c r="N445" s="288"/>
      <c r="O445" s="288"/>
      <c r="P445" s="288"/>
      <c r="Q445" s="288"/>
      <c r="R445" s="288"/>
    </row>
    <row r="446" spans="14:18" x14ac:dyDescent="0.2">
      <c r="N446" s="288"/>
      <c r="O446" s="288"/>
      <c r="P446" s="288"/>
      <c r="Q446" s="288"/>
      <c r="R446" s="288"/>
    </row>
    <row r="447" spans="14:18" x14ac:dyDescent="0.2">
      <c r="N447" s="288"/>
      <c r="O447" s="288"/>
      <c r="P447" s="288"/>
      <c r="Q447" s="288"/>
      <c r="R447" s="288"/>
    </row>
    <row r="448" spans="14:18" x14ac:dyDescent="0.2">
      <c r="N448" s="288"/>
      <c r="O448" s="288"/>
      <c r="P448" s="288"/>
      <c r="Q448" s="288"/>
      <c r="R448" s="288"/>
    </row>
    <row r="449" spans="14:18" x14ac:dyDescent="0.2">
      <c r="N449" s="288"/>
      <c r="O449" s="288"/>
      <c r="P449" s="288"/>
      <c r="Q449" s="288"/>
      <c r="R449" s="288"/>
    </row>
    <row r="450" spans="14:18" x14ac:dyDescent="0.2">
      <c r="N450" s="288"/>
      <c r="O450" s="288"/>
      <c r="P450" s="288"/>
      <c r="Q450" s="288"/>
      <c r="R450" s="288"/>
    </row>
    <row r="451" spans="14:18" x14ac:dyDescent="0.2">
      <c r="N451" s="288"/>
      <c r="O451" s="288"/>
      <c r="P451" s="288"/>
      <c r="Q451" s="288"/>
      <c r="R451" s="288"/>
    </row>
    <row r="452" spans="14:18" x14ac:dyDescent="0.2">
      <c r="N452" s="288"/>
      <c r="O452" s="288"/>
      <c r="P452" s="288"/>
      <c r="Q452" s="288"/>
      <c r="R452" s="288"/>
    </row>
    <row r="453" spans="14:18" x14ac:dyDescent="0.2">
      <c r="N453" s="288"/>
      <c r="O453" s="288"/>
      <c r="P453" s="288"/>
      <c r="Q453" s="288"/>
      <c r="R453" s="288"/>
    </row>
    <row r="454" spans="14:18" x14ac:dyDescent="0.2">
      <c r="N454" s="288"/>
      <c r="O454" s="288"/>
      <c r="P454" s="288"/>
      <c r="Q454" s="288"/>
      <c r="R454" s="288"/>
    </row>
    <row r="455" spans="14:18" x14ac:dyDescent="0.2">
      <c r="N455" s="288"/>
      <c r="O455" s="288"/>
      <c r="P455" s="288"/>
      <c r="Q455" s="288"/>
      <c r="R455" s="288"/>
    </row>
    <row r="456" spans="14:18" x14ac:dyDescent="0.2">
      <c r="N456" s="288"/>
      <c r="O456" s="288"/>
      <c r="P456" s="288"/>
      <c r="Q456" s="288"/>
      <c r="R456" s="288"/>
    </row>
    <row r="457" spans="14:18" x14ac:dyDescent="0.2">
      <c r="N457" s="288"/>
      <c r="O457" s="288"/>
      <c r="P457" s="288"/>
      <c r="Q457" s="288"/>
      <c r="R457" s="288"/>
    </row>
    <row r="458" spans="14:18" x14ac:dyDescent="0.2">
      <c r="N458" s="288"/>
      <c r="O458" s="288"/>
      <c r="P458" s="288"/>
      <c r="Q458" s="288"/>
      <c r="R458" s="288"/>
    </row>
    <row r="459" spans="14:18" x14ac:dyDescent="0.2">
      <c r="N459" s="288"/>
      <c r="O459" s="288"/>
      <c r="P459" s="288"/>
      <c r="Q459" s="288"/>
      <c r="R459" s="288"/>
    </row>
    <row r="460" spans="14:18" x14ac:dyDescent="0.2">
      <c r="N460" s="288"/>
      <c r="O460" s="288"/>
      <c r="P460" s="288"/>
      <c r="Q460" s="288"/>
      <c r="R460" s="288"/>
    </row>
    <row r="461" spans="14:18" x14ac:dyDescent="0.2">
      <c r="N461" s="288"/>
      <c r="O461" s="288"/>
      <c r="P461" s="288"/>
      <c r="Q461" s="288"/>
      <c r="R461" s="288"/>
    </row>
    <row r="462" spans="14:18" x14ac:dyDescent="0.2">
      <c r="N462" s="288"/>
      <c r="O462" s="288"/>
      <c r="P462" s="288"/>
      <c r="Q462" s="288"/>
      <c r="R462" s="288"/>
    </row>
    <row r="463" spans="14:18" x14ac:dyDescent="0.2">
      <c r="N463" s="288"/>
      <c r="O463" s="288"/>
      <c r="P463" s="288"/>
      <c r="Q463" s="288"/>
      <c r="R463" s="288"/>
    </row>
    <row r="464" spans="14:18" x14ac:dyDescent="0.2">
      <c r="N464" s="288"/>
      <c r="O464" s="288"/>
      <c r="P464" s="288"/>
      <c r="Q464" s="288"/>
      <c r="R464" s="288"/>
    </row>
    <row r="465" spans="14:18" x14ac:dyDescent="0.2">
      <c r="N465" s="288"/>
      <c r="O465" s="288"/>
      <c r="P465" s="288"/>
      <c r="Q465" s="288"/>
      <c r="R465" s="288"/>
    </row>
    <row r="466" spans="14:18" x14ac:dyDescent="0.2">
      <c r="N466" s="288"/>
      <c r="O466" s="288"/>
      <c r="P466" s="288"/>
      <c r="Q466" s="288"/>
      <c r="R466" s="288"/>
    </row>
    <row r="467" spans="14:18" x14ac:dyDescent="0.2">
      <c r="N467" s="288"/>
      <c r="O467" s="288"/>
      <c r="P467" s="288"/>
      <c r="Q467" s="288"/>
      <c r="R467" s="288"/>
    </row>
    <row r="468" spans="14:18" x14ac:dyDescent="0.2">
      <c r="N468" s="288"/>
      <c r="O468" s="288"/>
      <c r="P468" s="288"/>
      <c r="Q468" s="288"/>
      <c r="R468" s="288"/>
    </row>
    <row r="469" spans="14:18" x14ac:dyDescent="0.2">
      <c r="N469" s="288"/>
      <c r="O469" s="288"/>
      <c r="P469" s="288"/>
      <c r="Q469" s="288"/>
      <c r="R469" s="288"/>
    </row>
    <row r="470" spans="14:18" x14ac:dyDescent="0.2">
      <c r="N470" s="288"/>
      <c r="O470" s="288"/>
      <c r="P470" s="288"/>
      <c r="Q470" s="288"/>
      <c r="R470" s="288"/>
    </row>
    <row r="471" spans="14:18" x14ac:dyDescent="0.2">
      <c r="N471" s="288"/>
      <c r="O471" s="288"/>
      <c r="P471" s="288"/>
      <c r="Q471" s="288"/>
      <c r="R471" s="288"/>
    </row>
    <row r="472" spans="14:18" x14ac:dyDescent="0.2">
      <c r="N472" s="288"/>
      <c r="O472" s="288"/>
      <c r="P472" s="288"/>
      <c r="Q472" s="288"/>
      <c r="R472" s="288"/>
    </row>
    <row r="473" spans="14:18" x14ac:dyDescent="0.2">
      <c r="N473" s="288"/>
      <c r="O473" s="288"/>
      <c r="P473" s="288"/>
      <c r="Q473" s="288"/>
      <c r="R473" s="288"/>
    </row>
    <row r="474" spans="14:18" x14ac:dyDescent="0.2">
      <c r="N474" s="288"/>
      <c r="O474" s="288"/>
      <c r="P474" s="288"/>
      <c r="Q474" s="288"/>
      <c r="R474" s="288"/>
    </row>
    <row r="475" spans="14:18" x14ac:dyDescent="0.2">
      <c r="N475" s="288"/>
      <c r="O475" s="288"/>
      <c r="P475" s="288"/>
      <c r="Q475" s="288"/>
      <c r="R475" s="288"/>
    </row>
    <row r="476" spans="14:18" x14ac:dyDescent="0.2">
      <c r="N476" s="288"/>
      <c r="O476" s="288"/>
      <c r="P476" s="288"/>
      <c r="Q476" s="288"/>
      <c r="R476" s="288"/>
    </row>
    <row r="477" spans="14:18" x14ac:dyDescent="0.2">
      <c r="N477" s="288"/>
      <c r="O477" s="288"/>
      <c r="P477" s="288"/>
      <c r="Q477" s="288"/>
      <c r="R477" s="288"/>
    </row>
    <row r="478" spans="14:18" x14ac:dyDescent="0.2">
      <c r="N478" s="288"/>
      <c r="O478" s="288"/>
      <c r="P478" s="288"/>
      <c r="Q478" s="288"/>
      <c r="R478" s="288"/>
    </row>
    <row r="479" spans="14:18" x14ac:dyDescent="0.2">
      <c r="N479" s="288"/>
      <c r="O479" s="288"/>
      <c r="P479" s="288"/>
      <c r="Q479" s="288"/>
      <c r="R479" s="288"/>
    </row>
    <row r="480" spans="14:18" x14ac:dyDescent="0.2">
      <c r="N480" s="288"/>
      <c r="O480" s="288"/>
      <c r="P480" s="288"/>
      <c r="Q480" s="288"/>
      <c r="R480" s="288"/>
    </row>
    <row r="481" spans="14:18" x14ac:dyDescent="0.2">
      <c r="N481" s="288"/>
      <c r="O481" s="288"/>
      <c r="P481" s="288"/>
      <c r="Q481" s="288"/>
      <c r="R481" s="288"/>
    </row>
    <row r="482" spans="14:18" x14ac:dyDescent="0.2">
      <c r="N482" s="288"/>
      <c r="O482" s="288"/>
      <c r="P482" s="288"/>
      <c r="Q482" s="288"/>
      <c r="R482" s="288"/>
    </row>
    <row r="483" spans="14:18" x14ac:dyDescent="0.2">
      <c r="N483" s="288"/>
      <c r="O483" s="288"/>
      <c r="P483" s="288"/>
      <c r="Q483" s="288"/>
      <c r="R483" s="288"/>
    </row>
    <row r="484" spans="14:18" x14ac:dyDescent="0.2">
      <c r="N484" s="288"/>
      <c r="O484" s="288"/>
      <c r="P484" s="288"/>
      <c r="Q484" s="288"/>
      <c r="R484" s="288"/>
    </row>
    <row r="485" spans="14:18" x14ac:dyDescent="0.2">
      <c r="N485" s="288"/>
      <c r="O485" s="288"/>
      <c r="P485" s="288"/>
      <c r="Q485" s="288"/>
      <c r="R485" s="288"/>
    </row>
    <row r="486" spans="14:18" x14ac:dyDescent="0.2">
      <c r="N486" s="288"/>
      <c r="O486" s="288"/>
      <c r="P486" s="288"/>
      <c r="Q486" s="288"/>
      <c r="R486" s="288"/>
    </row>
    <row r="487" spans="14:18" x14ac:dyDescent="0.2">
      <c r="N487" s="288"/>
      <c r="O487" s="288"/>
      <c r="P487" s="288"/>
      <c r="Q487" s="288"/>
      <c r="R487" s="288"/>
    </row>
    <row r="488" spans="14:18" x14ac:dyDescent="0.2">
      <c r="N488" s="288"/>
      <c r="O488" s="288"/>
      <c r="P488" s="288"/>
      <c r="Q488" s="288"/>
      <c r="R488" s="288"/>
    </row>
    <row r="489" spans="14:18" x14ac:dyDescent="0.2">
      <c r="N489" s="288"/>
      <c r="O489" s="288"/>
      <c r="P489" s="288"/>
      <c r="Q489" s="288"/>
      <c r="R489" s="288"/>
    </row>
    <row r="490" spans="14:18" x14ac:dyDescent="0.2">
      <c r="N490" s="288"/>
      <c r="O490" s="288"/>
      <c r="P490" s="288"/>
      <c r="Q490" s="288"/>
      <c r="R490" s="288"/>
    </row>
    <row r="491" spans="14:18" x14ac:dyDescent="0.2">
      <c r="N491" s="288"/>
      <c r="O491" s="288"/>
      <c r="P491" s="288"/>
      <c r="Q491" s="288"/>
      <c r="R491" s="288"/>
    </row>
    <row r="492" spans="14:18" x14ac:dyDescent="0.2">
      <c r="N492" s="288"/>
      <c r="O492" s="288"/>
      <c r="P492" s="288"/>
      <c r="Q492" s="288"/>
      <c r="R492" s="288"/>
    </row>
    <row r="493" spans="14:18" x14ac:dyDescent="0.2">
      <c r="N493" s="288"/>
      <c r="O493" s="288"/>
      <c r="P493" s="288"/>
      <c r="Q493" s="288"/>
      <c r="R493" s="288"/>
    </row>
    <row r="494" spans="14:18" x14ac:dyDescent="0.2">
      <c r="N494" s="288"/>
      <c r="O494" s="288"/>
      <c r="P494" s="288"/>
      <c r="Q494" s="288"/>
      <c r="R494" s="288"/>
    </row>
    <row r="495" spans="14:18" x14ac:dyDescent="0.2">
      <c r="N495" s="288"/>
      <c r="O495" s="288"/>
      <c r="P495" s="288"/>
      <c r="Q495" s="288"/>
      <c r="R495" s="288"/>
    </row>
    <row r="496" spans="14:18" x14ac:dyDescent="0.2">
      <c r="N496" s="288"/>
      <c r="O496" s="288"/>
      <c r="P496" s="288"/>
      <c r="Q496" s="288"/>
      <c r="R496" s="288"/>
    </row>
    <row r="497" spans="14:18" x14ac:dyDescent="0.2">
      <c r="N497" s="288"/>
      <c r="O497" s="288"/>
      <c r="P497" s="288"/>
      <c r="Q497" s="288"/>
      <c r="R497" s="288"/>
    </row>
    <row r="498" spans="14:18" x14ac:dyDescent="0.2">
      <c r="N498" s="288"/>
      <c r="O498" s="288"/>
      <c r="P498" s="288"/>
      <c r="Q498" s="288"/>
      <c r="R498" s="288"/>
    </row>
    <row r="499" spans="14:18" x14ac:dyDescent="0.2">
      <c r="N499" s="288"/>
      <c r="O499" s="288"/>
      <c r="P499" s="288"/>
      <c r="Q499" s="288"/>
      <c r="R499" s="288"/>
    </row>
    <row r="500" spans="14:18" x14ac:dyDescent="0.2">
      <c r="N500" s="288"/>
      <c r="O500" s="288"/>
      <c r="P500" s="288"/>
      <c r="Q500" s="288"/>
      <c r="R500" s="288"/>
    </row>
    <row r="501" spans="14:18" x14ac:dyDescent="0.2">
      <c r="N501" s="288"/>
      <c r="O501" s="288"/>
      <c r="P501" s="288"/>
      <c r="Q501" s="288"/>
      <c r="R501" s="288"/>
    </row>
    <row r="502" spans="14:18" x14ac:dyDescent="0.2">
      <c r="N502" s="288"/>
      <c r="O502" s="288"/>
      <c r="P502" s="288"/>
      <c r="Q502" s="288"/>
      <c r="R502" s="288"/>
    </row>
    <row r="503" spans="14:18" x14ac:dyDescent="0.2">
      <c r="N503" s="288"/>
      <c r="O503" s="288"/>
      <c r="P503" s="288"/>
      <c r="Q503" s="288"/>
      <c r="R503" s="288"/>
    </row>
    <row r="504" spans="14:18" x14ac:dyDescent="0.2">
      <c r="N504" s="288"/>
      <c r="O504" s="288"/>
      <c r="P504" s="288"/>
      <c r="Q504" s="288"/>
      <c r="R504" s="288"/>
    </row>
    <row r="505" spans="14:18" x14ac:dyDescent="0.2">
      <c r="N505" s="288"/>
      <c r="O505" s="288"/>
      <c r="P505" s="288"/>
      <c r="Q505" s="288"/>
      <c r="R505" s="288"/>
    </row>
    <row r="506" spans="14:18" x14ac:dyDescent="0.2">
      <c r="N506" s="288"/>
      <c r="O506" s="288"/>
      <c r="P506" s="288"/>
      <c r="Q506" s="288"/>
      <c r="R506" s="288"/>
    </row>
    <row r="507" spans="14:18" x14ac:dyDescent="0.2">
      <c r="N507" s="288"/>
      <c r="O507" s="288"/>
      <c r="P507" s="288"/>
      <c r="Q507" s="288"/>
      <c r="R507" s="288"/>
    </row>
    <row r="508" spans="14:18" x14ac:dyDescent="0.2">
      <c r="N508" s="288"/>
      <c r="O508" s="288"/>
      <c r="P508" s="288"/>
      <c r="Q508" s="288"/>
      <c r="R508" s="288"/>
    </row>
    <row r="509" spans="14:18" x14ac:dyDescent="0.2">
      <c r="N509" s="288"/>
      <c r="O509" s="288"/>
      <c r="P509" s="288"/>
      <c r="Q509" s="288"/>
      <c r="R509" s="288"/>
    </row>
    <row r="510" spans="14:18" x14ac:dyDescent="0.2">
      <c r="N510" s="288"/>
      <c r="O510" s="288"/>
      <c r="P510" s="288"/>
      <c r="Q510" s="288"/>
      <c r="R510" s="288"/>
    </row>
    <row r="511" spans="14:18" x14ac:dyDescent="0.2">
      <c r="N511" s="288"/>
      <c r="O511" s="288"/>
      <c r="P511" s="288"/>
      <c r="Q511" s="288"/>
      <c r="R511" s="288"/>
    </row>
    <row r="512" spans="14:18" x14ac:dyDescent="0.2">
      <c r="N512" s="288"/>
      <c r="O512" s="288"/>
      <c r="P512" s="288"/>
      <c r="Q512" s="288"/>
      <c r="R512" s="288"/>
    </row>
    <row r="513" spans="14:18" x14ac:dyDescent="0.2">
      <c r="N513" s="288"/>
      <c r="O513" s="288"/>
      <c r="P513" s="288"/>
      <c r="Q513" s="288"/>
      <c r="R513" s="288"/>
    </row>
    <row r="514" spans="14:18" x14ac:dyDescent="0.2">
      <c r="N514" s="288"/>
      <c r="O514" s="288"/>
      <c r="P514" s="288"/>
      <c r="Q514" s="288"/>
      <c r="R514" s="288"/>
    </row>
    <row r="515" spans="14:18" x14ac:dyDescent="0.2">
      <c r="N515" s="288"/>
      <c r="O515" s="288"/>
      <c r="P515" s="288"/>
      <c r="Q515" s="288"/>
      <c r="R515" s="288"/>
    </row>
    <row r="516" spans="14:18" x14ac:dyDescent="0.2">
      <c r="N516" s="288"/>
      <c r="O516" s="288"/>
      <c r="P516" s="288"/>
      <c r="Q516" s="288"/>
      <c r="R516" s="288"/>
    </row>
    <row r="517" spans="14:18" x14ac:dyDescent="0.2">
      <c r="N517" s="288"/>
      <c r="O517" s="288"/>
      <c r="P517" s="288"/>
      <c r="Q517" s="288"/>
      <c r="R517" s="288"/>
    </row>
    <row r="518" spans="14:18" x14ac:dyDescent="0.2">
      <c r="N518" s="288"/>
      <c r="O518" s="288"/>
      <c r="P518" s="288"/>
      <c r="Q518" s="288"/>
      <c r="R518" s="288"/>
    </row>
    <row r="519" spans="14:18" x14ac:dyDescent="0.2">
      <c r="N519" s="288"/>
      <c r="O519" s="288"/>
      <c r="P519" s="288"/>
      <c r="Q519" s="288"/>
      <c r="R519" s="288"/>
    </row>
    <row r="520" spans="14:18" x14ac:dyDescent="0.2">
      <c r="N520" s="288"/>
      <c r="O520" s="288"/>
      <c r="P520" s="288"/>
      <c r="Q520" s="288"/>
      <c r="R520" s="288"/>
    </row>
    <row r="521" spans="14:18" x14ac:dyDescent="0.2">
      <c r="N521" s="288"/>
      <c r="O521" s="288"/>
      <c r="P521" s="288"/>
      <c r="Q521" s="288"/>
      <c r="R521" s="288"/>
    </row>
    <row r="522" spans="14:18" x14ac:dyDescent="0.2">
      <c r="N522" s="288"/>
      <c r="O522" s="288"/>
      <c r="P522" s="288"/>
      <c r="Q522" s="288"/>
      <c r="R522" s="288"/>
    </row>
    <row r="523" spans="14:18" x14ac:dyDescent="0.2">
      <c r="N523" s="288"/>
      <c r="O523" s="288"/>
      <c r="P523" s="288"/>
      <c r="Q523" s="288"/>
      <c r="R523" s="288"/>
    </row>
    <row r="524" spans="14:18" x14ac:dyDescent="0.2">
      <c r="N524" s="288"/>
      <c r="O524" s="288"/>
      <c r="P524" s="288"/>
      <c r="Q524" s="288"/>
      <c r="R524" s="288"/>
    </row>
    <row r="525" spans="14:18" x14ac:dyDescent="0.2">
      <c r="N525" s="288"/>
      <c r="O525" s="288"/>
      <c r="P525" s="288"/>
      <c r="Q525" s="288"/>
      <c r="R525" s="288"/>
    </row>
    <row r="526" spans="14:18" x14ac:dyDescent="0.2">
      <c r="N526" s="288"/>
      <c r="O526" s="288"/>
      <c r="P526" s="288"/>
      <c r="Q526" s="288"/>
      <c r="R526" s="288"/>
    </row>
    <row r="527" spans="14:18" x14ac:dyDescent="0.2">
      <c r="N527" s="288"/>
      <c r="O527" s="288"/>
      <c r="P527" s="288"/>
      <c r="Q527" s="288"/>
      <c r="R527" s="288"/>
    </row>
    <row r="528" spans="14:18" x14ac:dyDescent="0.2">
      <c r="N528" s="288"/>
      <c r="O528" s="288"/>
      <c r="P528" s="288"/>
      <c r="Q528" s="288"/>
      <c r="R528" s="288"/>
    </row>
    <row r="529" spans="14:18" x14ac:dyDescent="0.2">
      <c r="N529" s="288"/>
      <c r="O529" s="288"/>
      <c r="P529" s="288"/>
      <c r="Q529" s="288"/>
      <c r="R529" s="288"/>
    </row>
    <row r="530" spans="14:18" x14ac:dyDescent="0.2">
      <c r="N530" s="288"/>
      <c r="O530" s="288"/>
      <c r="P530" s="288"/>
      <c r="Q530" s="288"/>
      <c r="R530" s="288"/>
    </row>
    <row r="531" spans="14:18" x14ac:dyDescent="0.2">
      <c r="N531" s="288"/>
      <c r="O531" s="288"/>
      <c r="P531" s="288"/>
      <c r="Q531" s="288"/>
      <c r="R531" s="288"/>
    </row>
    <row r="532" spans="14:18" x14ac:dyDescent="0.2">
      <c r="N532" s="288"/>
      <c r="O532" s="288"/>
      <c r="P532" s="288"/>
      <c r="Q532" s="288"/>
      <c r="R532" s="288"/>
    </row>
    <row r="533" spans="14:18" x14ac:dyDescent="0.2">
      <c r="N533" s="288"/>
      <c r="O533" s="288"/>
      <c r="P533" s="288"/>
      <c r="Q533" s="288"/>
      <c r="R533" s="288"/>
    </row>
    <row r="534" spans="14:18" x14ac:dyDescent="0.2">
      <c r="N534" s="288"/>
      <c r="O534" s="288"/>
      <c r="P534" s="288"/>
      <c r="Q534" s="288"/>
      <c r="R534" s="288"/>
    </row>
    <row r="535" spans="14:18" x14ac:dyDescent="0.2">
      <c r="N535" s="288"/>
      <c r="O535" s="288"/>
      <c r="P535" s="288"/>
      <c r="Q535" s="288"/>
      <c r="R535" s="288"/>
    </row>
    <row r="536" spans="14:18" x14ac:dyDescent="0.2">
      <c r="N536" s="288"/>
      <c r="O536" s="288"/>
      <c r="P536" s="288"/>
      <c r="Q536" s="288"/>
      <c r="R536" s="288"/>
    </row>
    <row r="537" spans="14:18" x14ac:dyDescent="0.2">
      <c r="N537" s="288"/>
      <c r="O537" s="288"/>
      <c r="P537" s="288"/>
      <c r="Q537" s="288"/>
      <c r="R537" s="288"/>
    </row>
    <row r="538" spans="14:18" x14ac:dyDescent="0.2">
      <c r="N538" s="288"/>
      <c r="O538" s="288"/>
      <c r="P538" s="288"/>
      <c r="Q538" s="288"/>
      <c r="R538" s="288"/>
    </row>
    <row r="539" spans="14:18" x14ac:dyDescent="0.2">
      <c r="N539" s="288"/>
      <c r="O539" s="288"/>
      <c r="P539" s="288"/>
      <c r="Q539" s="288"/>
      <c r="R539" s="288"/>
    </row>
    <row r="540" spans="14:18" x14ac:dyDescent="0.2">
      <c r="N540" s="288"/>
      <c r="O540" s="288"/>
      <c r="P540" s="288"/>
      <c r="Q540" s="288"/>
      <c r="R540" s="288"/>
    </row>
    <row r="541" spans="14:18" x14ac:dyDescent="0.2">
      <c r="N541" s="288"/>
      <c r="O541" s="288"/>
      <c r="P541" s="288"/>
      <c r="Q541" s="288"/>
      <c r="R541" s="288"/>
    </row>
    <row r="542" spans="14:18" x14ac:dyDescent="0.2">
      <c r="N542" s="288"/>
      <c r="O542" s="288"/>
      <c r="P542" s="288"/>
      <c r="Q542" s="288"/>
      <c r="R542" s="288"/>
    </row>
    <row r="543" spans="14:18" x14ac:dyDescent="0.2">
      <c r="N543" s="288"/>
      <c r="O543" s="288"/>
      <c r="P543" s="288"/>
      <c r="Q543" s="288"/>
      <c r="R543" s="288"/>
    </row>
    <row r="544" spans="14:18" x14ac:dyDescent="0.2">
      <c r="N544" s="288"/>
      <c r="O544" s="288"/>
      <c r="P544" s="288"/>
      <c r="Q544" s="288"/>
      <c r="R544" s="288"/>
    </row>
    <row r="545" spans="14:18" x14ac:dyDescent="0.2">
      <c r="N545" s="288"/>
      <c r="O545" s="288"/>
      <c r="P545" s="288"/>
      <c r="Q545" s="288"/>
      <c r="R545" s="288"/>
    </row>
    <row r="546" spans="14:18" x14ac:dyDescent="0.2">
      <c r="N546" s="288"/>
      <c r="O546" s="288"/>
      <c r="P546" s="288"/>
      <c r="Q546" s="288"/>
      <c r="R546" s="288"/>
    </row>
    <row r="547" spans="14:18" x14ac:dyDescent="0.2">
      <c r="N547" s="288"/>
      <c r="O547" s="288"/>
      <c r="P547" s="288"/>
      <c r="Q547" s="288"/>
      <c r="R547" s="288"/>
    </row>
    <row r="548" spans="14:18" x14ac:dyDescent="0.2">
      <c r="N548" s="288"/>
      <c r="O548" s="288"/>
      <c r="P548" s="288"/>
      <c r="Q548" s="288"/>
      <c r="R548" s="288"/>
    </row>
    <row r="549" spans="14:18" x14ac:dyDescent="0.2">
      <c r="N549" s="288"/>
      <c r="O549" s="288"/>
      <c r="P549" s="288"/>
      <c r="Q549" s="288"/>
      <c r="R549" s="288"/>
    </row>
    <row r="550" spans="14:18" x14ac:dyDescent="0.2">
      <c r="N550" s="288"/>
      <c r="O550" s="288"/>
      <c r="P550" s="288"/>
      <c r="Q550" s="288"/>
      <c r="R550" s="288"/>
    </row>
    <row r="551" spans="14:18" x14ac:dyDescent="0.2">
      <c r="N551" s="288"/>
      <c r="O551" s="288"/>
      <c r="P551" s="288"/>
      <c r="Q551" s="288"/>
      <c r="R551" s="288"/>
    </row>
    <row r="552" spans="14:18" x14ac:dyDescent="0.2">
      <c r="N552" s="288"/>
      <c r="O552" s="288"/>
      <c r="P552" s="288"/>
      <c r="Q552" s="288"/>
      <c r="R552" s="288"/>
    </row>
    <row r="553" spans="14:18" x14ac:dyDescent="0.2">
      <c r="N553" s="288"/>
      <c r="O553" s="288"/>
      <c r="P553" s="288"/>
      <c r="Q553" s="288"/>
      <c r="R553" s="288"/>
    </row>
    <row r="554" spans="14:18" x14ac:dyDescent="0.2">
      <c r="N554" s="288"/>
      <c r="O554" s="288"/>
      <c r="P554" s="288"/>
      <c r="Q554" s="288"/>
      <c r="R554" s="288"/>
    </row>
    <row r="555" spans="14:18" x14ac:dyDescent="0.2">
      <c r="N555" s="288"/>
      <c r="O555" s="288"/>
      <c r="P555" s="288"/>
      <c r="Q555" s="288"/>
      <c r="R555" s="288"/>
    </row>
    <row r="556" spans="14:18" x14ac:dyDescent="0.2">
      <c r="N556" s="288"/>
      <c r="O556" s="288"/>
      <c r="P556" s="288"/>
      <c r="Q556" s="288"/>
      <c r="R556" s="288"/>
    </row>
    <row r="557" spans="14:18" x14ac:dyDescent="0.2">
      <c r="N557" s="288"/>
      <c r="O557" s="288"/>
      <c r="P557" s="288"/>
      <c r="Q557" s="288"/>
      <c r="R557" s="288"/>
    </row>
    <row r="558" spans="14:18" x14ac:dyDescent="0.2">
      <c r="N558" s="288"/>
      <c r="O558" s="288"/>
      <c r="P558" s="288"/>
      <c r="Q558" s="288"/>
      <c r="R558" s="288"/>
    </row>
    <row r="559" spans="14:18" x14ac:dyDescent="0.2">
      <c r="N559" s="288"/>
      <c r="O559" s="288"/>
      <c r="P559" s="288"/>
      <c r="Q559" s="288"/>
      <c r="R559" s="288"/>
    </row>
    <row r="560" spans="14:18" x14ac:dyDescent="0.2">
      <c r="N560" s="288"/>
      <c r="O560" s="288"/>
      <c r="P560" s="288"/>
      <c r="Q560" s="288"/>
      <c r="R560" s="288"/>
    </row>
    <row r="561" spans="14:18" x14ac:dyDescent="0.2">
      <c r="N561" s="288"/>
      <c r="O561" s="288"/>
      <c r="P561" s="288"/>
      <c r="Q561" s="288"/>
      <c r="R561" s="288"/>
    </row>
    <row r="562" spans="14:18" x14ac:dyDescent="0.2">
      <c r="N562" s="288"/>
      <c r="O562" s="288"/>
      <c r="P562" s="288"/>
      <c r="Q562" s="288"/>
      <c r="R562" s="288"/>
    </row>
    <row r="563" spans="14:18" x14ac:dyDescent="0.2">
      <c r="N563" s="288"/>
      <c r="O563" s="288"/>
      <c r="P563" s="288"/>
      <c r="Q563" s="288"/>
      <c r="R563" s="288"/>
    </row>
    <row r="564" spans="14:18" x14ac:dyDescent="0.2">
      <c r="N564" s="288"/>
      <c r="O564" s="288"/>
      <c r="P564" s="288"/>
      <c r="Q564" s="288"/>
      <c r="R564" s="288"/>
    </row>
    <row r="565" spans="14:18" x14ac:dyDescent="0.2">
      <c r="N565" s="288"/>
      <c r="O565" s="288"/>
      <c r="P565" s="288"/>
      <c r="Q565" s="288"/>
      <c r="R565" s="288"/>
    </row>
    <row r="566" spans="14:18" x14ac:dyDescent="0.2">
      <c r="N566" s="288"/>
      <c r="O566" s="288"/>
      <c r="P566" s="288"/>
      <c r="Q566" s="288"/>
      <c r="R566" s="288"/>
    </row>
    <row r="567" spans="14:18" x14ac:dyDescent="0.2">
      <c r="N567" s="288"/>
      <c r="O567" s="288"/>
      <c r="P567" s="288"/>
      <c r="Q567" s="288"/>
      <c r="R567" s="288"/>
    </row>
    <row r="568" spans="14:18" x14ac:dyDescent="0.2">
      <c r="N568" s="288"/>
      <c r="O568" s="288"/>
      <c r="P568" s="288"/>
      <c r="Q568" s="288"/>
      <c r="R568" s="288"/>
    </row>
    <row r="569" spans="14:18" x14ac:dyDescent="0.2">
      <c r="N569" s="288"/>
      <c r="O569" s="288"/>
      <c r="P569" s="288"/>
      <c r="Q569" s="288"/>
      <c r="R569" s="288"/>
    </row>
    <row r="570" spans="14:18" x14ac:dyDescent="0.2">
      <c r="N570" s="288"/>
      <c r="O570" s="288"/>
      <c r="P570" s="288"/>
      <c r="Q570" s="288"/>
      <c r="R570" s="288"/>
    </row>
    <row r="571" spans="14:18" x14ac:dyDescent="0.2">
      <c r="N571" s="288"/>
      <c r="O571" s="288"/>
      <c r="P571" s="288"/>
      <c r="Q571" s="288"/>
      <c r="R571" s="288"/>
    </row>
    <row r="572" spans="14:18" x14ac:dyDescent="0.2">
      <c r="N572" s="288"/>
      <c r="O572" s="288"/>
      <c r="P572" s="288"/>
      <c r="Q572" s="288"/>
      <c r="R572" s="288"/>
    </row>
    <row r="573" spans="14:18" x14ac:dyDescent="0.2">
      <c r="N573" s="288"/>
      <c r="O573" s="288"/>
      <c r="P573" s="288"/>
      <c r="Q573" s="288"/>
      <c r="R573" s="288"/>
    </row>
    <row r="574" spans="14:18" x14ac:dyDescent="0.2">
      <c r="N574" s="288"/>
      <c r="O574" s="288"/>
      <c r="P574" s="288"/>
      <c r="Q574" s="288"/>
      <c r="R574" s="288"/>
    </row>
    <row r="575" spans="14:18" x14ac:dyDescent="0.2">
      <c r="N575" s="288"/>
      <c r="O575" s="288"/>
      <c r="P575" s="288"/>
      <c r="Q575" s="288"/>
      <c r="R575" s="288"/>
    </row>
    <row r="576" spans="14:18" x14ac:dyDescent="0.2">
      <c r="N576" s="288"/>
      <c r="O576" s="288"/>
      <c r="P576" s="288"/>
      <c r="Q576" s="288"/>
      <c r="R576" s="288"/>
    </row>
    <row r="577" spans="14:18" x14ac:dyDescent="0.2">
      <c r="N577" s="288"/>
      <c r="O577" s="288"/>
      <c r="P577" s="288"/>
      <c r="Q577" s="288"/>
      <c r="R577" s="288"/>
    </row>
    <row r="578" spans="14:18" x14ac:dyDescent="0.2">
      <c r="N578" s="288"/>
      <c r="O578" s="288"/>
      <c r="P578" s="288"/>
      <c r="Q578" s="288"/>
      <c r="R578" s="288"/>
    </row>
    <row r="579" spans="14:18" x14ac:dyDescent="0.2">
      <c r="N579" s="288"/>
      <c r="O579" s="288"/>
      <c r="P579" s="288"/>
      <c r="Q579" s="288"/>
      <c r="R579" s="288"/>
    </row>
    <row r="580" spans="14:18" x14ac:dyDescent="0.2">
      <c r="N580" s="288"/>
      <c r="O580" s="288"/>
      <c r="P580" s="288"/>
      <c r="Q580" s="288"/>
      <c r="R580" s="288"/>
    </row>
    <row r="581" spans="14:18" x14ac:dyDescent="0.2">
      <c r="N581" s="288"/>
      <c r="O581" s="288"/>
      <c r="P581" s="288"/>
      <c r="Q581" s="288"/>
      <c r="R581" s="288"/>
    </row>
    <row r="582" spans="14:18" x14ac:dyDescent="0.2">
      <c r="N582" s="288"/>
      <c r="O582" s="288"/>
      <c r="P582" s="288"/>
      <c r="Q582" s="288"/>
      <c r="R582" s="288"/>
    </row>
    <row r="583" spans="14:18" x14ac:dyDescent="0.2">
      <c r="N583" s="288"/>
      <c r="O583" s="288"/>
      <c r="P583" s="288"/>
      <c r="Q583" s="288"/>
      <c r="R583" s="288"/>
    </row>
    <row r="584" spans="14:18" x14ac:dyDescent="0.2">
      <c r="N584" s="288"/>
      <c r="O584" s="288"/>
      <c r="P584" s="288"/>
      <c r="Q584" s="288"/>
      <c r="R584" s="288"/>
    </row>
    <row r="585" spans="14:18" x14ac:dyDescent="0.2">
      <c r="N585" s="288"/>
      <c r="O585" s="288"/>
      <c r="P585" s="288"/>
      <c r="Q585" s="288"/>
      <c r="R585" s="288"/>
    </row>
    <row r="586" spans="14:18" x14ac:dyDescent="0.2">
      <c r="N586" s="288"/>
      <c r="O586" s="288"/>
      <c r="P586" s="288"/>
      <c r="Q586" s="288"/>
      <c r="R586" s="288"/>
    </row>
    <row r="587" spans="14:18" x14ac:dyDescent="0.2">
      <c r="N587" s="288"/>
      <c r="O587" s="288"/>
      <c r="P587" s="288"/>
      <c r="Q587" s="288"/>
      <c r="R587" s="288"/>
    </row>
    <row r="588" spans="14:18" x14ac:dyDescent="0.2">
      <c r="N588" s="288"/>
      <c r="O588" s="288"/>
      <c r="P588" s="288"/>
      <c r="Q588" s="288"/>
      <c r="R588" s="288"/>
    </row>
    <row r="589" spans="14:18" x14ac:dyDescent="0.2">
      <c r="N589" s="288"/>
      <c r="O589" s="288"/>
      <c r="P589" s="288"/>
      <c r="Q589" s="288"/>
      <c r="R589" s="288"/>
    </row>
    <row r="590" spans="14:18" x14ac:dyDescent="0.2">
      <c r="N590" s="288"/>
      <c r="O590" s="288"/>
      <c r="P590" s="288"/>
      <c r="Q590" s="288"/>
      <c r="R590" s="288"/>
    </row>
    <row r="591" spans="14:18" x14ac:dyDescent="0.2">
      <c r="N591" s="288"/>
      <c r="O591" s="288"/>
      <c r="P591" s="288"/>
      <c r="Q591" s="288"/>
      <c r="R591" s="288"/>
    </row>
    <row r="592" spans="14:18" x14ac:dyDescent="0.2">
      <c r="N592" s="288"/>
      <c r="O592" s="288"/>
      <c r="P592" s="288"/>
      <c r="Q592" s="288"/>
      <c r="R592" s="288"/>
    </row>
    <row r="593" spans="14:18" x14ac:dyDescent="0.2">
      <c r="N593" s="288"/>
      <c r="O593" s="288"/>
      <c r="P593" s="288"/>
      <c r="Q593" s="288"/>
      <c r="R593" s="288"/>
    </row>
    <row r="594" spans="14:18" x14ac:dyDescent="0.2">
      <c r="N594" s="288"/>
      <c r="O594" s="288"/>
      <c r="P594" s="288"/>
      <c r="Q594" s="288"/>
      <c r="R594" s="288"/>
    </row>
    <row r="595" spans="14:18" x14ac:dyDescent="0.2">
      <c r="N595" s="288"/>
      <c r="O595" s="288"/>
      <c r="P595" s="288"/>
      <c r="Q595" s="288"/>
      <c r="R595" s="288"/>
    </row>
    <row r="596" spans="14:18" x14ac:dyDescent="0.2">
      <c r="N596" s="288"/>
      <c r="O596" s="288"/>
      <c r="P596" s="288"/>
      <c r="Q596" s="288"/>
      <c r="R596" s="288"/>
    </row>
    <row r="597" spans="14:18" x14ac:dyDescent="0.2">
      <c r="N597" s="288"/>
      <c r="O597" s="288"/>
      <c r="P597" s="288"/>
      <c r="Q597" s="288"/>
      <c r="R597" s="288"/>
    </row>
    <row r="598" spans="14:18" x14ac:dyDescent="0.2">
      <c r="N598" s="288"/>
      <c r="O598" s="288"/>
      <c r="P598" s="288"/>
      <c r="Q598" s="288"/>
      <c r="R598" s="288"/>
    </row>
    <row r="599" spans="14:18" x14ac:dyDescent="0.2">
      <c r="N599" s="288"/>
      <c r="O599" s="288"/>
      <c r="P599" s="288"/>
      <c r="Q599" s="288"/>
      <c r="R599" s="288"/>
    </row>
    <row r="600" spans="14:18" x14ac:dyDescent="0.2">
      <c r="N600" s="288"/>
      <c r="O600" s="288"/>
      <c r="P600" s="288"/>
      <c r="Q600" s="288"/>
      <c r="R600" s="288"/>
    </row>
    <row r="601" spans="14:18" x14ac:dyDescent="0.2">
      <c r="N601" s="288"/>
      <c r="O601" s="288"/>
      <c r="P601" s="288"/>
      <c r="Q601" s="288"/>
      <c r="R601" s="288"/>
    </row>
    <row r="602" spans="14:18" x14ac:dyDescent="0.2">
      <c r="N602" s="288"/>
      <c r="O602" s="288"/>
      <c r="P602" s="288"/>
      <c r="Q602" s="288"/>
      <c r="R602" s="288"/>
    </row>
    <row r="603" spans="14:18" x14ac:dyDescent="0.2">
      <c r="N603" s="288"/>
      <c r="O603" s="288"/>
      <c r="P603" s="288"/>
      <c r="Q603" s="288"/>
      <c r="R603" s="288"/>
    </row>
    <row r="604" spans="14:18" x14ac:dyDescent="0.2">
      <c r="N604" s="288"/>
      <c r="O604" s="288"/>
      <c r="P604" s="288"/>
      <c r="Q604" s="288"/>
      <c r="R604" s="288"/>
    </row>
    <row r="605" spans="14:18" x14ac:dyDescent="0.2">
      <c r="N605" s="288"/>
      <c r="O605" s="288"/>
      <c r="P605" s="288"/>
      <c r="Q605" s="288"/>
      <c r="R605" s="288"/>
    </row>
    <row r="606" spans="14:18" x14ac:dyDescent="0.2">
      <c r="N606" s="288"/>
      <c r="O606" s="288"/>
      <c r="P606" s="288"/>
      <c r="Q606" s="288"/>
      <c r="R606" s="288"/>
    </row>
    <row r="607" spans="14:18" x14ac:dyDescent="0.2">
      <c r="N607" s="288"/>
      <c r="O607" s="288"/>
      <c r="P607" s="288"/>
      <c r="Q607" s="288"/>
      <c r="R607" s="288"/>
    </row>
    <row r="608" spans="14:18" x14ac:dyDescent="0.2">
      <c r="N608" s="288"/>
      <c r="O608" s="288"/>
      <c r="P608" s="288"/>
      <c r="Q608" s="288"/>
      <c r="R608" s="288"/>
    </row>
    <row r="609" spans="14:18" x14ac:dyDescent="0.2">
      <c r="N609" s="288"/>
      <c r="O609" s="288"/>
      <c r="P609" s="288"/>
      <c r="Q609" s="288"/>
      <c r="R609" s="288"/>
    </row>
    <row r="610" spans="14:18" x14ac:dyDescent="0.2">
      <c r="N610" s="288"/>
      <c r="O610" s="288"/>
      <c r="P610" s="288"/>
      <c r="Q610" s="288"/>
      <c r="R610" s="288"/>
    </row>
    <row r="611" spans="14:18" x14ac:dyDescent="0.2">
      <c r="N611" s="288"/>
      <c r="O611" s="288"/>
      <c r="P611" s="288"/>
      <c r="Q611" s="288"/>
      <c r="R611" s="288"/>
    </row>
    <row r="612" spans="14:18" x14ac:dyDescent="0.2">
      <c r="N612" s="288"/>
      <c r="O612" s="288"/>
      <c r="P612" s="288"/>
      <c r="Q612" s="288"/>
      <c r="R612" s="288"/>
    </row>
    <row r="613" spans="14:18" x14ac:dyDescent="0.2">
      <c r="N613" s="288"/>
      <c r="O613" s="288"/>
      <c r="P613" s="288"/>
      <c r="Q613" s="288"/>
      <c r="R613" s="288"/>
    </row>
    <row r="614" spans="14:18" x14ac:dyDescent="0.2">
      <c r="N614" s="288"/>
      <c r="O614" s="288"/>
      <c r="P614" s="288"/>
      <c r="Q614" s="288"/>
      <c r="R614" s="288"/>
    </row>
    <row r="615" spans="14:18" x14ac:dyDescent="0.2">
      <c r="N615" s="288"/>
      <c r="O615" s="288"/>
      <c r="P615" s="288"/>
      <c r="Q615" s="288"/>
      <c r="R615" s="288"/>
    </row>
    <row r="616" spans="14:18" x14ac:dyDescent="0.2">
      <c r="N616" s="288"/>
      <c r="O616" s="288"/>
      <c r="P616" s="288"/>
      <c r="Q616" s="288"/>
      <c r="R616" s="288"/>
    </row>
    <row r="617" spans="14:18" x14ac:dyDescent="0.2">
      <c r="N617" s="288"/>
      <c r="O617" s="288"/>
      <c r="P617" s="288"/>
      <c r="Q617" s="288"/>
      <c r="R617" s="288"/>
    </row>
    <row r="618" spans="14:18" x14ac:dyDescent="0.2">
      <c r="N618" s="288"/>
      <c r="O618" s="288"/>
      <c r="P618" s="288"/>
      <c r="Q618" s="288"/>
      <c r="R618" s="288"/>
    </row>
    <row r="619" spans="14:18" x14ac:dyDescent="0.2">
      <c r="N619" s="288"/>
      <c r="O619" s="288"/>
      <c r="P619" s="288"/>
      <c r="Q619" s="288"/>
      <c r="R619" s="288"/>
    </row>
    <row r="620" spans="14:18" x14ac:dyDescent="0.2">
      <c r="N620" s="288"/>
      <c r="O620" s="288"/>
      <c r="P620" s="288"/>
      <c r="Q620" s="288"/>
      <c r="R620" s="288"/>
    </row>
    <row r="621" spans="14:18" x14ac:dyDescent="0.2">
      <c r="N621" s="288"/>
      <c r="O621" s="288"/>
      <c r="P621" s="288"/>
      <c r="Q621" s="288"/>
      <c r="R621" s="288"/>
    </row>
    <row r="622" spans="14:18" x14ac:dyDescent="0.2">
      <c r="N622" s="288"/>
      <c r="O622" s="288"/>
      <c r="P622" s="288"/>
      <c r="Q622" s="288"/>
      <c r="R622" s="288"/>
    </row>
    <row r="623" spans="14:18" x14ac:dyDescent="0.2">
      <c r="N623" s="288"/>
      <c r="O623" s="288"/>
      <c r="P623" s="288"/>
      <c r="Q623" s="288"/>
      <c r="R623" s="288"/>
    </row>
    <row r="624" spans="14:18" x14ac:dyDescent="0.2">
      <c r="N624" s="288"/>
      <c r="O624" s="288"/>
      <c r="P624" s="288"/>
      <c r="Q624" s="288"/>
      <c r="R624" s="288"/>
    </row>
    <row r="625" spans="14:18" x14ac:dyDescent="0.2">
      <c r="N625" s="288"/>
      <c r="O625" s="288"/>
      <c r="P625" s="288"/>
      <c r="Q625" s="288"/>
      <c r="R625" s="288"/>
    </row>
    <row r="626" spans="14:18" x14ac:dyDescent="0.2">
      <c r="N626" s="288"/>
      <c r="O626" s="288"/>
      <c r="P626" s="288"/>
      <c r="Q626" s="288"/>
      <c r="R626" s="288"/>
    </row>
    <row r="627" spans="14:18" x14ac:dyDescent="0.2">
      <c r="N627" s="288"/>
      <c r="O627" s="288"/>
      <c r="P627" s="288"/>
      <c r="Q627" s="288"/>
      <c r="R627" s="288"/>
    </row>
    <row r="628" spans="14:18" x14ac:dyDescent="0.2">
      <c r="N628" s="288"/>
      <c r="O628" s="288"/>
      <c r="P628" s="288"/>
      <c r="Q628" s="288"/>
      <c r="R628" s="288"/>
    </row>
    <row r="629" spans="14:18" x14ac:dyDescent="0.2">
      <c r="N629" s="288"/>
      <c r="O629" s="288"/>
      <c r="P629" s="288"/>
      <c r="Q629" s="288"/>
      <c r="R629" s="288"/>
    </row>
    <row r="630" spans="14:18" x14ac:dyDescent="0.2">
      <c r="N630" s="288"/>
      <c r="O630" s="288"/>
      <c r="P630" s="288"/>
      <c r="Q630" s="288"/>
      <c r="R630" s="288"/>
    </row>
    <row r="631" spans="14:18" x14ac:dyDescent="0.2">
      <c r="N631" s="288"/>
      <c r="O631" s="288"/>
      <c r="P631" s="288"/>
      <c r="Q631" s="288"/>
      <c r="R631" s="288"/>
    </row>
    <row r="632" spans="14:18" x14ac:dyDescent="0.2">
      <c r="N632" s="288"/>
      <c r="O632" s="288"/>
      <c r="P632" s="288"/>
      <c r="Q632" s="288"/>
      <c r="R632" s="288"/>
    </row>
    <row r="633" spans="14:18" x14ac:dyDescent="0.2">
      <c r="N633" s="288"/>
      <c r="O633" s="288"/>
      <c r="P633" s="288"/>
      <c r="Q633" s="288"/>
      <c r="R633" s="288"/>
    </row>
    <row r="634" spans="14:18" x14ac:dyDescent="0.2">
      <c r="N634" s="288"/>
      <c r="O634" s="288"/>
      <c r="P634" s="288"/>
      <c r="Q634" s="288"/>
      <c r="R634" s="288"/>
    </row>
    <row r="635" spans="14:18" x14ac:dyDescent="0.2">
      <c r="N635" s="288"/>
      <c r="O635" s="288"/>
      <c r="P635" s="288"/>
      <c r="Q635" s="288"/>
      <c r="R635" s="288"/>
    </row>
    <row r="636" spans="14:18" x14ac:dyDescent="0.2">
      <c r="N636" s="288"/>
      <c r="O636" s="288"/>
      <c r="P636" s="288"/>
      <c r="Q636" s="288"/>
      <c r="R636" s="288"/>
    </row>
    <row r="637" spans="14:18" x14ac:dyDescent="0.2">
      <c r="N637" s="288"/>
      <c r="O637" s="288"/>
      <c r="P637" s="288"/>
      <c r="Q637" s="288"/>
      <c r="R637" s="288"/>
    </row>
    <row r="638" spans="14:18" x14ac:dyDescent="0.2">
      <c r="N638" s="288"/>
      <c r="O638" s="288"/>
      <c r="P638" s="288"/>
      <c r="Q638" s="288"/>
      <c r="R638" s="288"/>
    </row>
    <row r="639" spans="14:18" x14ac:dyDescent="0.2">
      <c r="N639" s="288"/>
      <c r="O639" s="288"/>
      <c r="P639" s="288"/>
      <c r="Q639" s="288"/>
      <c r="R639" s="288"/>
    </row>
    <row r="640" spans="14:18" x14ac:dyDescent="0.2">
      <c r="N640" s="288"/>
      <c r="O640" s="288"/>
      <c r="P640" s="288"/>
      <c r="Q640" s="288"/>
      <c r="R640" s="288"/>
    </row>
    <row r="641" spans="14:18" x14ac:dyDescent="0.2">
      <c r="N641" s="288"/>
      <c r="O641" s="288"/>
      <c r="P641" s="288"/>
      <c r="Q641" s="288"/>
      <c r="R641" s="288"/>
    </row>
    <row r="642" spans="14:18" x14ac:dyDescent="0.2">
      <c r="N642" s="288"/>
      <c r="O642" s="288"/>
      <c r="P642" s="288"/>
      <c r="Q642" s="288"/>
      <c r="R642" s="288"/>
    </row>
    <row r="643" spans="14:18" x14ac:dyDescent="0.2">
      <c r="N643" s="288"/>
      <c r="O643" s="288"/>
      <c r="P643" s="288"/>
      <c r="Q643" s="288"/>
      <c r="R643" s="288"/>
    </row>
    <row r="644" spans="14:18" x14ac:dyDescent="0.2">
      <c r="N644" s="288"/>
      <c r="O644" s="288"/>
      <c r="P644" s="288"/>
      <c r="Q644" s="288"/>
      <c r="R644" s="288"/>
    </row>
    <row r="645" spans="14:18" x14ac:dyDescent="0.2">
      <c r="N645" s="288"/>
      <c r="O645" s="288"/>
      <c r="P645" s="288"/>
      <c r="Q645" s="288"/>
      <c r="R645" s="288"/>
    </row>
    <row r="646" spans="14:18" x14ac:dyDescent="0.2">
      <c r="N646" s="288"/>
      <c r="O646" s="288"/>
      <c r="P646" s="288"/>
      <c r="Q646" s="288"/>
      <c r="R646" s="288"/>
    </row>
    <row r="647" spans="14:18" x14ac:dyDescent="0.2">
      <c r="N647" s="288"/>
      <c r="O647" s="288"/>
      <c r="P647" s="288"/>
      <c r="Q647" s="288"/>
      <c r="R647" s="288"/>
    </row>
    <row r="648" spans="14:18" x14ac:dyDescent="0.2">
      <c r="N648" s="288"/>
      <c r="O648" s="288"/>
      <c r="P648" s="288"/>
      <c r="Q648" s="288"/>
      <c r="R648" s="288"/>
    </row>
    <row r="649" spans="14:18" x14ac:dyDescent="0.2">
      <c r="N649" s="288"/>
      <c r="O649" s="288"/>
      <c r="P649" s="288"/>
      <c r="Q649" s="288"/>
      <c r="R649" s="288"/>
    </row>
    <row r="650" spans="14:18" x14ac:dyDescent="0.2">
      <c r="N650" s="288"/>
      <c r="O650" s="288"/>
      <c r="P650" s="288"/>
      <c r="Q650" s="288"/>
      <c r="R650" s="288"/>
    </row>
    <row r="651" spans="14:18" x14ac:dyDescent="0.2">
      <c r="N651" s="288"/>
      <c r="O651" s="288"/>
      <c r="P651" s="288"/>
      <c r="Q651" s="288"/>
      <c r="R651" s="288"/>
    </row>
    <row r="652" spans="14:18" x14ac:dyDescent="0.2">
      <c r="N652" s="288"/>
      <c r="O652" s="288"/>
      <c r="P652" s="288"/>
      <c r="Q652" s="288"/>
      <c r="R652" s="288"/>
    </row>
    <row r="653" spans="14:18" x14ac:dyDescent="0.2">
      <c r="N653" s="288"/>
      <c r="O653" s="288"/>
      <c r="P653" s="288"/>
      <c r="Q653" s="288"/>
      <c r="R653" s="288"/>
    </row>
    <row r="654" spans="14:18" x14ac:dyDescent="0.2">
      <c r="N654" s="288"/>
      <c r="O654" s="288"/>
      <c r="P654" s="288"/>
      <c r="Q654" s="288"/>
      <c r="R654" s="288"/>
    </row>
    <row r="655" spans="14:18" x14ac:dyDescent="0.2">
      <c r="N655" s="288"/>
      <c r="O655" s="288"/>
      <c r="P655" s="288"/>
      <c r="Q655" s="288"/>
      <c r="R655" s="288"/>
    </row>
    <row r="656" spans="14:18" x14ac:dyDescent="0.2">
      <c r="N656" s="288"/>
      <c r="O656" s="288"/>
      <c r="P656" s="288"/>
      <c r="Q656" s="288"/>
      <c r="R656" s="288"/>
    </row>
    <row r="657" spans="14:18" x14ac:dyDescent="0.2">
      <c r="N657" s="288"/>
      <c r="O657" s="288"/>
      <c r="P657" s="288"/>
      <c r="Q657" s="288"/>
      <c r="R657" s="288"/>
    </row>
    <row r="658" spans="14:18" x14ac:dyDescent="0.2">
      <c r="N658" s="288"/>
      <c r="O658" s="288"/>
      <c r="P658" s="288"/>
      <c r="Q658" s="288"/>
      <c r="R658" s="288"/>
    </row>
    <row r="659" spans="14:18" x14ac:dyDescent="0.2">
      <c r="N659" s="288"/>
      <c r="O659" s="288"/>
      <c r="P659" s="288"/>
      <c r="Q659" s="288"/>
      <c r="R659" s="288"/>
    </row>
    <row r="660" spans="14:18" x14ac:dyDescent="0.2">
      <c r="N660" s="288"/>
      <c r="O660" s="288"/>
      <c r="P660" s="288"/>
      <c r="Q660" s="288"/>
      <c r="R660" s="288"/>
    </row>
    <row r="661" spans="14:18" x14ac:dyDescent="0.2">
      <c r="N661" s="288"/>
      <c r="O661" s="288"/>
      <c r="P661" s="288"/>
      <c r="Q661" s="288"/>
      <c r="R661" s="288"/>
    </row>
    <row r="662" spans="14:18" x14ac:dyDescent="0.2">
      <c r="N662" s="288"/>
      <c r="O662" s="288"/>
      <c r="P662" s="288"/>
      <c r="Q662" s="288"/>
      <c r="R662" s="288"/>
    </row>
    <row r="663" spans="14:18" x14ac:dyDescent="0.2">
      <c r="N663" s="288"/>
      <c r="O663" s="288"/>
      <c r="P663" s="288"/>
      <c r="Q663" s="288"/>
      <c r="R663" s="288"/>
    </row>
    <row r="664" spans="14:18" x14ac:dyDescent="0.2">
      <c r="N664" s="288"/>
      <c r="O664" s="288"/>
      <c r="P664" s="288"/>
      <c r="Q664" s="288"/>
      <c r="R664" s="288"/>
    </row>
    <row r="665" spans="14:18" x14ac:dyDescent="0.2">
      <c r="N665" s="288"/>
      <c r="O665" s="288"/>
      <c r="P665" s="288"/>
      <c r="Q665" s="288"/>
      <c r="R665" s="288"/>
    </row>
    <row r="666" spans="14:18" x14ac:dyDescent="0.2">
      <c r="N666" s="288"/>
      <c r="O666" s="288"/>
      <c r="P666" s="288"/>
      <c r="Q666" s="288"/>
      <c r="R666" s="288"/>
    </row>
    <row r="667" spans="14:18" x14ac:dyDescent="0.2">
      <c r="N667" s="288"/>
      <c r="O667" s="288"/>
      <c r="P667" s="288"/>
      <c r="Q667" s="288"/>
      <c r="R667" s="288"/>
    </row>
    <row r="668" spans="14:18" x14ac:dyDescent="0.2">
      <c r="N668" s="288"/>
      <c r="O668" s="288"/>
      <c r="P668" s="288"/>
      <c r="Q668" s="288"/>
      <c r="R668" s="288"/>
    </row>
    <row r="669" spans="14:18" x14ac:dyDescent="0.2">
      <c r="N669" s="288"/>
      <c r="O669" s="288"/>
      <c r="P669" s="288"/>
      <c r="Q669" s="288"/>
      <c r="R669" s="288"/>
    </row>
    <row r="670" spans="14:18" x14ac:dyDescent="0.2">
      <c r="N670" s="288"/>
      <c r="O670" s="288"/>
      <c r="P670" s="288"/>
      <c r="Q670" s="288"/>
      <c r="R670" s="288"/>
    </row>
    <row r="671" spans="14:18" x14ac:dyDescent="0.2">
      <c r="N671" s="288"/>
      <c r="O671" s="288"/>
      <c r="P671" s="288"/>
      <c r="Q671" s="288"/>
      <c r="R671" s="288"/>
    </row>
    <row r="672" spans="14:18" x14ac:dyDescent="0.2">
      <c r="N672" s="288"/>
      <c r="O672" s="288"/>
      <c r="P672" s="288"/>
      <c r="Q672" s="288"/>
      <c r="R672" s="288"/>
    </row>
    <row r="673" spans="14:18" x14ac:dyDescent="0.2">
      <c r="N673" s="288"/>
      <c r="O673" s="288"/>
      <c r="P673" s="288"/>
      <c r="Q673" s="288"/>
      <c r="R673" s="288"/>
    </row>
    <row r="674" spans="14:18" x14ac:dyDescent="0.2">
      <c r="N674" s="288"/>
      <c r="O674" s="288"/>
      <c r="P674" s="288"/>
      <c r="Q674" s="288"/>
      <c r="R674" s="288"/>
    </row>
    <row r="675" spans="14:18" x14ac:dyDescent="0.2">
      <c r="N675" s="288"/>
      <c r="O675" s="288"/>
      <c r="P675" s="288"/>
      <c r="Q675" s="288"/>
      <c r="R675" s="288"/>
    </row>
    <row r="676" spans="14:18" x14ac:dyDescent="0.2">
      <c r="N676" s="288"/>
      <c r="O676" s="288"/>
      <c r="P676" s="288"/>
      <c r="Q676" s="288"/>
      <c r="R676" s="288"/>
    </row>
    <row r="677" spans="14:18" x14ac:dyDescent="0.2">
      <c r="N677" s="288"/>
      <c r="O677" s="288"/>
      <c r="P677" s="288"/>
      <c r="Q677" s="288"/>
      <c r="R677" s="288"/>
    </row>
    <row r="678" spans="14:18" x14ac:dyDescent="0.2">
      <c r="N678" s="288"/>
      <c r="O678" s="288"/>
      <c r="P678" s="288"/>
      <c r="Q678" s="288"/>
      <c r="R678" s="288"/>
    </row>
    <row r="679" spans="14:18" x14ac:dyDescent="0.2">
      <c r="N679" s="288"/>
      <c r="O679" s="288"/>
      <c r="P679" s="288"/>
      <c r="Q679" s="288"/>
      <c r="R679" s="288"/>
    </row>
    <row r="680" spans="14:18" x14ac:dyDescent="0.2">
      <c r="N680" s="288"/>
      <c r="O680" s="288"/>
      <c r="P680" s="288"/>
      <c r="Q680" s="288"/>
      <c r="R680" s="288"/>
    </row>
    <row r="681" spans="14:18" x14ac:dyDescent="0.2">
      <c r="N681" s="288"/>
      <c r="O681" s="288"/>
      <c r="P681" s="288"/>
      <c r="Q681" s="288"/>
      <c r="R681" s="288"/>
    </row>
    <row r="682" spans="14:18" x14ac:dyDescent="0.2">
      <c r="N682" s="288"/>
      <c r="O682" s="288"/>
      <c r="P682" s="288"/>
      <c r="Q682" s="288"/>
      <c r="R682" s="288"/>
    </row>
    <row r="683" spans="14:18" x14ac:dyDescent="0.2">
      <c r="N683" s="288"/>
      <c r="O683" s="288"/>
      <c r="P683" s="288"/>
      <c r="Q683" s="288"/>
      <c r="R683" s="288"/>
    </row>
    <row r="684" spans="14:18" x14ac:dyDescent="0.2">
      <c r="N684" s="288"/>
      <c r="O684" s="288"/>
      <c r="P684" s="288"/>
      <c r="Q684" s="288"/>
      <c r="R684" s="288"/>
    </row>
    <row r="685" spans="14:18" x14ac:dyDescent="0.2">
      <c r="N685" s="288"/>
      <c r="O685" s="288"/>
      <c r="P685" s="288"/>
      <c r="Q685" s="288"/>
      <c r="R685" s="288"/>
    </row>
    <row r="686" spans="14:18" x14ac:dyDescent="0.2">
      <c r="N686" s="288"/>
      <c r="O686" s="288"/>
      <c r="P686" s="288"/>
      <c r="Q686" s="288"/>
      <c r="R686" s="288"/>
    </row>
    <row r="687" spans="14:18" x14ac:dyDescent="0.2">
      <c r="N687" s="288"/>
      <c r="O687" s="288"/>
      <c r="P687" s="288"/>
      <c r="Q687" s="288"/>
      <c r="R687" s="288"/>
    </row>
    <row r="688" spans="14:18" x14ac:dyDescent="0.2">
      <c r="N688" s="288"/>
      <c r="O688" s="288"/>
      <c r="P688" s="288"/>
      <c r="Q688" s="288"/>
      <c r="R688" s="288"/>
    </row>
    <row r="689" spans="14:18" x14ac:dyDescent="0.2">
      <c r="N689" s="288"/>
      <c r="O689" s="288"/>
      <c r="P689" s="288"/>
      <c r="Q689" s="288"/>
      <c r="R689" s="288"/>
    </row>
    <row r="690" spans="14:18" x14ac:dyDescent="0.2">
      <c r="N690" s="288"/>
      <c r="O690" s="288"/>
      <c r="P690" s="288"/>
      <c r="Q690" s="288"/>
      <c r="R690" s="288"/>
    </row>
    <row r="691" spans="14:18" x14ac:dyDescent="0.2">
      <c r="N691" s="288"/>
      <c r="O691" s="288"/>
      <c r="P691" s="288"/>
      <c r="Q691" s="288"/>
      <c r="R691" s="288"/>
    </row>
    <row r="692" spans="14:18" x14ac:dyDescent="0.2">
      <c r="N692" s="288"/>
      <c r="O692" s="288"/>
      <c r="P692" s="288"/>
      <c r="Q692" s="288"/>
      <c r="R692" s="288"/>
    </row>
    <row r="693" spans="14:18" x14ac:dyDescent="0.2">
      <c r="N693" s="288"/>
      <c r="O693" s="288"/>
      <c r="P693" s="288"/>
      <c r="Q693" s="288"/>
      <c r="R693" s="288"/>
    </row>
    <row r="694" spans="14:18" x14ac:dyDescent="0.2">
      <c r="N694" s="288"/>
      <c r="O694" s="288"/>
      <c r="P694" s="288"/>
      <c r="Q694" s="288"/>
      <c r="R694" s="288"/>
    </row>
    <row r="695" spans="14:18" x14ac:dyDescent="0.2">
      <c r="N695" s="288"/>
      <c r="O695" s="288"/>
      <c r="P695" s="288"/>
      <c r="Q695" s="288"/>
      <c r="R695" s="288"/>
    </row>
    <row r="696" spans="14:18" x14ac:dyDescent="0.2">
      <c r="N696" s="288"/>
      <c r="O696" s="288"/>
      <c r="P696" s="288"/>
      <c r="Q696" s="288"/>
      <c r="R696" s="288"/>
    </row>
    <row r="697" spans="14:18" x14ac:dyDescent="0.2">
      <c r="N697" s="288"/>
      <c r="O697" s="288"/>
      <c r="P697" s="288"/>
      <c r="Q697" s="288"/>
      <c r="R697" s="288"/>
    </row>
    <row r="698" spans="14:18" x14ac:dyDescent="0.2">
      <c r="N698" s="288"/>
      <c r="O698" s="288"/>
      <c r="P698" s="288"/>
      <c r="Q698" s="288"/>
      <c r="R698" s="288"/>
    </row>
    <row r="699" spans="14:18" x14ac:dyDescent="0.2">
      <c r="N699" s="288"/>
      <c r="O699" s="288"/>
      <c r="P699" s="288"/>
      <c r="Q699" s="288"/>
      <c r="R699" s="288"/>
    </row>
    <row r="700" spans="14:18" x14ac:dyDescent="0.2">
      <c r="N700" s="288"/>
      <c r="O700" s="288"/>
      <c r="P700" s="288"/>
      <c r="Q700" s="288"/>
      <c r="R700" s="288"/>
    </row>
    <row r="701" spans="14:18" x14ac:dyDescent="0.2">
      <c r="N701" s="288"/>
      <c r="O701" s="288"/>
      <c r="P701" s="288"/>
      <c r="Q701" s="288"/>
      <c r="R701" s="288"/>
    </row>
    <row r="702" spans="14:18" x14ac:dyDescent="0.2">
      <c r="N702" s="288"/>
      <c r="O702" s="288"/>
      <c r="P702" s="288"/>
      <c r="Q702" s="288"/>
      <c r="R702" s="288"/>
    </row>
    <row r="703" spans="14:18" x14ac:dyDescent="0.2">
      <c r="N703" s="288"/>
      <c r="O703" s="288"/>
      <c r="P703" s="288"/>
      <c r="Q703" s="288"/>
      <c r="R703" s="288"/>
    </row>
    <row r="704" spans="14:18" x14ac:dyDescent="0.2">
      <c r="N704" s="288"/>
      <c r="O704" s="288"/>
      <c r="P704" s="288"/>
      <c r="Q704" s="288"/>
      <c r="R704" s="288"/>
    </row>
    <row r="705" spans="14:18" x14ac:dyDescent="0.2">
      <c r="N705" s="288"/>
      <c r="O705" s="288"/>
      <c r="P705" s="288"/>
      <c r="Q705" s="288"/>
      <c r="R705" s="288"/>
    </row>
    <row r="706" spans="14:18" x14ac:dyDescent="0.2">
      <c r="N706" s="288"/>
      <c r="O706" s="288"/>
      <c r="P706" s="288"/>
      <c r="Q706" s="288"/>
      <c r="R706" s="288"/>
    </row>
    <row r="707" spans="14:18" x14ac:dyDescent="0.2">
      <c r="N707" s="288"/>
      <c r="O707" s="288"/>
      <c r="P707" s="288"/>
      <c r="Q707" s="288"/>
      <c r="R707" s="288"/>
    </row>
    <row r="708" spans="14:18" x14ac:dyDescent="0.2">
      <c r="N708" s="288"/>
      <c r="O708" s="288"/>
      <c r="P708" s="288"/>
      <c r="Q708" s="288"/>
      <c r="R708" s="288"/>
    </row>
    <row r="709" spans="14:18" x14ac:dyDescent="0.2">
      <c r="N709" s="288"/>
      <c r="O709" s="288"/>
      <c r="P709" s="288"/>
      <c r="Q709" s="288"/>
      <c r="R709" s="288"/>
    </row>
    <row r="710" spans="14:18" x14ac:dyDescent="0.2">
      <c r="N710" s="288"/>
      <c r="O710" s="288"/>
      <c r="P710" s="288"/>
      <c r="Q710" s="288"/>
      <c r="R710" s="288"/>
    </row>
    <row r="711" spans="14:18" x14ac:dyDescent="0.2">
      <c r="N711" s="288"/>
      <c r="O711" s="288"/>
      <c r="P711" s="288"/>
      <c r="Q711" s="288"/>
      <c r="R711" s="288"/>
    </row>
    <row r="712" spans="14:18" x14ac:dyDescent="0.2">
      <c r="N712" s="288"/>
      <c r="O712" s="288"/>
      <c r="P712" s="288"/>
      <c r="Q712" s="288"/>
      <c r="R712" s="288"/>
    </row>
    <row r="713" spans="14:18" x14ac:dyDescent="0.2">
      <c r="N713" s="288"/>
      <c r="O713" s="288"/>
      <c r="P713" s="288"/>
      <c r="Q713" s="288"/>
      <c r="R713" s="288"/>
    </row>
    <row r="714" spans="14:18" x14ac:dyDescent="0.2">
      <c r="N714" s="288"/>
      <c r="O714" s="288"/>
      <c r="P714" s="288"/>
      <c r="Q714" s="288"/>
      <c r="R714" s="288"/>
    </row>
    <row r="715" spans="14:18" x14ac:dyDescent="0.2">
      <c r="N715" s="288"/>
      <c r="O715" s="288"/>
      <c r="P715" s="288"/>
      <c r="Q715" s="288"/>
      <c r="R715" s="288"/>
    </row>
    <row r="716" spans="14:18" x14ac:dyDescent="0.2">
      <c r="N716" s="288"/>
      <c r="O716" s="288"/>
      <c r="P716" s="288"/>
      <c r="Q716" s="288"/>
      <c r="R716" s="288"/>
    </row>
    <row r="717" spans="14:18" x14ac:dyDescent="0.2">
      <c r="N717" s="288"/>
      <c r="O717" s="288"/>
      <c r="P717" s="288"/>
      <c r="Q717" s="288"/>
      <c r="R717" s="288"/>
    </row>
    <row r="718" spans="14:18" x14ac:dyDescent="0.2">
      <c r="N718" s="288"/>
      <c r="O718" s="288"/>
      <c r="P718" s="288"/>
      <c r="Q718" s="288"/>
      <c r="R718" s="288"/>
    </row>
    <row r="719" spans="14:18" x14ac:dyDescent="0.2">
      <c r="N719" s="288"/>
      <c r="O719" s="288"/>
      <c r="P719" s="288"/>
      <c r="Q719" s="288"/>
      <c r="R719" s="288"/>
    </row>
    <row r="720" spans="14:18" x14ac:dyDescent="0.2">
      <c r="N720" s="288"/>
      <c r="O720" s="288"/>
      <c r="P720" s="288"/>
      <c r="Q720" s="288"/>
      <c r="R720" s="288"/>
    </row>
    <row r="721" spans="14:18" x14ac:dyDescent="0.2">
      <c r="N721" s="288"/>
      <c r="O721" s="288"/>
      <c r="P721" s="288"/>
      <c r="Q721" s="288"/>
      <c r="R721" s="288"/>
    </row>
    <row r="722" spans="14:18" x14ac:dyDescent="0.2">
      <c r="N722" s="288"/>
      <c r="O722" s="288"/>
      <c r="P722" s="288"/>
      <c r="Q722" s="288"/>
      <c r="R722" s="288"/>
    </row>
    <row r="723" spans="14:18" x14ac:dyDescent="0.2">
      <c r="N723" s="288"/>
      <c r="O723" s="288"/>
      <c r="P723" s="288"/>
      <c r="Q723" s="288"/>
      <c r="R723" s="288"/>
    </row>
    <row r="724" spans="14:18" x14ac:dyDescent="0.2">
      <c r="N724" s="288"/>
      <c r="O724" s="288"/>
      <c r="P724" s="288"/>
      <c r="Q724" s="288"/>
      <c r="R724" s="288"/>
    </row>
    <row r="725" spans="14:18" x14ac:dyDescent="0.2">
      <c r="N725" s="288"/>
      <c r="O725" s="288"/>
      <c r="P725" s="288"/>
      <c r="Q725" s="288"/>
      <c r="R725" s="288"/>
    </row>
    <row r="726" spans="14:18" x14ac:dyDescent="0.2">
      <c r="N726" s="288"/>
      <c r="O726" s="288"/>
      <c r="P726" s="288"/>
      <c r="Q726" s="288"/>
      <c r="R726" s="288"/>
    </row>
    <row r="727" spans="14:18" x14ac:dyDescent="0.2">
      <c r="N727" s="288"/>
      <c r="O727" s="288"/>
      <c r="P727" s="288"/>
      <c r="Q727" s="288"/>
      <c r="R727" s="288"/>
    </row>
    <row r="728" spans="14:18" x14ac:dyDescent="0.2">
      <c r="N728" s="288"/>
      <c r="O728" s="288"/>
      <c r="P728" s="288"/>
      <c r="Q728" s="288"/>
      <c r="R728" s="288"/>
    </row>
    <row r="729" spans="14:18" x14ac:dyDescent="0.2">
      <c r="N729" s="288"/>
      <c r="O729" s="288"/>
      <c r="P729" s="288"/>
      <c r="Q729" s="288"/>
      <c r="R729" s="288"/>
    </row>
    <row r="730" spans="14:18" x14ac:dyDescent="0.2">
      <c r="N730" s="288"/>
      <c r="O730" s="288"/>
      <c r="P730" s="288"/>
      <c r="Q730" s="288"/>
      <c r="R730" s="288"/>
    </row>
    <row r="731" spans="14:18" x14ac:dyDescent="0.2">
      <c r="N731" s="288"/>
      <c r="O731" s="288"/>
      <c r="P731" s="288"/>
      <c r="Q731" s="288"/>
      <c r="R731" s="288"/>
    </row>
    <row r="732" spans="14:18" x14ac:dyDescent="0.2">
      <c r="N732" s="288"/>
      <c r="O732" s="288"/>
      <c r="P732" s="288"/>
      <c r="Q732" s="288"/>
      <c r="R732" s="288"/>
    </row>
    <row r="733" spans="14:18" x14ac:dyDescent="0.2">
      <c r="N733" s="288"/>
      <c r="O733" s="288"/>
      <c r="P733" s="288"/>
      <c r="Q733" s="288"/>
      <c r="R733" s="288"/>
    </row>
    <row r="734" spans="14:18" x14ac:dyDescent="0.2">
      <c r="N734" s="288"/>
      <c r="O734" s="288"/>
      <c r="P734" s="288"/>
      <c r="Q734" s="288"/>
      <c r="R734" s="288"/>
    </row>
    <row r="735" spans="14:18" x14ac:dyDescent="0.2">
      <c r="N735" s="288"/>
      <c r="O735" s="288"/>
      <c r="P735" s="288"/>
      <c r="Q735" s="288"/>
      <c r="R735" s="288"/>
    </row>
    <row r="736" spans="14:18" x14ac:dyDescent="0.2">
      <c r="N736" s="288"/>
      <c r="O736" s="288"/>
      <c r="P736" s="288"/>
      <c r="Q736" s="288"/>
      <c r="R736" s="288"/>
    </row>
    <row r="737" spans="14:18" x14ac:dyDescent="0.2">
      <c r="N737" s="288"/>
      <c r="O737" s="288"/>
      <c r="P737" s="288"/>
      <c r="Q737" s="288"/>
      <c r="R737" s="288"/>
    </row>
    <row r="738" spans="14:18" x14ac:dyDescent="0.2">
      <c r="N738" s="288"/>
      <c r="O738" s="288"/>
      <c r="P738" s="288"/>
      <c r="Q738" s="288"/>
      <c r="R738" s="288"/>
    </row>
    <row r="739" spans="14:18" x14ac:dyDescent="0.2">
      <c r="N739" s="288"/>
      <c r="O739" s="288"/>
      <c r="P739" s="288"/>
      <c r="Q739" s="288"/>
      <c r="R739" s="288"/>
    </row>
    <row r="740" spans="14:18" x14ac:dyDescent="0.2">
      <c r="N740" s="288"/>
      <c r="O740" s="288"/>
      <c r="P740" s="288"/>
      <c r="Q740" s="288"/>
      <c r="R740" s="288"/>
    </row>
    <row r="741" spans="14:18" x14ac:dyDescent="0.2">
      <c r="N741" s="288"/>
      <c r="O741" s="288"/>
      <c r="P741" s="288"/>
      <c r="Q741" s="288"/>
      <c r="R741" s="288"/>
    </row>
    <row r="742" spans="14:18" x14ac:dyDescent="0.2">
      <c r="N742" s="288"/>
      <c r="O742" s="288"/>
      <c r="P742" s="288"/>
      <c r="Q742" s="288"/>
      <c r="R742" s="288"/>
    </row>
    <row r="743" spans="14:18" x14ac:dyDescent="0.2">
      <c r="N743" s="288"/>
      <c r="O743" s="288"/>
      <c r="P743" s="288"/>
      <c r="Q743" s="288"/>
      <c r="R743" s="288"/>
    </row>
    <row r="744" spans="14:18" x14ac:dyDescent="0.2">
      <c r="N744" s="288"/>
      <c r="O744" s="288"/>
      <c r="P744" s="288"/>
      <c r="Q744" s="288"/>
      <c r="R744" s="288"/>
    </row>
    <row r="745" spans="14:18" x14ac:dyDescent="0.2">
      <c r="N745" s="288"/>
      <c r="O745" s="288"/>
      <c r="P745" s="288"/>
      <c r="Q745" s="288"/>
      <c r="R745" s="288"/>
    </row>
    <row r="746" spans="14:18" x14ac:dyDescent="0.2">
      <c r="N746" s="288"/>
      <c r="O746" s="288"/>
      <c r="P746" s="288"/>
      <c r="Q746" s="288"/>
      <c r="R746" s="288"/>
    </row>
    <row r="747" spans="14:18" x14ac:dyDescent="0.2">
      <c r="N747" s="288"/>
      <c r="O747" s="288"/>
      <c r="P747" s="288"/>
      <c r="Q747" s="288"/>
      <c r="R747" s="288"/>
    </row>
    <row r="748" spans="14:18" x14ac:dyDescent="0.2">
      <c r="N748" s="288"/>
      <c r="O748" s="288"/>
      <c r="P748" s="288"/>
      <c r="Q748" s="288"/>
      <c r="R748" s="288"/>
    </row>
    <row r="749" spans="14:18" x14ac:dyDescent="0.2">
      <c r="N749" s="288"/>
      <c r="O749" s="288"/>
      <c r="P749" s="288"/>
      <c r="Q749" s="288"/>
      <c r="R749" s="288"/>
    </row>
    <row r="750" spans="14:18" x14ac:dyDescent="0.2">
      <c r="N750" s="288"/>
      <c r="O750" s="288"/>
      <c r="P750" s="288"/>
      <c r="Q750" s="288"/>
      <c r="R750" s="288"/>
    </row>
    <row r="751" spans="14:18" x14ac:dyDescent="0.2">
      <c r="N751" s="288"/>
      <c r="O751" s="288"/>
      <c r="P751" s="288"/>
      <c r="Q751" s="288"/>
      <c r="R751" s="288"/>
    </row>
    <row r="752" spans="14:18" x14ac:dyDescent="0.2">
      <c r="N752" s="288"/>
      <c r="O752" s="288"/>
      <c r="P752" s="288"/>
      <c r="Q752" s="288"/>
      <c r="R752" s="288"/>
    </row>
    <row r="753" spans="14:18" x14ac:dyDescent="0.2">
      <c r="N753" s="288"/>
      <c r="O753" s="288"/>
      <c r="P753" s="288"/>
      <c r="Q753" s="288"/>
      <c r="R753" s="288"/>
    </row>
    <row r="754" spans="14:18" x14ac:dyDescent="0.2">
      <c r="N754" s="288"/>
      <c r="O754" s="288"/>
      <c r="P754" s="288"/>
      <c r="Q754" s="288"/>
      <c r="R754" s="288"/>
    </row>
    <row r="755" spans="14:18" x14ac:dyDescent="0.2">
      <c r="N755" s="288"/>
      <c r="O755" s="288"/>
      <c r="P755" s="288"/>
      <c r="Q755" s="288"/>
      <c r="R755" s="288"/>
    </row>
    <row r="756" spans="14:18" x14ac:dyDescent="0.2">
      <c r="N756" s="288"/>
      <c r="O756" s="288"/>
      <c r="P756" s="288"/>
      <c r="Q756" s="288"/>
      <c r="R756" s="288"/>
    </row>
    <row r="757" spans="14:18" x14ac:dyDescent="0.2">
      <c r="N757" s="288"/>
      <c r="O757" s="288"/>
      <c r="P757" s="288"/>
      <c r="Q757" s="288"/>
      <c r="R757" s="288"/>
    </row>
    <row r="758" spans="14:18" x14ac:dyDescent="0.2">
      <c r="N758" s="288"/>
      <c r="O758" s="288"/>
      <c r="P758" s="288"/>
      <c r="Q758" s="288"/>
      <c r="R758" s="288"/>
    </row>
    <row r="759" spans="14:18" x14ac:dyDescent="0.2">
      <c r="N759" s="288"/>
      <c r="O759" s="288"/>
      <c r="P759" s="288"/>
      <c r="Q759" s="288"/>
      <c r="R759" s="288"/>
    </row>
    <row r="760" spans="14:18" x14ac:dyDescent="0.2">
      <c r="N760" s="288"/>
      <c r="O760" s="288"/>
      <c r="P760" s="288"/>
      <c r="Q760" s="288"/>
      <c r="R760" s="288"/>
    </row>
    <row r="761" spans="14:18" x14ac:dyDescent="0.2">
      <c r="N761" s="288"/>
      <c r="O761" s="288"/>
      <c r="P761" s="288"/>
      <c r="Q761" s="288"/>
      <c r="R761" s="288"/>
    </row>
    <row r="762" spans="14:18" x14ac:dyDescent="0.2">
      <c r="N762" s="288"/>
      <c r="O762" s="288"/>
      <c r="P762" s="288"/>
      <c r="Q762" s="288"/>
      <c r="R762" s="288"/>
    </row>
    <row r="763" spans="14:18" x14ac:dyDescent="0.2">
      <c r="N763" s="288"/>
      <c r="O763" s="288"/>
      <c r="P763" s="288"/>
      <c r="Q763" s="288"/>
      <c r="R763" s="288"/>
    </row>
    <row r="764" spans="14:18" x14ac:dyDescent="0.2">
      <c r="N764" s="288"/>
      <c r="O764" s="288"/>
      <c r="P764" s="288"/>
      <c r="Q764" s="288"/>
      <c r="R764" s="288"/>
    </row>
    <row r="765" spans="14:18" x14ac:dyDescent="0.2">
      <c r="N765" s="288"/>
      <c r="O765" s="288"/>
      <c r="P765" s="288"/>
      <c r="Q765" s="288"/>
      <c r="R765" s="288"/>
    </row>
    <row r="766" spans="14:18" x14ac:dyDescent="0.2">
      <c r="N766" s="288"/>
      <c r="O766" s="288"/>
      <c r="P766" s="288"/>
      <c r="Q766" s="288"/>
      <c r="R766" s="288"/>
    </row>
    <row r="767" spans="14:18" x14ac:dyDescent="0.2">
      <c r="N767" s="288"/>
      <c r="O767" s="288"/>
      <c r="P767" s="288"/>
      <c r="Q767" s="288"/>
      <c r="R767" s="288"/>
    </row>
    <row r="768" spans="14:18" x14ac:dyDescent="0.2">
      <c r="N768" s="288"/>
      <c r="O768" s="288"/>
      <c r="P768" s="288"/>
      <c r="Q768" s="288"/>
      <c r="R768" s="288"/>
    </row>
    <row r="769" spans="14:18" x14ac:dyDescent="0.2">
      <c r="N769" s="288"/>
      <c r="O769" s="288"/>
      <c r="P769" s="288"/>
      <c r="Q769" s="288"/>
      <c r="R769" s="288"/>
    </row>
    <row r="770" spans="14:18" x14ac:dyDescent="0.2">
      <c r="N770" s="288"/>
      <c r="O770" s="288"/>
      <c r="P770" s="288"/>
      <c r="Q770" s="288"/>
      <c r="R770" s="288"/>
    </row>
    <row r="771" spans="14:18" x14ac:dyDescent="0.2">
      <c r="N771" s="288"/>
      <c r="O771" s="288"/>
      <c r="P771" s="288"/>
      <c r="Q771" s="288"/>
      <c r="R771" s="288"/>
    </row>
    <row r="772" spans="14:18" x14ac:dyDescent="0.2">
      <c r="N772" s="288"/>
      <c r="O772" s="288"/>
      <c r="P772" s="288"/>
      <c r="Q772" s="288"/>
      <c r="R772" s="288"/>
    </row>
    <row r="773" spans="14:18" x14ac:dyDescent="0.2">
      <c r="N773" s="288"/>
      <c r="O773" s="288"/>
      <c r="P773" s="288"/>
      <c r="Q773" s="288"/>
      <c r="R773" s="288"/>
    </row>
    <row r="774" spans="14:18" x14ac:dyDescent="0.2">
      <c r="N774" s="288"/>
      <c r="O774" s="288"/>
      <c r="P774" s="288"/>
      <c r="Q774" s="288"/>
      <c r="R774" s="288"/>
    </row>
    <row r="775" spans="14:18" x14ac:dyDescent="0.2">
      <c r="N775" s="288"/>
      <c r="O775" s="288"/>
      <c r="P775" s="288"/>
      <c r="Q775" s="288"/>
      <c r="R775" s="288"/>
    </row>
    <row r="776" spans="14:18" x14ac:dyDescent="0.2">
      <c r="N776" s="288"/>
      <c r="O776" s="288"/>
      <c r="P776" s="288"/>
      <c r="Q776" s="288"/>
      <c r="R776" s="288"/>
    </row>
    <row r="777" spans="14:18" x14ac:dyDescent="0.2">
      <c r="N777" s="288"/>
      <c r="O777" s="288"/>
      <c r="P777" s="288"/>
      <c r="Q777" s="288"/>
      <c r="R777" s="288"/>
    </row>
    <row r="778" spans="14:18" x14ac:dyDescent="0.2">
      <c r="N778" s="288"/>
      <c r="O778" s="288"/>
      <c r="P778" s="288"/>
      <c r="Q778" s="288"/>
      <c r="R778" s="288"/>
    </row>
    <row r="779" spans="14:18" x14ac:dyDescent="0.2">
      <c r="N779" s="288"/>
      <c r="O779" s="288"/>
      <c r="P779" s="288"/>
      <c r="Q779" s="288"/>
      <c r="R779" s="288"/>
    </row>
    <row r="780" spans="14:18" x14ac:dyDescent="0.2">
      <c r="N780" s="288"/>
      <c r="O780" s="288"/>
      <c r="P780" s="288"/>
      <c r="Q780" s="288"/>
      <c r="R780" s="288"/>
    </row>
    <row r="781" spans="14:18" x14ac:dyDescent="0.2">
      <c r="N781" s="288"/>
      <c r="O781" s="288"/>
      <c r="P781" s="288"/>
      <c r="Q781" s="288"/>
      <c r="R781" s="288"/>
    </row>
    <row r="782" spans="14:18" x14ac:dyDescent="0.2">
      <c r="N782" s="288"/>
      <c r="O782" s="288"/>
      <c r="P782" s="288"/>
      <c r="Q782" s="288"/>
      <c r="R782" s="288"/>
    </row>
    <row r="783" spans="14:18" x14ac:dyDescent="0.2">
      <c r="N783" s="288"/>
      <c r="O783" s="288"/>
      <c r="P783" s="288"/>
      <c r="Q783" s="288"/>
      <c r="R783" s="288"/>
    </row>
    <row r="784" spans="14:18" x14ac:dyDescent="0.2">
      <c r="N784" s="288"/>
      <c r="O784" s="288"/>
      <c r="P784" s="288"/>
      <c r="Q784" s="288"/>
      <c r="R784" s="288"/>
    </row>
    <row r="785" spans="14:18" x14ac:dyDescent="0.2">
      <c r="N785" s="288"/>
      <c r="O785" s="288"/>
      <c r="P785" s="288"/>
      <c r="Q785" s="288"/>
      <c r="R785" s="288"/>
    </row>
    <row r="786" spans="14:18" x14ac:dyDescent="0.2">
      <c r="N786" s="288"/>
      <c r="O786" s="288"/>
      <c r="P786" s="288"/>
      <c r="Q786" s="288"/>
      <c r="R786" s="288"/>
    </row>
    <row r="787" spans="14:18" x14ac:dyDescent="0.2">
      <c r="N787" s="288"/>
      <c r="O787" s="288"/>
      <c r="P787" s="288"/>
      <c r="Q787" s="288"/>
      <c r="R787" s="288"/>
    </row>
    <row r="788" spans="14:18" x14ac:dyDescent="0.2">
      <c r="N788" s="288"/>
      <c r="O788" s="288"/>
      <c r="P788" s="288"/>
      <c r="Q788" s="288"/>
      <c r="R788" s="288"/>
    </row>
    <row r="789" spans="14:18" x14ac:dyDescent="0.2">
      <c r="N789" s="288"/>
      <c r="O789" s="288"/>
      <c r="P789" s="288"/>
      <c r="Q789" s="288"/>
      <c r="R789" s="288"/>
    </row>
    <row r="790" spans="14:18" x14ac:dyDescent="0.2">
      <c r="N790" s="288"/>
      <c r="O790" s="288"/>
      <c r="P790" s="288"/>
      <c r="Q790" s="288"/>
      <c r="R790" s="288"/>
    </row>
    <row r="791" spans="14:18" x14ac:dyDescent="0.2">
      <c r="N791" s="288"/>
      <c r="O791" s="288"/>
      <c r="P791" s="288"/>
      <c r="Q791" s="288"/>
      <c r="R791" s="288"/>
    </row>
    <row r="792" spans="14:18" x14ac:dyDescent="0.2">
      <c r="N792" s="288"/>
      <c r="O792" s="288"/>
      <c r="P792" s="288"/>
      <c r="Q792" s="288"/>
      <c r="R792" s="288"/>
    </row>
    <row r="793" spans="14:18" x14ac:dyDescent="0.2">
      <c r="N793" s="288"/>
      <c r="O793" s="288"/>
      <c r="P793" s="288"/>
      <c r="Q793" s="288"/>
      <c r="R793" s="288"/>
    </row>
    <row r="794" spans="14:18" x14ac:dyDescent="0.2">
      <c r="N794" s="288"/>
      <c r="O794" s="288"/>
      <c r="P794" s="288"/>
      <c r="Q794" s="288"/>
      <c r="R794" s="288"/>
    </row>
    <row r="795" spans="14:18" x14ac:dyDescent="0.2">
      <c r="N795" s="288"/>
      <c r="O795" s="288"/>
      <c r="P795" s="288"/>
      <c r="Q795" s="288"/>
      <c r="R795" s="288"/>
    </row>
    <row r="796" spans="14:18" x14ac:dyDescent="0.2">
      <c r="N796" s="288"/>
      <c r="O796" s="288"/>
      <c r="P796" s="288"/>
      <c r="Q796" s="288"/>
      <c r="R796" s="288"/>
    </row>
    <row r="797" spans="14:18" x14ac:dyDescent="0.2">
      <c r="N797" s="288"/>
      <c r="O797" s="288"/>
      <c r="P797" s="288"/>
      <c r="Q797" s="288"/>
      <c r="R797" s="288"/>
    </row>
    <row r="798" spans="14:18" x14ac:dyDescent="0.2">
      <c r="N798" s="288"/>
      <c r="O798" s="288"/>
      <c r="P798" s="288"/>
      <c r="Q798" s="288"/>
      <c r="R798" s="288"/>
    </row>
    <row r="799" spans="14:18" x14ac:dyDescent="0.2">
      <c r="N799" s="288"/>
      <c r="O799" s="288"/>
      <c r="P799" s="288"/>
      <c r="Q799" s="288"/>
      <c r="R799" s="288"/>
    </row>
    <row r="800" spans="14:18" x14ac:dyDescent="0.2">
      <c r="N800" s="288"/>
      <c r="O800" s="288"/>
      <c r="P800" s="288"/>
      <c r="Q800" s="288"/>
      <c r="R800" s="288"/>
    </row>
    <row r="801" spans="14:18" x14ac:dyDescent="0.2">
      <c r="N801" s="288"/>
      <c r="O801" s="288"/>
      <c r="P801" s="288"/>
      <c r="Q801" s="288"/>
      <c r="R801" s="288"/>
    </row>
    <row r="802" spans="14:18" x14ac:dyDescent="0.2">
      <c r="N802" s="288"/>
      <c r="O802" s="288"/>
      <c r="P802" s="288"/>
      <c r="Q802" s="288"/>
      <c r="R802" s="288"/>
    </row>
    <row r="803" spans="14:18" x14ac:dyDescent="0.2">
      <c r="N803" s="288"/>
      <c r="O803" s="288"/>
      <c r="P803" s="288"/>
      <c r="Q803" s="288"/>
      <c r="R803" s="288"/>
    </row>
    <row r="804" spans="14:18" x14ac:dyDescent="0.2">
      <c r="N804" s="288"/>
      <c r="O804" s="288"/>
      <c r="P804" s="288"/>
      <c r="Q804" s="288"/>
      <c r="R804" s="288"/>
    </row>
    <row r="805" spans="14:18" x14ac:dyDescent="0.2">
      <c r="N805" s="288"/>
      <c r="O805" s="288"/>
      <c r="P805" s="288"/>
      <c r="Q805" s="288"/>
      <c r="R805" s="288"/>
    </row>
    <row r="806" spans="14:18" x14ac:dyDescent="0.2">
      <c r="N806" s="288"/>
      <c r="O806" s="288"/>
      <c r="P806" s="288"/>
      <c r="Q806" s="288"/>
      <c r="R806" s="288"/>
    </row>
    <row r="807" spans="14:18" x14ac:dyDescent="0.2">
      <c r="N807" s="288"/>
      <c r="O807" s="288"/>
      <c r="P807" s="288"/>
      <c r="Q807" s="288"/>
      <c r="R807" s="288"/>
    </row>
    <row r="808" spans="14:18" x14ac:dyDescent="0.2">
      <c r="N808" s="288"/>
      <c r="O808" s="288"/>
      <c r="P808" s="288"/>
      <c r="Q808" s="288"/>
      <c r="R808" s="288"/>
    </row>
    <row r="809" spans="14:18" x14ac:dyDescent="0.2">
      <c r="N809" s="288"/>
      <c r="O809" s="288"/>
      <c r="P809" s="288"/>
      <c r="Q809" s="288"/>
      <c r="R809" s="288"/>
    </row>
    <row r="810" spans="14:18" x14ac:dyDescent="0.2">
      <c r="N810" s="288"/>
      <c r="O810" s="288"/>
      <c r="P810" s="288"/>
      <c r="Q810" s="288"/>
      <c r="R810" s="288"/>
    </row>
    <row r="811" spans="14:18" x14ac:dyDescent="0.2">
      <c r="N811" s="288"/>
      <c r="O811" s="288"/>
      <c r="P811" s="288"/>
      <c r="Q811" s="288"/>
      <c r="R811" s="288"/>
    </row>
    <row r="812" spans="14:18" x14ac:dyDescent="0.2">
      <c r="N812" s="288"/>
      <c r="O812" s="288"/>
      <c r="P812" s="288"/>
      <c r="Q812" s="288"/>
      <c r="R812" s="288"/>
    </row>
    <row r="813" spans="14:18" x14ac:dyDescent="0.2">
      <c r="N813" s="288"/>
      <c r="O813" s="288"/>
      <c r="P813" s="288"/>
      <c r="Q813" s="288"/>
      <c r="R813" s="288"/>
    </row>
    <row r="814" spans="14:18" x14ac:dyDescent="0.2">
      <c r="N814" s="288"/>
      <c r="O814" s="288"/>
      <c r="P814" s="288"/>
      <c r="Q814" s="288"/>
      <c r="R814" s="288"/>
    </row>
    <row r="815" spans="14:18" x14ac:dyDescent="0.2">
      <c r="N815" s="288"/>
      <c r="O815" s="288"/>
      <c r="P815" s="288"/>
      <c r="Q815" s="288"/>
      <c r="R815" s="288"/>
    </row>
    <row r="816" spans="14:18" x14ac:dyDescent="0.2">
      <c r="N816" s="288"/>
      <c r="O816" s="288"/>
      <c r="P816" s="288"/>
      <c r="Q816" s="288"/>
      <c r="R816" s="288"/>
    </row>
    <row r="817" spans="14:18" x14ac:dyDescent="0.2">
      <c r="N817" s="288"/>
      <c r="O817" s="288"/>
      <c r="P817" s="288"/>
      <c r="Q817" s="288"/>
      <c r="R817" s="288"/>
    </row>
    <row r="818" spans="14:18" x14ac:dyDescent="0.2">
      <c r="N818" s="288"/>
      <c r="O818" s="288"/>
      <c r="P818" s="288"/>
      <c r="Q818" s="288"/>
      <c r="R818" s="288"/>
    </row>
    <row r="819" spans="14:18" x14ac:dyDescent="0.2">
      <c r="N819" s="288"/>
      <c r="O819" s="288"/>
      <c r="P819" s="288"/>
      <c r="Q819" s="288"/>
      <c r="R819" s="288"/>
    </row>
    <row r="820" spans="14:18" x14ac:dyDescent="0.2">
      <c r="N820" s="288"/>
      <c r="O820" s="288"/>
      <c r="P820" s="288"/>
      <c r="Q820" s="288"/>
      <c r="R820" s="288"/>
    </row>
    <row r="821" spans="14:18" x14ac:dyDescent="0.2">
      <c r="N821" s="288"/>
      <c r="O821" s="288"/>
      <c r="P821" s="288"/>
      <c r="Q821" s="288"/>
      <c r="R821" s="288"/>
    </row>
    <row r="822" spans="14:18" x14ac:dyDescent="0.2">
      <c r="N822" s="288"/>
      <c r="O822" s="288"/>
      <c r="P822" s="288"/>
      <c r="Q822" s="288"/>
      <c r="R822" s="288"/>
    </row>
    <row r="823" spans="14:18" x14ac:dyDescent="0.2">
      <c r="N823" s="288"/>
      <c r="O823" s="288"/>
      <c r="P823" s="288"/>
      <c r="Q823" s="288"/>
      <c r="R823" s="288"/>
    </row>
    <row r="824" spans="14:18" x14ac:dyDescent="0.2">
      <c r="N824" s="288"/>
      <c r="O824" s="288"/>
      <c r="P824" s="288"/>
      <c r="Q824" s="288"/>
      <c r="R824" s="288"/>
    </row>
    <row r="825" spans="14:18" x14ac:dyDescent="0.2">
      <c r="N825" s="288"/>
      <c r="O825" s="288"/>
      <c r="P825" s="288"/>
      <c r="Q825" s="288"/>
      <c r="R825" s="288"/>
    </row>
    <row r="826" spans="14:18" x14ac:dyDescent="0.2">
      <c r="N826" s="288"/>
      <c r="O826" s="288"/>
      <c r="P826" s="288"/>
      <c r="Q826" s="288"/>
      <c r="R826" s="288"/>
    </row>
    <row r="827" spans="14:18" x14ac:dyDescent="0.2">
      <c r="N827" s="288"/>
      <c r="O827" s="288"/>
      <c r="P827" s="288"/>
      <c r="Q827" s="288"/>
      <c r="R827" s="288"/>
    </row>
    <row r="828" spans="14:18" x14ac:dyDescent="0.2">
      <c r="N828" s="288"/>
      <c r="O828" s="288"/>
      <c r="P828" s="288"/>
      <c r="Q828" s="288"/>
      <c r="R828" s="288"/>
    </row>
    <row r="829" spans="14:18" x14ac:dyDescent="0.2">
      <c r="N829" s="288"/>
      <c r="O829" s="288"/>
      <c r="P829" s="288"/>
      <c r="Q829" s="288"/>
      <c r="R829" s="288"/>
    </row>
    <row r="830" spans="14:18" x14ac:dyDescent="0.2">
      <c r="N830" s="288"/>
      <c r="O830" s="288"/>
      <c r="P830" s="288"/>
      <c r="Q830" s="288"/>
      <c r="R830" s="288"/>
    </row>
    <row r="831" spans="14:18" x14ac:dyDescent="0.2">
      <c r="N831" s="288"/>
      <c r="O831" s="288"/>
      <c r="P831" s="288"/>
      <c r="Q831" s="288"/>
      <c r="R831" s="288"/>
    </row>
    <row r="832" spans="14:18" x14ac:dyDescent="0.2">
      <c r="N832" s="288"/>
      <c r="O832" s="288"/>
      <c r="P832" s="288"/>
      <c r="Q832" s="288"/>
      <c r="R832" s="288"/>
    </row>
    <row r="833" spans="14:18" x14ac:dyDescent="0.2">
      <c r="N833" s="288"/>
      <c r="O833" s="288"/>
      <c r="P833" s="288"/>
      <c r="Q833" s="288"/>
      <c r="R833" s="288"/>
    </row>
    <row r="834" spans="14:18" x14ac:dyDescent="0.2">
      <c r="N834" s="288"/>
      <c r="O834" s="288"/>
      <c r="P834" s="288"/>
      <c r="Q834" s="288"/>
      <c r="R834" s="288"/>
    </row>
    <row r="835" spans="14:18" x14ac:dyDescent="0.2">
      <c r="N835" s="288"/>
      <c r="O835" s="288"/>
      <c r="P835" s="288"/>
      <c r="Q835" s="288"/>
      <c r="R835" s="288"/>
    </row>
    <row r="836" spans="14:18" x14ac:dyDescent="0.2">
      <c r="N836" s="288"/>
      <c r="O836" s="288"/>
      <c r="P836" s="288"/>
      <c r="Q836" s="288"/>
      <c r="R836" s="288"/>
    </row>
    <row r="837" spans="14:18" x14ac:dyDescent="0.2">
      <c r="N837" s="288"/>
      <c r="O837" s="288"/>
      <c r="P837" s="288"/>
      <c r="Q837" s="288"/>
      <c r="R837" s="288"/>
    </row>
    <row r="838" spans="14:18" x14ac:dyDescent="0.2">
      <c r="N838" s="288"/>
      <c r="O838" s="288"/>
      <c r="P838" s="288"/>
      <c r="Q838" s="288"/>
      <c r="R838" s="288"/>
    </row>
    <row r="839" spans="14:18" x14ac:dyDescent="0.2">
      <c r="N839" s="288"/>
      <c r="O839" s="288"/>
      <c r="P839" s="288"/>
      <c r="Q839" s="288"/>
      <c r="R839" s="288"/>
    </row>
    <row r="840" spans="14:18" x14ac:dyDescent="0.2">
      <c r="N840" s="288"/>
      <c r="O840" s="288"/>
      <c r="P840" s="288"/>
      <c r="Q840" s="288"/>
      <c r="R840" s="288"/>
    </row>
    <row r="841" spans="14:18" x14ac:dyDescent="0.2">
      <c r="N841" s="288"/>
      <c r="O841" s="288"/>
      <c r="P841" s="288"/>
      <c r="Q841" s="288"/>
      <c r="R841" s="288"/>
    </row>
    <row r="842" spans="14:18" x14ac:dyDescent="0.2">
      <c r="N842" s="288"/>
      <c r="O842" s="288"/>
      <c r="P842" s="288"/>
      <c r="Q842" s="288"/>
      <c r="R842" s="288"/>
    </row>
    <row r="843" spans="14:18" x14ac:dyDescent="0.2">
      <c r="N843" s="288"/>
      <c r="O843" s="288"/>
      <c r="P843" s="288"/>
      <c r="Q843" s="288"/>
      <c r="R843" s="288"/>
    </row>
    <row r="844" spans="14:18" x14ac:dyDescent="0.2">
      <c r="N844" s="288"/>
      <c r="O844" s="288"/>
      <c r="P844" s="288"/>
      <c r="Q844" s="288"/>
      <c r="R844" s="288"/>
    </row>
    <row r="845" spans="14:18" x14ac:dyDescent="0.2">
      <c r="N845" s="288"/>
      <c r="O845" s="288"/>
      <c r="P845" s="288"/>
      <c r="Q845" s="288"/>
      <c r="R845" s="288"/>
    </row>
    <row r="846" spans="14:18" x14ac:dyDescent="0.2">
      <c r="N846" s="288"/>
      <c r="O846" s="288"/>
      <c r="P846" s="288"/>
      <c r="Q846" s="288"/>
      <c r="R846" s="288"/>
    </row>
    <row r="847" spans="14:18" x14ac:dyDescent="0.2">
      <c r="N847" s="288"/>
      <c r="O847" s="288"/>
      <c r="P847" s="288"/>
      <c r="Q847" s="288"/>
      <c r="R847" s="288"/>
    </row>
    <row r="848" spans="14:18" x14ac:dyDescent="0.2">
      <c r="N848" s="288"/>
      <c r="O848" s="288"/>
      <c r="P848" s="288"/>
      <c r="Q848" s="288"/>
      <c r="R848" s="288"/>
    </row>
    <row r="849" spans="14:18" x14ac:dyDescent="0.2">
      <c r="N849" s="288"/>
      <c r="O849" s="288"/>
      <c r="P849" s="288"/>
      <c r="Q849" s="288"/>
      <c r="R849" s="288"/>
    </row>
    <row r="850" spans="14:18" x14ac:dyDescent="0.2">
      <c r="N850" s="288"/>
      <c r="O850" s="288"/>
      <c r="P850" s="288"/>
      <c r="Q850" s="288"/>
      <c r="R850" s="288"/>
    </row>
    <row r="851" spans="14:18" x14ac:dyDescent="0.2">
      <c r="N851" s="288"/>
      <c r="O851" s="288"/>
      <c r="P851" s="288"/>
      <c r="Q851" s="288"/>
      <c r="R851" s="288"/>
    </row>
    <row r="852" spans="14:18" x14ac:dyDescent="0.2">
      <c r="N852" s="288"/>
      <c r="O852" s="288"/>
      <c r="P852" s="288"/>
      <c r="Q852" s="288"/>
      <c r="R852" s="288"/>
    </row>
    <row r="853" spans="14:18" x14ac:dyDescent="0.2">
      <c r="N853" s="288"/>
      <c r="O853" s="288"/>
      <c r="P853" s="288"/>
      <c r="Q853" s="288"/>
      <c r="R853" s="288"/>
    </row>
    <row r="854" spans="14:18" x14ac:dyDescent="0.2">
      <c r="N854" s="288"/>
      <c r="O854" s="288"/>
      <c r="P854" s="288"/>
      <c r="Q854" s="288"/>
      <c r="R854" s="288"/>
    </row>
    <row r="855" spans="14:18" x14ac:dyDescent="0.2">
      <c r="N855" s="288"/>
      <c r="O855" s="288"/>
      <c r="P855" s="288"/>
      <c r="Q855" s="288"/>
      <c r="R855" s="288"/>
    </row>
    <row r="856" spans="14:18" x14ac:dyDescent="0.2">
      <c r="N856" s="288"/>
      <c r="O856" s="288"/>
      <c r="P856" s="288"/>
      <c r="Q856" s="288"/>
      <c r="R856" s="288"/>
    </row>
    <row r="857" spans="14:18" x14ac:dyDescent="0.2">
      <c r="N857" s="288"/>
      <c r="O857" s="288"/>
      <c r="P857" s="288"/>
      <c r="Q857" s="288"/>
      <c r="R857" s="288"/>
    </row>
    <row r="858" spans="14:18" x14ac:dyDescent="0.2">
      <c r="N858" s="288"/>
      <c r="O858" s="288"/>
      <c r="P858" s="288"/>
      <c r="Q858" s="288"/>
      <c r="R858" s="288"/>
    </row>
    <row r="859" spans="14:18" x14ac:dyDescent="0.2">
      <c r="N859" s="288"/>
      <c r="O859" s="288"/>
      <c r="P859" s="288"/>
      <c r="Q859" s="288"/>
      <c r="R859" s="288"/>
    </row>
    <row r="860" spans="14:18" x14ac:dyDescent="0.2">
      <c r="N860" s="288"/>
      <c r="O860" s="288"/>
      <c r="P860" s="288"/>
      <c r="Q860" s="288"/>
      <c r="R860" s="288"/>
    </row>
    <row r="861" spans="14:18" x14ac:dyDescent="0.2">
      <c r="N861" s="288"/>
      <c r="O861" s="288"/>
      <c r="P861" s="288"/>
      <c r="Q861" s="288"/>
      <c r="R861" s="288"/>
    </row>
    <row r="862" spans="14:18" x14ac:dyDescent="0.2">
      <c r="N862" s="288"/>
      <c r="O862" s="288"/>
      <c r="P862" s="288"/>
      <c r="Q862" s="288"/>
      <c r="R862" s="288"/>
    </row>
    <row r="863" spans="14:18" x14ac:dyDescent="0.2">
      <c r="N863" s="288"/>
      <c r="O863" s="288"/>
      <c r="P863" s="288"/>
      <c r="Q863" s="288"/>
      <c r="R863" s="288"/>
    </row>
    <row r="864" spans="14:18" x14ac:dyDescent="0.2">
      <c r="N864" s="288"/>
      <c r="O864" s="288"/>
      <c r="P864" s="288"/>
      <c r="Q864" s="288"/>
      <c r="R864" s="288"/>
    </row>
    <row r="865" spans="14:18" x14ac:dyDescent="0.2">
      <c r="N865" s="288"/>
      <c r="O865" s="288"/>
      <c r="P865" s="288"/>
      <c r="Q865" s="288"/>
      <c r="R865" s="288"/>
    </row>
    <row r="866" spans="14:18" x14ac:dyDescent="0.2">
      <c r="N866" s="288"/>
      <c r="O866" s="288"/>
      <c r="P866" s="288"/>
      <c r="Q866" s="288"/>
      <c r="R866" s="288"/>
    </row>
    <row r="867" spans="14:18" x14ac:dyDescent="0.2">
      <c r="N867" s="288"/>
      <c r="O867" s="288"/>
      <c r="P867" s="288"/>
      <c r="Q867" s="288"/>
      <c r="R867" s="288"/>
    </row>
    <row r="868" spans="14:18" x14ac:dyDescent="0.2">
      <c r="N868" s="288"/>
      <c r="O868" s="288"/>
      <c r="P868" s="288"/>
      <c r="Q868" s="288"/>
      <c r="R868" s="288"/>
    </row>
    <row r="869" spans="14:18" x14ac:dyDescent="0.2">
      <c r="N869" s="288"/>
      <c r="O869" s="288"/>
      <c r="P869" s="288"/>
      <c r="Q869" s="288"/>
      <c r="R869" s="288"/>
    </row>
    <row r="870" spans="14:18" x14ac:dyDescent="0.2">
      <c r="N870" s="288"/>
      <c r="O870" s="288"/>
      <c r="P870" s="288"/>
      <c r="Q870" s="288"/>
      <c r="R870" s="288"/>
    </row>
    <row r="871" spans="14:18" x14ac:dyDescent="0.2">
      <c r="N871" s="288"/>
      <c r="O871" s="288"/>
      <c r="P871" s="288"/>
      <c r="Q871" s="288"/>
      <c r="R871" s="288"/>
    </row>
    <row r="872" spans="14:18" x14ac:dyDescent="0.2">
      <c r="N872" s="288"/>
      <c r="O872" s="288"/>
      <c r="P872" s="288"/>
      <c r="Q872" s="288"/>
      <c r="R872" s="288"/>
    </row>
    <row r="873" spans="14:18" x14ac:dyDescent="0.2">
      <c r="N873" s="288"/>
      <c r="O873" s="288"/>
      <c r="P873" s="288"/>
      <c r="Q873" s="288"/>
      <c r="R873" s="288"/>
    </row>
    <row r="874" spans="14:18" x14ac:dyDescent="0.2">
      <c r="N874" s="288"/>
      <c r="O874" s="288"/>
      <c r="P874" s="288"/>
      <c r="Q874" s="288"/>
      <c r="R874" s="288"/>
    </row>
    <row r="875" spans="14:18" x14ac:dyDescent="0.2">
      <c r="N875" s="288"/>
      <c r="O875" s="288"/>
      <c r="P875" s="288"/>
      <c r="Q875" s="288"/>
      <c r="R875" s="288"/>
    </row>
    <row r="876" spans="14:18" x14ac:dyDescent="0.2">
      <c r="N876" s="288"/>
      <c r="O876" s="288"/>
      <c r="P876" s="288"/>
      <c r="Q876" s="288"/>
      <c r="R876" s="288"/>
    </row>
    <row r="877" spans="14:18" x14ac:dyDescent="0.2">
      <c r="N877" s="288"/>
      <c r="O877" s="288"/>
      <c r="P877" s="288"/>
      <c r="Q877" s="288"/>
      <c r="R877" s="288"/>
    </row>
    <row r="878" spans="14:18" x14ac:dyDescent="0.2">
      <c r="N878" s="288"/>
      <c r="O878" s="288"/>
      <c r="P878" s="288"/>
      <c r="Q878" s="288"/>
      <c r="R878" s="288"/>
    </row>
    <row r="879" spans="14:18" x14ac:dyDescent="0.2">
      <c r="N879" s="288"/>
      <c r="O879" s="288"/>
      <c r="P879" s="288"/>
      <c r="Q879" s="288"/>
      <c r="R879" s="288"/>
    </row>
    <row r="880" spans="14:18" x14ac:dyDescent="0.2">
      <c r="N880" s="288"/>
      <c r="O880" s="288"/>
      <c r="P880" s="288"/>
      <c r="Q880" s="288"/>
      <c r="R880" s="288"/>
    </row>
    <row r="881" spans="14:18" x14ac:dyDescent="0.2">
      <c r="N881" s="288"/>
      <c r="O881" s="288"/>
      <c r="P881" s="288"/>
      <c r="Q881" s="288"/>
      <c r="R881" s="288"/>
    </row>
    <row r="882" spans="14:18" x14ac:dyDescent="0.2">
      <c r="N882" s="288"/>
      <c r="O882" s="288"/>
      <c r="P882" s="288"/>
      <c r="Q882" s="288"/>
      <c r="R882" s="288"/>
    </row>
    <row r="883" spans="14:18" x14ac:dyDescent="0.2">
      <c r="N883" s="288"/>
      <c r="O883" s="288"/>
      <c r="P883" s="288"/>
      <c r="Q883" s="288"/>
      <c r="R883" s="288"/>
    </row>
    <row r="884" spans="14:18" x14ac:dyDescent="0.2">
      <c r="N884" s="288"/>
      <c r="O884" s="288"/>
      <c r="P884" s="288"/>
      <c r="Q884" s="288"/>
      <c r="R884" s="288"/>
    </row>
    <row r="885" spans="14:18" x14ac:dyDescent="0.2">
      <c r="N885" s="288"/>
      <c r="O885" s="288"/>
      <c r="P885" s="288"/>
      <c r="Q885" s="288"/>
      <c r="R885" s="288"/>
    </row>
    <row r="886" spans="14:18" x14ac:dyDescent="0.2">
      <c r="N886" s="288"/>
      <c r="O886" s="288"/>
      <c r="P886" s="288"/>
      <c r="Q886" s="288"/>
      <c r="R886" s="288"/>
    </row>
    <row r="887" spans="14:18" x14ac:dyDescent="0.2">
      <c r="N887" s="288"/>
      <c r="O887" s="288"/>
      <c r="P887" s="288"/>
      <c r="Q887" s="288"/>
      <c r="R887" s="288"/>
    </row>
    <row r="888" spans="14:18" x14ac:dyDescent="0.2">
      <c r="N888" s="288"/>
      <c r="O888" s="288"/>
      <c r="P888" s="288"/>
      <c r="Q888" s="288"/>
      <c r="R888" s="288"/>
    </row>
    <row r="889" spans="14:18" x14ac:dyDescent="0.2">
      <c r="N889" s="288"/>
      <c r="O889" s="288"/>
      <c r="P889" s="288"/>
      <c r="Q889" s="288"/>
      <c r="R889" s="288"/>
    </row>
    <row r="890" spans="14:18" x14ac:dyDescent="0.2">
      <c r="N890" s="288"/>
      <c r="O890" s="288"/>
      <c r="P890" s="288"/>
      <c r="Q890" s="288"/>
      <c r="R890" s="288"/>
    </row>
    <row r="891" spans="14:18" x14ac:dyDescent="0.2">
      <c r="N891" s="288"/>
      <c r="O891" s="288"/>
      <c r="P891" s="288"/>
      <c r="Q891" s="288"/>
      <c r="R891" s="288"/>
    </row>
    <row r="892" spans="14:18" x14ac:dyDescent="0.2">
      <c r="N892" s="288"/>
      <c r="O892" s="288"/>
      <c r="P892" s="288"/>
      <c r="Q892" s="288"/>
      <c r="R892" s="288"/>
    </row>
    <row r="893" spans="14:18" x14ac:dyDescent="0.2">
      <c r="N893" s="288"/>
      <c r="O893" s="288"/>
      <c r="P893" s="288"/>
      <c r="Q893" s="288"/>
      <c r="R893" s="288"/>
    </row>
    <row r="894" spans="14:18" x14ac:dyDescent="0.2">
      <c r="N894" s="288"/>
      <c r="O894" s="288"/>
      <c r="P894" s="288"/>
      <c r="Q894" s="288"/>
      <c r="R894" s="288"/>
    </row>
    <row r="895" spans="14:18" x14ac:dyDescent="0.2">
      <c r="N895" s="288"/>
      <c r="O895" s="288"/>
      <c r="P895" s="288"/>
      <c r="Q895" s="288"/>
      <c r="R895" s="288"/>
    </row>
    <row r="896" spans="14:18" x14ac:dyDescent="0.2">
      <c r="N896" s="288"/>
      <c r="O896" s="288"/>
      <c r="P896" s="288"/>
      <c r="Q896" s="288"/>
      <c r="R896" s="288"/>
    </row>
    <row r="897" spans="14:18" x14ac:dyDescent="0.2">
      <c r="N897" s="288"/>
      <c r="O897" s="288"/>
      <c r="P897" s="288"/>
      <c r="Q897" s="288"/>
      <c r="R897" s="288"/>
    </row>
    <row r="898" spans="14:18" x14ac:dyDescent="0.2">
      <c r="N898" s="288"/>
      <c r="O898" s="288"/>
      <c r="P898" s="288"/>
      <c r="Q898" s="288"/>
      <c r="R898" s="288"/>
    </row>
    <row r="899" spans="14:18" x14ac:dyDescent="0.2">
      <c r="N899" s="288"/>
      <c r="O899" s="288"/>
      <c r="P899" s="288"/>
      <c r="Q899" s="288"/>
      <c r="R899" s="288"/>
    </row>
    <row r="900" spans="14:18" x14ac:dyDescent="0.2">
      <c r="N900" s="288"/>
      <c r="O900" s="288"/>
      <c r="P900" s="288"/>
      <c r="Q900" s="288"/>
      <c r="R900" s="288"/>
    </row>
    <row r="901" spans="14:18" x14ac:dyDescent="0.2">
      <c r="N901" s="288"/>
      <c r="O901" s="288"/>
      <c r="P901" s="288"/>
      <c r="Q901" s="288"/>
      <c r="R901" s="288"/>
    </row>
    <row r="902" spans="14:18" x14ac:dyDescent="0.2">
      <c r="N902" s="288"/>
      <c r="O902" s="288"/>
      <c r="P902" s="288"/>
      <c r="Q902" s="288"/>
      <c r="R902" s="288"/>
    </row>
    <row r="903" spans="14:18" x14ac:dyDescent="0.2">
      <c r="N903" s="288"/>
      <c r="O903" s="288"/>
      <c r="P903" s="288"/>
      <c r="Q903" s="288"/>
      <c r="R903" s="288"/>
    </row>
    <row r="904" spans="14:18" x14ac:dyDescent="0.2">
      <c r="N904" s="288"/>
      <c r="O904" s="288"/>
      <c r="P904" s="288"/>
      <c r="Q904" s="288"/>
      <c r="R904" s="288"/>
    </row>
    <row r="905" spans="14:18" x14ac:dyDescent="0.2">
      <c r="N905" s="288"/>
      <c r="O905" s="288"/>
      <c r="P905" s="288"/>
      <c r="Q905" s="288"/>
      <c r="R905" s="288"/>
    </row>
    <row r="906" spans="14:18" x14ac:dyDescent="0.2">
      <c r="N906" s="288"/>
      <c r="O906" s="288"/>
      <c r="P906" s="288"/>
      <c r="Q906" s="288"/>
      <c r="R906" s="288"/>
    </row>
    <row r="907" spans="14:18" x14ac:dyDescent="0.2">
      <c r="N907" s="288"/>
      <c r="O907" s="288"/>
      <c r="P907" s="288"/>
      <c r="Q907" s="288"/>
      <c r="R907" s="288"/>
    </row>
    <row r="908" spans="14:18" x14ac:dyDescent="0.2">
      <c r="N908" s="288"/>
      <c r="O908" s="288"/>
      <c r="P908" s="288"/>
      <c r="Q908" s="288"/>
      <c r="R908" s="288"/>
    </row>
    <row r="909" spans="14:18" x14ac:dyDescent="0.2">
      <c r="N909" s="288"/>
      <c r="O909" s="288"/>
      <c r="P909" s="288"/>
      <c r="Q909" s="288"/>
      <c r="R909" s="288"/>
    </row>
    <row r="910" spans="14:18" x14ac:dyDescent="0.2">
      <c r="N910" s="288"/>
      <c r="O910" s="288"/>
      <c r="P910" s="288"/>
      <c r="Q910" s="288"/>
      <c r="R910" s="288"/>
    </row>
    <row r="911" spans="14:18" x14ac:dyDescent="0.2">
      <c r="N911" s="288"/>
      <c r="O911" s="288"/>
      <c r="P911" s="288"/>
      <c r="Q911" s="288"/>
      <c r="R911" s="288"/>
    </row>
    <row r="912" spans="14:18" x14ac:dyDescent="0.2">
      <c r="N912" s="288"/>
      <c r="O912" s="288"/>
      <c r="P912" s="288"/>
      <c r="Q912" s="288"/>
      <c r="R912" s="288"/>
    </row>
    <row r="913" spans="14:18" x14ac:dyDescent="0.2">
      <c r="N913" s="288"/>
      <c r="O913" s="288"/>
      <c r="P913" s="288"/>
      <c r="Q913" s="288"/>
      <c r="R913" s="288"/>
    </row>
    <row r="914" spans="14:18" x14ac:dyDescent="0.2">
      <c r="N914" s="288"/>
      <c r="O914" s="288"/>
      <c r="P914" s="288"/>
      <c r="Q914" s="288"/>
      <c r="R914" s="288"/>
    </row>
    <row r="915" spans="14:18" x14ac:dyDescent="0.2">
      <c r="N915" s="288"/>
      <c r="O915" s="288"/>
      <c r="P915" s="288"/>
      <c r="Q915" s="288"/>
      <c r="R915" s="288"/>
    </row>
    <row r="916" spans="14:18" x14ac:dyDescent="0.2">
      <c r="N916" s="288"/>
      <c r="O916" s="288"/>
      <c r="P916" s="288"/>
      <c r="Q916" s="288"/>
      <c r="R916" s="288"/>
    </row>
    <row r="917" spans="14:18" x14ac:dyDescent="0.2">
      <c r="N917" s="288"/>
      <c r="O917" s="288"/>
      <c r="P917" s="288"/>
      <c r="Q917" s="288"/>
      <c r="R917" s="288"/>
    </row>
    <row r="918" spans="14:18" x14ac:dyDescent="0.2">
      <c r="N918" s="288"/>
      <c r="O918" s="288"/>
      <c r="P918" s="288"/>
      <c r="Q918" s="288"/>
      <c r="R918" s="288"/>
    </row>
    <row r="919" spans="14:18" x14ac:dyDescent="0.2">
      <c r="N919" s="288"/>
      <c r="O919" s="288"/>
      <c r="P919" s="288"/>
      <c r="Q919" s="288"/>
      <c r="R919" s="288"/>
    </row>
    <row r="920" spans="14:18" x14ac:dyDescent="0.2">
      <c r="N920" s="288"/>
      <c r="O920" s="288"/>
      <c r="P920" s="288"/>
      <c r="Q920" s="288"/>
      <c r="R920" s="288"/>
    </row>
    <row r="921" spans="14:18" x14ac:dyDescent="0.2">
      <c r="N921" s="288"/>
      <c r="O921" s="288"/>
      <c r="P921" s="288"/>
      <c r="Q921" s="288"/>
      <c r="R921" s="288"/>
    </row>
    <row r="922" spans="14:18" x14ac:dyDescent="0.2">
      <c r="N922" s="288"/>
      <c r="O922" s="288"/>
      <c r="P922" s="288"/>
      <c r="Q922" s="288"/>
      <c r="R922" s="288"/>
    </row>
    <row r="923" spans="14:18" x14ac:dyDescent="0.2">
      <c r="N923" s="288"/>
      <c r="O923" s="288"/>
      <c r="P923" s="288"/>
      <c r="Q923" s="288"/>
      <c r="R923" s="288"/>
    </row>
    <row r="924" spans="14:18" x14ac:dyDescent="0.2">
      <c r="N924" s="288"/>
      <c r="O924" s="288"/>
      <c r="P924" s="288"/>
      <c r="Q924" s="288"/>
      <c r="R924" s="288"/>
    </row>
    <row r="925" spans="14:18" x14ac:dyDescent="0.2">
      <c r="N925" s="288"/>
      <c r="O925" s="288"/>
      <c r="P925" s="288"/>
      <c r="Q925" s="288"/>
      <c r="R925" s="288"/>
    </row>
    <row r="926" spans="14:18" x14ac:dyDescent="0.2">
      <c r="N926" s="288"/>
      <c r="O926" s="288"/>
      <c r="P926" s="288"/>
      <c r="Q926" s="288"/>
      <c r="R926" s="288"/>
    </row>
    <row r="927" spans="14:18" x14ac:dyDescent="0.2">
      <c r="N927" s="288"/>
      <c r="O927" s="288"/>
      <c r="P927" s="288"/>
      <c r="Q927" s="288"/>
      <c r="R927" s="288"/>
    </row>
    <row r="928" spans="14:18" x14ac:dyDescent="0.2">
      <c r="N928" s="288"/>
      <c r="O928" s="288"/>
      <c r="P928" s="288"/>
      <c r="Q928" s="288"/>
      <c r="R928" s="288"/>
    </row>
    <row r="929" spans="14:18" x14ac:dyDescent="0.2">
      <c r="N929" s="288"/>
      <c r="O929" s="288"/>
      <c r="P929" s="288"/>
      <c r="Q929" s="288"/>
      <c r="R929" s="288"/>
    </row>
    <row r="930" spans="14:18" x14ac:dyDescent="0.2">
      <c r="N930" s="288"/>
      <c r="O930" s="288"/>
      <c r="P930" s="288"/>
      <c r="Q930" s="288"/>
      <c r="R930" s="288"/>
    </row>
    <row r="931" spans="14:18" x14ac:dyDescent="0.2">
      <c r="N931" s="288"/>
      <c r="O931" s="288"/>
      <c r="P931" s="288"/>
      <c r="Q931" s="288"/>
      <c r="R931" s="288"/>
    </row>
    <row r="932" spans="14:18" x14ac:dyDescent="0.2">
      <c r="N932" s="288"/>
      <c r="O932" s="288"/>
      <c r="P932" s="288"/>
      <c r="Q932" s="288"/>
      <c r="R932" s="288"/>
    </row>
    <row r="933" spans="14:18" x14ac:dyDescent="0.2">
      <c r="N933" s="288"/>
      <c r="O933" s="288"/>
      <c r="P933" s="288"/>
      <c r="Q933" s="288"/>
      <c r="R933" s="288"/>
    </row>
    <row r="934" spans="14:18" x14ac:dyDescent="0.2">
      <c r="N934" s="288"/>
      <c r="O934" s="288"/>
      <c r="P934" s="288"/>
      <c r="Q934" s="288"/>
      <c r="R934" s="288"/>
    </row>
    <row r="935" spans="14:18" x14ac:dyDescent="0.2">
      <c r="N935" s="288"/>
      <c r="O935" s="288"/>
      <c r="P935" s="288"/>
      <c r="Q935" s="288"/>
      <c r="R935" s="288"/>
    </row>
    <row r="936" spans="14:18" x14ac:dyDescent="0.2">
      <c r="N936" s="288"/>
      <c r="O936" s="288"/>
      <c r="P936" s="288"/>
      <c r="Q936" s="288"/>
      <c r="R936" s="288"/>
    </row>
    <row r="937" spans="14:18" x14ac:dyDescent="0.2">
      <c r="N937" s="288"/>
      <c r="O937" s="288"/>
      <c r="P937" s="288"/>
      <c r="Q937" s="288"/>
      <c r="R937" s="288"/>
    </row>
    <row r="938" spans="14:18" x14ac:dyDescent="0.2">
      <c r="N938" s="288"/>
      <c r="O938" s="288"/>
      <c r="P938" s="288"/>
      <c r="Q938" s="288"/>
      <c r="R938" s="288"/>
    </row>
    <row r="939" spans="14:18" x14ac:dyDescent="0.2">
      <c r="N939" s="288"/>
      <c r="O939" s="288"/>
      <c r="P939" s="288"/>
      <c r="Q939" s="288"/>
      <c r="R939" s="288"/>
    </row>
    <row r="940" spans="14:18" x14ac:dyDescent="0.2">
      <c r="N940" s="288"/>
      <c r="O940" s="288"/>
      <c r="P940" s="288"/>
      <c r="Q940" s="288"/>
      <c r="R940" s="288"/>
    </row>
    <row r="941" spans="14:18" x14ac:dyDescent="0.2">
      <c r="N941" s="288"/>
      <c r="O941" s="288"/>
      <c r="P941" s="288"/>
      <c r="Q941" s="288"/>
      <c r="R941" s="288"/>
    </row>
    <row r="942" spans="14:18" x14ac:dyDescent="0.2">
      <c r="N942" s="288"/>
      <c r="O942" s="288"/>
      <c r="P942" s="288"/>
      <c r="Q942" s="288"/>
      <c r="R942" s="288"/>
    </row>
    <row r="943" spans="14:18" x14ac:dyDescent="0.2">
      <c r="N943" s="288"/>
      <c r="O943" s="288"/>
      <c r="P943" s="288"/>
      <c r="Q943" s="288"/>
      <c r="R943" s="288"/>
    </row>
    <row r="944" spans="14:18" x14ac:dyDescent="0.2">
      <c r="N944" s="288"/>
      <c r="O944" s="288"/>
      <c r="P944" s="288"/>
      <c r="Q944" s="288"/>
      <c r="R944" s="288"/>
    </row>
    <row r="945" spans="14:18" x14ac:dyDescent="0.2">
      <c r="N945" s="288"/>
      <c r="O945" s="288"/>
      <c r="P945" s="288"/>
      <c r="Q945" s="288"/>
      <c r="R945" s="288"/>
    </row>
    <row r="946" spans="14:18" x14ac:dyDescent="0.2">
      <c r="N946" s="288"/>
      <c r="O946" s="288"/>
      <c r="P946" s="288"/>
      <c r="Q946" s="288"/>
      <c r="R946" s="288"/>
    </row>
    <row r="947" spans="14:18" x14ac:dyDescent="0.2">
      <c r="N947" s="288"/>
      <c r="O947" s="288"/>
      <c r="P947" s="288"/>
      <c r="Q947" s="288"/>
      <c r="R947" s="288"/>
    </row>
    <row r="948" spans="14:18" x14ac:dyDescent="0.2">
      <c r="N948" s="288"/>
      <c r="O948" s="288"/>
      <c r="P948" s="288"/>
      <c r="Q948" s="288"/>
      <c r="R948" s="288"/>
    </row>
    <row r="949" spans="14:18" x14ac:dyDescent="0.2">
      <c r="N949" s="288"/>
      <c r="O949" s="288"/>
      <c r="P949" s="288"/>
      <c r="Q949" s="288"/>
      <c r="R949" s="288"/>
    </row>
    <row r="950" spans="14:18" x14ac:dyDescent="0.2">
      <c r="N950" s="288"/>
      <c r="O950" s="288"/>
      <c r="P950" s="288"/>
      <c r="Q950" s="288"/>
      <c r="R950" s="288"/>
    </row>
    <row r="951" spans="14:18" x14ac:dyDescent="0.2">
      <c r="N951" s="288"/>
      <c r="O951" s="288"/>
      <c r="P951" s="288"/>
      <c r="Q951" s="288"/>
      <c r="R951" s="288"/>
    </row>
    <row r="952" spans="14:18" x14ac:dyDescent="0.2">
      <c r="N952" s="288"/>
      <c r="O952" s="288"/>
      <c r="P952" s="288"/>
      <c r="Q952" s="288"/>
      <c r="R952" s="288"/>
    </row>
    <row r="953" spans="14:18" x14ac:dyDescent="0.2">
      <c r="N953" s="288"/>
      <c r="O953" s="288"/>
      <c r="P953" s="288"/>
      <c r="Q953" s="288"/>
      <c r="R953" s="288"/>
    </row>
    <row r="954" spans="14:18" x14ac:dyDescent="0.2">
      <c r="N954" s="288"/>
      <c r="O954" s="288"/>
      <c r="P954" s="288"/>
      <c r="Q954" s="288"/>
      <c r="R954" s="288"/>
    </row>
    <row r="955" spans="14:18" x14ac:dyDescent="0.2">
      <c r="N955" s="288"/>
      <c r="O955" s="288"/>
      <c r="P955" s="288"/>
      <c r="Q955" s="288"/>
      <c r="R955" s="288"/>
    </row>
    <row r="956" spans="14:18" x14ac:dyDescent="0.2">
      <c r="N956" s="288"/>
      <c r="O956" s="288"/>
      <c r="P956" s="288"/>
      <c r="Q956" s="288"/>
      <c r="R956" s="288"/>
    </row>
    <row r="957" spans="14:18" x14ac:dyDescent="0.2">
      <c r="N957" s="288"/>
      <c r="O957" s="288"/>
      <c r="P957" s="288"/>
      <c r="Q957" s="288"/>
      <c r="R957" s="288"/>
    </row>
    <row r="958" spans="14:18" x14ac:dyDescent="0.2">
      <c r="N958" s="288"/>
      <c r="O958" s="288"/>
      <c r="P958" s="288"/>
      <c r="Q958" s="288"/>
      <c r="R958" s="288"/>
    </row>
    <row r="959" spans="14:18" x14ac:dyDescent="0.2">
      <c r="N959" s="288"/>
      <c r="O959" s="288"/>
      <c r="P959" s="288"/>
      <c r="Q959" s="288"/>
      <c r="R959" s="288"/>
    </row>
    <row r="960" spans="14:18" x14ac:dyDescent="0.2">
      <c r="N960" s="288"/>
      <c r="O960" s="288"/>
      <c r="P960" s="288"/>
      <c r="Q960" s="288"/>
      <c r="R960" s="288"/>
    </row>
    <row r="961" spans="14:18" x14ac:dyDescent="0.2">
      <c r="N961" s="288"/>
      <c r="O961" s="288"/>
      <c r="P961" s="288"/>
      <c r="Q961" s="288"/>
      <c r="R961" s="288"/>
    </row>
    <row r="962" spans="14:18" x14ac:dyDescent="0.2">
      <c r="N962" s="288"/>
      <c r="O962" s="288"/>
      <c r="P962" s="288"/>
      <c r="Q962" s="288"/>
      <c r="R962" s="288"/>
    </row>
    <row r="963" spans="14:18" x14ac:dyDescent="0.2">
      <c r="N963" s="288"/>
      <c r="O963" s="288"/>
      <c r="P963" s="288"/>
      <c r="Q963" s="288"/>
      <c r="R963" s="288"/>
    </row>
    <row r="964" spans="14:18" x14ac:dyDescent="0.2">
      <c r="N964" s="288"/>
      <c r="O964" s="288"/>
      <c r="P964" s="288"/>
      <c r="Q964" s="288"/>
      <c r="R964" s="288"/>
    </row>
    <row r="965" spans="14:18" x14ac:dyDescent="0.2">
      <c r="N965" s="288"/>
      <c r="O965" s="288"/>
      <c r="P965" s="288"/>
      <c r="Q965" s="288"/>
      <c r="R965" s="288"/>
    </row>
    <row r="966" spans="14:18" x14ac:dyDescent="0.2">
      <c r="N966" s="288"/>
      <c r="O966" s="288"/>
      <c r="P966" s="288"/>
      <c r="Q966" s="288"/>
      <c r="R966" s="288"/>
    </row>
    <row r="967" spans="14:18" x14ac:dyDescent="0.2">
      <c r="N967" s="288"/>
      <c r="O967" s="288"/>
      <c r="P967" s="288"/>
      <c r="Q967" s="288"/>
      <c r="R967" s="288"/>
    </row>
    <row r="968" spans="14:18" x14ac:dyDescent="0.2">
      <c r="N968" s="288"/>
      <c r="O968" s="288"/>
      <c r="P968" s="288"/>
      <c r="Q968" s="288"/>
      <c r="R968" s="288"/>
    </row>
    <row r="969" spans="14:18" x14ac:dyDescent="0.2">
      <c r="N969" s="288"/>
      <c r="O969" s="288"/>
      <c r="P969" s="288"/>
      <c r="Q969" s="288"/>
      <c r="R969" s="288"/>
    </row>
    <row r="970" spans="14:18" x14ac:dyDescent="0.2">
      <c r="N970" s="288"/>
      <c r="O970" s="288"/>
      <c r="P970" s="288"/>
      <c r="Q970" s="288"/>
      <c r="R970" s="288"/>
    </row>
    <row r="971" spans="14:18" x14ac:dyDescent="0.2">
      <c r="N971" s="288"/>
      <c r="O971" s="288"/>
      <c r="P971" s="288"/>
      <c r="Q971" s="288"/>
      <c r="R971" s="288"/>
    </row>
    <row r="972" spans="14:18" x14ac:dyDescent="0.2">
      <c r="N972" s="288"/>
      <c r="O972" s="288"/>
      <c r="P972" s="288"/>
      <c r="Q972" s="288"/>
      <c r="R972" s="288"/>
    </row>
    <row r="973" spans="14:18" x14ac:dyDescent="0.2">
      <c r="N973" s="288"/>
      <c r="O973" s="288"/>
      <c r="P973" s="288"/>
      <c r="Q973" s="288"/>
      <c r="R973" s="288"/>
    </row>
    <row r="974" spans="14:18" x14ac:dyDescent="0.2">
      <c r="N974" s="288"/>
      <c r="O974" s="288"/>
      <c r="P974" s="288"/>
      <c r="Q974" s="288"/>
      <c r="R974" s="288"/>
    </row>
    <row r="975" spans="14:18" x14ac:dyDescent="0.2">
      <c r="N975" s="288"/>
      <c r="O975" s="288"/>
      <c r="P975" s="288"/>
      <c r="Q975" s="288"/>
      <c r="R975" s="288"/>
    </row>
    <row r="976" spans="14:18" x14ac:dyDescent="0.2">
      <c r="N976" s="288"/>
      <c r="O976" s="288"/>
      <c r="P976" s="288"/>
      <c r="Q976" s="288"/>
      <c r="R976" s="288"/>
    </row>
    <row r="977" spans="14:18" x14ac:dyDescent="0.2">
      <c r="N977" s="288"/>
      <c r="O977" s="288"/>
      <c r="P977" s="288"/>
      <c r="Q977" s="288"/>
      <c r="R977" s="288"/>
    </row>
    <row r="978" spans="14:18" x14ac:dyDescent="0.2">
      <c r="N978" s="288"/>
      <c r="O978" s="288"/>
      <c r="P978" s="288"/>
      <c r="Q978" s="288"/>
      <c r="R978" s="288"/>
    </row>
    <row r="979" spans="14:18" x14ac:dyDescent="0.2">
      <c r="N979" s="288"/>
      <c r="O979" s="288"/>
      <c r="P979" s="288"/>
      <c r="Q979" s="288"/>
      <c r="R979" s="288"/>
    </row>
    <row r="980" spans="14:18" x14ac:dyDescent="0.2">
      <c r="N980" s="288"/>
      <c r="O980" s="288"/>
      <c r="P980" s="288"/>
      <c r="Q980" s="288"/>
      <c r="R980" s="288"/>
    </row>
    <row r="981" spans="14:18" x14ac:dyDescent="0.2">
      <c r="N981" s="288"/>
      <c r="O981" s="288"/>
      <c r="P981" s="288"/>
      <c r="Q981" s="288"/>
      <c r="R981" s="288"/>
    </row>
    <row r="982" spans="14:18" x14ac:dyDescent="0.2">
      <c r="N982" s="288"/>
      <c r="O982" s="288"/>
      <c r="P982" s="288"/>
      <c r="Q982" s="288"/>
      <c r="R982" s="288"/>
    </row>
    <row r="983" spans="14:18" x14ac:dyDescent="0.2">
      <c r="N983" s="288"/>
      <c r="O983" s="288"/>
      <c r="P983" s="288"/>
      <c r="Q983" s="288"/>
      <c r="R983" s="288"/>
    </row>
    <row r="984" spans="14:18" x14ac:dyDescent="0.2">
      <c r="N984" s="288"/>
      <c r="O984" s="288"/>
      <c r="P984" s="288"/>
      <c r="Q984" s="288"/>
      <c r="R984" s="288"/>
    </row>
    <row r="985" spans="14:18" x14ac:dyDescent="0.2">
      <c r="N985" s="288"/>
      <c r="O985" s="288"/>
      <c r="P985" s="288"/>
      <c r="Q985" s="288"/>
      <c r="R985" s="288"/>
    </row>
    <row r="986" spans="14:18" x14ac:dyDescent="0.2">
      <c r="N986" s="288"/>
      <c r="O986" s="288"/>
      <c r="P986" s="288"/>
      <c r="Q986" s="288"/>
      <c r="R986" s="288"/>
    </row>
    <row r="987" spans="14:18" x14ac:dyDescent="0.2">
      <c r="N987" s="288"/>
      <c r="O987" s="288"/>
      <c r="P987" s="288"/>
      <c r="Q987" s="288"/>
      <c r="R987" s="288"/>
    </row>
    <row r="988" spans="14:18" x14ac:dyDescent="0.2">
      <c r="N988" s="288"/>
      <c r="O988" s="288"/>
      <c r="P988" s="288"/>
      <c r="Q988" s="288"/>
      <c r="R988" s="288"/>
    </row>
    <row r="989" spans="14:18" x14ac:dyDescent="0.2">
      <c r="N989" s="288"/>
      <c r="O989" s="288"/>
      <c r="P989" s="288"/>
      <c r="Q989" s="288"/>
      <c r="R989" s="288"/>
    </row>
    <row r="990" spans="14:18" x14ac:dyDescent="0.2">
      <c r="N990" s="288"/>
      <c r="O990" s="288"/>
      <c r="P990" s="288"/>
      <c r="Q990" s="288"/>
      <c r="R990" s="288"/>
    </row>
    <row r="991" spans="14:18" x14ac:dyDescent="0.2">
      <c r="N991" s="288"/>
      <c r="O991" s="288"/>
      <c r="P991" s="288"/>
      <c r="Q991" s="288"/>
      <c r="R991" s="288"/>
    </row>
    <row r="992" spans="14:18" x14ac:dyDescent="0.2">
      <c r="N992" s="288"/>
      <c r="O992" s="288"/>
      <c r="P992" s="288"/>
      <c r="Q992" s="288"/>
      <c r="R992" s="288"/>
    </row>
    <row r="993" spans="14:18" x14ac:dyDescent="0.2">
      <c r="N993" s="288"/>
      <c r="O993" s="288"/>
      <c r="P993" s="288"/>
      <c r="Q993" s="288"/>
      <c r="R993" s="288"/>
    </row>
    <row r="994" spans="14:18" x14ac:dyDescent="0.2">
      <c r="N994" s="288"/>
      <c r="O994" s="288"/>
      <c r="P994" s="288"/>
      <c r="Q994" s="288"/>
      <c r="R994" s="288"/>
    </row>
    <row r="995" spans="14:18" x14ac:dyDescent="0.2">
      <c r="N995" s="288"/>
      <c r="O995" s="288"/>
      <c r="P995" s="288"/>
      <c r="Q995" s="288"/>
      <c r="R995" s="288"/>
    </row>
    <row r="996" spans="14:18" x14ac:dyDescent="0.2">
      <c r="N996" s="288"/>
      <c r="O996" s="288"/>
      <c r="P996" s="288"/>
      <c r="Q996" s="288"/>
      <c r="R996" s="288"/>
    </row>
    <row r="997" spans="14:18" x14ac:dyDescent="0.2">
      <c r="N997" s="288"/>
      <c r="O997" s="288"/>
      <c r="P997" s="288"/>
      <c r="Q997" s="288"/>
      <c r="R997" s="288"/>
    </row>
    <row r="998" spans="14:18" x14ac:dyDescent="0.2">
      <c r="N998" s="288"/>
      <c r="O998" s="288"/>
      <c r="P998" s="288"/>
      <c r="Q998" s="288"/>
      <c r="R998" s="288"/>
    </row>
    <row r="999" spans="14:18" x14ac:dyDescent="0.2">
      <c r="N999" s="288"/>
      <c r="O999" s="288"/>
      <c r="P999" s="288"/>
      <c r="Q999" s="288"/>
      <c r="R999" s="288"/>
    </row>
    <row r="1000" spans="14:18" x14ac:dyDescent="0.2">
      <c r="N1000" s="288"/>
      <c r="O1000" s="288"/>
      <c r="P1000" s="288"/>
      <c r="Q1000" s="288"/>
      <c r="R1000" s="288"/>
    </row>
    <row r="1001" spans="14:18" x14ac:dyDescent="0.2">
      <c r="N1001" s="288"/>
      <c r="O1001" s="288"/>
      <c r="P1001" s="288"/>
      <c r="Q1001" s="288"/>
      <c r="R1001" s="288"/>
    </row>
    <row r="1002" spans="14:18" x14ac:dyDescent="0.2">
      <c r="N1002" s="288"/>
      <c r="O1002" s="288"/>
      <c r="P1002" s="288"/>
      <c r="Q1002" s="288"/>
      <c r="R1002" s="288"/>
    </row>
    <row r="1003" spans="14:18" x14ac:dyDescent="0.2">
      <c r="N1003" s="288"/>
      <c r="O1003" s="288"/>
      <c r="P1003" s="288"/>
      <c r="Q1003" s="288"/>
      <c r="R1003" s="288"/>
    </row>
    <row r="1004" spans="14:18" x14ac:dyDescent="0.2">
      <c r="N1004" s="288"/>
      <c r="O1004" s="288"/>
      <c r="P1004" s="288"/>
      <c r="Q1004" s="288"/>
      <c r="R1004" s="288"/>
    </row>
    <row r="1005" spans="14:18" x14ac:dyDescent="0.2">
      <c r="N1005" s="288"/>
      <c r="O1005" s="288"/>
      <c r="P1005" s="288"/>
      <c r="Q1005" s="288"/>
      <c r="R1005" s="288"/>
    </row>
    <row r="1006" spans="14:18" x14ac:dyDescent="0.2">
      <c r="N1006" s="288"/>
      <c r="O1006" s="288"/>
      <c r="P1006" s="288"/>
      <c r="Q1006" s="288"/>
      <c r="R1006" s="288"/>
    </row>
    <row r="1007" spans="14:18" x14ac:dyDescent="0.2">
      <c r="N1007" s="288"/>
      <c r="O1007" s="288"/>
      <c r="P1007" s="288"/>
      <c r="Q1007" s="288"/>
      <c r="R1007" s="288"/>
    </row>
    <row r="1008" spans="14:18" x14ac:dyDescent="0.2">
      <c r="N1008" s="288"/>
      <c r="O1008" s="288"/>
      <c r="P1008" s="288"/>
      <c r="Q1008" s="288"/>
      <c r="R1008" s="288"/>
    </row>
    <row r="1009" spans="14:18" x14ac:dyDescent="0.2">
      <c r="N1009" s="288"/>
      <c r="O1009" s="288"/>
      <c r="P1009" s="288"/>
      <c r="Q1009" s="288"/>
      <c r="R1009" s="288"/>
    </row>
    <row r="1010" spans="14:18" x14ac:dyDescent="0.2">
      <c r="N1010" s="288"/>
      <c r="O1010" s="288"/>
      <c r="P1010" s="288"/>
      <c r="Q1010" s="288"/>
      <c r="R1010" s="288"/>
    </row>
    <row r="1011" spans="14:18" x14ac:dyDescent="0.2">
      <c r="N1011" s="288"/>
      <c r="O1011" s="288"/>
      <c r="P1011" s="288"/>
      <c r="Q1011" s="288"/>
      <c r="R1011" s="288"/>
    </row>
    <row r="1012" spans="14:18" x14ac:dyDescent="0.2">
      <c r="N1012" s="288"/>
      <c r="O1012" s="288"/>
      <c r="P1012" s="288"/>
      <c r="Q1012" s="288"/>
      <c r="R1012" s="288"/>
    </row>
    <row r="1013" spans="14:18" x14ac:dyDescent="0.2">
      <c r="N1013" s="288"/>
      <c r="O1013" s="288"/>
      <c r="P1013" s="288"/>
      <c r="Q1013" s="288"/>
      <c r="R1013" s="288"/>
    </row>
    <row r="1014" spans="14:18" x14ac:dyDescent="0.2">
      <c r="N1014" s="288"/>
      <c r="O1014" s="288"/>
      <c r="P1014" s="288"/>
      <c r="Q1014" s="288"/>
      <c r="R1014" s="288"/>
    </row>
    <row r="1015" spans="14:18" x14ac:dyDescent="0.2">
      <c r="N1015" s="288"/>
      <c r="O1015" s="288"/>
      <c r="P1015" s="288"/>
      <c r="Q1015" s="288"/>
      <c r="R1015" s="288"/>
    </row>
    <row r="1016" spans="14:18" x14ac:dyDescent="0.2">
      <c r="N1016" s="288"/>
      <c r="O1016" s="288"/>
      <c r="P1016" s="288"/>
      <c r="Q1016" s="288"/>
      <c r="R1016" s="288"/>
    </row>
    <row r="1017" spans="14:18" x14ac:dyDescent="0.2">
      <c r="N1017" s="288"/>
      <c r="O1017" s="288"/>
      <c r="P1017" s="288"/>
      <c r="Q1017" s="288"/>
      <c r="R1017" s="288"/>
    </row>
    <row r="1018" spans="14:18" x14ac:dyDescent="0.2">
      <c r="N1018" s="288"/>
      <c r="O1018" s="288"/>
      <c r="P1018" s="288"/>
      <c r="Q1018" s="288"/>
      <c r="R1018" s="288"/>
    </row>
    <row r="1019" spans="14:18" x14ac:dyDescent="0.2">
      <c r="N1019" s="288"/>
      <c r="O1019" s="288"/>
      <c r="P1019" s="288"/>
      <c r="Q1019" s="288"/>
      <c r="R1019" s="288"/>
    </row>
    <row r="1020" spans="14:18" x14ac:dyDescent="0.2">
      <c r="N1020" s="288"/>
      <c r="O1020" s="288"/>
      <c r="P1020" s="288"/>
      <c r="Q1020" s="288"/>
      <c r="R1020" s="288"/>
    </row>
    <row r="1021" spans="14:18" x14ac:dyDescent="0.2">
      <c r="N1021" s="288"/>
      <c r="O1021" s="288"/>
      <c r="P1021" s="288"/>
      <c r="Q1021" s="288"/>
      <c r="R1021" s="288"/>
    </row>
    <row r="1022" spans="14:18" x14ac:dyDescent="0.2">
      <c r="N1022" s="288"/>
      <c r="O1022" s="288"/>
      <c r="P1022" s="288"/>
      <c r="Q1022" s="288"/>
      <c r="R1022" s="288"/>
    </row>
    <row r="1023" spans="14:18" x14ac:dyDescent="0.2">
      <c r="N1023" s="288"/>
      <c r="O1023" s="288"/>
      <c r="P1023" s="288"/>
      <c r="Q1023" s="288"/>
      <c r="R1023" s="288"/>
    </row>
    <row r="1024" spans="14:18" x14ac:dyDescent="0.2">
      <c r="N1024" s="288"/>
      <c r="O1024" s="288"/>
      <c r="P1024" s="288"/>
      <c r="Q1024" s="288"/>
      <c r="R1024" s="288"/>
    </row>
    <row r="1025" spans="14:18" x14ac:dyDescent="0.2">
      <c r="N1025" s="288"/>
      <c r="O1025" s="288"/>
      <c r="P1025" s="288"/>
      <c r="Q1025" s="288"/>
      <c r="R1025" s="288"/>
    </row>
    <row r="1026" spans="14:18" x14ac:dyDescent="0.2">
      <c r="N1026" s="288"/>
      <c r="O1026" s="288"/>
      <c r="P1026" s="288"/>
      <c r="Q1026" s="288"/>
      <c r="R1026" s="288"/>
    </row>
    <row r="1027" spans="14:18" x14ac:dyDescent="0.2">
      <c r="N1027" s="288"/>
      <c r="O1027" s="288"/>
      <c r="P1027" s="288"/>
      <c r="Q1027" s="288"/>
      <c r="R1027" s="288"/>
    </row>
    <row r="1028" spans="14:18" x14ac:dyDescent="0.2">
      <c r="N1028" s="288"/>
      <c r="O1028" s="288"/>
      <c r="P1028" s="288"/>
      <c r="Q1028" s="288"/>
      <c r="R1028" s="288"/>
    </row>
    <row r="1029" spans="14:18" x14ac:dyDescent="0.2">
      <c r="N1029" s="288"/>
      <c r="O1029" s="288"/>
      <c r="P1029" s="288"/>
      <c r="Q1029" s="288"/>
      <c r="R1029" s="288"/>
    </row>
    <row r="1030" spans="14:18" x14ac:dyDescent="0.2">
      <c r="N1030" s="288"/>
      <c r="O1030" s="288"/>
      <c r="P1030" s="288"/>
      <c r="Q1030" s="288"/>
      <c r="R1030" s="288"/>
    </row>
    <row r="1031" spans="14:18" x14ac:dyDescent="0.2">
      <c r="N1031" s="288"/>
      <c r="O1031" s="288"/>
      <c r="P1031" s="288"/>
      <c r="Q1031" s="288"/>
      <c r="R1031" s="288"/>
    </row>
    <row r="1032" spans="14:18" x14ac:dyDescent="0.2">
      <c r="N1032" s="288"/>
      <c r="O1032" s="288"/>
      <c r="P1032" s="288"/>
      <c r="Q1032" s="288"/>
      <c r="R1032" s="288"/>
    </row>
    <row r="1033" spans="14:18" x14ac:dyDescent="0.2">
      <c r="N1033" s="288"/>
      <c r="O1033" s="288"/>
      <c r="P1033" s="288"/>
      <c r="Q1033" s="288"/>
      <c r="R1033" s="288"/>
    </row>
    <row r="1034" spans="14:18" x14ac:dyDescent="0.2">
      <c r="N1034" s="288"/>
      <c r="O1034" s="288"/>
      <c r="P1034" s="288"/>
      <c r="Q1034" s="288"/>
      <c r="R1034" s="288"/>
    </row>
    <row r="1035" spans="14:18" x14ac:dyDescent="0.2">
      <c r="N1035" s="288"/>
      <c r="O1035" s="288"/>
      <c r="P1035" s="288"/>
      <c r="Q1035" s="288"/>
      <c r="R1035" s="288"/>
    </row>
    <row r="1036" spans="14:18" x14ac:dyDescent="0.2">
      <c r="N1036" s="288"/>
      <c r="O1036" s="288"/>
      <c r="P1036" s="288"/>
      <c r="Q1036" s="288"/>
      <c r="R1036" s="288"/>
    </row>
    <row r="1037" spans="14:18" x14ac:dyDescent="0.2">
      <c r="N1037" s="288"/>
      <c r="O1037" s="288"/>
      <c r="P1037" s="288"/>
      <c r="Q1037" s="288"/>
      <c r="R1037" s="288"/>
    </row>
    <row r="1038" spans="14:18" x14ac:dyDescent="0.2">
      <c r="N1038" s="288"/>
      <c r="O1038" s="288"/>
      <c r="P1038" s="288"/>
      <c r="Q1038" s="288"/>
      <c r="R1038" s="288"/>
    </row>
    <row r="1039" spans="14:18" x14ac:dyDescent="0.2">
      <c r="N1039" s="288"/>
      <c r="O1039" s="288"/>
      <c r="P1039" s="288"/>
      <c r="Q1039" s="288"/>
      <c r="R1039" s="288"/>
    </row>
    <row r="1040" spans="14:18" x14ac:dyDescent="0.2">
      <c r="N1040" s="288"/>
      <c r="O1040" s="288"/>
      <c r="P1040" s="288"/>
      <c r="Q1040" s="288"/>
      <c r="R1040" s="288"/>
    </row>
    <row r="1041" spans="14:18" x14ac:dyDescent="0.2">
      <c r="N1041" s="288"/>
      <c r="O1041" s="288"/>
      <c r="P1041" s="288"/>
      <c r="Q1041" s="288"/>
      <c r="R1041" s="288"/>
    </row>
    <row r="1042" spans="14:18" x14ac:dyDescent="0.2">
      <c r="N1042" s="288"/>
      <c r="O1042" s="288"/>
      <c r="P1042" s="288"/>
      <c r="Q1042" s="288"/>
      <c r="R1042" s="288"/>
    </row>
    <row r="1043" spans="14:18" x14ac:dyDescent="0.2">
      <c r="N1043" s="288"/>
      <c r="O1043" s="288"/>
      <c r="P1043" s="288"/>
      <c r="Q1043" s="288"/>
      <c r="R1043" s="288"/>
    </row>
    <row r="1044" spans="14:18" x14ac:dyDescent="0.2">
      <c r="N1044" s="288"/>
      <c r="O1044" s="288"/>
      <c r="P1044" s="288"/>
      <c r="Q1044" s="288"/>
      <c r="R1044" s="288"/>
    </row>
    <row r="1045" spans="14:18" x14ac:dyDescent="0.2">
      <c r="N1045" s="288"/>
      <c r="O1045" s="288"/>
      <c r="P1045" s="288"/>
      <c r="Q1045" s="288"/>
      <c r="R1045" s="288"/>
    </row>
    <row r="1046" spans="14:18" x14ac:dyDescent="0.2">
      <c r="N1046" s="288"/>
      <c r="O1046" s="288"/>
      <c r="P1046" s="288"/>
      <c r="Q1046" s="288"/>
      <c r="R1046" s="288"/>
    </row>
    <row r="1047" spans="14:18" x14ac:dyDescent="0.2">
      <c r="N1047" s="288"/>
      <c r="O1047" s="288"/>
      <c r="P1047" s="288"/>
      <c r="Q1047" s="288"/>
      <c r="R1047" s="288"/>
    </row>
    <row r="1048" spans="14:18" x14ac:dyDescent="0.2">
      <c r="N1048" s="288"/>
      <c r="O1048" s="288"/>
      <c r="P1048" s="288"/>
      <c r="Q1048" s="288"/>
      <c r="R1048" s="288"/>
    </row>
    <row r="1049" spans="14:18" x14ac:dyDescent="0.2">
      <c r="N1049" s="288"/>
      <c r="O1049" s="288"/>
      <c r="P1049" s="288"/>
      <c r="Q1049" s="288"/>
      <c r="R1049" s="288"/>
    </row>
    <row r="1050" spans="14:18" x14ac:dyDescent="0.2">
      <c r="N1050" s="288"/>
      <c r="O1050" s="288"/>
      <c r="P1050" s="288"/>
      <c r="Q1050" s="288"/>
      <c r="R1050" s="288"/>
    </row>
    <row r="1051" spans="14:18" x14ac:dyDescent="0.2">
      <c r="N1051" s="288"/>
      <c r="O1051" s="288"/>
      <c r="P1051" s="288"/>
      <c r="Q1051" s="288"/>
      <c r="R1051" s="288"/>
    </row>
    <row r="1052" spans="14:18" x14ac:dyDescent="0.2">
      <c r="N1052" s="288"/>
      <c r="O1052" s="288"/>
      <c r="P1052" s="288"/>
      <c r="Q1052" s="288"/>
      <c r="R1052" s="288"/>
    </row>
    <row r="1053" spans="14:18" x14ac:dyDescent="0.2">
      <c r="N1053" s="288"/>
      <c r="O1053" s="288"/>
      <c r="P1053" s="288"/>
      <c r="Q1053" s="288"/>
      <c r="R1053" s="288"/>
    </row>
    <row r="1054" spans="14:18" x14ac:dyDescent="0.2">
      <c r="N1054" s="288"/>
      <c r="O1054" s="288"/>
      <c r="P1054" s="288"/>
      <c r="Q1054" s="288"/>
      <c r="R1054" s="288"/>
    </row>
    <row r="1055" spans="14:18" x14ac:dyDescent="0.2">
      <c r="N1055" s="288"/>
      <c r="O1055" s="288"/>
      <c r="P1055" s="288"/>
      <c r="Q1055" s="288"/>
      <c r="R1055" s="288"/>
    </row>
    <row r="1056" spans="14:18" x14ac:dyDescent="0.2">
      <c r="N1056" s="288"/>
      <c r="O1056" s="288"/>
      <c r="P1056" s="288"/>
      <c r="Q1056" s="288"/>
      <c r="R1056" s="288"/>
    </row>
    <row r="1057" spans="14:18" x14ac:dyDescent="0.2">
      <c r="N1057" s="288"/>
      <c r="O1057" s="288"/>
      <c r="P1057" s="288"/>
      <c r="Q1057" s="288"/>
      <c r="R1057" s="288"/>
    </row>
    <row r="1058" spans="14:18" x14ac:dyDescent="0.2">
      <c r="N1058" s="288"/>
      <c r="O1058" s="288"/>
      <c r="P1058" s="288"/>
      <c r="Q1058" s="288"/>
      <c r="R1058" s="288"/>
    </row>
    <row r="1059" spans="14:18" x14ac:dyDescent="0.2">
      <c r="N1059" s="288"/>
      <c r="O1059" s="288"/>
      <c r="P1059" s="288"/>
      <c r="Q1059" s="288"/>
      <c r="R1059" s="288"/>
    </row>
    <row r="1060" spans="14:18" x14ac:dyDescent="0.2">
      <c r="N1060" s="288"/>
      <c r="O1060" s="288"/>
      <c r="P1060" s="288"/>
      <c r="Q1060" s="288"/>
      <c r="R1060" s="288"/>
    </row>
    <row r="1061" spans="14:18" x14ac:dyDescent="0.2">
      <c r="N1061" s="288"/>
      <c r="O1061" s="288"/>
      <c r="P1061" s="288"/>
      <c r="Q1061" s="288"/>
      <c r="R1061" s="288"/>
    </row>
    <row r="1062" spans="14:18" x14ac:dyDescent="0.2">
      <c r="N1062" s="288"/>
      <c r="O1062" s="288"/>
      <c r="P1062" s="288"/>
      <c r="Q1062" s="288"/>
      <c r="R1062" s="288"/>
    </row>
    <row r="1063" spans="14:18" x14ac:dyDescent="0.2">
      <c r="N1063" s="288"/>
      <c r="O1063" s="288"/>
      <c r="P1063" s="288"/>
      <c r="Q1063" s="288"/>
      <c r="R1063" s="288"/>
    </row>
    <row r="1064" spans="14:18" x14ac:dyDescent="0.2">
      <c r="N1064" s="288"/>
      <c r="O1064" s="288"/>
      <c r="P1064" s="288"/>
      <c r="Q1064" s="288"/>
      <c r="R1064" s="288"/>
    </row>
    <row r="1065" spans="14:18" x14ac:dyDescent="0.2">
      <c r="N1065" s="288"/>
      <c r="O1065" s="288"/>
      <c r="P1065" s="288"/>
      <c r="Q1065" s="288"/>
      <c r="R1065" s="288"/>
    </row>
    <row r="1066" spans="14:18" x14ac:dyDescent="0.2">
      <c r="N1066" s="288"/>
      <c r="O1066" s="288"/>
      <c r="P1066" s="288"/>
      <c r="Q1066" s="288"/>
      <c r="R1066" s="288"/>
    </row>
    <row r="1067" spans="14:18" x14ac:dyDescent="0.2">
      <c r="N1067" s="288"/>
      <c r="O1067" s="288"/>
      <c r="P1067" s="288"/>
      <c r="Q1067" s="288"/>
      <c r="R1067" s="288"/>
    </row>
    <row r="1068" spans="14:18" x14ac:dyDescent="0.2">
      <c r="N1068" s="288"/>
      <c r="O1068" s="288"/>
      <c r="P1068" s="288"/>
      <c r="Q1068" s="288"/>
      <c r="R1068" s="288"/>
    </row>
    <row r="1069" spans="14:18" x14ac:dyDescent="0.2">
      <c r="N1069" s="288"/>
      <c r="O1069" s="288"/>
      <c r="P1069" s="288"/>
      <c r="Q1069" s="288"/>
      <c r="R1069" s="288"/>
    </row>
    <row r="1070" spans="14:18" x14ac:dyDescent="0.2">
      <c r="N1070" s="288"/>
      <c r="O1070" s="288"/>
      <c r="P1070" s="288"/>
      <c r="Q1070" s="288"/>
      <c r="R1070" s="288"/>
    </row>
    <row r="1071" spans="14:18" x14ac:dyDescent="0.2">
      <c r="N1071" s="288"/>
      <c r="O1071" s="288"/>
      <c r="P1071" s="288"/>
      <c r="Q1071" s="288"/>
      <c r="R1071" s="288"/>
    </row>
    <row r="1072" spans="14:18" x14ac:dyDescent="0.2">
      <c r="N1072" s="288"/>
      <c r="O1072" s="288"/>
      <c r="P1072" s="288"/>
      <c r="Q1072" s="288"/>
      <c r="R1072" s="288"/>
    </row>
    <row r="1073" spans="14:18" x14ac:dyDescent="0.2">
      <c r="N1073" s="288"/>
      <c r="O1073" s="288"/>
      <c r="P1073" s="288"/>
      <c r="Q1073" s="288"/>
      <c r="R1073" s="288"/>
    </row>
    <row r="1074" spans="14:18" x14ac:dyDescent="0.2">
      <c r="N1074" s="288"/>
      <c r="O1074" s="288"/>
      <c r="P1074" s="288"/>
      <c r="Q1074" s="288"/>
      <c r="R1074" s="288"/>
    </row>
    <row r="1075" spans="14:18" x14ac:dyDescent="0.2">
      <c r="N1075" s="288"/>
      <c r="O1075" s="288"/>
      <c r="P1075" s="288"/>
      <c r="Q1075" s="288"/>
      <c r="R1075" s="288"/>
    </row>
    <row r="1076" spans="14:18" x14ac:dyDescent="0.2">
      <c r="N1076" s="288"/>
      <c r="O1076" s="288"/>
      <c r="P1076" s="288"/>
      <c r="Q1076" s="288"/>
      <c r="R1076" s="288"/>
    </row>
    <row r="1077" spans="14:18" x14ac:dyDescent="0.2">
      <c r="N1077" s="288"/>
      <c r="O1077" s="288"/>
      <c r="P1077" s="288"/>
      <c r="Q1077" s="288"/>
      <c r="R1077" s="288"/>
    </row>
    <row r="1078" spans="14:18" x14ac:dyDescent="0.2">
      <c r="N1078" s="288"/>
      <c r="O1078" s="288"/>
      <c r="P1078" s="288"/>
      <c r="Q1078" s="288"/>
      <c r="R1078" s="288"/>
    </row>
    <row r="1079" spans="14:18" x14ac:dyDescent="0.2">
      <c r="N1079" s="288"/>
      <c r="O1079" s="288"/>
      <c r="P1079" s="288"/>
      <c r="Q1079" s="288"/>
      <c r="R1079" s="288"/>
    </row>
    <row r="1080" spans="14:18" x14ac:dyDescent="0.2">
      <c r="N1080" s="288"/>
      <c r="O1080" s="288"/>
      <c r="P1080" s="288"/>
      <c r="Q1080" s="288"/>
      <c r="R1080" s="288"/>
    </row>
    <row r="1081" spans="14:18" x14ac:dyDescent="0.2">
      <c r="N1081" s="288"/>
      <c r="O1081" s="288"/>
      <c r="P1081" s="288"/>
      <c r="Q1081" s="288"/>
      <c r="R1081" s="288"/>
    </row>
    <row r="1082" spans="14:18" x14ac:dyDescent="0.2">
      <c r="N1082" s="288"/>
      <c r="O1082" s="288"/>
      <c r="P1082" s="288"/>
      <c r="Q1082" s="288"/>
      <c r="R1082" s="288"/>
    </row>
    <row r="1083" spans="14:18" x14ac:dyDescent="0.2">
      <c r="N1083" s="288"/>
      <c r="O1083" s="288"/>
      <c r="P1083" s="288"/>
      <c r="Q1083" s="288"/>
      <c r="R1083" s="288"/>
    </row>
    <row r="1084" spans="14:18" x14ac:dyDescent="0.2">
      <c r="N1084" s="288"/>
      <c r="O1084" s="288"/>
      <c r="P1084" s="288"/>
      <c r="Q1084" s="288"/>
      <c r="R1084" s="288"/>
    </row>
    <row r="1085" spans="14:18" x14ac:dyDescent="0.2">
      <c r="N1085" s="288"/>
      <c r="O1085" s="288"/>
      <c r="P1085" s="288"/>
      <c r="Q1085" s="288"/>
      <c r="R1085" s="288"/>
    </row>
    <row r="1086" spans="14:18" x14ac:dyDescent="0.2">
      <c r="N1086" s="288"/>
      <c r="O1086" s="288"/>
      <c r="P1086" s="288"/>
      <c r="Q1086" s="288"/>
      <c r="R1086" s="288"/>
    </row>
    <row r="1087" spans="14:18" x14ac:dyDescent="0.2">
      <c r="N1087" s="288"/>
      <c r="O1087" s="288"/>
      <c r="P1087" s="288"/>
      <c r="Q1087" s="288"/>
      <c r="R1087" s="288"/>
    </row>
    <row r="1088" spans="14:18" x14ac:dyDescent="0.2">
      <c r="N1088" s="288"/>
      <c r="O1088" s="288"/>
      <c r="P1088" s="288"/>
      <c r="Q1088" s="288"/>
      <c r="R1088" s="288"/>
    </row>
    <row r="1089" spans="14:18" x14ac:dyDescent="0.2">
      <c r="N1089" s="288"/>
      <c r="O1089" s="288"/>
      <c r="P1089" s="288"/>
      <c r="Q1089" s="288"/>
      <c r="R1089" s="288"/>
    </row>
    <row r="1090" spans="14:18" x14ac:dyDescent="0.2">
      <c r="N1090" s="288"/>
      <c r="O1090" s="288"/>
      <c r="P1090" s="288"/>
      <c r="Q1090" s="288"/>
      <c r="R1090" s="288"/>
    </row>
    <row r="1091" spans="14:18" x14ac:dyDescent="0.2">
      <c r="N1091" s="288"/>
      <c r="O1091" s="288"/>
      <c r="P1091" s="288"/>
      <c r="Q1091" s="288"/>
      <c r="R1091" s="288"/>
    </row>
    <row r="1092" spans="14:18" x14ac:dyDescent="0.2">
      <c r="N1092" s="288"/>
      <c r="O1092" s="288"/>
      <c r="P1092" s="288"/>
      <c r="Q1092" s="288"/>
      <c r="R1092" s="288"/>
    </row>
    <row r="1093" spans="14:18" x14ac:dyDescent="0.2">
      <c r="N1093" s="288"/>
      <c r="O1093" s="288"/>
      <c r="P1093" s="288"/>
      <c r="Q1093" s="288"/>
      <c r="R1093" s="288"/>
    </row>
    <row r="1094" spans="14:18" x14ac:dyDescent="0.2">
      <c r="N1094" s="288"/>
      <c r="O1094" s="288"/>
      <c r="P1094" s="288"/>
      <c r="Q1094" s="288"/>
      <c r="R1094" s="288"/>
    </row>
    <row r="1095" spans="14:18" x14ac:dyDescent="0.2">
      <c r="N1095" s="288"/>
      <c r="O1095" s="288"/>
      <c r="P1095" s="288"/>
      <c r="Q1095" s="288"/>
      <c r="R1095" s="288"/>
    </row>
    <row r="1096" spans="14:18" x14ac:dyDescent="0.2">
      <c r="N1096" s="288"/>
      <c r="O1096" s="288"/>
      <c r="P1096" s="288"/>
      <c r="Q1096" s="288"/>
      <c r="R1096" s="288"/>
    </row>
    <row r="1097" spans="14:18" x14ac:dyDescent="0.2">
      <c r="N1097" s="288"/>
      <c r="O1097" s="288"/>
      <c r="P1097" s="288"/>
      <c r="Q1097" s="288"/>
      <c r="R1097" s="288"/>
    </row>
    <row r="1098" spans="14:18" x14ac:dyDescent="0.2">
      <c r="N1098" s="288"/>
      <c r="O1098" s="288"/>
      <c r="P1098" s="288"/>
      <c r="Q1098" s="288"/>
      <c r="R1098" s="288"/>
    </row>
    <row r="1099" spans="14:18" x14ac:dyDescent="0.2">
      <c r="N1099" s="288"/>
      <c r="O1099" s="288"/>
      <c r="P1099" s="288"/>
      <c r="Q1099" s="288"/>
      <c r="R1099" s="288"/>
    </row>
    <row r="1100" spans="14:18" x14ac:dyDescent="0.2">
      <c r="N1100" s="288"/>
      <c r="O1100" s="288"/>
      <c r="P1100" s="288"/>
      <c r="Q1100" s="288"/>
      <c r="R1100" s="288"/>
    </row>
    <row r="1101" spans="14:18" x14ac:dyDescent="0.2">
      <c r="N1101" s="288"/>
      <c r="O1101" s="288"/>
      <c r="P1101" s="288"/>
      <c r="Q1101" s="288"/>
      <c r="R1101" s="288"/>
    </row>
    <row r="1102" spans="14:18" x14ac:dyDescent="0.2">
      <c r="N1102" s="288"/>
      <c r="O1102" s="288"/>
      <c r="P1102" s="288"/>
      <c r="Q1102" s="288"/>
      <c r="R1102" s="288"/>
    </row>
    <row r="1103" spans="14:18" x14ac:dyDescent="0.2">
      <c r="N1103" s="288"/>
      <c r="O1103" s="288"/>
      <c r="P1103" s="288"/>
      <c r="Q1103" s="288"/>
      <c r="R1103" s="288"/>
    </row>
    <row r="1104" spans="14:18" x14ac:dyDescent="0.2">
      <c r="N1104" s="288"/>
      <c r="O1104" s="288"/>
      <c r="P1104" s="288"/>
      <c r="Q1104" s="288"/>
      <c r="R1104" s="288"/>
    </row>
    <row r="1105" spans="14:18" x14ac:dyDescent="0.2">
      <c r="N1105" s="288"/>
      <c r="O1105" s="288"/>
      <c r="P1105" s="288"/>
      <c r="Q1105" s="288"/>
      <c r="R1105" s="288"/>
    </row>
    <row r="1106" spans="14:18" x14ac:dyDescent="0.2">
      <c r="N1106" s="288"/>
      <c r="O1106" s="288"/>
      <c r="P1106" s="288"/>
      <c r="Q1106" s="288"/>
      <c r="R1106" s="288"/>
    </row>
    <row r="1107" spans="14:18" x14ac:dyDescent="0.2">
      <c r="N1107" s="288"/>
      <c r="O1107" s="288"/>
      <c r="P1107" s="288"/>
      <c r="Q1107" s="288"/>
      <c r="R1107" s="288"/>
    </row>
    <row r="1108" spans="14:18" x14ac:dyDescent="0.2">
      <c r="N1108" s="288"/>
      <c r="O1108" s="288"/>
      <c r="P1108" s="288"/>
      <c r="Q1108" s="288"/>
      <c r="R1108" s="288"/>
    </row>
    <row r="1109" spans="14:18" x14ac:dyDescent="0.2">
      <c r="N1109" s="288"/>
      <c r="O1109" s="288"/>
      <c r="P1109" s="288"/>
      <c r="Q1109" s="288"/>
      <c r="R1109" s="288"/>
    </row>
    <row r="1110" spans="14:18" x14ac:dyDescent="0.2">
      <c r="N1110" s="288"/>
      <c r="O1110" s="288"/>
      <c r="P1110" s="288"/>
      <c r="Q1110" s="288"/>
      <c r="R1110" s="288"/>
    </row>
    <row r="1111" spans="14:18" x14ac:dyDescent="0.2">
      <c r="N1111" s="288"/>
      <c r="O1111" s="288"/>
      <c r="P1111" s="288"/>
      <c r="Q1111" s="288"/>
      <c r="R1111" s="288"/>
    </row>
    <row r="1112" spans="14:18" x14ac:dyDescent="0.2">
      <c r="N1112" s="288"/>
      <c r="O1112" s="288"/>
      <c r="P1112" s="288"/>
      <c r="Q1112" s="288"/>
      <c r="R1112" s="288"/>
    </row>
    <row r="1113" spans="14:18" x14ac:dyDescent="0.2">
      <c r="N1113" s="288"/>
      <c r="O1113" s="288"/>
      <c r="P1113" s="288"/>
      <c r="Q1113" s="288"/>
      <c r="R1113" s="288"/>
    </row>
    <row r="1114" spans="14:18" x14ac:dyDescent="0.2">
      <c r="N1114" s="288"/>
      <c r="O1114" s="288"/>
      <c r="P1114" s="288"/>
      <c r="Q1114" s="288"/>
      <c r="R1114" s="288"/>
    </row>
    <row r="1115" spans="14:18" x14ac:dyDescent="0.2">
      <c r="N1115" s="288"/>
      <c r="O1115" s="288"/>
      <c r="P1115" s="288"/>
      <c r="Q1115" s="288"/>
      <c r="R1115" s="288"/>
    </row>
    <row r="1116" spans="14:18" x14ac:dyDescent="0.2">
      <c r="N1116" s="288"/>
      <c r="O1116" s="288"/>
      <c r="P1116" s="288"/>
      <c r="Q1116" s="288"/>
      <c r="R1116" s="288"/>
    </row>
    <row r="1117" spans="14:18" x14ac:dyDescent="0.2">
      <c r="N1117" s="288"/>
      <c r="O1117" s="288"/>
      <c r="P1117" s="288"/>
      <c r="Q1117" s="288"/>
      <c r="R1117" s="288"/>
    </row>
    <row r="1118" spans="14:18" x14ac:dyDescent="0.2">
      <c r="N1118" s="288"/>
      <c r="O1118" s="288"/>
      <c r="P1118" s="288"/>
      <c r="Q1118" s="288"/>
      <c r="R1118" s="288"/>
    </row>
    <row r="1119" spans="14:18" x14ac:dyDescent="0.2">
      <c r="N1119" s="288"/>
      <c r="O1119" s="288"/>
      <c r="P1119" s="288"/>
      <c r="Q1119" s="288"/>
      <c r="R1119" s="288"/>
    </row>
    <row r="1120" spans="14:18" x14ac:dyDescent="0.2">
      <c r="N1120" s="288"/>
      <c r="O1120" s="288"/>
      <c r="P1120" s="288"/>
      <c r="Q1120" s="288"/>
      <c r="R1120" s="288"/>
    </row>
    <row r="1121" spans="14:18" x14ac:dyDescent="0.2">
      <c r="N1121" s="288"/>
      <c r="O1121" s="288"/>
      <c r="P1121" s="288"/>
      <c r="Q1121" s="288"/>
      <c r="R1121" s="288"/>
    </row>
    <row r="1122" spans="14:18" x14ac:dyDescent="0.2">
      <c r="N1122" s="288"/>
      <c r="O1122" s="288"/>
      <c r="P1122" s="288"/>
      <c r="Q1122" s="288"/>
      <c r="R1122" s="288"/>
    </row>
    <row r="1123" spans="14:18" x14ac:dyDescent="0.2">
      <c r="N1123" s="288"/>
      <c r="O1123" s="288"/>
      <c r="P1123" s="288"/>
      <c r="Q1123" s="288"/>
      <c r="R1123" s="288"/>
    </row>
    <row r="1124" spans="14:18" x14ac:dyDescent="0.2">
      <c r="N1124" s="288"/>
      <c r="O1124" s="288"/>
      <c r="P1124" s="288"/>
      <c r="Q1124" s="288"/>
      <c r="R1124" s="288"/>
    </row>
    <row r="1125" spans="14:18" x14ac:dyDescent="0.2">
      <c r="N1125" s="288"/>
      <c r="O1125" s="288"/>
      <c r="P1125" s="288"/>
      <c r="Q1125" s="288"/>
      <c r="R1125" s="288"/>
    </row>
    <row r="1126" spans="14:18" x14ac:dyDescent="0.2">
      <c r="N1126" s="288"/>
      <c r="O1126" s="288"/>
      <c r="P1126" s="288"/>
      <c r="Q1126" s="288"/>
      <c r="R1126" s="288"/>
    </row>
    <row r="1127" spans="14:18" x14ac:dyDescent="0.2">
      <c r="N1127" s="288"/>
      <c r="O1127" s="288"/>
      <c r="P1127" s="288"/>
      <c r="Q1127" s="288"/>
      <c r="R1127" s="288"/>
    </row>
    <row r="1128" spans="14:18" x14ac:dyDescent="0.2">
      <c r="N1128" s="288"/>
      <c r="O1128" s="288"/>
      <c r="P1128" s="288"/>
      <c r="Q1128" s="288"/>
      <c r="R1128" s="288"/>
    </row>
    <row r="1129" spans="14:18" x14ac:dyDescent="0.2">
      <c r="N1129" s="288"/>
      <c r="O1129" s="288"/>
      <c r="P1129" s="288"/>
      <c r="Q1129" s="288"/>
      <c r="R1129" s="288"/>
    </row>
    <row r="1130" spans="14:18" x14ac:dyDescent="0.2">
      <c r="N1130" s="288"/>
      <c r="O1130" s="288"/>
      <c r="P1130" s="288"/>
      <c r="Q1130" s="288"/>
      <c r="R1130" s="288"/>
    </row>
    <row r="1131" spans="14:18" x14ac:dyDescent="0.2">
      <c r="N1131" s="288"/>
      <c r="O1131" s="288"/>
      <c r="P1131" s="288"/>
      <c r="Q1131" s="288"/>
      <c r="R1131" s="288"/>
    </row>
    <row r="1132" spans="14:18" x14ac:dyDescent="0.2">
      <c r="N1132" s="288"/>
      <c r="O1132" s="288"/>
      <c r="P1132" s="288"/>
      <c r="Q1132" s="288"/>
      <c r="R1132" s="288"/>
    </row>
    <row r="1133" spans="14:18" x14ac:dyDescent="0.2">
      <c r="N1133" s="288"/>
      <c r="O1133" s="288"/>
      <c r="P1133" s="288"/>
      <c r="Q1133" s="288"/>
      <c r="R1133" s="288"/>
    </row>
    <row r="1134" spans="14:18" x14ac:dyDescent="0.2">
      <c r="N1134" s="288"/>
      <c r="O1134" s="288"/>
      <c r="P1134" s="288"/>
      <c r="Q1134" s="288"/>
      <c r="R1134" s="288"/>
    </row>
    <row r="1135" spans="14:18" x14ac:dyDescent="0.2">
      <c r="N1135" s="288"/>
      <c r="O1135" s="288"/>
      <c r="P1135" s="288"/>
      <c r="Q1135" s="288"/>
      <c r="R1135" s="288"/>
    </row>
    <row r="1136" spans="14:18" x14ac:dyDescent="0.2">
      <c r="N1136" s="288"/>
      <c r="O1136" s="288"/>
      <c r="P1136" s="288"/>
      <c r="Q1136" s="288"/>
      <c r="R1136" s="288"/>
    </row>
    <row r="1137" spans="14:18" x14ac:dyDescent="0.2">
      <c r="N1137" s="288"/>
      <c r="O1137" s="288"/>
      <c r="P1137" s="288"/>
      <c r="Q1137" s="288"/>
      <c r="R1137" s="288"/>
    </row>
    <row r="1138" spans="14:18" x14ac:dyDescent="0.2">
      <c r="N1138" s="288"/>
      <c r="O1138" s="288"/>
      <c r="P1138" s="288"/>
      <c r="Q1138" s="288"/>
      <c r="R1138" s="288"/>
    </row>
    <row r="1139" spans="14:18" x14ac:dyDescent="0.2">
      <c r="N1139" s="288"/>
      <c r="O1139" s="288"/>
      <c r="P1139" s="288"/>
      <c r="Q1139" s="288"/>
      <c r="R1139" s="288"/>
    </row>
    <row r="1140" spans="14:18" x14ac:dyDescent="0.2">
      <c r="N1140" s="288"/>
      <c r="O1140" s="288"/>
      <c r="P1140" s="288"/>
      <c r="Q1140" s="288"/>
      <c r="R1140" s="288"/>
    </row>
    <row r="1141" spans="14:18" x14ac:dyDescent="0.2">
      <c r="N1141" s="288"/>
      <c r="O1141" s="288"/>
      <c r="P1141" s="288"/>
      <c r="Q1141" s="288"/>
      <c r="R1141" s="288"/>
    </row>
    <row r="1142" spans="14:18" x14ac:dyDescent="0.2">
      <c r="N1142" s="288"/>
      <c r="O1142" s="288"/>
      <c r="P1142" s="288"/>
      <c r="Q1142" s="288"/>
      <c r="R1142" s="288"/>
    </row>
    <row r="1143" spans="14:18" x14ac:dyDescent="0.2">
      <c r="N1143" s="288"/>
      <c r="O1143" s="288"/>
      <c r="P1143" s="288"/>
      <c r="Q1143" s="288"/>
      <c r="R1143" s="288"/>
    </row>
    <row r="1144" spans="14:18" x14ac:dyDescent="0.2">
      <c r="N1144" s="288"/>
      <c r="O1144" s="288"/>
      <c r="P1144" s="288"/>
      <c r="Q1144" s="288"/>
      <c r="R1144" s="288"/>
    </row>
    <row r="1145" spans="14:18" x14ac:dyDescent="0.2">
      <c r="N1145" s="288"/>
      <c r="O1145" s="288"/>
      <c r="P1145" s="288"/>
      <c r="Q1145" s="288"/>
      <c r="R1145" s="288"/>
    </row>
    <row r="1146" spans="14:18" x14ac:dyDescent="0.2">
      <c r="N1146" s="288"/>
      <c r="O1146" s="288"/>
      <c r="P1146" s="288"/>
      <c r="Q1146" s="288"/>
      <c r="R1146" s="288"/>
    </row>
    <row r="1147" spans="14:18" x14ac:dyDescent="0.2">
      <c r="N1147" s="288"/>
      <c r="O1147" s="288"/>
      <c r="P1147" s="288"/>
      <c r="Q1147" s="288"/>
      <c r="R1147" s="288"/>
    </row>
    <row r="1148" spans="14:18" x14ac:dyDescent="0.2">
      <c r="N1148" s="288"/>
      <c r="O1148" s="288"/>
      <c r="P1148" s="288"/>
      <c r="Q1148" s="288"/>
      <c r="R1148" s="288"/>
    </row>
    <row r="1149" spans="14:18" x14ac:dyDescent="0.2">
      <c r="N1149" s="288"/>
      <c r="O1149" s="288"/>
      <c r="P1149" s="288"/>
      <c r="Q1149" s="288"/>
      <c r="R1149" s="288"/>
    </row>
    <row r="1150" spans="14:18" x14ac:dyDescent="0.2">
      <c r="N1150" s="288"/>
      <c r="O1150" s="288"/>
      <c r="P1150" s="288"/>
      <c r="Q1150" s="288"/>
      <c r="R1150" s="288"/>
    </row>
    <row r="1151" spans="14:18" x14ac:dyDescent="0.2">
      <c r="N1151" s="288"/>
      <c r="O1151" s="288"/>
      <c r="P1151" s="288"/>
      <c r="Q1151" s="288"/>
      <c r="R1151" s="288"/>
    </row>
    <row r="1152" spans="14:18" x14ac:dyDescent="0.2">
      <c r="N1152" s="288"/>
      <c r="O1152" s="288"/>
      <c r="P1152" s="288"/>
      <c r="Q1152" s="288"/>
      <c r="R1152" s="288"/>
    </row>
    <row r="1153" spans="14:18" x14ac:dyDescent="0.2">
      <c r="N1153" s="288"/>
      <c r="O1153" s="288"/>
      <c r="P1153" s="288"/>
      <c r="Q1153" s="288"/>
      <c r="R1153" s="288"/>
    </row>
    <row r="1154" spans="14:18" x14ac:dyDescent="0.2">
      <c r="N1154" s="288"/>
      <c r="O1154" s="288"/>
      <c r="P1154" s="288"/>
      <c r="Q1154" s="288"/>
      <c r="R1154" s="288"/>
    </row>
    <row r="1155" spans="14:18" x14ac:dyDescent="0.2">
      <c r="N1155" s="288"/>
      <c r="O1155" s="288"/>
      <c r="P1155" s="288"/>
      <c r="Q1155" s="288"/>
      <c r="R1155" s="288"/>
    </row>
    <row r="1156" spans="14:18" x14ac:dyDescent="0.2">
      <c r="N1156" s="288"/>
      <c r="O1156" s="288"/>
      <c r="P1156" s="288"/>
      <c r="Q1156" s="288"/>
      <c r="R1156" s="288"/>
    </row>
    <row r="1157" spans="14:18" x14ac:dyDescent="0.2">
      <c r="N1157" s="288"/>
      <c r="O1157" s="288"/>
      <c r="P1157" s="288"/>
      <c r="Q1157" s="288"/>
      <c r="R1157" s="288"/>
    </row>
    <row r="1158" spans="14:18" x14ac:dyDescent="0.2">
      <c r="N1158" s="288"/>
      <c r="O1158" s="288"/>
      <c r="P1158" s="288"/>
      <c r="Q1158" s="288"/>
      <c r="R1158" s="288"/>
    </row>
    <row r="1159" spans="14:18" x14ac:dyDescent="0.2">
      <c r="N1159" s="288"/>
      <c r="O1159" s="288"/>
      <c r="P1159" s="288"/>
      <c r="Q1159" s="288"/>
      <c r="R1159" s="288"/>
    </row>
    <row r="1160" spans="14:18" x14ac:dyDescent="0.2">
      <c r="N1160" s="288"/>
      <c r="O1160" s="288"/>
      <c r="P1160" s="288"/>
      <c r="Q1160" s="288"/>
      <c r="R1160" s="288"/>
    </row>
    <row r="1161" spans="14:18" x14ac:dyDescent="0.2">
      <c r="N1161" s="288"/>
      <c r="O1161" s="288"/>
      <c r="P1161" s="288"/>
      <c r="Q1161" s="288"/>
      <c r="R1161" s="288"/>
    </row>
    <row r="1162" spans="14:18" x14ac:dyDescent="0.2">
      <c r="N1162" s="288"/>
      <c r="O1162" s="288"/>
      <c r="P1162" s="288"/>
      <c r="Q1162" s="288"/>
      <c r="R1162" s="288"/>
    </row>
    <row r="1163" spans="14:18" x14ac:dyDescent="0.2">
      <c r="N1163" s="288"/>
      <c r="O1163" s="288"/>
      <c r="P1163" s="288"/>
      <c r="Q1163" s="288"/>
      <c r="R1163" s="288"/>
    </row>
    <row r="1164" spans="14:18" x14ac:dyDescent="0.2">
      <c r="N1164" s="288"/>
      <c r="O1164" s="288"/>
      <c r="P1164" s="288"/>
      <c r="Q1164" s="288"/>
      <c r="R1164" s="288"/>
    </row>
    <row r="1165" spans="14:18" x14ac:dyDescent="0.2">
      <c r="N1165" s="288"/>
      <c r="O1165" s="288"/>
      <c r="P1165" s="288"/>
      <c r="Q1165" s="288"/>
      <c r="R1165" s="288"/>
    </row>
    <row r="1166" spans="14:18" x14ac:dyDescent="0.2">
      <c r="N1166" s="288"/>
      <c r="O1166" s="288"/>
      <c r="P1166" s="288"/>
      <c r="Q1166" s="288"/>
      <c r="R1166" s="288"/>
    </row>
    <row r="1167" spans="14:18" x14ac:dyDescent="0.2">
      <c r="N1167" s="288"/>
      <c r="O1167" s="288"/>
      <c r="P1167" s="288"/>
      <c r="Q1167" s="288"/>
      <c r="R1167" s="288"/>
    </row>
    <row r="1168" spans="14:18" x14ac:dyDescent="0.2">
      <c r="N1168" s="288"/>
      <c r="O1168" s="288"/>
      <c r="P1168" s="288"/>
      <c r="Q1168" s="288"/>
      <c r="R1168" s="288"/>
    </row>
    <row r="1169" spans="14:18" x14ac:dyDescent="0.2">
      <c r="N1169" s="288"/>
      <c r="O1169" s="288"/>
      <c r="P1169" s="288"/>
      <c r="Q1169" s="288"/>
      <c r="R1169" s="288"/>
    </row>
    <row r="1170" spans="14:18" x14ac:dyDescent="0.2">
      <c r="N1170" s="288"/>
      <c r="O1170" s="288"/>
      <c r="P1170" s="288"/>
      <c r="Q1170" s="288"/>
      <c r="R1170" s="288"/>
    </row>
    <row r="1171" spans="14:18" x14ac:dyDescent="0.2">
      <c r="N1171" s="288"/>
      <c r="O1171" s="288"/>
      <c r="P1171" s="288"/>
      <c r="Q1171" s="288"/>
      <c r="R1171" s="288"/>
    </row>
    <row r="1172" spans="14:18" x14ac:dyDescent="0.2">
      <c r="N1172" s="288"/>
      <c r="O1172" s="288"/>
      <c r="P1172" s="288"/>
      <c r="Q1172" s="288"/>
      <c r="R1172" s="288"/>
    </row>
    <row r="1173" spans="14:18" x14ac:dyDescent="0.2">
      <c r="N1173" s="288"/>
      <c r="O1173" s="288"/>
      <c r="P1173" s="288"/>
      <c r="Q1173" s="288"/>
      <c r="R1173" s="288"/>
    </row>
    <row r="1174" spans="14:18" x14ac:dyDescent="0.2">
      <c r="N1174" s="288"/>
      <c r="O1174" s="288"/>
      <c r="P1174" s="288"/>
      <c r="Q1174" s="288"/>
      <c r="R1174" s="288"/>
    </row>
    <row r="1175" spans="14:18" x14ac:dyDescent="0.2">
      <c r="N1175" s="288"/>
      <c r="O1175" s="288"/>
      <c r="P1175" s="288"/>
      <c r="Q1175" s="288"/>
      <c r="R1175" s="288"/>
    </row>
    <row r="1176" spans="14:18" x14ac:dyDescent="0.2">
      <c r="N1176" s="288"/>
      <c r="O1176" s="288"/>
      <c r="P1176" s="288"/>
      <c r="Q1176" s="288"/>
      <c r="R1176" s="288"/>
    </row>
    <row r="1177" spans="14:18" x14ac:dyDescent="0.2">
      <c r="N1177" s="288"/>
      <c r="O1177" s="288"/>
      <c r="P1177" s="288"/>
      <c r="Q1177" s="288"/>
      <c r="R1177" s="288"/>
    </row>
    <row r="1178" spans="14:18" x14ac:dyDescent="0.2">
      <c r="N1178" s="288"/>
      <c r="O1178" s="288"/>
      <c r="P1178" s="288"/>
      <c r="Q1178" s="288"/>
      <c r="R1178" s="288"/>
    </row>
    <row r="1179" spans="14:18" x14ac:dyDescent="0.2">
      <c r="N1179" s="288"/>
      <c r="O1179" s="288"/>
      <c r="P1179" s="288"/>
      <c r="Q1179" s="288"/>
      <c r="R1179" s="288"/>
    </row>
    <row r="1180" spans="14:18" x14ac:dyDescent="0.2">
      <c r="N1180" s="288"/>
      <c r="O1180" s="288"/>
      <c r="P1180" s="288"/>
      <c r="Q1180" s="288"/>
      <c r="R1180" s="288"/>
    </row>
    <row r="1181" spans="14:18" x14ac:dyDescent="0.2">
      <c r="N1181" s="288"/>
      <c r="O1181" s="288"/>
      <c r="P1181" s="288"/>
      <c r="Q1181" s="288"/>
      <c r="R1181" s="288"/>
    </row>
    <row r="1182" spans="14:18" x14ac:dyDescent="0.2">
      <c r="N1182" s="288"/>
      <c r="O1182" s="288"/>
      <c r="P1182" s="288"/>
      <c r="Q1182" s="288"/>
      <c r="R1182" s="288"/>
    </row>
    <row r="1183" spans="14:18" x14ac:dyDescent="0.2">
      <c r="N1183" s="288"/>
      <c r="O1183" s="288"/>
      <c r="P1183" s="288"/>
      <c r="Q1183" s="288"/>
      <c r="R1183" s="288"/>
    </row>
    <row r="1184" spans="14:18" x14ac:dyDescent="0.2">
      <c r="N1184" s="288"/>
      <c r="O1184" s="288"/>
      <c r="P1184" s="288"/>
      <c r="Q1184" s="288"/>
      <c r="R1184" s="288"/>
    </row>
    <row r="1185" spans="14:18" x14ac:dyDescent="0.2">
      <c r="N1185" s="288"/>
      <c r="O1185" s="288"/>
      <c r="P1185" s="288"/>
      <c r="Q1185" s="288"/>
      <c r="R1185" s="288"/>
    </row>
    <row r="1186" spans="14:18" x14ac:dyDescent="0.2">
      <c r="N1186" s="288"/>
      <c r="O1186" s="288"/>
      <c r="P1186" s="288"/>
      <c r="Q1186" s="288"/>
      <c r="R1186" s="288"/>
    </row>
    <row r="1187" spans="14:18" x14ac:dyDescent="0.2">
      <c r="N1187" s="288"/>
      <c r="O1187" s="288"/>
      <c r="P1187" s="288"/>
      <c r="Q1187" s="288"/>
      <c r="R1187" s="288"/>
    </row>
    <row r="1188" spans="14:18" x14ac:dyDescent="0.2">
      <c r="N1188" s="288"/>
      <c r="O1188" s="288"/>
      <c r="P1188" s="288"/>
      <c r="Q1188" s="288"/>
      <c r="R1188" s="288"/>
    </row>
    <row r="1189" spans="14:18" x14ac:dyDescent="0.2">
      <c r="N1189" s="288"/>
      <c r="O1189" s="288"/>
      <c r="P1189" s="288"/>
      <c r="Q1189" s="288"/>
      <c r="R1189" s="288"/>
    </row>
    <row r="1190" spans="14:18" x14ac:dyDescent="0.2">
      <c r="N1190" s="288"/>
      <c r="O1190" s="288"/>
      <c r="P1190" s="288"/>
      <c r="Q1190" s="288"/>
      <c r="R1190" s="288"/>
    </row>
    <row r="1191" spans="14:18" x14ac:dyDescent="0.2">
      <c r="N1191" s="288"/>
      <c r="O1191" s="288"/>
      <c r="P1191" s="288"/>
      <c r="Q1191" s="288"/>
      <c r="R1191" s="288"/>
    </row>
    <row r="1192" spans="14:18" x14ac:dyDescent="0.2">
      <c r="N1192" s="288"/>
      <c r="O1192" s="288"/>
      <c r="P1192" s="288"/>
      <c r="Q1192" s="288"/>
      <c r="R1192" s="288"/>
    </row>
    <row r="1193" spans="14:18" x14ac:dyDescent="0.2">
      <c r="N1193" s="288"/>
      <c r="O1193" s="288"/>
      <c r="P1193" s="288"/>
      <c r="Q1193" s="288"/>
      <c r="R1193" s="288"/>
    </row>
    <row r="1194" spans="14:18" x14ac:dyDescent="0.2">
      <c r="N1194" s="288"/>
      <c r="O1194" s="288"/>
      <c r="P1194" s="288"/>
      <c r="Q1194" s="288"/>
      <c r="R1194" s="288"/>
    </row>
    <row r="1195" spans="14:18" x14ac:dyDescent="0.2">
      <c r="N1195" s="288"/>
      <c r="O1195" s="288"/>
      <c r="P1195" s="288"/>
      <c r="Q1195" s="288"/>
      <c r="R1195" s="288"/>
    </row>
    <row r="1196" spans="14:18" x14ac:dyDescent="0.2">
      <c r="N1196" s="288"/>
      <c r="O1196" s="288"/>
      <c r="P1196" s="288"/>
      <c r="Q1196" s="288"/>
      <c r="R1196" s="288"/>
    </row>
    <row r="1197" spans="14:18" x14ac:dyDescent="0.2">
      <c r="N1197" s="288"/>
      <c r="O1197" s="288"/>
      <c r="P1197" s="288"/>
      <c r="Q1197" s="288"/>
      <c r="R1197" s="288"/>
    </row>
    <row r="1198" spans="14:18" x14ac:dyDescent="0.2">
      <c r="N1198" s="288"/>
      <c r="O1198" s="288"/>
      <c r="P1198" s="288"/>
      <c r="Q1198" s="288"/>
      <c r="R1198" s="288"/>
    </row>
    <row r="1199" spans="14:18" x14ac:dyDescent="0.2">
      <c r="N1199" s="288"/>
      <c r="O1199" s="288"/>
      <c r="P1199" s="288"/>
      <c r="Q1199" s="288"/>
      <c r="R1199" s="288"/>
    </row>
    <row r="1200" spans="14:18" x14ac:dyDescent="0.2">
      <c r="N1200" s="288"/>
      <c r="O1200" s="288"/>
      <c r="P1200" s="288"/>
      <c r="Q1200" s="288"/>
      <c r="R1200" s="288"/>
    </row>
    <row r="1201" spans="14:18" x14ac:dyDescent="0.2">
      <c r="N1201" s="288"/>
      <c r="O1201" s="288"/>
      <c r="P1201" s="288"/>
      <c r="Q1201" s="288"/>
      <c r="R1201" s="288"/>
    </row>
    <row r="1202" spans="14:18" x14ac:dyDescent="0.2">
      <c r="N1202" s="288"/>
      <c r="O1202" s="288"/>
      <c r="P1202" s="288"/>
      <c r="Q1202" s="288"/>
      <c r="R1202" s="288"/>
    </row>
    <row r="1203" spans="14:18" x14ac:dyDescent="0.2">
      <c r="N1203" s="288"/>
      <c r="O1203" s="288"/>
      <c r="P1203" s="288"/>
      <c r="Q1203" s="288"/>
      <c r="R1203" s="288"/>
    </row>
    <row r="1204" spans="14:18" x14ac:dyDescent="0.2">
      <c r="N1204" s="288"/>
      <c r="O1204" s="288"/>
      <c r="P1204" s="288"/>
      <c r="Q1204" s="288"/>
      <c r="R1204" s="288"/>
    </row>
    <row r="1205" spans="14:18" x14ac:dyDescent="0.2">
      <c r="N1205" s="288"/>
      <c r="O1205" s="288"/>
      <c r="P1205" s="288"/>
      <c r="Q1205" s="288"/>
      <c r="R1205" s="288"/>
    </row>
    <row r="1206" spans="14:18" x14ac:dyDescent="0.2">
      <c r="N1206" s="288"/>
      <c r="O1206" s="288"/>
      <c r="P1206" s="288"/>
      <c r="Q1206" s="288"/>
      <c r="R1206" s="288"/>
    </row>
    <row r="1207" spans="14:18" x14ac:dyDescent="0.2">
      <c r="N1207" s="288"/>
      <c r="O1207" s="288"/>
      <c r="P1207" s="288"/>
      <c r="Q1207" s="288"/>
      <c r="R1207" s="288"/>
    </row>
    <row r="1208" spans="14:18" x14ac:dyDescent="0.2">
      <c r="N1208" s="288"/>
      <c r="O1208" s="288"/>
      <c r="P1208" s="288"/>
      <c r="Q1208" s="288"/>
      <c r="R1208" s="288"/>
    </row>
    <row r="1209" spans="14:18" x14ac:dyDescent="0.2">
      <c r="N1209" s="288"/>
      <c r="O1209" s="288"/>
      <c r="P1209" s="288"/>
      <c r="Q1209" s="288"/>
      <c r="R1209" s="288"/>
    </row>
    <row r="1210" spans="14:18" x14ac:dyDescent="0.2">
      <c r="N1210" s="288"/>
      <c r="O1210" s="288"/>
      <c r="P1210" s="288"/>
      <c r="Q1210" s="288"/>
      <c r="R1210" s="288"/>
    </row>
    <row r="1211" spans="14:18" x14ac:dyDescent="0.2">
      <c r="N1211" s="288"/>
      <c r="O1211" s="288"/>
      <c r="P1211" s="288"/>
      <c r="Q1211" s="288"/>
      <c r="R1211" s="288"/>
    </row>
    <row r="1212" spans="14:18" x14ac:dyDescent="0.2">
      <c r="N1212" s="288"/>
      <c r="O1212" s="288"/>
      <c r="P1212" s="288"/>
      <c r="Q1212" s="288"/>
      <c r="R1212" s="288"/>
    </row>
    <row r="1213" spans="14:18" x14ac:dyDescent="0.2">
      <c r="N1213" s="288"/>
      <c r="O1213" s="288"/>
      <c r="P1213" s="288"/>
      <c r="Q1213" s="288"/>
      <c r="R1213" s="288"/>
    </row>
    <row r="1214" spans="14:18" x14ac:dyDescent="0.2">
      <c r="N1214" s="288"/>
      <c r="O1214" s="288"/>
      <c r="P1214" s="288"/>
      <c r="Q1214" s="288"/>
      <c r="R1214" s="288"/>
    </row>
    <row r="1215" spans="14:18" x14ac:dyDescent="0.2">
      <c r="N1215" s="288"/>
      <c r="O1215" s="288"/>
      <c r="P1215" s="288"/>
      <c r="Q1215" s="288"/>
      <c r="R1215" s="288"/>
    </row>
    <row r="1216" spans="14:18" x14ac:dyDescent="0.2">
      <c r="N1216" s="288"/>
      <c r="O1216" s="288"/>
      <c r="P1216" s="288"/>
      <c r="Q1216" s="288"/>
      <c r="R1216" s="288"/>
    </row>
    <row r="1217" spans="14:18" x14ac:dyDescent="0.2">
      <c r="N1217" s="288"/>
      <c r="O1217" s="288"/>
      <c r="P1217" s="288"/>
      <c r="Q1217" s="288"/>
      <c r="R1217" s="288"/>
    </row>
    <row r="1218" spans="14:18" x14ac:dyDescent="0.2">
      <c r="N1218" s="288"/>
      <c r="O1218" s="288"/>
      <c r="P1218" s="288"/>
      <c r="Q1218" s="288"/>
      <c r="R1218" s="288"/>
    </row>
    <row r="1219" spans="14:18" x14ac:dyDescent="0.2">
      <c r="N1219" s="288"/>
      <c r="O1219" s="288"/>
      <c r="P1219" s="288"/>
      <c r="Q1219" s="288"/>
      <c r="R1219" s="288"/>
    </row>
    <row r="1220" spans="14:18" x14ac:dyDescent="0.2">
      <c r="N1220" s="288"/>
      <c r="O1220" s="288"/>
      <c r="P1220" s="288"/>
      <c r="Q1220" s="288"/>
      <c r="R1220" s="288"/>
    </row>
    <row r="1221" spans="14:18" x14ac:dyDescent="0.2">
      <c r="N1221" s="288"/>
      <c r="O1221" s="288"/>
      <c r="P1221" s="288"/>
      <c r="Q1221" s="288"/>
      <c r="R1221" s="288"/>
    </row>
    <row r="1222" spans="14:18" x14ac:dyDescent="0.2">
      <c r="N1222" s="288"/>
      <c r="O1222" s="288"/>
      <c r="P1222" s="288"/>
      <c r="Q1222" s="288"/>
      <c r="R1222" s="288"/>
    </row>
    <row r="1223" spans="14:18" x14ac:dyDescent="0.2">
      <c r="N1223" s="288"/>
      <c r="O1223" s="288"/>
      <c r="P1223" s="288"/>
      <c r="Q1223" s="288"/>
      <c r="R1223" s="288"/>
    </row>
    <row r="1224" spans="14:18" x14ac:dyDescent="0.2">
      <c r="N1224" s="288"/>
      <c r="O1224" s="288"/>
      <c r="P1224" s="288"/>
      <c r="Q1224" s="288"/>
      <c r="R1224" s="288"/>
    </row>
    <row r="1225" spans="14:18" x14ac:dyDescent="0.2">
      <c r="N1225" s="288"/>
      <c r="O1225" s="288"/>
      <c r="P1225" s="288"/>
      <c r="Q1225" s="288"/>
      <c r="R1225" s="288"/>
    </row>
    <row r="1226" spans="14:18" x14ac:dyDescent="0.2">
      <c r="N1226" s="288"/>
      <c r="O1226" s="288"/>
      <c r="P1226" s="288"/>
      <c r="Q1226" s="288"/>
      <c r="R1226" s="288"/>
    </row>
    <row r="1227" spans="14:18" x14ac:dyDescent="0.2">
      <c r="N1227" s="288"/>
      <c r="O1227" s="288"/>
      <c r="P1227" s="288"/>
      <c r="Q1227" s="288"/>
      <c r="R1227" s="288"/>
    </row>
    <row r="1228" spans="14:18" x14ac:dyDescent="0.2">
      <c r="N1228" s="288"/>
      <c r="O1228" s="288"/>
      <c r="P1228" s="288"/>
      <c r="Q1228" s="288"/>
      <c r="R1228" s="288"/>
    </row>
    <row r="1229" spans="14:18" x14ac:dyDescent="0.2">
      <c r="N1229" s="288"/>
      <c r="O1229" s="288"/>
      <c r="P1229" s="288"/>
      <c r="Q1229" s="288"/>
      <c r="R1229" s="288"/>
    </row>
    <row r="1230" spans="14:18" x14ac:dyDescent="0.2">
      <c r="N1230" s="288"/>
      <c r="O1230" s="288"/>
      <c r="P1230" s="288"/>
      <c r="Q1230" s="288"/>
      <c r="R1230" s="288"/>
    </row>
    <row r="1231" spans="14:18" x14ac:dyDescent="0.2">
      <c r="N1231" s="288"/>
      <c r="O1231" s="288"/>
      <c r="P1231" s="288"/>
      <c r="Q1231" s="288"/>
      <c r="R1231" s="288"/>
    </row>
    <row r="1232" spans="14:18" x14ac:dyDescent="0.2">
      <c r="N1232" s="288"/>
      <c r="O1232" s="288"/>
      <c r="P1232" s="288"/>
      <c r="Q1232" s="288"/>
      <c r="R1232" s="288"/>
    </row>
    <row r="1233" spans="14:18" x14ac:dyDescent="0.2">
      <c r="N1233" s="288"/>
      <c r="O1233" s="288"/>
      <c r="P1233" s="288"/>
      <c r="Q1233" s="288"/>
      <c r="R1233" s="288"/>
    </row>
    <row r="1234" spans="14:18" x14ac:dyDescent="0.2">
      <c r="N1234" s="288"/>
      <c r="O1234" s="288"/>
      <c r="P1234" s="288"/>
      <c r="Q1234" s="288"/>
      <c r="R1234" s="288"/>
    </row>
    <row r="1235" spans="14:18" x14ac:dyDescent="0.2">
      <c r="N1235" s="288"/>
      <c r="O1235" s="288"/>
      <c r="P1235" s="288"/>
      <c r="Q1235" s="288"/>
      <c r="R1235" s="288"/>
    </row>
    <row r="1236" spans="14:18" x14ac:dyDescent="0.2">
      <c r="N1236" s="288"/>
      <c r="O1236" s="288"/>
      <c r="P1236" s="288"/>
      <c r="Q1236" s="288"/>
      <c r="R1236" s="288"/>
    </row>
    <row r="1237" spans="14:18" x14ac:dyDescent="0.2">
      <c r="N1237" s="288"/>
      <c r="O1237" s="288"/>
      <c r="P1237" s="288"/>
      <c r="Q1237" s="288"/>
      <c r="R1237" s="288"/>
    </row>
    <row r="1238" spans="14:18" x14ac:dyDescent="0.2">
      <c r="N1238" s="288"/>
      <c r="O1238" s="288"/>
      <c r="P1238" s="288"/>
      <c r="Q1238" s="288"/>
      <c r="R1238" s="288"/>
    </row>
    <row r="1239" spans="14:18" x14ac:dyDescent="0.2">
      <c r="N1239" s="288"/>
      <c r="O1239" s="288"/>
      <c r="P1239" s="288"/>
      <c r="Q1239" s="288"/>
      <c r="R1239" s="288"/>
    </row>
    <row r="1240" spans="14:18" x14ac:dyDescent="0.2">
      <c r="N1240" s="288"/>
      <c r="O1240" s="288"/>
      <c r="P1240" s="288"/>
      <c r="Q1240" s="288"/>
      <c r="R1240" s="288"/>
    </row>
    <row r="1241" spans="14:18" x14ac:dyDescent="0.2">
      <c r="N1241" s="288"/>
      <c r="O1241" s="288"/>
      <c r="P1241" s="288"/>
      <c r="Q1241" s="288"/>
      <c r="R1241" s="288"/>
    </row>
    <row r="1242" spans="14:18" x14ac:dyDescent="0.2">
      <c r="N1242" s="288"/>
      <c r="O1242" s="288"/>
      <c r="P1242" s="288"/>
      <c r="Q1242" s="288"/>
      <c r="R1242" s="288"/>
    </row>
    <row r="1243" spans="14:18" x14ac:dyDescent="0.2">
      <c r="N1243" s="288"/>
      <c r="O1243" s="288"/>
      <c r="P1243" s="288"/>
      <c r="Q1243" s="288"/>
      <c r="R1243" s="288"/>
    </row>
    <row r="1244" spans="14:18" x14ac:dyDescent="0.2">
      <c r="N1244" s="288"/>
      <c r="O1244" s="288"/>
      <c r="P1244" s="288"/>
      <c r="Q1244" s="288"/>
      <c r="R1244" s="288"/>
    </row>
    <row r="1245" spans="14:18" x14ac:dyDescent="0.2">
      <c r="N1245" s="288"/>
      <c r="O1245" s="288"/>
      <c r="P1245" s="288"/>
      <c r="Q1245" s="288"/>
      <c r="R1245" s="288"/>
    </row>
    <row r="1246" spans="14:18" x14ac:dyDescent="0.2">
      <c r="N1246" s="288"/>
      <c r="O1246" s="288"/>
      <c r="P1246" s="288"/>
      <c r="Q1246" s="288"/>
      <c r="R1246" s="288"/>
    </row>
    <row r="1247" spans="14:18" x14ac:dyDescent="0.2">
      <c r="N1247" s="288"/>
      <c r="O1247" s="288"/>
      <c r="P1247" s="288"/>
      <c r="Q1247" s="288"/>
      <c r="R1247" s="288"/>
    </row>
    <row r="1248" spans="14:18" x14ac:dyDescent="0.2">
      <c r="N1248" s="288"/>
      <c r="O1248" s="288"/>
      <c r="P1248" s="288"/>
      <c r="Q1248" s="288"/>
      <c r="R1248" s="288"/>
    </row>
    <row r="1249" spans="14:18" x14ac:dyDescent="0.2">
      <c r="N1249" s="288"/>
      <c r="O1249" s="288"/>
      <c r="P1249" s="288"/>
      <c r="Q1249" s="288"/>
      <c r="R1249" s="288"/>
    </row>
    <row r="1250" spans="14:18" x14ac:dyDescent="0.2">
      <c r="N1250" s="288"/>
      <c r="O1250" s="288"/>
      <c r="P1250" s="288"/>
      <c r="Q1250" s="288"/>
      <c r="R1250" s="288"/>
    </row>
    <row r="1251" spans="14:18" x14ac:dyDescent="0.2">
      <c r="N1251" s="288"/>
      <c r="O1251" s="288"/>
      <c r="P1251" s="288"/>
      <c r="Q1251" s="288"/>
      <c r="R1251" s="288"/>
    </row>
    <row r="1252" spans="14:18" x14ac:dyDescent="0.2">
      <c r="N1252" s="288"/>
      <c r="O1252" s="288"/>
      <c r="P1252" s="288"/>
      <c r="Q1252" s="288"/>
      <c r="R1252" s="288"/>
    </row>
    <row r="1253" spans="14:18" x14ac:dyDescent="0.2">
      <c r="N1253" s="288"/>
      <c r="O1253" s="288"/>
      <c r="P1253" s="288"/>
      <c r="Q1253" s="288"/>
      <c r="R1253" s="288"/>
    </row>
    <row r="1254" spans="14:18" x14ac:dyDescent="0.2">
      <c r="N1254" s="288"/>
      <c r="O1254" s="288"/>
      <c r="P1254" s="288"/>
      <c r="Q1254" s="288"/>
      <c r="R1254" s="288"/>
    </row>
    <row r="1255" spans="14:18" x14ac:dyDescent="0.2">
      <c r="N1255" s="288"/>
      <c r="O1255" s="288"/>
      <c r="P1255" s="288"/>
      <c r="Q1255" s="288"/>
      <c r="R1255" s="288"/>
    </row>
    <row r="1256" spans="14:18" x14ac:dyDescent="0.2">
      <c r="N1256" s="288"/>
      <c r="O1256" s="288"/>
      <c r="P1256" s="288"/>
      <c r="Q1256" s="288"/>
      <c r="R1256" s="288"/>
    </row>
    <row r="1257" spans="14:18" x14ac:dyDescent="0.2">
      <c r="N1257" s="288"/>
      <c r="O1257" s="288"/>
      <c r="P1257" s="288"/>
      <c r="Q1257" s="288"/>
      <c r="R1257" s="288"/>
    </row>
    <row r="1258" spans="14:18" x14ac:dyDescent="0.2">
      <c r="N1258" s="288"/>
      <c r="O1258" s="288"/>
      <c r="P1258" s="288"/>
      <c r="Q1258" s="288"/>
      <c r="R1258" s="288"/>
    </row>
    <row r="1259" spans="14:18" x14ac:dyDescent="0.2">
      <c r="N1259" s="288"/>
      <c r="O1259" s="288"/>
      <c r="P1259" s="288"/>
      <c r="Q1259" s="288"/>
      <c r="R1259" s="288"/>
    </row>
    <row r="1260" spans="14:18" x14ac:dyDescent="0.2">
      <c r="N1260" s="288"/>
      <c r="O1260" s="288"/>
      <c r="P1260" s="288"/>
      <c r="Q1260" s="288"/>
      <c r="R1260" s="288"/>
    </row>
    <row r="1261" spans="14:18" x14ac:dyDescent="0.2">
      <c r="N1261" s="288"/>
      <c r="O1261" s="288"/>
      <c r="P1261" s="288"/>
      <c r="Q1261" s="288"/>
      <c r="R1261" s="288"/>
    </row>
    <row r="1262" spans="14:18" x14ac:dyDescent="0.2">
      <c r="N1262" s="288"/>
      <c r="O1262" s="288"/>
      <c r="P1262" s="288"/>
      <c r="Q1262" s="288"/>
      <c r="R1262" s="288"/>
    </row>
    <row r="1263" spans="14:18" x14ac:dyDescent="0.2">
      <c r="N1263" s="288"/>
      <c r="O1263" s="288"/>
      <c r="P1263" s="288"/>
      <c r="Q1263" s="288"/>
      <c r="R1263" s="288"/>
    </row>
    <row r="1264" spans="14:18" x14ac:dyDescent="0.2">
      <c r="N1264" s="288"/>
      <c r="O1264" s="288"/>
      <c r="P1264" s="288"/>
      <c r="Q1264" s="288"/>
      <c r="R1264" s="288"/>
    </row>
    <row r="1265" spans="14:18" x14ac:dyDescent="0.2">
      <c r="N1265" s="288"/>
      <c r="O1265" s="288"/>
      <c r="P1265" s="288"/>
      <c r="Q1265" s="288"/>
      <c r="R1265" s="288"/>
    </row>
    <row r="1266" spans="14:18" x14ac:dyDescent="0.2">
      <c r="N1266" s="288"/>
      <c r="O1266" s="288"/>
      <c r="P1266" s="288"/>
      <c r="Q1266" s="288"/>
      <c r="R1266" s="288"/>
    </row>
    <row r="1267" spans="14:18" x14ac:dyDescent="0.2">
      <c r="N1267" s="288"/>
      <c r="O1267" s="288"/>
      <c r="P1267" s="288"/>
      <c r="Q1267" s="288"/>
      <c r="R1267" s="288"/>
    </row>
    <row r="1268" spans="14:18" x14ac:dyDescent="0.2">
      <c r="N1268" s="288"/>
      <c r="O1268" s="288"/>
      <c r="P1268" s="288"/>
      <c r="Q1268" s="288"/>
      <c r="R1268" s="288"/>
    </row>
    <row r="1269" spans="14:18" x14ac:dyDescent="0.2">
      <c r="N1269" s="288"/>
      <c r="O1269" s="288"/>
      <c r="P1269" s="288"/>
      <c r="Q1269" s="288"/>
      <c r="R1269" s="288"/>
    </row>
    <row r="1270" spans="14:18" x14ac:dyDescent="0.2">
      <c r="N1270" s="288"/>
      <c r="O1270" s="288"/>
      <c r="P1270" s="288"/>
      <c r="Q1270" s="288"/>
      <c r="R1270" s="288"/>
    </row>
    <row r="1271" spans="14:18" x14ac:dyDescent="0.2">
      <c r="N1271" s="288"/>
      <c r="O1271" s="288"/>
      <c r="P1271" s="288"/>
      <c r="Q1271" s="288"/>
      <c r="R1271" s="288"/>
    </row>
    <row r="1272" spans="14:18" x14ac:dyDescent="0.2">
      <c r="N1272" s="288"/>
      <c r="O1272" s="288"/>
      <c r="P1272" s="288"/>
      <c r="Q1272" s="288"/>
      <c r="R1272" s="288"/>
    </row>
    <row r="1273" spans="14:18" x14ac:dyDescent="0.2">
      <c r="N1273" s="288"/>
      <c r="O1273" s="288"/>
      <c r="P1273" s="288"/>
      <c r="Q1273" s="288"/>
      <c r="R1273" s="288"/>
    </row>
    <row r="1274" spans="14:18" x14ac:dyDescent="0.2">
      <c r="N1274" s="288"/>
      <c r="O1274" s="288"/>
      <c r="P1274" s="288"/>
      <c r="Q1274" s="288"/>
      <c r="R1274" s="288"/>
    </row>
    <row r="1275" spans="14:18" x14ac:dyDescent="0.2">
      <c r="N1275" s="288"/>
      <c r="O1275" s="288"/>
      <c r="P1275" s="288"/>
      <c r="Q1275" s="288"/>
      <c r="R1275" s="288"/>
    </row>
    <row r="1276" spans="14:18" x14ac:dyDescent="0.2">
      <c r="N1276" s="288"/>
      <c r="O1276" s="288"/>
      <c r="P1276" s="288"/>
      <c r="Q1276" s="288"/>
      <c r="R1276" s="288"/>
    </row>
    <row r="1277" spans="14:18" x14ac:dyDescent="0.2">
      <c r="N1277" s="288"/>
      <c r="O1277" s="288"/>
      <c r="P1277" s="288"/>
      <c r="Q1277" s="288"/>
      <c r="R1277" s="288"/>
    </row>
    <row r="1278" spans="14:18" x14ac:dyDescent="0.2">
      <c r="N1278" s="288"/>
      <c r="O1278" s="288"/>
      <c r="P1278" s="288"/>
      <c r="Q1278" s="288"/>
      <c r="R1278" s="288"/>
    </row>
    <row r="1279" spans="14:18" x14ac:dyDescent="0.2">
      <c r="N1279" s="288"/>
      <c r="O1279" s="288"/>
      <c r="P1279" s="288"/>
      <c r="Q1279" s="288"/>
      <c r="R1279" s="288"/>
    </row>
    <row r="1280" spans="14:18" x14ac:dyDescent="0.2">
      <c r="N1280" s="288"/>
      <c r="O1280" s="288"/>
      <c r="P1280" s="288"/>
      <c r="Q1280" s="288"/>
      <c r="R1280" s="288"/>
    </row>
    <row r="1281" spans="14:18" x14ac:dyDescent="0.2">
      <c r="N1281" s="288"/>
      <c r="O1281" s="288"/>
      <c r="P1281" s="288"/>
      <c r="Q1281" s="288"/>
      <c r="R1281" s="288"/>
    </row>
    <row r="1282" spans="14:18" x14ac:dyDescent="0.2">
      <c r="N1282" s="288"/>
      <c r="O1282" s="288"/>
      <c r="P1282" s="288"/>
      <c r="Q1282" s="288"/>
      <c r="R1282" s="288"/>
    </row>
    <row r="1283" spans="14:18" x14ac:dyDescent="0.2">
      <c r="N1283" s="288"/>
      <c r="O1283" s="288"/>
      <c r="P1283" s="288"/>
      <c r="Q1283" s="288"/>
      <c r="R1283" s="288"/>
    </row>
    <row r="1284" spans="14:18" x14ac:dyDescent="0.2">
      <c r="N1284" s="288"/>
      <c r="O1284" s="288"/>
      <c r="P1284" s="288"/>
      <c r="Q1284" s="288"/>
      <c r="R1284" s="288"/>
    </row>
    <row r="1285" spans="14:18" x14ac:dyDescent="0.2">
      <c r="N1285" s="288"/>
      <c r="O1285" s="288"/>
      <c r="P1285" s="288"/>
      <c r="Q1285" s="288"/>
      <c r="R1285" s="288"/>
    </row>
    <row r="1286" spans="14:18" x14ac:dyDescent="0.2">
      <c r="N1286" s="288"/>
      <c r="O1286" s="288"/>
      <c r="P1286" s="288"/>
      <c r="Q1286" s="288"/>
      <c r="R1286" s="288"/>
    </row>
    <row r="1287" spans="14:18" x14ac:dyDescent="0.2">
      <c r="N1287" s="288"/>
      <c r="O1287" s="288"/>
      <c r="P1287" s="288"/>
      <c r="Q1287" s="288"/>
      <c r="R1287" s="288"/>
    </row>
    <row r="1288" spans="14:18" x14ac:dyDescent="0.2">
      <c r="N1288" s="288"/>
      <c r="O1288" s="288"/>
      <c r="P1288" s="288"/>
      <c r="Q1288" s="288"/>
      <c r="R1288" s="288"/>
    </row>
    <row r="1289" spans="14:18" x14ac:dyDescent="0.2">
      <c r="N1289" s="288"/>
      <c r="O1289" s="288"/>
      <c r="P1289" s="288"/>
      <c r="Q1289" s="288"/>
      <c r="R1289" s="288"/>
    </row>
    <row r="1290" spans="14:18" x14ac:dyDescent="0.2">
      <c r="N1290" s="288"/>
      <c r="O1290" s="288"/>
      <c r="P1290" s="288"/>
      <c r="Q1290" s="288"/>
      <c r="R1290" s="288"/>
    </row>
    <row r="1291" spans="14:18" x14ac:dyDescent="0.2">
      <c r="N1291" s="288"/>
      <c r="O1291" s="288"/>
      <c r="P1291" s="288"/>
      <c r="Q1291" s="288"/>
      <c r="R1291" s="288"/>
    </row>
    <row r="1292" spans="14:18" x14ac:dyDescent="0.2">
      <c r="N1292" s="288"/>
      <c r="O1292" s="288"/>
      <c r="P1292" s="288"/>
      <c r="Q1292" s="288"/>
      <c r="R1292" s="288"/>
    </row>
    <row r="1293" spans="14:18" x14ac:dyDescent="0.2">
      <c r="N1293" s="288"/>
      <c r="O1293" s="288"/>
      <c r="P1293" s="288"/>
      <c r="Q1293" s="288"/>
      <c r="R1293" s="288"/>
    </row>
    <row r="1294" spans="14:18" x14ac:dyDescent="0.2">
      <c r="N1294" s="288"/>
      <c r="O1294" s="288"/>
      <c r="P1294" s="288"/>
      <c r="Q1294" s="288"/>
      <c r="R1294" s="288"/>
    </row>
    <row r="1295" spans="14:18" x14ac:dyDescent="0.2">
      <c r="N1295" s="288"/>
      <c r="O1295" s="288"/>
      <c r="P1295" s="288"/>
      <c r="Q1295" s="288"/>
      <c r="R1295" s="288"/>
    </row>
    <row r="1296" spans="14:18" x14ac:dyDescent="0.2">
      <c r="N1296" s="288"/>
      <c r="O1296" s="288"/>
      <c r="P1296" s="288"/>
      <c r="Q1296" s="288"/>
      <c r="R1296" s="288"/>
    </row>
    <row r="1297" spans="14:18" x14ac:dyDescent="0.2">
      <c r="N1297" s="288"/>
      <c r="O1297" s="288"/>
      <c r="P1297" s="288"/>
      <c r="Q1297" s="288"/>
      <c r="R1297" s="288"/>
    </row>
    <row r="1298" spans="14:18" x14ac:dyDescent="0.2">
      <c r="N1298" s="288"/>
      <c r="O1298" s="288"/>
      <c r="P1298" s="288"/>
      <c r="Q1298" s="288"/>
      <c r="R1298" s="288"/>
    </row>
    <row r="1299" spans="14:18" x14ac:dyDescent="0.2">
      <c r="N1299" s="288"/>
      <c r="O1299" s="288"/>
      <c r="P1299" s="288"/>
      <c r="Q1299" s="288"/>
      <c r="R1299" s="288"/>
    </row>
    <row r="1300" spans="14:18" x14ac:dyDescent="0.2">
      <c r="N1300" s="288"/>
      <c r="O1300" s="288"/>
      <c r="P1300" s="288"/>
      <c r="Q1300" s="288"/>
      <c r="R1300" s="288"/>
    </row>
    <row r="1301" spans="14:18" x14ac:dyDescent="0.2">
      <c r="N1301" s="288"/>
      <c r="O1301" s="288"/>
      <c r="P1301" s="288"/>
      <c r="Q1301" s="288"/>
      <c r="R1301" s="288"/>
    </row>
    <row r="1302" spans="14:18" x14ac:dyDescent="0.2">
      <c r="N1302" s="288"/>
      <c r="O1302" s="288"/>
      <c r="P1302" s="288"/>
      <c r="Q1302" s="288"/>
      <c r="R1302" s="288"/>
    </row>
    <row r="1303" spans="14:18" x14ac:dyDescent="0.2">
      <c r="N1303" s="288"/>
      <c r="O1303" s="288"/>
      <c r="P1303" s="288"/>
      <c r="Q1303" s="288"/>
      <c r="R1303" s="288"/>
    </row>
    <row r="1304" spans="14:18" x14ac:dyDescent="0.2">
      <c r="N1304" s="288"/>
      <c r="O1304" s="288"/>
      <c r="P1304" s="288"/>
      <c r="Q1304" s="288"/>
      <c r="R1304" s="288"/>
    </row>
    <row r="1305" spans="14:18" x14ac:dyDescent="0.2">
      <c r="N1305" s="288"/>
      <c r="O1305" s="288"/>
      <c r="P1305" s="288"/>
      <c r="Q1305" s="288"/>
      <c r="R1305" s="288"/>
    </row>
    <row r="1306" spans="14:18" x14ac:dyDescent="0.2">
      <c r="N1306" s="288"/>
      <c r="O1306" s="288"/>
      <c r="P1306" s="288"/>
      <c r="Q1306" s="288"/>
      <c r="R1306" s="288"/>
    </row>
    <row r="1307" spans="14:18" x14ac:dyDescent="0.2">
      <c r="N1307" s="288"/>
      <c r="O1307" s="288"/>
      <c r="P1307" s="288"/>
      <c r="Q1307" s="288"/>
      <c r="R1307" s="288"/>
    </row>
    <row r="1308" spans="14:18" x14ac:dyDescent="0.2">
      <c r="N1308" s="288"/>
      <c r="O1308" s="288"/>
      <c r="P1308" s="288"/>
      <c r="Q1308" s="288"/>
      <c r="R1308" s="288"/>
    </row>
    <row r="1309" spans="14:18" x14ac:dyDescent="0.2">
      <c r="N1309" s="288"/>
      <c r="O1309" s="288"/>
      <c r="P1309" s="288"/>
      <c r="Q1309" s="288"/>
      <c r="R1309" s="288"/>
    </row>
    <row r="1310" spans="14:18" x14ac:dyDescent="0.2">
      <c r="N1310" s="288"/>
      <c r="O1310" s="288"/>
      <c r="P1310" s="288"/>
      <c r="Q1310" s="288"/>
      <c r="R1310" s="288"/>
    </row>
    <row r="1311" spans="14:18" x14ac:dyDescent="0.2">
      <c r="N1311" s="288"/>
      <c r="O1311" s="288"/>
      <c r="P1311" s="288"/>
      <c r="Q1311" s="288"/>
      <c r="R1311" s="288"/>
    </row>
    <row r="1312" spans="14:18" x14ac:dyDescent="0.2">
      <c r="N1312" s="288"/>
      <c r="O1312" s="288"/>
      <c r="P1312" s="288"/>
      <c r="Q1312" s="288"/>
      <c r="R1312" s="288"/>
    </row>
    <row r="1313" spans="14:18" x14ac:dyDescent="0.2">
      <c r="N1313" s="288"/>
      <c r="O1313" s="288"/>
      <c r="P1313" s="288"/>
      <c r="Q1313" s="288"/>
      <c r="R1313" s="288"/>
    </row>
    <row r="1314" spans="14:18" x14ac:dyDescent="0.2">
      <c r="N1314" s="288"/>
      <c r="O1314" s="288"/>
      <c r="P1314" s="288"/>
      <c r="Q1314" s="288"/>
      <c r="R1314" s="288"/>
    </row>
    <row r="1315" spans="14:18" x14ac:dyDescent="0.2">
      <c r="N1315" s="288"/>
      <c r="O1315" s="288"/>
      <c r="P1315" s="288"/>
      <c r="Q1315" s="288"/>
      <c r="R1315" s="288"/>
    </row>
    <row r="1316" spans="14:18" x14ac:dyDescent="0.2">
      <c r="N1316" s="288"/>
      <c r="O1316" s="288"/>
      <c r="P1316" s="288"/>
      <c r="Q1316" s="288"/>
      <c r="R1316" s="288"/>
    </row>
    <row r="1317" spans="14:18" x14ac:dyDescent="0.2">
      <c r="N1317" s="288"/>
      <c r="O1317" s="288"/>
      <c r="P1317" s="288"/>
      <c r="Q1317" s="288"/>
      <c r="R1317" s="288"/>
    </row>
    <row r="1318" spans="14:18" x14ac:dyDescent="0.2">
      <c r="N1318" s="288"/>
      <c r="O1318" s="288"/>
      <c r="P1318" s="288"/>
      <c r="Q1318" s="288"/>
      <c r="R1318" s="288"/>
    </row>
    <row r="1319" spans="14:18" x14ac:dyDescent="0.2">
      <c r="N1319" s="288"/>
      <c r="O1319" s="288"/>
      <c r="P1319" s="288"/>
      <c r="Q1319" s="288"/>
      <c r="R1319" s="288"/>
    </row>
    <row r="1320" spans="14:18" x14ac:dyDescent="0.2">
      <c r="N1320" s="288"/>
      <c r="O1320" s="288"/>
      <c r="P1320" s="288"/>
      <c r="Q1320" s="288"/>
      <c r="R1320" s="288"/>
    </row>
    <row r="1321" spans="14:18" x14ac:dyDescent="0.2">
      <c r="N1321" s="288"/>
      <c r="O1321" s="288"/>
      <c r="P1321" s="288"/>
      <c r="Q1321" s="288"/>
      <c r="R1321" s="288"/>
    </row>
    <row r="1322" spans="14:18" x14ac:dyDescent="0.2">
      <c r="N1322" s="288"/>
      <c r="O1322" s="288"/>
      <c r="P1322" s="288"/>
      <c r="Q1322" s="288"/>
      <c r="R1322" s="288"/>
    </row>
    <row r="1323" spans="14:18" x14ac:dyDescent="0.2">
      <c r="N1323" s="288"/>
      <c r="O1323" s="288"/>
      <c r="P1323" s="288"/>
      <c r="Q1323" s="288"/>
      <c r="R1323" s="288"/>
    </row>
    <row r="1324" spans="14:18" x14ac:dyDescent="0.2">
      <c r="N1324" s="288"/>
      <c r="O1324" s="288"/>
      <c r="P1324" s="288"/>
      <c r="Q1324" s="288"/>
      <c r="R1324" s="288"/>
    </row>
    <row r="1325" spans="14:18" x14ac:dyDescent="0.2">
      <c r="N1325" s="288"/>
      <c r="O1325" s="288"/>
      <c r="P1325" s="288"/>
      <c r="Q1325" s="288"/>
      <c r="R1325" s="288"/>
    </row>
    <row r="1326" spans="14:18" x14ac:dyDescent="0.2">
      <c r="N1326" s="288"/>
      <c r="O1326" s="288"/>
      <c r="P1326" s="288"/>
      <c r="Q1326" s="288"/>
      <c r="R1326" s="288"/>
    </row>
    <row r="1327" spans="14:18" x14ac:dyDescent="0.2">
      <c r="N1327" s="288"/>
      <c r="O1327" s="288"/>
      <c r="P1327" s="288"/>
      <c r="Q1327" s="288"/>
      <c r="R1327" s="288"/>
    </row>
    <row r="1328" spans="14:18" x14ac:dyDescent="0.2">
      <c r="N1328" s="288"/>
      <c r="O1328" s="288"/>
      <c r="P1328" s="288"/>
      <c r="Q1328" s="288"/>
      <c r="R1328" s="288"/>
    </row>
    <row r="1329" spans="14:18" x14ac:dyDescent="0.2">
      <c r="N1329" s="288"/>
      <c r="O1329" s="288"/>
      <c r="P1329" s="288"/>
      <c r="Q1329" s="288"/>
      <c r="R1329" s="288"/>
    </row>
    <row r="1330" spans="14:18" x14ac:dyDescent="0.2">
      <c r="N1330" s="288"/>
      <c r="O1330" s="288"/>
      <c r="P1330" s="288"/>
      <c r="Q1330" s="288"/>
      <c r="R1330" s="288"/>
    </row>
    <row r="1331" spans="14:18" x14ac:dyDescent="0.2">
      <c r="N1331" s="288"/>
      <c r="O1331" s="288"/>
      <c r="P1331" s="288"/>
      <c r="Q1331" s="288"/>
      <c r="R1331" s="288"/>
    </row>
    <row r="1332" spans="14:18" x14ac:dyDescent="0.2">
      <c r="N1332" s="288"/>
      <c r="O1332" s="288"/>
      <c r="P1332" s="288"/>
      <c r="Q1332" s="288"/>
      <c r="R1332" s="288"/>
    </row>
    <row r="1333" spans="14:18" x14ac:dyDescent="0.2">
      <c r="N1333" s="288"/>
      <c r="O1333" s="288"/>
      <c r="P1333" s="288"/>
      <c r="Q1333" s="288"/>
      <c r="R1333" s="288"/>
    </row>
    <row r="1334" spans="14:18" x14ac:dyDescent="0.2">
      <c r="N1334" s="288"/>
      <c r="O1334" s="288"/>
      <c r="P1334" s="288"/>
      <c r="Q1334" s="288"/>
      <c r="R1334" s="288"/>
    </row>
    <row r="1335" spans="14:18" x14ac:dyDescent="0.2">
      <c r="N1335" s="288"/>
      <c r="O1335" s="288"/>
      <c r="P1335" s="288"/>
      <c r="Q1335" s="288"/>
      <c r="R1335" s="288"/>
    </row>
    <row r="1336" spans="14:18" x14ac:dyDescent="0.2">
      <c r="N1336" s="288"/>
      <c r="O1336" s="288"/>
      <c r="P1336" s="288"/>
      <c r="Q1336" s="288"/>
      <c r="R1336" s="288"/>
    </row>
    <row r="1337" spans="14:18" x14ac:dyDescent="0.2">
      <c r="N1337" s="288"/>
      <c r="O1337" s="288"/>
      <c r="P1337" s="288"/>
      <c r="Q1337" s="288"/>
      <c r="R1337" s="288"/>
    </row>
    <row r="1338" spans="14:18" x14ac:dyDescent="0.2">
      <c r="N1338" s="288"/>
      <c r="O1338" s="288"/>
      <c r="P1338" s="288"/>
      <c r="Q1338" s="288"/>
      <c r="R1338" s="288"/>
    </row>
    <row r="1339" spans="14:18" x14ac:dyDescent="0.2">
      <c r="N1339" s="288"/>
      <c r="O1339" s="288"/>
      <c r="P1339" s="288"/>
      <c r="Q1339" s="288"/>
      <c r="R1339" s="288"/>
    </row>
    <row r="1340" spans="14:18" x14ac:dyDescent="0.2">
      <c r="N1340" s="288"/>
      <c r="O1340" s="288"/>
      <c r="P1340" s="288"/>
      <c r="Q1340" s="288"/>
      <c r="R1340" s="288"/>
    </row>
    <row r="1341" spans="14:18" x14ac:dyDescent="0.2">
      <c r="N1341" s="288"/>
      <c r="O1341" s="288"/>
      <c r="P1341" s="288"/>
      <c r="Q1341" s="288"/>
      <c r="R1341" s="288"/>
    </row>
    <row r="1342" spans="14:18" x14ac:dyDescent="0.2">
      <c r="N1342" s="288"/>
      <c r="O1342" s="288"/>
      <c r="P1342" s="288"/>
      <c r="Q1342" s="288"/>
      <c r="R1342" s="288"/>
    </row>
    <row r="1343" spans="14:18" x14ac:dyDescent="0.2">
      <c r="N1343" s="288"/>
      <c r="O1343" s="288"/>
      <c r="P1343" s="288"/>
      <c r="Q1343" s="288"/>
      <c r="R1343" s="288"/>
    </row>
    <row r="1344" spans="14:18" x14ac:dyDescent="0.2">
      <c r="N1344" s="288"/>
      <c r="O1344" s="288"/>
      <c r="P1344" s="288"/>
      <c r="Q1344" s="288"/>
      <c r="R1344" s="288"/>
    </row>
    <row r="1345" spans="14:18" x14ac:dyDescent="0.2">
      <c r="N1345" s="288"/>
      <c r="O1345" s="288"/>
      <c r="P1345" s="288"/>
      <c r="Q1345" s="288"/>
      <c r="R1345" s="288"/>
    </row>
    <row r="1346" spans="14:18" x14ac:dyDescent="0.2">
      <c r="N1346" s="288"/>
      <c r="O1346" s="288"/>
      <c r="P1346" s="288"/>
      <c r="Q1346" s="288"/>
      <c r="R1346" s="288"/>
    </row>
    <row r="1347" spans="14:18" x14ac:dyDescent="0.2">
      <c r="N1347" s="288"/>
      <c r="O1347" s="288"/>
      <c r="P1347" s="288"/>
      <c r="Q1347" s="288"/>
      <c r="R1347" s="288"/>
    </row>
    <row r="1348" spans="14:18" x14ac:dyDescent="0.2">
      <c r="N1348" s="288"/>
      <c r="O1348" s="288"/>
      <c r="P1348" s="288"/>
      <c r="Q1348" s="288"/>
      <c r="R1348" s="288"/>
    </row>
    <row r="1349" spans="14:18" x14ac:dyDescent="0.2">
      <c r="N1349" s="288"/>
      <c r="O1349" s="288"/>
      <c r="P1349" s="288"/>
      <c r="Q1349" s="288"/>
      <c r="R1349" s="288"/>
    </row>
    <row r="1350" spans="14:18" x14ac:dyDescent="0.2">
      <c r="N1350" s="288"/>
      <c r="O1350" s="288"/>
      <c r="P1350" s="288"/>
      <c r="Q1350" s="288"/>
      <c r="R1350" s="288"/>
    </row>
    <row r="1351" spans="14:18" x14ac:dyDescent="0.2">
      <c r="N1351" s="288"/>
      <c r="O1351" s="288"/>
      <c r="P1351" s="288"/>
      <c r="Q1351" s="288"/>
      <c r="R1351" s="288"/>
    </row>
    <row r="1352" spans="14:18" x14ac:dyDescent="0.2">
      <c r="N1352" s="288"/>
      <c r="O1352" s="288"/>
      <c r="P1352" s="288"/>
      <c r="Q1352" s="288"/>
      <c r="R1352" s="288"/>
    </row>
    <row r="1353" spans="14:18" x14ac:dyDescent="0.2">
      <c r="N1353" s="288"/>
      <c r="O1353" s="288"/>
      <c r="P1353" s="288"/>
      <c r="Q1353" s="288"/>
      <c r="R1353" s="288"/>
    </row>
    <row r="1354" spans="14:18" x14ac:dyDescent="0.2">
      <c r="N1354" s="288"/>
      <c r="O1354" s="288"/>
      <c r="P1354" s="288"/>
      <c r="Q1354" s="288"/>
      <c r="R1354" s="288"/>
    </row>
    <row r="1355" spans="14:18" x14ac:dyDescent="0.2">
      <c r="N1355" s="288"/>
      <c r="O1355" s="288"/>
      <c r="P1355" s="288"/>
      <c r="Q1355" s="288"/>
      <c r="R1355" s="288"/>
    </row>
    <row r="1356" spans="14:18" x14ac:dyDescent="0.2">
      <c r="N1356" s="288"/>
      <c r="O1356" s="288"/>
      <c r="P1356" s="288"/>
      <c r="Q1356" s="288"/>
      <c r="R1356" s="288"/>
    </row>
    <row r="1357" spans="14:18" x14ac:dyDescent="0.2">
      <c r="N1357" s="288"/>
      <c r="O1357" s="288"/>
      <c r="P1357" s="288"/>
      <c r="Q1357" s="288"/>
      <c r="R1357" s="288"/>
    </row>
    <row r="1358" spans="14:18" x14ac:dyDescent="0.2">
      <c r="N1358" s="288"/>
      <c r="O1358" s="288"/>
      <c r="P1358" s="288"/>
      <c r="Q1358" s="288"/>
      <c r="R1358" s="288"/>
    </row>
    <row r="1359" spans="14:18" x14ac:dyDescent="0.2">
      <c r="N1359" s="288"/>
      <c r="O1359" s="288"/>
      <c r="P1359" s="288"/>
      <c r="Q1359" s="288"/>
      <c r="R1359" s="288"/>
    </row>
    <row r="1360" spans="14:18" x14ac:dyDescent="0.2">
      <c r="N1360" s="288"/>
      <c r="O1360" s="288"/>
      <c r="P1360" s="288"/>
      <c r="Q1360" s="288"/>
      <c r="R1360" s="288"/>
    </row>
    <row r="1361" spans="14:18" x14ac:dyDescent="0.2">
      <c r="N1361" s="288"/>
      <c r="O1361" s="288"/>
      <c r="P1361" s="288"/>
      <c r="Q1361" s="288"/>
      <c r="R1361" s="288"/>
    </row>
    <row r="1362" spans="14:18" x14ac:dyDescent="0.2">
      <c r="N1362" s="288"/>
      <c r="O1362" s="288"/>
      <c r="P1362" s="288"/>
      <c r="Q1362" s="288"/>
      <c r="R1362" s="288"/>
    </row>
    <row r="1363" spans="14:18" x14ac:dyDescent="0.2">
      <c r="N1363" s="288"/>
      <c r="O1363" s="288"/>
      <c r="P1363" s="288"/>
      <c r="Q1363" s="288"/>
      <c r="R1363" s="288"/>
    </row>
    <row r="1364" spans="14:18" x14ac:dyDescent="0.2">
      <c r="N1364" s="288"/>
      <c r="O1364" s="288"/>
      <c r="P1364" s="288"/>
      <c r="Q1364" s="288"/>
      <c r="R1364" s="288"/>
    </row>
    <row r="1365" spans="14:18" x14ac:dyDescent="0.2">
      <c r="N1365" s="288"/>
      <c r="O1365" s="288"/>
      <c r="P1365" s="288"/>
      <c r="Q1365" s="288"/>
      <c r="R1365" s="288"/>
    </row>
    <row r="1366" spans="14:18" x14ac:dyDescent="0.2">
      <c r="N1366" s="288"/>
      <c r="O1366" s="288"/>
      <c r="P1366" s="288"/>
      <c r="Q1366" s="288"/>
      <c r="R1366" s="288"/>
    </row>
    <row r="1367" spans="14:18" x14ac:dyDescent="0.2">
      <c r="N1367" s="288"/>
      <c r="O1367" s="288"/>
      <c r="P1367" s="288"/>
      <c r="Q1367" s="288"/>
      <c r="R1367" s="288"/>
    </row>
    <row r="1368" spans="14:18" x14ac:dyDescent="0.2">
      <c r="N1368" s="288"/>
      <c r="O1368" s="288"/>
      <c r="P1368" s="288"/>
      <c r="Q1368" s="288"/>
      <c r="R1368" s="288"/>
    </row>
    <row r="1369" spans="14:18" x14ac:dyDescent="0.2">
      <c r="N1369" s="288"/>
      <c r="O1369" s="288"/>
      <c r="P1369" s="288"/>
      <c r="Q1369" s="288"/>
      <c r="R1369" s="288"/>
    </row>
    <row r="1370" spans="14:18" x14ac:dyDescent="0.2">
      <c r="N1370" s="288"/>
      <c r="O1370" s="288"/>
      <c r="P1370" s="288"/>
      <c r="Q1370" s="288"/>
      <c r="R1370" s="288"/>
    </row>
    <row r="1371" spans="14:18" x14ac:dyDescent="0.2">
      <c r="N1371" s="288"/>
      <c r="O1371" s="288"/>
      <c r="P1371" s="288"/>
      <c r="Q1371" s="288"/>
      <c r="R1371" s="288"/>
    </row>
    <row r="1372" spans="14:18" x14ac:dyDescent="0.2">
      <c r="N1372" s="288"/>
      <c r="O1372" s="288"/>
      <c r="P1372" s="288"/>
      <c r="Q1372" s="288"/>
      <c r="R1372" s="288"/>
    </row>
    <row r="1373" spans="14:18" x14ac:dyDescent="0.2">
      <c r="N1373" s="288"/>
      <c r="O1373" s="288"/>
      <c r="P1373" s="288"/>
      <c r="Q1373" s="288"/>
      <c r="R1373" s="288"/>
    </row>
    <row r="1374" spans="14:18" x14ac:dyDescent="0.2">
      <c r="N1374" s="288"/>
      <c r="O1374" s="288"/>
      <c r="P1374" s="288"/>
      <c r="Q1374" s="288"/>
      <c r="R1374" s="288"/>
    </row>
    <row r="1375" spans="14:18" x14ac:dyDescent="0.2">
      <c r="N1375" s="288"/>
      <c r="O1375" s="288"/>
      <c r="P1375" s="288"/>
      <c r="Q1375" s="288"/>
      <c r="R1375" s="288"/>
    </row>
    <row r="1376" spans="14:18" x14ac:dyDescent="0.2">
      <c r="N1376" s="288"/>
      <c r="O1376" s="288"/>
      <c r="P1376" s="288"/>
      <c r="Q1376" s="288"/>
      <c r="R1376" s="288"/>
    </row>
    <row r="1377" spans="14:18" x14ac:dyDescent="0.2">
      <c r="N1377" s="288"/>
      <c r="O1377" s="288"/>
      <c r="P1377" s="288"/>
      <c r="Q1377" s="288"/>
      <c r="R1377" s="288"/>
    </row>
    <row r="1378" spans="14:18" x14ac:dyDescent="0.2">
      <c r="N1378" s="288"/>
      <c r="O1378" s="288"/>
      <c r="P1378" s="288"/>
      <c r="Q1378" s="288"/>
      <c r="R1378" s="288"/>
    </row>
    <row r="1379" spans="14:18" x14ac:dyDescent="0.2">
      <c r="N1379" s="288"/>
      <c r="O1379" s="288"/>
      <c r="P1379" s="288"/>
      <c r="Q1379" s="288"/>
      <c r="R1379" s="288"/>
    </row>
    <row r="1380" spans="14:18" x14ac:dyDescent="0.2">
      <c r="N1380" s="288"/>
      <c r="O1380" s="288"/>
      <c r="P1380" s="288"/>
      <c r="Q1380" s="288"/>
      <c r="R1380" s="288"/>
    </row>
    <row r="1381" spans="14:18" x14ac:dyDescent="0.2">
      <c r="N1381" s="288"/>
      <c r="O1381" s="288"/>
      <c r="P1381" s="288"/>
      <c r="Q1381" s="288"/>
      <c r="R1381" s="288"/>
    </row>
    <row r="1382" spans="14:18" x14ac:dyDescent="0.2">
      <c r="N1382" s="288"/>
      <c r="O1382" s="288"/>
      <c r="P1382" s="288"/>
      <c r="Q1382" s="288"/>
      <c r="R1382" s="288"/>
    </row>
    <row r="1383" spans="14:18" x14ac:dyDescent="0.2">
      <c r="N1383" s="288"/>
      <c r="O1383" s="288"/>
      <c r="P1383" s="288"/>
      <c r="Q1383" s="288"/>
      <c r="R1383" s="288"/>
    </row>
    <row r="1384" spans="14:18" x14ac:dyDescent="0.2">
      <c r="N1384" s="288"/>
      <c r="O1384" s="288"/>
      <c r="P1384" s="288"/>
      <c r="Q1384" s="288"/>
      <c r="R1384" s="288"/>
    </row>
    <row r="1385" spans="14:18" x14ac:dyDescent="0.2">
      <c r="N1385" s="288"/>
      <c r="O1385" s="288"/>
      <c r="P1385" s="288"/>
      <c r="Q1385" s="288"/>
      <c r="R1385" s="288"/>
    </row>
    <row r="1386" spans="14:18" x14ac:dyDescent="0.2">
      <c r="N1386" s="288"/>
      <c r="O1386" s="288"/>
      <c r="P1386" s="288"/>
      <c r="Q1386" s="288"/>
      <c r="R1386" s="288"/>
    </row>
    <row r="1387" spans="14:18" x14ac:dyDescent="0.2">
      <c r="N1387" s="288"/>
      <c r="O1387" s="288"/>
      <c r="P1387" s="288"/>
      <c r="Q1387" s="288"/>
      <c r="R1387" s="288"/>
    </row>
    <row r="1388" spans="14:18" x14ac:dyDescent="0.2">
      <c r="N1388" s="288"/>
      <c r="O1388" s="288"/>
      <c r="P1388" s="288"/>
      <c r="Q1388" s="288"/>
      <c r="R1388" s="288"/>
    </row>
    <row r="1389" spans="14:18" x14ac:dyDescent="0.2">
      <c r="N1389" s="288"/>
      <c r="O1389" s="288"/>
      <c r="P1389" s="288"/>
      <c r="Q1389" s="288"/>
      <c r="R1389" s="288"/>
    </row>
    <row r="1390" spans="14:18" x14ac:dyDescent="0.2">
      <c r="N1390" s="288"/>
      <c r="O1390" s="288"/>
      <c r="P1390" s="288"/>
      <c r="Q1390" s="288"/>
      <c r="R1390" s="288"/>
    </row>
    <row r="1391" spans="14:18" x14ac:dyDescent="0.2">
      <c r="N1391" s="288"/>
      <c r="O1391" s="288"/>
      <c r="P1391" s="288"/>
      <c r="Q1391" s="288"/>
      <c r="R1391" s="288"/>
    </row>
    <row r="1392" spans="14:18" x14ac:dyDescent="0.2">
      <c r="N1392" s="288"/>
      <c r="O1392" s="288"/>
      <c r="P1392" s="288"/>
      <c r="Q1392" s="288"/>
      <c r="R1392" s="288"/>
    </row>
    <row r="1393" spans="14:18" x14ac:dyDescent="0.2">
      <c r="N1393" s="288"/>
      <c r="O1393" s="288"/>
      <c r="P1393" s="288"/>
      <c r="Q1393" s="288"/>
      <c r="R1393" s="288"/>
    </row>
    <row r="1394" spans="14:18" x14ac:dyDescent="0.2">
      <c r="N1394" s="288"/>
      <c r="O1394" s="288"/>
      <c r="P1394" s="288"/>
      <c r="Q1394" s="288"/>
      <c r="R1394" s="288"/>
    </row>
    <row r="1395" spans="14:18" x14ac:dyDescent="0.2">
      <c r="N1395" s="288"/>
      <c r="O1395" s="288"/>
      <c r="P1395" s="288"/>
      <c r="Q1395" s="288"/>
      <c r="R1395" s="288"/>
    </row>
    <row r="1396" spans="14:18" x14ac:dyDescent="0.2">
      <c r="N1396" s="288"/>
      <c r="O1396" s="288"/>
      <c r="P1396" s="288"/>
      <c r="Q1396" s="288"/>
      <c r="R1396" s="288"/>
    </row>
    <row r="1397" spans="14:18" x14ac:dyDescent="0.2">
      <c r="N1397" s="288"/>
      <c r="O1397" s="288"/>
      <c r="P1397" s="288"/>
      <c r="Q1397" s="288"/>
      <c r="R1397" s="288"/>
    </row>
    <row r="1398" spans="14:18" x14ac:dyDescent="0.2">
      <c r="N1398" s="288"/>
      <c r="O1398" s="288"/>
      <c r="P1398" s="288"/>
      <c r="Q1398" s="288"/>
      <c r="R1398" s="288"/>
    </row>
    <row r="1399" spans="14:18" x14ac:dyDescent="0.2">
      <c r="N1399" s="288"/>
      <c r="O1399" s="288"/>
      <c r="P1399" s="288"/>
      <c r="Q1399" s="288"/>
      <c r="R1399" s="288"/>
    </row>
    <row r="1400" spans="14:18" x14ac:dyDescent="0.2">
      <c r="N1400" s="288"/>
      <c r="O1400" s="288"/>
      <c r="P1400" s="288"/>
      <c r="Q1400" s="288"/>
      <c r="R1400" s="288"/>
    </row>
    <row r="1401" spans="14:18" x14ac:dyDescent="0.2">
      <c r="N1401" s="288"/>
      <c r="O1401" s="288"/>
      <c r="P1401" s="288"/>
      <c r="Q1401" s="288"/>
      <c r="R1401" s="288"/>
    </row>
    <row r="1402" spans="14:18" x14ac:dyDescent="0.2">
      <c r="N1402" s="288"/>
      <c r="O1402" s="288"/>
      <c r="P1402" s="288"/>
      <c r="Q1402" s="288"/>
      <c r="R1402" s="288"/>
    </row>
    <row r="1403" spans="14:18" x14ac:dyDescent="0.2">
      <c r="N1403" s="288"/>
      <c r="O1403" s="288"/>
      <c r="P1403" s="288"/>
      <c r="Q1403" s="288"/>
      <c r="R1403" s="288"/>
    </row>
    <row r="1404" spans="14:18" x14ac:dyDescent="0.2">
      <c r="N1404" s="288"/>
      <c r="O1404" s="288"/>
      <c r="P1404" s="288"/>
      <c r="Q1404" s="288"/>
      <c r="R1404" s="288"/>
    </row>
    <row r="1405" spans="14:18" x14ac:dyDescent="0.2">
      <c r="N1405" s="288"/>
      <c r="O1405" s="288"/>
      <c r="P1405" s="288"/>
      <c r="Q1405" s="288"/>
      <c r="R1405" s="288"/>
    </row>
    <row r="1406" spans="14:18" x14ac:dyDescent="0.2">
      <c r="N1406" s="288"/>
      <c r="O1406" s="288"/>
      <c r="P1406" s="288"/>
      <c r="Q1406" s="288"/>
      <c r="R1406" s="288"/>
    </row>
    <row r="1407" spans="14:18" x14ac:dyDescent="0.2">
      <c r="N1407" s="288"/>
      <c r="O1407" s="288"/>
      <c r="P1407" s="288"/>
      <c r="Q1407" s="288"/>
      <c r="R1407" s="288"/>
    </row>
    <row r="1408" spans="14:18" x14ac:dyDescent="0.2">
      <c r="N1408" s="288"/>
      <c r="O1408" s="288"/>
      <c r="P1408" s="288"/>
      <c r="Q1408" s="288"/>
      <c r="R1408" s="288"/>
    </row>
    <row r="1409" spans="14:18" x14ac:dyDescent="0.2">
      <c r="N1409" s="288"/>
      <c r="O1409" s="288"/>
      <c r="P1409" s="288"/>
      <c r="Q1409" s="288"/>
      <c r="R1409" s="288"/>
    </row>
    <row r="1410" spans="14:18" x14ac:dyDescent="0.2">
      <c r="N1410" s="288"/>
      <c r="O1410" s="288"/>
      <c r="P1410" s="288"/>
      <c r="Q1410" s="288"/>
      <c r="R1410" s="288"/>
    </row>
    <row r="1411" spans="14:18" x14ac:dyDescent="0.2">
      <c r="N1411" s="288"/>
      <c r="O1411" s="288"/>
      <c r="P1411" s="288"/>
      <c r="Q1411" s="288"/>
      <c r="R1411" s="288"/>
    </row>
    <row r="1412" spans="14:18" x14ac:dyDescent="0.2">
      <c r="N1412" s="288"/>
      <c r="O1412" s="288"/>
      <c r="P1412" s="288"/>
      <c r="Q1412" s="288"/>
      <c r="R1412" s="288"/>
    </row>
    <row r="1413" spans="14:18" x14ac:dyDescent="0.2">
      <c r="N1413" s="288"/>
      <c r="O1413" s="288"/>
      <c r="P1413" s="288"/>
      <c r="Q1413" s="288"/>
      <c r="R1413" s="288"/>
    </row>
    <row r="1414" spans="14:18" x14ac:dyDescent="0.2">
      <c r="N1414" s="288"/>
      <c r="O1414" s="288"/>
      <c r="P1414" s="288"/>
      <c r="Q1414" s="288"/>
      <c r="R1414" s="288"/>
    </row>
    <row r="1415" spans="14:18" x14ac:dyDescent="0.2">
      <c r="N1415" s="288"/>
      <c r="O1415" s="288"/>
      <c r="P1415" s="288"/>
      <c r="Q1415" s="288"/>
      <c r="R1415" s="288"/>
    </row>
    <row r="1416" spans="14:18" x14ac:dyDescent="0.2">
      <c r="N1416" s="288"/>
      <c r="O1416" s="288"/>
      <c r="P1416" s="288"/>
      <c r="Q1416" s="288"/>
      <c r="R1416" s="288"/>
    </row>
    <row r="1417" spans="14:18" x14ac:dyDescent="0.2">
      <c r="N1417" s="288"/>
      <c r="O1417" s="288"/>
      <c r="P1417" s="288"/>
      <c r="Q1417" s="288"/>
      <c r="R1417" s="288"/>
    </row>
    <row r="1418" spans="14:18" x14ac:dyDescent="0.2">
      <c r="N1418" s="288"/>
      <c r="O1418" s="288"/>
      <c r="P1418" s="288"/>
      <c r="Q1418" s="288"/>
      <c r="R1418" s="288"/>
    </row>
    <row r="1419" spans="14:18" x14ac:dyDescent="0.2">
      <c r="N1419" s="288"/>
      <c r="O1419" s="288"/>
      <c r="P1419" s="288"/>
      <c r="Q1419" s="288"/>
      <c r="R1419" s="288"/>
    </row>
    <row r="1420" spans="14:18" x14ac:dyDescent="0.2">
      <c r="N1420" s="288"/>
      <c r="O1420" s="288"/>
      <c r="P1420" s="288"/>
      <c r="Q1420" s="288"/>
      <c r="R1420" s="288"/>
    </row>
    <row r="1421" spans="14:18" x14ac:dyDescent="0.2">
      <c r="N1421" s="288"/>
      <c r="O1421" s="288"/>
      <c r="P1421" s="288"/>
      <c r="Q1421" s="288"/>
      <c r="R1421" s="288"/>
    </row>
    <row r="1422" spans="14:18" x14ac:dyDescent="0.2">
      <c r="N1422" s="288"/>
      <c r="O1422" s="288"/>
      <c r="P1422" s="288"/>
      <c r="Q1422" s="288"/>
      <c r="R1422" s="288"/>
    </row>
    <row r="1423" spans="14:18" x14ac:dyDescent="0.2">
      <c r="N1423" s="288"/>
      <c r="O1423" s="288"/>
      <c r="P1423" s="288"/>
      <c r="Q1423" s="288"/>
      <c r="R1423" s="288"/>
    </row>
    <row r="1424" spans="14:18" x14ac:dyDescent="0.2">
      <c r="N1424" s="288"/>
      <c r="O1424" s="288"/>
      <c r="P1424" s="288"/>
      <c r="Q1424" s="288"/>
      <c r="R1424" s="288"/>
    </row>
    <row r="1425" spans="14:18" x14ac:dyDescent="0.2">
      <c r="N1425" s="288"/>
      <c r="O1425" s="288"/>
      <c r="P1425" s="288"/>
      <c r="Q1425" s="288"/>
      <c r="R1425" s="288"/>
    </row>
    <row r="1426" spans="14:18" x14ac:dyDescent="0.2">
      <c r="N1426" s="288"/>
      <c r="O1426" s="288"/>
      <c r="P1426" s="288"/>
      <c r="Q1426" s="288"/>
      <c r="R1426" s="288"/>
    </row>
    <row r="1427" spans="14:18" x14ac:dyDescent="0.2">
      <c r="N1427" s="288"/>
      <c r="O1427" s="288"/>
      <c r="P1427" s="288"/>
      <c r="Q1427" s="288"/>
      <c r="R1427" s="288"/>
    </row>
    <row r="1428" spans="14:18" x14ac:dyDescent="0.2">
      <c r="N1428" s="288"/>
      <c r="O1428" s="288"/>
      <c r="P1428" s="288"/>
      <c r="Q1428" s="288"/>
      <c r="R1428" s="288"/>
    </row>
    <row r="1429" spans="14:18" x14ac:dyDescent="0.2">
      <c r="N1429" s="288"/>
      <c r="O1429" s="288"/>
      <c r="P1429" s="288"/>
      <c r="Q1429" s="288"/>
      <c r="R1429" s="288"/>
    </row>
    <row r="1430" spans="14:18" x14ac:dyDescent="0.2">
      <c r="N1430" s="288"/>
      <c r="O1430" s="288"/>
      <c r="P1430" s="288"/>
      <c r="Q1430" s="288"/>
      <c r="R1430" s="288"/>
    </row>
    <row r="1431" spans="14:18" x14ac:dyDescent="0.2">
      <c r="N1431" s="288"/>
      <c r="O1431" s="288"/>
      <c r="P1431" s="288"/>
      <c r="Q1431" s="288"/>
      <c r="R1431" s="288"/>
    </row>
    <row r="1432" spans="14:18" x14ac:dyDescent="0.2">
      <c r="N1432" s="288"/>
      <c r="O1432" s="288"/>
      <c r="P1432" s="288"/>
      <c r="Q1432" s="288"/>
      <c r="R1432" s="288"/>
    </row>
    <row r="1433" spans="14:18" x14ac:dyDescent="0.2">
      <c r="N1433" s="288"/>
      <c r="O1433" s="288"/>
      <c r="P1433" s="288"/>
      <c r="Q1433" s="288"/>
      <c r="R1433" s="288"/>
    </row>
    <row r="1434" spans="14:18" x14ac:dyDescent="0.2">
      <c r="N1434" s="288"/>
      <c r="O1434" s="288"/>
      <c r="P1434" s="288"/>
      <c r="Q1434" s="288"/>
      <c r="R1434" s="288"/>
    </row>
    <row r="1435" spans="14:18" x14ac:dyDescent="0.2">
      <c r="N1435" s="288"/>
      <c r="O1435" s="288"/>
      <c r="P1435" s="288"/>
      <c r="Q1435" s="288"/>
      <c r="R1435" s="288"/>
    </row>
    <row r="1436" spans="14:18" x14ac:dyDescent="0.2">
      <c r="N1436" s="288"/>
      <c r="O1436" s="288"/>
      <c r="P1436" s="288"/>
      <c r="Q1436" s="288"/>
      <c r="R1436" s="288"/>
    </row>
    <row r="1437" spans="14:18" x14ac:dyDescent="0.2">
      <c r="N1437" s="288"/>
      <c r="O1437" s="288"/>
      <c r="P1437" s="288"/>
      <c r="Q1437" s="288"/>
      <c r="R1437" s="288"/>
    </row>
    <row r="1438" spans="14:18" x14ac:dyDescent="0.2">
      <c r="N1438" s="288"/>
      <c r="O1438" s="288"/>
      <c r="P1438" s="288"/>
      <c r="Q1438" s="288"/>
      <c r="R1438" s="288"/>
    </row>
    <row r="1439" spans="14:18" x14ac:dyDescent="0.2">
      <c r="N1439" s="288"/>
      <c r="O1439" s="288"/>
      <c r="P1439" s="288"/>
      <c r="Q1439" s="288"/>
      <c r="R1439" s="288"/>
    </row>
    <row r="1440" spans="14:18" x14ac:dyDescent="0.2">
      <c r="N1440" s="288"/>
      <c r="O1440" s="288"/>
      <c r="P1440" s="288"/>
      <c r="Q1440" s="288"/>
      <c r="R1440" s="288"/>
    </row>
    <row r="1441" spans="14:18" x14ac:dyDescent="0.2">
      <c r="N1441" s="288"/>
      <c r="O1441" s="288"/>
      <c r="P1441" s="288"/>
      <c r="Q1441" s="288"/>
      <c r="R1441" s="288"/>
    </row>
    <row r="1442" spans="14:18" x14ac:dyDescent="0.2">
      <c r="N1442" s="288"/>
      <c r="O1442" s="288"/>
      <c r="P1442" s="288"/>
      <c r="Q1442" s="288"/>
      <c r="R1442" s="288"/>
    </row>
    <row r="1443" spans="14:18" x14ac:dyDescent="0.2">
      <c r="N1443" s="288"/>
      <c r="O1443" s="288"/>
      <c r="P1443" s="288"/>
      <c r="Q1443" s="288"/>
      <c r="R1443" s="288"/>
    </row>
    <row r="1444" spans="14:18" x14ac:dyDescent="0.2">
      <c r="N1444" s="288"/>
      <c r="O1444" s="288"/>
      <c r="P1444" s="288"/>
      <c r="Q1444" s="288"/>
      <c r="R1444" s="288"/>
    </row>
    <row r="1445" spans="14:18" x14ac:dyDescent="0.2">
      <c r="N1445" s="288"/>
      <c r="O1445" s="288"/>
      <c r="P1445" s="288"/>
      <c r="Q1445" s="288"/>
      <c r="R1445" s="288"/>
    </row>
    <row r="1446" spans="14:18" x14ac:dyDescent="0.2">
      <c r="N1446" s="288"/>
      <c r="O1446" s="288"/>
      <c r="P1446" s="288"/>
      <c r="Q1446" s="288"/>
      <c r="R1446" s="288"/>
    </row>
    <row r="1447" spans="14:18" x14ac:dyDescent="0.2">
      <c r="N1447" s="288"/>
      <c r="O1447" s="288"/>
      <c r="P1447" s="288"/>
      <c r="Q1447" s="288"/>
      <c r="R1447" s="288"/>
    </row>
    <row r="1448" spans="14:18" x14ac:dyDescent="0.2">
      <c r="N1448" s="288"/>
      <c r="O1448" s="288"/>
      <c r="P1448" s="288"/>
      <c r="Q1448" s="288"/>
      <c r="R1448" s="288"/>
    </row>
    <row r="1449" spans="14:18" x14ac:dyDescent="0.2">
      <c r="N1449" s="288"/>
      <c r="O1449" s="288"/>
      <c r="P1449" s="288"/>
      <c r="Q1449" s="288"/>
      <c r="R1449" s="288"/>
    </row>
    <row r="1450" spans="14:18" x14ac:dyDescent="0.2">
      <c r="N1450" s="288"/>
      <c r="O1450" s="288"/>
      <c r="P1450" s="288"/>
      <c r="Q1450" s="288"/>
      <c r="R1450" s="288"/>
    </row>
    <row r="1451" spans="14:18" x14ac:dyDescent="0.2">
      <c r="N1451" s="288"/>
      <c r="O1451" s="288"/>
      <c r="P1451" s="288"/>
      <c r="Q1451" s="288"/>
      <c r="R1451" s="288"/>
    </row>
    <row r="1452" spans="14:18" x14ac:dyDescent="0.2">
      <c r="N1452" s="288"/>
      <c r="O1452" s="288"/>
      <c r="P1452" s="288"/>
      <c r="Q1452" s="288"/>
      <c r="R1452" s="288"/>
    </row>
    <row r="1453" spans="14:18" x14ac:dyDescent="0.2">
      <c r="N1453" s="288"/>
      <c r="O1453" s="288"/>
      <c r="P1453" s="288"/>
      <c r="Q1453" s="288"/>
      <c r="R1453" s="288"/>
    </row>
    <row r="1454" spans="14:18" x14ac:dyDescent="0.2">
      <c r="N1454" s="288"/>
      <c r="O1454" s="288"/>
      <c r="P1454" s="288"/>
      <c r="Q1454" s="288"/>
      <c r="R1454" s="288"/>
    </row>
    <row r="1455" spans="14:18" x14ac:dyDescent="0.2">
      <c r="N1455" s="288"/>
      <c r="O1455" s="288"/>
      <c r="P1455" s="288"/>
      <c r="Q1455" s="288"/>
      <c r="R1455" s="288"/>
    </row>
    <row r="1456" spans="14:18" x14ac:dyDescent="0.2">
      <c r="N1456" s="288"/>
      <c r="O1456" s="288"/>
      <c r="P1456" s="288"/>
      <c r="Q1456" s="288"/>
      <c r="R1456" s="288"/>
    </row>
    <row r="1457" spans="14:18" x14ac:dyDescent="0.2">
      <c r="N1457" s="288"/>
      <c r="O1457" s="288"/>
      <c r="P1457" s="288"/>
      <c r="Q1457" s="288"/>
      <c r="R1457" s="288"/>
    </row>
    <row r="1458" spans="14:18" x14ac:dyDescent="0.2">
      <c r="N1458" s="288"/>
      <c r="O1458" s="288"/>
      <c r="P1458" s="288"/>
      <c r="Q1458" s="288"/>
      <c r="R1458" s="288"/>
    </row>
    <row r="1459" spans="14:18" x14ac:dyDescent="0.2">
      <c r="N1459" s="288"/>
      <c r="O1459" s="288"/>
      <c r="P1459" s="288"/>
      <c r="Q1459" s="288"/>
      <c r="R1459" s="288"/>
    </row>
    <row r="1460" spans="14:18" x14ac:dyDescent="0.2">
      <c r="N1460" s="288"/>
      <c r="O1460" s="288"/>
      <c r="P1460" s="288"/>
      <c r="Q1460" s="288"/>
      <c r="R1460" s="288"/>
    </row>
    <row r="1461" spans="14:18" x14ac:dyDescent="0.2">
      <c r="N1461" s="288"/>
      <c r="O1461" s="288"/>
      <c r="P1461" s="288"/>
      <c r="Q1461" s="288"/>
      <c r="R1461" s="288"/>
    </row>
    <row r="1462" spans="14:18" x14ac:dyDescent="0.2">
      <c r="N1462" s="288"/>
      <c r="O1462" s="288"/>
      <c r="P1462" s="288"/>
      <c r="Q1462" s="288"/>
      <c r="R1462" s="288"/>
    </row>
    <row r="1463" spans="14:18" x14ac:dyDescent="0.2">
      <c r="N1463" s="288"/>
      <c r="O1463" s="288"/>
      <c r="P1463" s="288"/>
      <c r="Q1463" s="288"/>
      <c r="R1463" s="288"/>
    </row>
    <row r="1464" spans="14:18" x14ac:dyDescent="0.2">
      <c r="N1464" s="288"/>
      <c r="O1464" s="288"/>
      <c r="P1464" s="288"/>
      <c r="Q1464" s="288"/>
      <c r="R1464" s="288"/>
    </row>
    <row r="1465" spans="14:18" x14ac:dyDescent="0.2">
      <c r="N1465" s="288"/>
      <c r="O1465" s="288"/>
      <c r="P1465" s="288"/>
      <c r="Q1465" s="288"/>
      <c r="R1465" s="288"/>
    </row>
    <row r="1466" spans="14:18" x14ac:dyDescent="0.2">
      <c r="N1466" s="288"/>
      <c r="O1466" s="288"/>
      <c r="P1466" s="288"/>
      <c r="Q1466" s="288"/>
      <c r="R1466" s="288"/>
    </row>
    <row r="1467" spans="14:18" x14ac:dyDescent="0.2">
      <c r="N1467" s="288"/>
      <c r="O1467" s="288"/>
      <c r="P1467" s="288"/>
      <c r="Q1467" s="288"/>
      <c r="R1467" s="288"/>
    </row>
    <row r="1468" spans="14:18" x14ac:dyDescent="0.2">
      <c r="N1468" s="288"/>
      <c r="O1468" s="288"/>
      <c r="P1468" s="288"/>
      <c r="Q1468" s="288"/>
      <c r="R1468" s="288"/>
    </row>
    <row r="1469" spans="14:18" x14ac:dyDescent="0.2">
      <c r="N1469" s="288"/>
      <c r="O1469" s="288"/>
      <c r="P1469" s="288"/>
      <c r="Q1469" s="288"/>
      <c r="R1469" s="288"/>
    </row>
    <row r="1470" spans="14:18" x14ac:dyDescent="0.2">
      <c r="N1470" s="288"/>
      <c r="O1470" s="288"/>
      <c r="P1470" s="288"/>
      <c r="Q1470" s="288"/>
      <c r="R1470" s="288"/>
    </row>
    <row r="1471" spans="14:18" x14ac:dyDescent="0.2">
      <c r="N1471" s="288"/>
      <c r="O1471" s="288"/>
      <c r="P1471" s="288"/>
      <c r="Q1471" s="288"/>
      <c r="R1471" s="288"/>
    </row>
    <row r="1472" spans="14:18" x14ac:dyDescent="0.2">
      <c r="N1472" s="288"/>
      <c r="O1472" s="288"/>
      <c r="P1472" s="288"/>
      <c r="Q1472" s="288"/>
      <c r="R1472" s="288"/>
    </row>
    <row r="1473" spans="14:18" x14ac:dyDescent="0.2">
      <c r="N1473" s="288"/>
      <c r="O1473" s="288"/>
      <c r="P1473" s="288"/>
      <c r="Q1473" s="288"/>
      <c r="R1473" s="288"/>
    </row>
    <row r="1474" spans="14:18" x14ac:dyDescent="0.2">
      <c r="N1474" s="288"/>
      <c r="O1474" s="288"/>
      <c r="P1474" s="288"/>
      <c r="Q1474" s="288"/>
      <c r="R1474" s="288"/>
    </row>
    <row r="1475" spans="14:18" x14ac:dyDescent="0.2">
      <c r="N1475" s="288"/>
      <c r="O1475" s="288"/>
      <c r="P1475" s="288"/>
      <c r="Q1475" s="288"/>
      <c r="R1475" s="288"/>
    </row>
    <row r="1476" spans="14:18" x14ac:dyDescent="0.2">
      <c r="N1476" s="288"/>
      <c r="O1476" s="288"/>
      <c r="P1476" s="288"/>
      <c r="Q1476" s="288"/>
      <c r="R1476" s="288"/>
    </row>
    <row r="1477" spans="14:18" x14ac:dyDescent="0.2">
      <c r="N1477" s="288"/>
      <c r="O1477" s="288"/>
      <c r="P1477" s="288"/>
      <c r="Q1477" s="288"/>
      <c r="R1477" s="288"/>
    </row>
    <row r="1478" spans="14:18" x14ac:dyDescent="0.2">
      <c r="N1478" s="288"/>
      <c r="O1478" s="288"/>
      <c r="P1478" s="288"/>
      <c r="Q1478" s="288"/>
      <c r="R1478" s="288"/>
    </row>
    <row r="1479" spans="14:18" x14ac:dyDescent="0.2">
      <c r="N1479" s="288"/>
      <c r="O1479" s="288"/>
      <c r="P1479" s="288"/>
      <c r="Q1479" s="288"/>
      <c r="R1479" s="288"/>
    </row>
    <row r="1480" spans="14:18" x14ac:dyDescent="0.2">
      <c r="N1480" s="288"/>
      <c r="O1480" s="288"/>
      <c r="P1480" s="288"/>
      <c r="Q1480" s="288"/>
      <c r="R1480" s="288"/>
    </row>
    <row r="1481" spans="14:18" x14ac:dyDescent="0.2">
      <c r="N1481" s="288"/>
      <c r="O1481" s="288"/>
      <c r="P1481" s="288"/>
      <c r="Q1481" s="288"/>
      <c r="R1481" s="288"/>
    </row>
    <row r="1482" spans="14:18" x14ac:dyDescent="0.2">
      <c r="N1482" s="288"/>
      <c r="O1482" s="288"/>
      <c r="P1482" s="288"/>
      <c r="Q1482" s="288"/>
      <c r="R1482" s="288"/>
    </row>
    <row r="1483" spans="14:18" x14ac:dyDescent="0.2">
      <c r="N1483" s="288"/>
      <c r="O1483" s="288"/>
      <c r="P1483" s="288"/>
      <c r="Q1483" s="288"/>
      <c r="R1483" s="288"/>
    </row>
    <row r="1484" spans="14:18" x14ac:dyDescent="0.2">
      <c r="N1484" s="288"/>
      <c r="O1484" s="288"/>
      <c r="P1484" s="288"/>
      <c r="Q1484" s="288"/>
      <c r="R1484" s="288"/>
    </row>
    <row r="1485" spans="14:18" x14ac:dyDescent="0.2">
      <c r="N1485" s="288"/>
      <c r="O1485" s="288"/>
      <c r="P1485" s="288"/>
      <c r="Q1485" s="288"/>
      <c r="R1485" s="288"/>
    </row>
    <row r="1486" spans="14:18" x14ac:dyDescent="0.2">
      <c r="N1486" s="288"/>
      <c r="O1486" s="288"/>
      <c r="P1486" s="288"/>
      <c r="Q1486" s="288"/>
      <c r="R1486" s="288"/>
    </row>
    <row r="1487" spans="14:18" x14ac:dyDescent="0.2">
      <c r="N1487" s="288"/>
      <c r="O1487" s="288"/>
      <c r="P1487" s="288"/>
      <c r="Q1487" s="288"/>
      <c r="R1487" s="288"/>
    </row>
    <row r="1488" spans="14:18" x14ac:dyDescent="0.2">
      <c r="N1488" s="288"/>
      <c r="O1488" s="288"/>
      <c r="P1488" s="288"/>
      <c r="Q1488" s="288"/>
      <c r="R1488" s="288"/>
    </row>
    <row r="1489" spans="14:18" x14ac:dyDescent="0.2">
      <c r="N1489" s="288"/>
      <c r="O1489" s="288"/>
      <c r="P1489" s="288"/>
      <c r="Q1489" s="288"/>
      <c r="R1489" s="288"/>
    </row>
    <row r="1490" spans="14:18" x14ac:dyDescent="0.2">
      <c r="N1490" s="288"/>
      <c r="O1490" s="288"/>
      <c r="P1490" s="288"/>
      <c r="Q1490" s="288"/>
      <c r="R1490" s="288"/>
    </row>
    <row r="1491" spans="14:18" x14ac:dyDescent="0.2">
      <c r="N1491" s="288"/>
      <c r="O1491" s="288"/>
      <c r="P1491" s="288"/>
      <c r="Q1491" s="288"/>
      <c r="R1491" s="288"/>
    </row>
    <row r="1492" spans="14:18" x14ac:dyDescent="0.2">
      <c r="N1492" s="288"/>
      <c r="O1492" s="288"/>
      <c r="P1492" s="288"/>
      <c r="Q1492" s="288"/>
      <c r="R1492" s="288"/>
    </row>
    <row r="1493" spans="14:18" x14ac:dyDescent="0.2">
      <c r="N1493" s="288"/>
      <c r="O1493" s="288"/>
      <c r="P1493" s="288"/>
      <c r="Q1493" s="288"/>
      <c r="R1493" s="288"/>
    </row>
    <row r="1494" spans="14:18" x14ac:dyDescent="0.2">
      <c r="N1494" s="288"/>
      <c r="O1494" s="288"/>
      <c r="P1494" s="288"/>
      <c r="Q1494" s="288"/>
      <c r="R1494" s="288"/>
    </row>
    <row r="1495" spans="14:18" x14ac:dyDescent="0.2">
      <c r="N1495" s="288"/>
      <c r="O1495" s="288"/>
      <c r="P1495" s="288"/>
      <c r="Q1495" s="288"/>
      <c r="R1495" s="288"/>
    </row>
    <row r="1496" spans="14:18" x14ac:dyDescent="0.2">
      <c r="N1496" s="288"/>
      <c r="O1496" s="288"/>
      <c r="P1496" s="288"/>
      <c r="Q1496" s="288"/>
      <c r="R1496" s="288"/>
    </row>
    <row r="1497" spans="14:18" x14ac:dyDescent="0.2">
      <c r="N1497" s="288"/>
      <c r="O1497" s="288"/>
      <c r="P1497" s="288"/>
      <c r="Q1497" s="288"/>
      <c r="R1497" s="288"/>
    </row>
    <row r="1498" spans="14:18" x14ac:dyDescent="0.2">
      <c r="N1498" s="288"/>
      <c r="O1498" s="288"/>
      <c r="P1498" s="288"/>
      <c r="Q1498" s="288"/>
      <c r="R1498" s="288"/>
    </row>
    <row r="1499" spans="14:18" x14ac:dyDescent="0.2">
      <c r="N1499" s="288"/>
      <c r="O1499" s="288"/>
      <c r="P1499" s="288"/>
      <c r="Q1499" s="288"/>
      <c r="R1499" s="288"/>
    </row>
    <row r="1500" spans="14:18" x14ac:dyDescent="0.2">
      <c r="N1500" s="288"/>
      <c r="O1500" s="288"/>
      <c r="P1500" s="288"/>
      <c r="Q1500" s="288"/>
      <c r="R1500" s="288"/>
    </row>
    <row r="1501" spans="14:18" x14ac:dyDescent="0.2">
      <c r="N1501" s="288"/>
      <c r="O1501" s="288"/>
      <c r="P1501" s="288"/>
      <c r="Q1501" s="288"/>
      <c r="R1501" s="288"/>
    </row>
    <row r="1502" spans="14:18" x14ac:dyDescent="0.2">
      <c r="N1502" s="288"/>
      <c r="O1502" s="288"/>
      <c r="P1502" s="288"/>
      <c r="Q1502" s="288"/>
      <c r="R1502" s="288"/>
    </row>
    <row r="1503" spans="14:18" x14ac:dyDescent="0.2">
      <c r="N1503" s="288"/>
      <c r="O1503" s="288"/>
      <c r="P1503" s="288"/>
      <c r="Q1503" s="288"/>
      <c r="R1503" s="288"/>
    </row>
    <row r="1504" spans="14:18" x14ac:dyDescent="0.2">
      <c r="N1504" s="288"/>
      <c r="O1504" s="288"/>
      <c r="P1504" s="288"/>
      <c r="Q1504" s="288"/>
      <c r="R1504" s="288"/>
    </row>
    <row r="1505" spans="14:18" x14ac:dyDescent="0.2">
      <c r="N1505" s="288"/>
      <c r="O1505" s="288"/>
      <c r="P1505" s="288"/>
      <c r="Q1505" s="288"/>
      <c r="R1505" s="288"/>
    </row>
    <row r="1506" spans="14:18" x14ac:dyDescent="0.2">
      <c r="N1506" s="288"/>
      <c r="O1506" s="288"/>
      <c r="P1506" s="288"/>
      <c r="Q1506" s="288"/>
      <c r="R1506" s="288"/>
    </row>
    <row r="1507" spans="14:18" x14ac:dyDescent="0.2">
      <c r="N1507" s="288"/>
      <c r="O1507" s="288"/>
      <c r="P1507" s="288"/>
      <c r="Q1507" s="288"/>
      <c r="R1507" s="288"/>
    </row>
    <row r="1508" spans="14:18" x14ac:dyDescent="0.2">
      <c r="N1508" s="288"/>
      <c r="O1508" s="288"/>
      <c r="P1508" s="288"/>
      <c r="Q1508" s="288"/>
      <c r="R1508" s="288"/>
    </row>
    <row r="1509" spans="14:18" x14ac:dyDescent="0.2">
      <c r="N1509" s="288"/>
      <c r="O1509" s="288"/>
      <c r="P1509" s="288"/>
      <c r="Q1509" s="288"/>
      <c r="R1509" s="288"/>
    </row>
    <row r="1510" spans="14:18" x14ac:dyDescent="0.2">
      <c r="N1510" s="288"/>
      <c r="O1510" s="288"/>
      <c r="P1510" s="288"/>
      <c r="Q1510" s="288"/>
      <c r="R1510" s="288"/>
    </row>
    <row r="1511" spans="14:18" x14ac:dyDescent="0.2">
      <c r="N1511" s="288"/>
      <c r="O1511" s="288"/>
      <c r="P1511" s="288"/>
      <c r="Q1511" s="288"/>
      <c r="R1511" s="288"/>
    </row>
    <row r="1512" spans="14:18" x14ac:dyDescent="0.2">
      <c r="N1512" s="288"/>
      <c r="O1512" s="288"/>
      <c r="P1512" s="288"/>
      <c r="Q1512" s="288"/>
      <c r="R1512" s="288"/>
    </row>
    <row r="1513" spans="14:18" x14ac:dyDescent="0.2">
      <c r="N1513" s="288"/>
      <c r="O1513" s="288"/>
      <c r="P1513" s="288"/>
      <c r="Q1513" s="288"/>
      <c r="R1513" s="288"/>
    </row>
    <row r="1514" spans="14:18" x14ac:dyDescent="0.2">
      <c r="N1514" s="288"/>
      <c r="O1514" s="288"/>
      <c r="P1514" s="288"/>
      <c r="Q1514" s="288"/>
      <c r="R1514" s="288"/>
    </row>
    <row r="1515" spans="14:18" x14ac:dyDescent="0.2">
      <c r="N1515" s="288"/>
      <c r="O1515" s="288"/>
      <c r="P1515" s="288"/>
      <c r="Q1515" s="288"/>
      <c r="R1515" s="288"/>
    </row>
    <row r="1516" spans="14:18" x14ac:dyDescent="0.2">
      <c r="N1516" s="288"/>
      <c r="O1516" s="288"/>
      <c r="P1516" s="288"/>
      <c r="Q1516" s="288"/>
      <c r="R1516" s="288"/>
    </row>
    <row r="1517" spans="14:18" x14ac:dyDescent="0.2">
      <c r="N1517" s="288"/>
      <c r="O1517" s="288"/>
      <c r="P1517" s="288"/>
      <c r="Q1517" s="288"/>
      <c r="R1517" s="288"/>
    </row>
    <row r="1518" spans="14:18" x14ac:dyDescent="0.2">
      <c r="N1518" s="288"/>
      <c r="O1518" s="288"/>
      <c r="P1518" s="288"/>
      <c r="Q1518" s="288"/>
      <c r="R1518" s="288"/>
    </row>
    <row r="1519" spans="14:18" x14ac:dyDescent="0.2">
      <c r="N1519" s="288"/>
      <c r="O1519" s="288"/>
      <c r="P1519" s="288"/>
      <c r="Q1519" s="288"/>
      <c r="R1519" s="288"/>
    </row>
    <row r="1520" spans="14:18" x14ac:dyDescent="0.2">
      <c r="N1520" s="288"/>
      <c r="O1520" s="288"/>
      <c r="P1520" s="288"/>
      <c r="Q1520" s="288"/>
      <c r="R1520" s="288"/>
    </row>
    <row r="1521" spans="14:18" x14ac:dyDescent="0.2">
      <c r="N1521" s="288"/>
      <c r="O1521" s="288"/>
      <c r="P1521" s="288"/>
      <c r="Q1521" s="288"/>
      <c r="R1521" s="288"/>
    </row>
    <row r="1522" spans="14:18" x14ac:dyDescent="0.2">
      <c r="N1522" s="288"/>
      <c r="O1522" s="288"/>
      <c r="P1522" s="288"/>
      <c r="Q1522" s="288"/>
      <c r="R1522" s="288"/>
    </row>
    <row r="1523" spans="14:18" x14ac:dyDescent="0.2">
      <c r="N1523" s="288"/>
      <c r="O1523" s="288"/>
      <c r="P1523" s="288"/>
      <c r="Q1523" s="288"/>
      <c r="R1523" s="288"/>
    </row>
    <row r="1524" spans="14:18" x14ac:dyDescent="0.2">
      <c r="N1524" s="288"/>
      <c r="O1524" s="288"/>
      <c r="P1524" s="288"/>
      <c r="Q1524" s="288"/>
      <c r="R1524" s="288"/>
    </row>
    <row r="1525" spans="14:18" x14ac:dyDescent="0.2">
      <c r="N1525" s="288"/>
      <c r="O1525" s="288"/>
      <c r="P1525" s="288"/>
      <c r="Q1525" s="288"/>
      <c r="R1525" s="288"/>
    </row>
    <row r="1526" spans="14:18" x14ac:dyDescent="0.2">
      <c r="N1526" s="288"/>
      <c r="O1526" s="288"/>
      <c r="P1526" s="288"/>
      <c r="Q1526" s="288"/>
      <c r="R1526" s="288"/>
    </row>
    <row r="1527" spans="14:18" x14ac:dyDescent="0.2">
      <c r="N1527" s="288"/>
      <c r="O1527" s="288"/>
      <c r="P1527" s="288"/>
      <c r="Q1527" s="288"/>
      <c r="R1527" s="288"/>
    </row>
    <row r="1528" spans="14:18" x14ac:dyDescent="0.2">
      <c r="N1528" s="288"/>
      <c r="O1528" s="288"/>
      <c r="P1528" s="288"/>
      <c r="Q1528" s="288"/>
      <c r="R1528" s="288"/>
    </row>
    <row r="1529" spans="14:18" x14ac:dyDescent="0.2">
      <c r="N1529" s="288"/>
      <c r="O1529" s="288"/>
      <c r="P1529" s="288"/>
      <c r="Q1529" s="288"/>
      <c r="R1529" s="288"/>
    </row>
    <row r="1530" spans="14:18" x14ac:dyDescent="0.2">
      <c r="N1530" s="288"/>
      <c r="O1530" s="288"/>
      <c r="P1530" s="288"/>
      <c r="Q1530" s="288"/>
      <c r="R1530" s="288"/>
    </row>
    <row r="1531" spans="14:18" x14ac:dyDescent="0.2">
      <c r="N1531" s="288"/>
      <c r="O1531" s="288"/>
      <c r="P1531" s="288"/>
      <c r="Q1531" s="288"/>
      <c r="R1531" s="288"/>
    </row>
    <row r="1532" spans="14:18" x14ac:dyDescent="0.2">
      <c r="N1532" s="288"/>
      <c r="O1532" s="288"/>
      <c r="P1532" s="288"/>
      <c r="Q1532" s="288"/>
      <c r="R1532" s="288"/>
    </row>
    <row r="1533" spans="14:18" x14ac:dyDescent="0.2">
      <c r="N1533" s="288"/>
      <c r="O1533" s="288"/>
      <c r="P1533" s="288"/>
      <c r="Q1533" s="288"/>
      <c r="R1533" s="288"/>
    </row>
    <row r="1534" spans="14:18" x14ac:dyDescent="0.2">
      <c r="N1534" s="288"/>
      <c r="O1534" s="288"/>
      <c r="P1534" s="288"/>
      <c r="Q1534" s="288"/>
      <c r="R1534" s="288"/>
    </row>
    <row r="1535" spans="14:18" x14ac:dyDescent="0.2">
      <c r="N1535" s="288"/>
      <c r="O1535" s="288"/>
      <c r="P1535" s="288"/>
      <c r="Q1535" s="288"/>
      <c r="R1535" s="288"/>
    </row>
    <row r="1536" spans="14:18" x14ac:dyDescent="0.2">
      <c r="N1536" s="288"/>
      <c r="O1536" s="288"/>
      <c r="P1536" s="288"/>
      <c r="Q1536" s="288"/>
      <c r="R1536" s="288"/>
    </row>
    <row r="1537" spans="14:18" x14ac:dyDescent="0.2">
      <c r="N1537" s="288"/>
      <c r="O1537" s="288"/>
      <c r="P1537" s="288"/>
      <c r="Q1537" s="288"/>
      <c r="R1537" s="288"/>
    </row>
  </sheetData>
  <mergeCells count="4">
    <mergeCell ref="J1:L1"/>
    <mergeCell ref="A2:L2"/>
    <mergeCell ref="J3:L3"/>
    <mergeCell ref="N14:N16"/>
  </mergeCells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37"/>
  <sheetViews>
    <sheetView zoomScaleNormal="100" workbookViewId="0">
      <pane ySplit="11" topLeftCell="A12" activePane="bottomLeft" state="frozen"/>
      <selection pane="bottomLeft" activeCell="B98" sqref="B98:H101"/>
    </sheetView>
  </sheetViews>
  <sheetFormatPr defaultColWidth="9.140625" defaultRowHeight="11.25" x14ac:dyDescent="0.2"/>
  <cols>
    <col min="1" max="1" width="3" style="284" bestFit="1" customWidth="1"/>
    <col min="2" max="2" width="31.85546875" style="284" customWidth="1"/>
    <col min="3" max="3" width="15.85546875" style="284" customWidth="1"/>
    <col min="4" max="4" width="10" style="284" bestFit="1" customWidth="1"/>
    <col min="5" max="5" width="8.85546875" style="284" bestFit="1" customWidth="1"/>
    <col min="6" max="6" width="0.85546875" style="284" customWidth="1"/>
    <col min="7" max="7" width="12.140625" style="284" bestFit="1" customWidth="1"/>
    <col min="8" max="8" width="11" style="284" bestFit="1" customWidth="1"/>
    <col min="9" max="9" width="1.140625" style="285" customWidth="1"/>
    <col min="10" max="10" width="13.7109375" style="284" bestFit="1" customWidth="1"/>
    <col min="11" max="11" width="2.28515625" style="284" customWidth="1"/>
    <col min="12" max="12" width="15.85546875" style="284" customWidth="1"/>
    <col min="13" max="13" width="3" style="284" customWidth="1"/>
    <col min="14" max="14" width="13.7109375" style="284" customWidth="1"/>
    <col min="15" max="16384" width="9.140625" style="284"/>
  </cols>
  <sheetData>
    <row r="1" spans="1:14" ht="12.75" customHeight="1" thickBot="1" x14ac:dyDescent="0.25">
      <c r="C1" s="548" t="s">
        <v>328</v>
      </c>
      <c r="G1" s="285"/>
      <c r="H1" s="286"/>
      <c r="I1" s="367"/>
      <c r="K1" s="288"/>
      <c r="L1" s="287"/>
      <c r="M1" s="287"/>
      <c r="N1" s="385"/>
    </row>
    <row r="2" spans="1:14" x14ac:dyDescent="0.2">
      <c r="A2" s="471" t="s">
        <v>209</v>
      </c>
      <c r="B2" s="472"/>
      <c r="C2" s="472"/>
      <c r="D2" s="472"/>
      <c r="E2" s="472"/>
      <c r="F2" s="472"/>
      <c r="G2" s="472"/>
      <c r="H2" s="473"/>
      <c r="I2" s="384"/>
      <c r="J2" s="289" t="s">
        <v>130</v>
      </c>
      <c r="K2" s="288"/>
      <c r="L2" s="288"/>
      <c r="M2" s="288"/>
      <c r="N2" s="383"/>
    </row>
    <row r="3" spans="1:14" s="288" customFormat="1" ht="12.75" customHeight="1" thickBot="1" x14ac:dyDescent="0.25">
      <c r="A3" s="287"/>
      <c r="B3" s="290"/>
      <c r="H3" s="286"/>
      <c r="I3" s="367"/>
      <c r="J3" s="291" t="s">
        <v>260</v>
      </c>
      <c r="N3" s="382"/>
    </row>
    <row r="4" spans="1:14" s="288" customFormat="1" x14ac:dyDescent="0.2">
      <c r="A4" s="310" t="s">
        <v>17</v>
      </c>
      <c r="B4" s="381"/>
      <c r="C4" s="377"/>
      <c r="D4" s="380"/>
      <c r="E4" s="379"/>
      <c r="F4" s="379"/>
      <c r="G4" s="378"/>
      <c r="H4" s="377"/>
      <c r="I4" s="370"/>
      <c r="J4" s="375"/>
      <c r="K4" s="375"/>
      <c r="L4" s="374"/>
      <c r="M4" s="373"/>
      <c r="N4" s="373"/>
    </row>
    <row r="5" spans="1:14" s="288" customFormat="1" x14ac:dyDescent="0.2">
      <c r="A5" s="376" t="str">
        <f>"PGA Filing Proposed Effective " &amp; J3</f>
        <v>PGA Filing Proposed Effective November 1, 2020</v>
      </c>
      <c r="B5" s="372"/>
      <c r="C5" s="372"/>
      <c r="D5" s="372"/>
      <c r="E5" s="372"/>
      <c r="F5" s="372"/>
      <c r="G5" s="372"/>
      <c r="H5" s="372"/>
      <c r="I5" s="370"/>
      <c r="J5" s="375"/>
      <c r="K5" s="375"/>
      <c r="L5" s="374"/>
      <c r="M5" s="373"/>
      <c r="N5" s="373"/>
    </row>
    <row r="6" spans="1:14" s="288" customFormat="1" x14ac:dyDescent="0.2">
      <c r="A6" s="372" t="s">
        <v>302</v>
      </c>
      <c r="B6" s="372"/>
      <c r="C6" s="372"/>
      <c r="D6" s="372"/>
      <c r="E6" s="372"/>
      <c r="F6" s="372"/>
      <c r="G6" s="372"/>
      <c r="H6" s="372"/>
      <c r="I6" s="370"/>
      <c r="J6" s="369"/>
      <c r="K6" s="369"/>
      <c r="L6" s="369"/>
      <c r="M6" s="369"/>
      <c r="N6" s="369"/>
    </row>
    <row r="7" spans="1:14" s="288" customFormat="1" x14ac:dyDescent="0.2">
      <c r="I7" s="368"/>
      <c r="J7" s="292"/>
      <c r="K7" s="292"/>
      <c r="L7" s="292"/>
      <c r="M7" s="292"/>
      <c r="N7" s="292"/>
    </row>
    <row r="8" spans="1:14" s="288" customFormat="1" x14ac:dyDescent="0.2">
      <c r="D8" s="286" t="s">
        <v>0</v>
      </c>
      <c r="E8" s="286" t="s">
        <v>1</v>
      </c>
      <c r="F8" s="286"/>
      <c r="G8" s="286" t="s">
        <v>2</v>
      </c>
      <c r="H8" s="286" t="s">
        <v>2</v>
      </c>
      <c r="I8" s="367"/>
      <c r="J8" s="293"/>
      <c r="K8" s="293"/>
      <c r="L8" s="293"/>
      <c r="M8" s="293"/>
      <c r="N8" s="293"/>
    </row>
    <row r="9" spans="1:14" s="288" customFormat="1" x14ac:dyDescent="0.2">
      <c r="D9" s="286" t="s">
        <v>3</v>
      </c>
      <c r="E9" s="286" t="s">
        <v>4</v>
      </c>
      <c r="F9" s="286"/>
      <c r="G9" s="286" t="s">
        <v>5</v>
      </c>
      <c r="H9" s="286" t="s">
        <v>6</v>
      </c>
      <c r="I9" s="367"/>
      <c r="J9" s="294"/>
      <c r="K9" s="294"/>
      <c r="L9" s="294"/>
      <c r="M9" s="294"/>
      <c r="N9" s="294"/>
    </row>
    <row r="10" spans="1:14" s="288" customFormat="1" x14ac:dyDescent="0.2">
      <c r="D10" s="286" t="s">
        <v>7</v>
      </c>
      <c r="E10" s="286" t="s">
        <v>8</v>
      </c>
      <c r="F10" s="286"/>
      <c r="G10" s="286" t="s">
        <v>9</v>
      </c>
      <c r="H10" s="286" t="s">
        <v>9</v>
      </c>
      <c r="I10" s="367"/>
      <c r="J10" s="295"/>
      <c r="K10" s="295"/>
      <c r="L10" s="295"/>
      <c r="M10" s="294"/>
      <c r="N10" s="295"/>
    </row>
    <row r="11" spans="1:14" s="288" customFormat="1" x14ac:dyDescent="0.2">
      <c r="D11" s="296" t="s">
        <v>10</v>
      </c>
      <c r="E11" s="296" t="s">
        <v>11</v>
      </c>
      <c r="F11" s="296"/>
      <c r="G11" s="297" t="s">
        <v>12</v>
      </c>
      <c r="H11" s="296" t="s">
        <v>30</v>
      </c>
      <c r="I11" s="367"/>
      <c r="J11" s="286"/>
      <c r="K11" s="286"/>
      <c r="L11" s="366"/>
      <c r="M11" s="366"/>
      <c r="N11" s="286"/>
    </row>
    <row r="12" spans="1:14" s="288" customFormat="1" ht="12" thickBot="1" x14ac:dyDescent="0.25">
      <c r="A12" s="286">
        <v>1</v>
      </c>
      <c r="B12" s="298"/>
      <c r="D12" s="299"/>
      <c r="I12" s="287"/>
      <c r="L12" s="306"/>
      <c r="M12" s="306"/>
      <c r="N12" s="306"/>
    </row>
    <row r="13" spans="1:14" s="288" customFormat="1" x14ac:dyDescent="0.2">
      <c r="A13" s="286">
        <v>2</v>
      </c>
      <c r="B13" s="475"/>
      <c r="C13" s="476"/>
      <c r="D13" s="477"/>
      <c r="E13" s="478"/>
      <c r="F13" s="287"/>
      <c r="G13" s="508"/>
      <c r="H13" s="510"/>
      <c r="I13" s="287"/>
      <c r="L13" s="306"/>
      <c r="M13" s="306"/>
      <c r="N13" s="306"/>
    </row>
    <row r="14" spans="1:14" s="288" customFormat="1" x14ac:dyDescent="0.2">
      <c r="A14" s="286">
        <v>3</v>
      </c>
      <c r="B14" s="479"/>
      <c r="C14" s="480"/>
      <c r="D14" s="481"/>
      <c r="E14" s="482"/>
      <c r="F14" s="321"/>
      <c r="G14" s="511"/>
      <c r="H14" s="560"/>
      <c r="I14" s="358"/>
      <c r="J14" s="474"/>
      <c r="K14" s="300"/>
      <c r="L14" s="307"/>
      <c r="M14" s="306"/>
      <c r="N14" s="307"/>
    </row>
    <row r="15" spans="1:14" s="288" customFormat="1" x14ac:dyDescent="0.2">
      <c r="A15" s="286">
        <v>4</v>
      </c>
      <c r="B15" s="483"/>
      <c r="C15" s="480"/>
      <c r="D15" s="481"/>
      <c r="E15" s="482"/>
      <c r="F15" s="322"/>
      <c r="G15" s="517"/>
      <c r="H15" s="561"/>
      <c r="I15" s="358"/>
      <c r="J15" s="474"/>
      <c r="K15" s="302"/>
      <c r="L15" s="307"/>
      <c r="M15" s="306"/>
      <c r="N15" s="306"/>
    </row>
    <row r="16" spans="1:14" s="288" customFormat="1" x14ac:dyDescent="0.2">
      <c r="A16" s="286">
        <v>5</v>
      </c>
      <c r="B16" s="479"/>
      <c r="C16" s="480"/>
      <c r="D16" s="481"/>
      <c r="E16" s="482"/>
      <c r="F16" s="322"/>
      <c r="G16" s="519"/>
      <c r="H16" s="562"/>
      <c r="I16" s="358"/>
      <c r="J16" s="474"/>
      <c r="K16" s="302"/>
      <c r="L16" s="307"/>
      <c r="M16" s="306"/>
      <c r="N16" s="306"/>
    </row>
    <row r="17" spans="1:14" s="288" customFormat="1" x14ac:dyDescent="0.2">
      <c r="A17" s="286">
        <v>6</v>
      </c>
      <c r="B17" s="479"/>
      <c r="C17" s="480"/>
      <c r="D17" s="481"/>
      <c r="E17" s="482"/>
      <c r="F17" s="322"/>
      <c r="G17" s="517"/>
      <c r="H17" s="561"/>
      <c r="I17" s="358"/>
      <c r="J17" s="301"/>
      <c r="K17" s="302"/>
      <c r="L17" s="307"/>
      <c r="M17" s="306"/>
      <c r="N17" s="306"/>
    </row>
    <row r="18" spans="1:14" s="288" customFormat="1" x14ac:dyDescent="0.2">
      <c r="A18" s="286">
        <v>7</v>
      </c>
      <c r="B18" s="484"/>
      <c r="C18" s="480"/>
      <c r="D18" s="549"/>
      <c r="E18" s="550"/>
      <c r="F18" s="322"/>
      <c r="G18" s="519"/>
      <c r="H18" s="563"/>
      <c r="I18" s="358"/>
      <c r="J18" s="301"/>
      <c r="K18" s="302"/>
      <c r="L18" s="307"/>
      <c r="M18" s="306"/>
      <c r="N18" s="306"/>
    </row>
    <row r="19" spans="1:14" s="288" customFormat="1" x14ac:dyDescent="0.2">
      <c r="A19" s="286">
        <v>8</v>
      </c>
      <c r="B19" s="487"/>
      <c r="C19" s="480"/>
      <c r="D19" s="549"/>
      <c r="E19" s="550"/>
      <c r="F19" s="322"/>
      <c r="G19" s="519"/>
      <c r="H19" s="563"/>
      <c r="I19" s="358"/>
      <c r="J19" s="301"/>
      <c r="K19" s="302"/>
      <c r="L19" s="307"/>
      <c r="M19" s="306"/>
      <c r="N19" s="306"/>
    </row>
    <row r="20" spans="1:14" s="288" customFormat="1" x14ac:dyDescent="0.2">
      <c r="A20" s="286">
        <v>9</v>
      </c>
      <c r="B20" s="484"/>
      <c r="C20" s="480"/>
      <c r="D20" s="551"/>
      <c r="E20" s="550"/>
      <c r="F20" s="321"/>
      <c r="G20" s="517"/>
      <c r="H20" s="561"/>
      <c r="I20" s="358"/>
      <c r="J20" s="301"/>
      <c r="K20" s="300"/>
      <c r="L20" s="307"/>
      <c r="M20" s="306"/>
      <c r="N20" s="307"/>
    </row>
    <row r="21" spans="1:14" s="288" customFormat="1" x14ac:dyDescent="0.2">
      <c r="A21" s="286">
        <v>10</v>
      </c>
      <c r="B21" s="489"/>
      <c r="C21" s="480"/>
      <c r="D21" s="549"/>
      <c r="E21" s="550"/>
      <c r="F21" s="322"/>
      <c r="G21" s="519"/>
      <c r="H21" s="563"/>
      <c r="I21" s="287"/>
      <c r="J21" s="301"/>
      <c r="K21" s="301"/>
      <c r="L21" s="307"/>
      <c r="M21" s="306"/>
      <c r="N21" s="306"/>
    </row>
    <row r="22" spans="1:14" s="288" customFormat="1" x14ac:dyDescent="0.2">
      <c r="A22" s="286">
        <v>11</v>
      </c>
      <c r="B22" s="489"/>
      <c r="C22" s="480"/>
      <c r="D22" s="549"/>
      <c r="E22" s="550"/>
      <c r="F22" s="322"/>
      <c r="G22" s="519"/>
      <c r="H22" s="563"/>
      <c r="I22" s="358"/>
      <c r="J22" s="301"/>
      <c r="K22" s="300"/>
      <c r="L22" s="307"/>
      <c r="M22" s="306"/>
      <c r="N22" s="307"/>
    </row>
    <row r="23" spans="1:14" s="288" customFormat="1" x14ac:dyDescent="0.2">
      <c r="A23" s="286">
        <v>12</v>
      </c>
      <c r="B23" s="489"/>
      <c r="C23" s="480"/>
      <c r="D23" s="549"/>
      <c r="E23" s="550"/>
      <c r="F23" s="322"/>
      <c r="G23" s="519"/>
      <c r="H23" s="564"/>
      <c r="I23" s="358"/>
      <c r="J23" s="301"/>
      <c r="K23" s="300"/>
      <c r="L23" s="307"/>
      <c r="M23" s="306"/>
      <c r="N23" s="307"/>
    </row>
    <row r="24" spans="1:14" s="288" customFormat="1" x14ac:dyDescent="0.2">
      <c r="A24" s="286">
        <v>13</v>
      </c>
      <c r="B24" s="490"/>
      <c r="C24" s="491"/>
      <c r="D24" s="492"/>
      <c r="E24" s="488"/>
      <c r="F24" s="321"/>
      <c r="G24" s="519"/>
      <c r="H24" s="565"/>
      <c r="I24" s="358"/>
      <c r="J24" s="301"/>
      <c r="K24" s="300"/>
      <c r="L24" s="307"/>
      <c r="M24" s="306"/>
      <c r="N24" s="307"/>
    </row>
    <row r="25" spans="1:14" s="288" customFormat="1" x14ac:dyDescent="0.2">
      <c r="A25" s="286">
        <v>14</v>
      </c>
      <c r="B25" s="493"/>
      <c r="C25" s="494"/>
      <c r="D25" s="494"/>
      <c r="E25" s="495"/>
      <c r="F25" s="287"/>
      <c r="G25" s="517"/>
      <c r="H25" s="561"/>
      <c r="I25" s="358"/>
      <c r="J25" s="301"/>
      <c r="L25" s="307"/>
      <c r="M25" s="306"/>
      <c r="N25" s="307"/>
    </row>
    <row r="26" spans="1:14" s="288" customFormat="1" x14ac:dyDescent="0.2">
      <c r="A26" s="286">
        <v>15</v>
      </c>
      <c r="B26" s="479"/>
      <c r="C26" s="491"/>
      <c r="D26" s="492"/>
      <c r="E26" s="488"/>
      <c r="F26" s="287"/>
      <c r="G26" s="517"/>
      <c r="H26" s="566"/>
      <c r="I26" s="358"/>
      <c r="J26" s="301"/>
      <c r="L26" s="307"/>
      <c r="M26" s="306"/>
      <c r="N26" s="307"/>
    </row>
    <row r="27" spans="1:14" s="288" customFormat="1" x14ac:dyDescent="0.2">
      <c r="A27" s="286">
        <v>16</v>
      </c>
      <c r="B27" s="487"/>
      <c r="C27" s="480"/>
      <c r="D27" s="549"/>
      <c r="E27" s="550"/>
      <c r="F27" s="322"/>
      <c r="G27" s="519"/>
      <c r="H27" s="564"/>
      <c r="I27" s="287"/>
      <c r="J27" s="301"/>
      <c r="K27" s="301"/>
      <c r="L27" s="307"/>
      <c r="M27" s="306"/>
      <c r="N27" s="306"/>
    </row>
    <row r="28" spans="1:14" s="288" customFormat="1" x14ac:dyDescent="0.2">
      <c r="A28" s="286">
        <v>17</v>
      </c>
      <c r="B28" s="490"/>
      <c r="C28" s="491"/>
      <c r="D28" s="549"/>
      <c r="E28" s="550"/>
      <c r="F28" s="323"/>
      <c r="G28" s="519"/>
      <c r="H28" s="566"/>
      <c r="I28" s="358"/>
      <c r="J28" s="301"/>
      <c r="K28" s="301"/>
      <c r="L28" s="307"/>
      <c r="M28" s="306"/>
      <c r="N28" s="306"/>
    </row>
    <row r="29" spans="1:14" s="288" customFormat="1" x14ac:dyDescent="0.2">
      <c r="A29" s="286">
        <v>18</v>
      </c>
      <c r="B29" s="490"/>
      <c r="C29" s="491"/>
      <c r="D29" s="549"/>
      <c r="E29" s="550"/>
      <c r="F29" s="287"/>
      <c r="G29" s="519"/>
      <c r="H29" s="560"/>
      <c r="I29" s="358"/>
      <c r="L29" s="306"/>
      <c r="M29" s="306"/>
      <c r="N29" s="306"/>
    </row>
    <row r="30" spans="1:14" s="288" customFormat="1" x14ac:dyDescent="0.2">
      <c r="A30" s="286">
        <v>19</v>
      </c>
      <c r="B30" s="479"/>
      <c r="C30" s="491"/>
      <c r="D30" s="549"/>
      <c r="E30" s="550"/>
      <c r="F30" s="287"/>
      <c r="G30" s="517"/>
      <c r="H30" s="562"/>
      <c r="I30" s="358"/>
      <c r="L30" s="306"/>
      <c r="M30" s="306"/>
      <c r="N30" s="306"/>
    </row>
    <row r="31" spans="1:14" s="288" customFormat="1" x14ac:dyDescent="0.2">
      <c r="A31" s="286">
        <v>20</v>
      </c>
      <c r="B31" s="496"/>
      <c r="C31" s="480"/>
      <c r="D31" s="549"/>
      <c r="E31" s="550"/>
      <c r="F31" s="322"/>
      <c r="G31" s="519"/>
      <c r="H31" s="564"/>
      <c r="I31" s="358"/>
      <c r="L31" s="306"/>
      <c r="M31" s="306"/>
      <c r="N31" s="306"/>
    </row>
    <row r="32" spans="1:14" s="288" customFormat="1" x14ac:dyDescent="0.2">
      <c r="A32" s="286">
        <v>21</v>
      </c>
      <c r="B32" s="490"/>
      <c r="C32" s="491"/>
      <c r="D32" s="549"/>
      <c r="E32" s="552"/>
      <c r="F32" s="287"/>
      <c r="G32" s="517"/>
      <c r="H32" s="566"/>
      <c r="I32" s="358"/>
      <c r="J32" s="303"/>
      <c r="K32" s="303"/>
      <c r="L32" s="307"/>
      <c r="M32" s="306"/>
      <c r="N32" s="307"/>
    </row>
    <row r="33" spans="1:14" s="288" customFormat="1" x14ac:dyDescent="0.2">
      <c r="A33" s="286">
        <v>22</v>
      </c>
      <c r="B33" s="490"/>
      <c r="C33" s="491"/>
      <c r="D33" s="549"/>
      <c r="E33" s="552"/>
      <c r="F33" s="287"/>
      <c r="G33" s="517"/>
      <c r="H33" s="566"/>
      <c r="I33" s="358"/>
      <c r="J33" s="303"/>
      <c r="K33" s="303"/>
      <c r="L33" s="307"/>
      <c r="M33" s="306"/>
      <c r="N33" s="307"/>
    </row>
    <row r="34" spans="1:14" s="288" customFormat="1" x14ac:dyDescent="0.2">
      <c r="A34" s="286">
        <v>23</v>
      </c>
      <c r="B34" s="479"/>
      <c r="C34" s="494"/>
      <c r="D34" s="553"/>
      <c r="E34" s="554"/>
      <c r="F34" s="303"/>
      <c r="G34" s="519"/>
      <c r="H34" s="560"/>
      <c r="I34" s="358"/>
      <c r="J34" s="303"/>
      <c r="K34" s="303"/>
      <c r="L34" s="307"/>
      <c r="M34" s="306"/>
      <c r="N34" s="307"/>
    </row>
    <row r="35" spans="1:14" s="288" customFormat="1" x14ac:dyDescent="0.2">
      <c r="A35" s="286">
        <v>24</v>
      </c>
      <c r="B35" s="484"/>
      <c r="C35" s="480"/>
      <c r="D35" s="549"/>
      <c r="E35" s="550"/>
      <c r="F35" s="322"/>
      <c r="G35" s="519"/>
      <c r="H35" s="564"/>
      <c r="I35" s="358"/>
      <c r="L35" s="307"/>
      <c r="M35" s="306"/>
      <c r="N35" s="307"/>
    </row>
    <row r="36" spans="1:14" s="288" customFormat="1" x14ac:dyDescent="0.2">
      <c r="A36" s="286">
        <v>25</v>
      </c>
      <c r="B36" s="490"/>
      <c r="C36" s="491"/>
      <c r="D36" s="555"/>
      <c r="E36" s="556"/>
      <c r="F36" s="303"/>
      <c r="G36" s="517"/>
      <c r="H36" s="566"/>
      <c r="I36" s="358"/>
      <c r="L36" s="307"/>
      <c r="M36" s="306"/>
      <c r="N36" s="307"/>
    </row>
    <row r="37" spans="1:14" s="288" customFormat="1" x14ac:dyDescent="0.2">
      <c r="A37" s="286">
        <v>26</v>
      </c>
      <c r="B37" s="490"/>
      <c r="C37" s="491"/>
      <c r="D37" s="549"/>
      <c r="E37" s="552"/>
      <c r="F37" s="303"/>
      <c r="G37" s="519"/>
      <c r="H37" s="560"/>
      <c r="I37" s="358"/>
      <c r="L37" s="306"/>
      <c r="M37" s="306"/>
      <c r="N37" s="306"/>
    </row>
    <row r="38" spans="1:14" s="288" customFormat="1" x14ac:dyDescent="0.2">
      <c r="A38" s="286">
        <v>27</v>
      </c>
      <c r="B38" s="483"/>
      <c r="C38" s="494"/>
      <c r="D38" s="553"/>
      <c r="E38" s="554"/>
      <c r="F38" s="287"/>
      <c r="G38" s="519"/>
      <c r="H38" s="560"/>
      <c r="I38" s="358"/>
      <c r="L38" s="306"/>
      <c r="M38" s="306"/>
      <c r="N38" s="306"/>
    </row>
    <row r="39" spans="1:14" s="288" customFormat="1" x14ac:dyDescent="0.2">
      <c r="A39" s="286">
        <v>28</v>
      </c>
      <c r="B39" s="493"/>
      <c r="C39" s="494"/>
      <c r="D39" s="553"/>
      <c r="E39" s="554"/>
      <c r="F39" s="287"/>
      <c r="G39" s="519"/>
      <c r="H39" s="560"/>
      <c r="I39" s="358"/>
      <c r="L39" s="306"/>
      <c r="M39" s="306"/>
      <c r="N39" s="306"/>
    </row>
    <row r="40" spans="1:14" s="288" customFormat="1" x14ac:dyDescent="0.2">
      <c r="A40" s="286">
        <v>29</v>
      </c>
      <c r="B40" s="479"/>
      <c r="C40" s="480"/>
      <c r="D40" s="551"/>
      <c r="E40" s="552"/>
      <c r="F40" s="287"/>
      <c r="G40" s="517"/>
      <c r="H40" s="561"/>
      <c r="I40" s="358"/>
      <c r="L40" s="306"/>
      <c r="M40" s="306"/>
      <c r="N40" s="306"/>
    </row>
    <row r="41" spans="1:14" s="288" customFormat="1" x14ac:dyDescent="0.2">
      <c r="A41" s="286">
        <v>30</v>
      </c>
      <c r="B41" s="487"/>
      <c r="C41" s="500"/>
      <c r="D41" s="549"/>
      <c r="E41" s="550"/>
      <c r="F41" s="322"/>
      <c r="G41" s="519"/>
      <c r="H41" s="563"/>
      <c r="I41" s="358"/>
      <c r="L41" s="306"/>
      <c r="M41" s="306"/>
      <c r="N41" s="306"/>
    </row>
    <row r="42" spans="1:14" s="288" customFormat="1" x14ac:dyDescent="0.2">
      <c r="A42" s="286">
        <v>31</v>
      </c>
      <c r="B42" s="487"/>
      <c r="C42" s="500"/>
      <c r="D42" s="549"/>
      <c r="E42" s="550"/>
      <c r="F42" s="322"/>
      <c r="G42" s="519"/>
      <c r="H42" s="564"/>
      <c r="I42" s="358"/>
      <c r="L42" s="306"/>
      <c r="M42" s="306"/>
      <c r="N42" s="306"/>
    </row>
    <row r="43" spans="1:14" s="288" customFormat="1" x14ac:dyDescent="0.2">
      <c r="A43" s="286">
        <v>32</v>
      </c>
      <c r="B43" s="490"/>
      <c r="C43" s="491"/>
      <c r="D43" s="557"/>
      <c r="E43" s="552"/>
      <c r="F43" s="287"/>
      <c r="G43" s="519"/>
      <c r="H43" s="566"/>
      <c r="I43" s="358"/>
      <c r="L43" s="306"/>
      <c r="M43" s="306"/>
      <c r="N43" s="306"/>
    </row>
    <row r="44" spans="1:14" s="288" customFormat="1" x14ac:dyDescent="0.2">
      <c r="A44" s="286">
        <v>33</v>
      </c>
      <c r="B44" s="502"/>
      <c r="C44" s="491"/>
      <c r="D44" s="557"/>
      <c r="E44" s="552"/>
      <c r="F44" s="287"/>
      <c r="G44" s="519"/>
      <c r="H44" s="560"/>
      <c r="I44" s="358"/>
      <c r="L44" s="306"/>
      <c r="M44" s="306"/>
      <c r="N44" s="306"/>
    </row>
    <row r="45" spans="1:14" s="288" customFormat="1" x14ac:dyDescent="0.2">
      <c r="A45" s="286">
        <v>34</v>
      </c>
      <c r="B45" s="479"/>
      <c r="C45" s="491"/>
      <c r="D45" s="557"/>
      <c r="E45" s="552"/>
      <c r="F45" s="287"/>
      <c r="G45" s="517"/>
      <c r="H45" s="561"/>
      <c r="I45" s="358"/>
      <c r="L45" s="306"/>
      <c r="M45" s="306"/>
      <c r="N45" s="306"/>
    </row>
    <row r="46" spans="1:14" s="288" customFormat="1" x14ac:dyDescent="0.2">
      <c r="A46" s="286">
        <v>35</v>
      </c>
      <c r="B46" s="484"/>
      <c r="C46" s="480"/>
      <c r="D46" s="549"/>
      <c r="E46" s="550"/>
      <c r="F46" s="322"/>
      <c r="G46" s="519"/>
      <c r="H46" s="563"/>
      <c r="I46" s="358"/>
      <c r="L46" s="306"/>
      <c r="M46" s="306"/>
      <c r="N46" s="306"/>
    </row>
    <row r="47" spans="1:14" s="288" customFormat="1" x14ac:dyDescent="0.2">
      <c r="A47" s="286">
        <v>36</v>
      </c>
      <c r="B47" s="484"/>
      <c r="C47" s="500"/>
      <c r="D47" s="549"/>
      <c r="E47" s="550"/>
      <c r="F47" s="322"/>
      <c r="G47" s="519"/>
      <c r="H47" s="564"/>
      <c r="I47" s="358"/>
      <c r="L47" s="306"/>
      <c r="M47" s="306"/>
      <c r="N47" s="306"/>
    </row>
    <row r="48" spans="1:14" s="288" customFormat="1" x14ac:dyDescent="0.2">
      <c r="A48" s="286">
        <v>37</v>
      </c>
      <c r="B48" s="490"/>
      <c r="C48" s="491"/>
      <c r="D48" s="557"/>
      <c r="E48" s="552"/>
      <c r="F48" s="287"/>
      <c r="G48" s="519"/>
      <c r="H48" s="566"/>
      <c r="I48" s="358"/>
      <c r="L48" s="306"/>
      <c r="M48" s="306"/>
      <c r="N48" s="306"/>
    </row>
    <row r="49" spans="1:14" s="288" customFormat="1" x14ac:dyDescent="0.2">
      <c r="A49" s="286">
        <v>38</v>
      </c>
      <c r="B49" s="490"/>
      <c r="C49" s="491"/>
      <c r="D49" s="557"/>
      <c r="E49" s="552"/>
      <c r="F49" s="287"/>
      <c r="G49" s="517"/>
      <c r="H49" s="566"/>
      <c r="I49" s="358"/>
      <c r="L49" s="306"/>
      <c r="M49" s="306"/>
      <c r="N49" s="306"/>
    </row>
    <row r="50" spans="1:14" s="288" customFormat="1" x14ac:dyDescent="0.2">
      <c r="A50" s="286">
        <v>39</v>
      </c>
      <c r="B50" s="483"/>
      <c r="C50" s="494"/>
      <c r="D50" s="557"/>
      <c r="E50" s="552"/>
      <c r="F50" s="287"/>
      <c r="G50" s="519"/>
      <c r="H50" s="560"/>
      <c r="I50" s="358"/>
      <c r="L50" s="306"/>
      <c r="M50" s="306"/>
      <c r="N50" s="306"/>
    </row>
    <row r="51" spans="1:14" s="288" customFormat="1" x14ac:dyDescent="0.2">
      <c r="A51" s="286">
        <v>40</v>
      </c>
      <c r="B51" s="484"/>
      <c r="C51" s="480"/>
      <c r="D51" s="549"/>
      <c r="E51" s="550"/>
      <c r="F51" s="322"/>
      <c r="G51" s="519"/>
      <c r="H51" s="564"/>
      <c r="I51" s="358"/>
      <c r="L51" s="306"/>
      <c r="M51" s="306"/>
      <c r="N51" s="306"/>
    </row>
    <row r="52" spans="1:14" s="288" customFormat="1" x14ac:dyDescent="0.2">
      <c r="A52" s="286">
        <v>41</v>
      </c>
      <c r="B52" s="490"/>
      <c r="C52" s="491"/>
      <c r="D52" s="557"/>
      <c r="E52" s="552"/>
      <c r="F52" s="287"/>
      <c r="G52" s="519"/>
      <c r="H52" s="566"/>
      <c r="I52" s="358"/>
      <c r="L52" s="306"/>
      <c r="M52" s="306"/>
      <c r="N52" s="306"/>
    </row>
    <row r="53" spans="1:14" s="288" customFormat="1" x14ac:dyDescent="0.2">
      <c r="A53" s="286">
        <v>42</v>
      </c>
      <c r="B53" s="490"/>
      <c r="C53" s="491"/>
      <c r="D53" s="557"/>
      <c r="E53" s="552"/>
      <c r="F53" s="287"/>
      <c r="G53" s="519"/>
      <c r="H53" s="560"/>
      <c r="I53" s="358"/>
      <c r="L53" s="306"/>
      <c r="M53" s="306"/>
      <c r="N53" s="306"/>
    </row>
    <row r="54" spans="1:14" s="288" customFormat="1" x14ac:dyDescent="0.2">
      <c r="A54" s="286">
        <v>43</v>
      </c>
      <c r="B54" s="483"/>
      <c r="C54" s="480"/>
      <c r="D54" s="557"/>
      <c r="E54" s="552"/>
      <c r="F54" s="287"/>
      <c r="G54" s="519"/>
      <c r="H54" s="560"/>
      <c r="I54" s="358"/>
      <c r="L54" s="306"/>
      <c r="M54" s="306"/>
      <c r="N54" s="306"/>
    </row>
    <row r="55" spans="1:14" s="288" customFormat="1" x14ac:dyDescent="0.2">
      <c r="A55" s="286">
        <v>44</v>
      </c>
      <c r="B55" s="479"/>
      <c r="C55" s="480"/>
      <c r="D55" s="557"/>
      <c r="E55" s="552"/>
      <c r="F55" s="287"/>
      <c r="G55" s="519"/>
      <c r="H55" s="560"/>
      <c r="I55" s="358"/>
      <c r="L55" s="306"/>
      <c r="M55" s="306"/>
      <c r="N55" s="306"/>
    </row>
    <row r="56" spans="1:14" s="288" customFormat="1" x14ac:dyDescent="0.2">
      <c r="A56" s="286">
        <v>45</v>
      </c>
      <c r="B56" s="484"/>
      <c r="C56" s="480"/>
      <c r="D56" s="549"/>
      <c r="E56" s="550"/>
      <c r="F56" s="322"/>
      <c r="G56" s="519"/>
      <c r="H56" s="563"/>
      <c r="I56" s="358"/>
      <c r="L56" s="306"/>
      <c r="M56" s="306"/>
      <c r="N56" s="306"/>
    </row>
    <row r="57" spans="1:14" s="288" customFormat="1" x14ac:dyDescent="0.2">
      <c r="A57" s="286">
        <v>46</v>
      </c>
      <c r="B57" s="484"/>
      <c r="C57" s="480"/>
      <c r="D57" s="549"/>
      <c r="E57" s="550"/>
      <c r="F57" s="322"/>
      <c r="G57" s="519"/>
      <c r="H57" s="563"/>
      <c r="I57" s="358"/>
      <c r="L57" s="306"/>
      <c r="M57" s="306"/>
      <c r="N57" s="306"/>
    </row>
    <row r="58" spans="1:14" s="288" customFormat="1" x14ac:dyDescent="0.2">
      <c r="A58" s="286">
        <v>47</v>
      </c>
      <c r="B58" s="484"/>
      <c r="C58" s="480"/>
      <c r="D58" s="549"/>
      <c r="E58" s="550"/>
      <c r="F58" s="322"/>
      <c r="G58" s="519"/>
      <c r="H58" s="564"/>
      <c r="I58" s="358"/>
      <c r="L58" s="306"/>
      <c r="M58" s="306"/>
      <c r="N58" s="306"/>
    </row>
    <row r="59" spans="1:14" s="288" customFormat="1" x14ac:dyDescent="0.2">
      <c r="A59" s="286">
        <v>48</v>
      </c>
      <c r="B59" s="490"/>
      <c r="C59" s="491"/>
      <c r="D59" s="557"/>
      <c r="E59" s="552"/>
      <c r="F59" s="287"/>
      <c r="G59" s="519"/>
      <c r="H59" s="565"/>
      <c r="I59" s="358"/>
      <c r="L59" s="306"/>
      <c r="M59" s="306"/>
      <c r="N59" s="306"/>
    </row>
    <row r="60" spans="1:14" s="288" customFormat="1" x14ac:dyDescent="0.2">
      <c r="A60" s="286">
        <v>49</v>
      </c>
      <c r="B60" s="493"/>
      <c r="C60" s="494"/>
      <c r="D60" s="557"/>
      <c r="E60" s="552"/>
      <c r="F60" s="287"/>
      <c r="G60" s="519"/>
      <c r="H60" s="560"/>
      <c r="I60" s="358"/>
      <c r="L60" s="306"/>
      <c r="M60" s="306"/>
      <c r="N60" s="306"/>
    </row>
    <row r="61" spans="1:14" s="288" customFormat="1" x14ac:dyDescent="0.2">
      <c r="A61" s="286">
        <v>50</v>
      </c>
      <c r="B61" s="479"/>
      <c r="C61" s="480"/>
      <c r="D61" s="557"/>
      <c r="E61" s="552"/>
      <c r="F61" s="287"/>
      <c r="G61" s="519"/>
      <c r="H61" s="560"/>
      <c r="I61" s="358"/>
      <c r="L61" s="306"/>
      <c r="M61" s="306"/>
      <c r="N61" s="306"/>
    </row>
    <row r="62" spans="1:14" s="288" customFormat="1" x14ac:dyDescent="0.2">
      <c r="A62" s="286">
        <v>51</v>
      </c>
      <c r="B62" s="484"/>
      <c r="C62" s="480"/>
      <c r="D62" s="549"/>
      <c r="E62" s="550"/>
      <c r="F62" s="322"/>
      <c r="G62" s="519"/>
      <c r="H62" s="563"/>
      <c r="I62" s="358"/>
      <c r="L62" s="306"/>
      <c r="M62" s="306"/>
      <c r="N62" s="306"/>
    </row>
    <row r="63" spans="1:14" s="288" customFormat="1" x14ac:dyDescent="0.2">
      <c r="A63" s="286">
        <v>52</v>
      </c>
      <c r="B63" s="484"/>
      <c r="C63" s="480"/>
      <c r="D63" s="549"/>
      <c r="E63" s="550"/>
      <c r="F63" s="322"/>
      <c r="G63" s="519"/>
      <c r="H63" s="564"/>
      <c r="I63" s="358"/>
      <c r="L63" s="306"/>
      <c r="M63" s="306"/>
      <c r="N63" s="306"/>
    </row>
    <row r="64" spans="1:14" s="288" customFormat="1" x14ac:dyDescent="0.2">
      <c r="A64" s="286">
        <v>53</v>
      </c>
      <c r="B64" s="490"/>
      <c r="C64" s="480"/>
      <c r="D64" s="551"/>
      <c r="E64" s="552"/>
      <c r="F64" s="287"/>
      <c r="G64" s="519"/>
      <c r="H64" s="565"/>
      <c r="I64" s="358"/>
      <c r="L64" s="306"/>
      <c r="M64" s="306"/>
      <c r="N64" s="306"/>
    </row>
    <row r="65" spans="1:14" s="288" customFormat="1" x14ac:dyDescent="0.2">
      <c r="A65" s="286">
        <v>54</v>
      </c>
      <c r="B65" s="490"/>
      <c r="C65" s="491"/>
      <c r="D65" s="558"/>
      <c r="E65" s="556"/>
      <c r="F65" s="287"/>
      <c r="G65" s="519"/>
      <c r="H65" s="560"/>
      <c r="I65" s="358"/>
      <c r="L65" s="306"/>
      <c r="M65" s="306"/>
      <c r="N65" s="306"/>
    </row>
    <row r="66" spans="1:14" s="288" customFormat="1" x14ac:dyDescent="0.2">
      <c r="A66" s="286">
        <v>57</v>
      </c>
      <c r="B66" s="479"/>
      <c r="C66" s="480"/>
      <c r="D66" s="551"/>
      <c r="E66" s="552"/>
      <c r="F66" s="287"/>
      <c r="G66" s="519"/>
      <c r="H66" s="560"/>
      <c r="I66" s="358"/>
      <c r="L66" s="306"/>
      <c r="M66" s="306"/>
      <c r="N66" s="306"/>
    </row>
    <row r="67" spans="1:14" s="288" customFormat="1" x14ac:dyDescent="0.2">
      <c r="A67" s="286">
        <v>58</v>
      </c>
      <c r="B67" s="479"/>
      <c r="C67" s="480"/>
      <c r="D67" s="551"/>
      <c r="E67" s="552"/>
      <c r="F67" s="287"/>
      <c r="G67" s="519"/>
      <c r="H67" s="560"/>
      <c r="I67" s="358"/>
      <c r="L67" s="306"/>
      <c r="M67" s="306"/>
      <c r="N67" s="306"/>
    </row>
    <row r="68" spans="1:14" s="288" customFormat="1" x14ac:dyDescent="0.2">
      <c r="A68" s="286">
        <v>59</v>
      </c>
      <c r="B68" s="479"/>
      <c r="C68" s="480"/>
      <c r="D68" s="551"/>
      <c r="E68" s="552"/>
      <c r="F68" s="287"/>
      <c r="G68" s="519"/>
      <c r="H68" s="560"/>
      <c r="I68" s="358"/>
      <c r="L68" s="306"/>
      <c r="M68" s="306"/>
      <c r="N68" s="306"/>
    </row>
    <row r="69" spans="1:14" s="288" customFormat="1" x14ac:dyDescent="0.2">
      <c r="A69" s="286">
        <v>60</v>
      </c>
      <c r="B69" s="484"/>
      <c r="C69" s="480"/>
      <c r="D69" s="549"/>
      <c r="E69" s="550"/>
      <c r="F69" s="322"/>
      <c r="G69" s="517"/>
      <c r="H69" s="560"/>
      <c r="I69" s="358"/>
      <c r="L69" s="306"/>
      <c r="M69" s="306"/>
      <c r="N69" s="306"/>
    </row>
    <row r="70" spans="1:14" s="288" customFormat="1" x14ac:dyDescent="0.2">
      <c r="A70" s="286">
        <v>61</v>
      </c>
      <c r="B70" s="490"/>
      <c r="C70" s="480"/>
      <c r="D70" s="549"/>
      <c r="E70" s="552"/>
      <c r="F70" s="287"/>
      <c r="G70" s="524"/>
      <c r="H70" s="560"/>
      <c r="I70" s="358"/>
      <c r="L70" s="306"/>
      <c r="M70" s="306"/>
      <c r="N70" s="306"/>
    </row>
    <row r="71" spans="1:14" s="288" customFormat="1" x14ac:dyDescent="0.2">
      <c r="A71" s="286">
        <v>62</v>
      </c>
      <c r="B71" s="484"/>
      <c r="C71" s="480"/>
      <c r="D71" s="549"/>
      <c r="E71" s="552"/>
      <c r="F71" s="287"/>
      <c r="G71" s="519"/>
      <c r="H71" s="560"/>
      <c r="I71" s="358"/>
      <c r="L71" s="306"/>
      <c r="M71" s="306"/>
      <c r="N71" s="306"/>
    </row>
    <row r="72" spans="1:14" s="288" customFormat="1" x14ac:dyDescent="0.2">
      <c r="A72" s="286">
        <v>63</v>
      </c>
      <c r="B72" s="479"/>
      <c r="C72" s="480"/>
      <c r="D72" s="549"/>
      <c r="E72" s="552"/>
      <c r="F72" s="287"/>
      <c r="G72" s="519"/>
      <c r="H72" s="560"/>
      <c r="I72" s="358"/>
      <c r="L72" s="306"/>
      <c r="M72" s="306"/>
      <c r="N72" s="306"/>
    </row>
    <row r="73" spans="1:14" s="288" customFormat="1" x14ac:dyDescent="0.2">
      <c r="A73" s="286">
        <v>64</v>
      </c>
      <c r="B73" s="484"/>
      <c r="C73" s="480"/>
      <c r="D73" s="549"/>
      <c r="E73" s="550"/>
      <c r="F73" s="322"/>
      <c r="G73" s="517"/>
      <c r="H73" s="560"/>
      <c r="I73" s="358"/>
      <c r="L73" s="306"/>
      <c r="M73" s="306"/>
      <c r="N73" s="306"/>
    </row>
    <row r="74" spans="1:14" s="288" customFormat="1" x14ac:dyDescent="0.2">
      <c r="A74" s="286">
        <v>65</v>
      </c>
      <c r="B74" s="484"/>
      <c r="C74" s="500"/>
      <c r="D74" s="549"/>
      <c r="E74" s="550"/>
      <c r="F74" s="322"/>
      <c r="G74" s="517"/>
      <c r="H74" s="560"/>
      <c r="I74" s="358"/>
      <c r="L74" s="306"/>
      <c r="M74" s="306"/>
      <c r="N74" s="306"/>
    </row>
    <row r="75" spans="1:14" s="288" customFormat="1" x14ac:dyDescent="0.2">
      <c r="A75" s="286">
        <v>66</v>
      </c>
      <c r="B75" s="490"/>
      <c r="C75" s="500"/>
      <c r="D75" s="557"/>
      <c r="E75" s="552"/>
      <c r="F75" s="287"/>
      <c r="G75" s="524"/>
      <c r="H75" s="560"/>
      <c r="I75" s="358"/>
      <c r="L75" s="306"/>
      <c r="M75" s="306"/>
      <c r="N75" s="306"/>
    </row>
    <row r="76" spans="1:14" s="288" customFormat="1" x14ac:dyDescent="0.2">
      <c r="A76" s="286">
        <v>67</v>
      </c>
      <c r="B76" s="484"/>
      <c r="C76" s="480"/>
      <c r="D76" s="557"/>
      <c r="E76" s="552"/>
      <c r="F76" s="287"/>
      <c r="G76" s="519"/>
      <c r="H76" s="560"/>
      <c r="I76" s="358"/>
      <c r="L76" s="306"/>
      <c r="M76" s="306"/>
      <c r="N76" s="306"/>
    </row>
    <row r="77" spans="1:14" s="288" customFormat="1" x14ac:dyDescent="0.2">
      <c r="A77" s="286">
        <v>68</v>
      </c>
      <c r="B77" s="479"/>
      <c r="C77" s="494"/>
      <c r="D77" s="557"/>
      <c r="E77" s="552"/>
      <c r="F77" s="287"/>
      <c r="G77" s="519"/>
      <c r="H77" s="560"/>
      <c r="I77" s="358"/>
      <c r="L77" s="306"/>
      <c r="M77" s="306"/>
      <c r="N77" s="306"/>
    </row>
    <row r="78" spans="1:14" s="288" customFormat="1" x14ac:dyDescent="0.2">
      <c r="A78" s="286">
        <v>69</v>
      </c>
      <c r="B78" s="493"/>
      <c r="C78" s="494"/>
      <c r="D78" s="549"/>
      <c r="E78" s="550"/>
      <c r="F78" s="322"/>
      <c r="G78" s="517"/>
      <c r="H78" s="560"/>
      <c r="I78" s="358"/>
      <c r="L78" s="306"/>
      <c r="M78" s="306"/>
      <c r="N78" s="306"/>
    </row>
    <row r="79" spans="1:14" s="288" customFormat="1" x14ac:dyDescent="0.2">
      <c r="A79" s="286">
        <v>70</v>
      </c>
      <c r="B79" s="493"/>
      <c r="C79" s="494"/>
      <c r="D79" s="549"/>
      <c r="E79" s="550"/>
      <c r="F79" s="322"/>
      <c r="G79" s="517"/>
      <c r="H79" s="560"/>
      <c r="I79" s="358"/>
      <c r="L79" s="306"/>
      <c r="M79" s="306"/>
      <c r="N79" s="306"/>
    </row>
    <row r="80" spans="1:14" s="288" customFormat="1" x14ac:dyDescent="0.2">
      <c r="A80" s="286">
        <v>76</v>
      </c>
      <c r="B80" s="490"/>
      <c r="C80" s="480"/>
      <c r="D80" s="557"/>
      <c r="E80" s="552"/>
      <c r="F80" s="287"/>
      <c r="G80" s="524"/>
      <c r="H80" s="560"/>
      <c r="I80" s="358"/>
      <c r="L80" s="306"/>
      <c r="M80" s="306"/>
      <c r="N80" s="306"/>
    </row>
    <row r="81" spans="1:14" s="288" customFormat="1" x14ac:dyDescent="0.2">
      <c r="A81" s="286">
        <v>77</v>
      </c>
      <c r="B81" s="484"/>
      <c r="C81" s="480"/>
      <c r="D81" s="557"/>
      <c r="E81" s="552"/>
      <c r="F81" s="287"/>
      <c r="G81" s="519"/>
      <c r="H81" s="560"/>
      <c r="I81" s="358"/>
      <c r="L81" s="306"/>
      <c r="M81" s="306"/>
      <c r="N81" s="306"/>
    </row>
    <row r="82" spans="1:14" s="288" customFormat="1" x14ac:dyDescent="0.2">
      <c r="A82" s="286">
        <v>78</v>
      </c>
      <c r="B82" s="479"/>
      <c r="C82" s="494"/>
      <c r="D82" s="557"/>
      <c r="E82" s="552"/>
      <c r="F82" s="287"/>
      <c r="G82" s="519"/>
      <c r="H82" s="560"/>
      <c r="I82" s="358"/>
      <c r="L82" s="306"/>
      <c r="M82" s="306"/>
      <c r="N82" s="306"/>
    </row>
    <row r="83" spans="1:14" s="288" customFormat="1" x14ac:dyDescent="0.2">
      <c r="A83" s="286">
        <v>79</v>
      </c>
      <c r="B83" s="484"/>
      <c r="C83" s="480"/>
      <c r="D83" s="549"/>
      <c r="E83" s="550"/>
      <c r="F83" s="322"/>
      <c r="G83" s="517"/>
      <c r="H83" s="560"/>
      <c r="I83" s="358"/>
      <c r="L83" s="306"/>
      <c r="M83" s="306"/>
      <c r="N83" s="306"/>
    </row>
    <row r="84" spans="1:14" s="288" customFormat="1" x14ac:dyDescent="0.2">
      <c r="A84" s="286">
        <v>80</v>
      </c>
      <c r="B84" s="484"/>
      <c r="C84" s="480"/>
      <c r="D84" s="549"/>
      <c r="E84" s="550"/>
      <c r="F84" s="322"/>
      <c r="G84" s="517"/>
      <c r="H84" s="560"/>
      <c r="I84" s="358"/>
      <c r="L84" s="306"/>
      <c r="M84" s="306"/>
      <c r="N84" s="306"/>
    </row>
    <row r="85" spans="1:14" s="288" customFormat="1" x14ac:dyDescent="0.2">
      <c r="A85" s="286">
        <v>81</v>
      </c>
      <c r="B85" s="490"/>
      <c r="C85" s="480"/>
      <c r="D85" s="557"/>
      <c r="E85" s="552"/>
      <c r="F85" s="287"/>
      <c r="G85" s="524"/>
      <c r="H85" s="560"/>
      <c r="I85" s="358"/>
      <c r="L85" s="306"/>
      <c r="M85" s="306"/>
      <c r="N85" s="306"/>
    </row>
    <row r="86" spans="1:14" s="288" customFormat="1" x14ac:dyDescent="0.2">
      <c r="A86" s="286">
        <v>82</v>
      </c>
      <c r="B86" s="484"/>
      <c r="C86" s="480"/>
      <c r="D86" s="557"/>
      <c r="E86" s="552"/>
      <c r="F86" s="287"/>
      <c r="G86" s="519"/>
      <c r="H86" s="560"/>
      <c r="I86" s="358"/>
      <c r="L86" s="306"/>
      <c r="M86" s="306"/>
      <c r="N86" s="306"/>
    </row>
    <row r="87" spans="1:14" s="288" customFormat="1" x14ac:dyDescent="0.2">
      <c r="A87" s="286">
        <v>83</v>
      </c>
      <c r="B87" s="479"/>
      <c r="C87" s="480"/>
      <c r="D87" s="557"/>
      <c r="E87" s="552"/>
      <c r="F87" s="287"/>
      <c r="G87" s="519"/>
      <c r="H87" s="560"/>
      <c r="I87" s="358"/>
      <c r="L87" s="306"/>
      <c r="M87" s="306"/>
      <c r="N87" s="306"/>
    </row>
    <row r="88" spans="1:14" s="288" customFormat="1" x14ac:dyDescent="0.2">
      <c r="A88" s="286">
        <v>84</v>
      </c>
      <c r="B88" s="493"/>
      <c r="C88" s="494"/>
      <c r="D88" s="549"/>
      <c r="E88" s="550"/>
      <c r="F88" s="322"/>
      <c r="G88" s="517"/>
      <c r="H88" s="560"/>
      <c r="I88" s="358"/>
      <c r="L88" s="306"/>
      <c r="M88" s="306"/>
      <c r="N88" s="306"/>
    </row>
    <row r="89" spans="1:14" s="288" customFormat="1" x14ac:dyDescent="0.2">
      <c r="A89" s="286">
        <v>85</v>
      </c>
      <c r="B89" s="493"/>
      <c r="C89" s="494"/>
      <c r="D89" s="557"/>
      <c r="E89" s="552"/>
      <c r="F89" s="287"/>
      <c r="G89" s="524"/>
      <c r="H89" s="560"/>
      <c r="I89" s="358"/>
      <c r="L89" s="306"/>
      <c r="M89" s="306"/>
      <c r="N89" s="306"/>
    </row>
    <row r="90" spans="1:14" s="288" customFormat="1" x14ac:dyDescent="0.2">
      <c r="A90" s="286">
        <v>86</v>
      </c>
      <c r="B90" s="493"/>
      <c r="C90" s="494"/>
      <c r="D90" s="557"/>
      <c r="E90" s="552"/>
      <c r="F90" s="287"/>
      <c r="G90" s="519"/>
      <c r="H90" s="560"/>
      <c r="I90" s="358"/>
      <c r="L90" s="306"/>
      <c r="M90" s="306"/>
      <c r="N90" s="306"/>
    </row>
    <row r="91" spans="1:14" s="288" customFormat="1" x14ac:dyDescent="0.2">
      <c r="A91" s="286">
        <v>87</v>
      </c>
      <c r="B91" s="479"/>
      <c r="C91" s="494"/>
      <c r="D91" s="557"/>
      <c r="E91" s="552"/>
      <c r="F91" s="287"/>
      <c r="G91" s="519"/>
      <c r="H91" s="560"/>
      <c r="I91" s="358"/>
      <c r="L91" s="306"/>
      <c r="M91" s="306"/>
      <c r="N91" s="306"/>
    </row>
    <row r="92" spans="1:14" s="288" customFormat="1" x14ac:dyDescent="0.2">
      <c r="A92" s="286">
        <v>88</v>
      </c>
      <c r="B92" s="484"/>
      <c r="C92" s="480"/>
      <c r="D92" s="549"/>
      <c r="E92" s="552"/>
      <c r="F92" s="287"/>
      <c r="G92" s="567"/>
      <c r="H92" s="560"/>
      <c r="I92" s="358"/>
      <c r="L92" s="306"/>
      <c r="M92" s="306"/>
      <c r="N92" s="306"/>
    </row>
    <row r="93" spans="1:14" s="288" customFormat="1" x14ac:dyDescent="0.2">
      <c r="A93" s="286">
        <v>88</v>
      </c>
      <c r="B93" s="490"/>
      <c r="C93" s="494"/>
      <c r="D93" s="557"/>
      <c r="E93" s="552"/>
      <c r="F93" s="287"/>
      <c r="G93" s="524"/>
      <c r="H93" s="560"/>
      <c r="I93" s="358"/>
      <c r="L93" s="306"/>
      <c r="M93" s="306"/>
      <c r="N93" s="306"/>
    </row>
    <row r="94" spans="1:14" s="288" customFormat="1" ht="12" thickBot="1" x14ac:dyDescent="0.25">
      <c r="A94" s="286">
        <v>88</v>
      </c>
      <c r="B94" s="504"/>
      <c r="C94" s="505"/>
      <c r="D94" s="559"/>
      <c r="E94" s="507"/>
      <c r="F94" s="287"/>
      <c r="G94" s="527"/>
      <c r="H94" s="568"/>
      <c r="I94" s="358"/>
      <c r="L94" s="306"/>
      <c r="M94" s="306"/>
      <c r="N94" s="306"/>
    </row>
    <row r="95" spans="1:14" s="288" customFormat="1" x14ac:dyDescent="0.2">
      <c r="A95" s="286">
        <v>88</v>
      </c>
      <c r="B95" s="287"/>
      <c r="C95" s="287"/>
      <c r="D95" s="304"/>
      <c r="E95" s="308"/>
      <c r="F95" s="301"/>
      <c r="G95" s="305"/>
      <c r="H95" s="305"/>
      <c r="I95" s="358"/>
      <c r="J95" s="306"/>
    </row>
    <row r="96" spans="1:14" s="288" customFormat="1" x14ac:dyDescent="0.2">
      <c r="A96" s="286">
        <v>88</v>
      </c>
      <c r="B96" s="309" t="s">
        <v>14</v>
      </c>
      <c r="D96" s="299"/>
      <c r="G96" s="364">
        <f>SUM(G70,G75,G80,G85,G89,G93)</f>
        <v>0</v>
      </c>
      <c r="H96" s="363">
        <f>SUM(H24,H28,H32,H36,H43,H48,H52,H59,H64)</f>
        <v>0</v>
      </c>
      <c r="I96" s="358"/>
      <c r="J96" s="306"/>
    </row>
    <row r="97" spans="1:14" s="288" customFormat="1" ht="12" thickBot="1" x14ac:dyDescent="0.25">
      <c r="A97" s="286">
        <v>88</v>
      </c>
      <c r="D97" s="299"/>
      <c r="I97" s="287"/>
      <c r="J97" s="307"/>
      <c r="K97" s="287"/>
    </row>
    <row r="98" spans="1:14" s="288" customFormat="1" x14ac:dyDescent="0.2">
      <c r="A98" s="286">
        <v>88</v>
      </c>
      <c r="B98" s="508"/>
      <c r="C98" s="509"/>
      <c r="D98" s="533"/>
      <c r="E98" s="534"/>
      <c r="F98" s="534"/>
      <c r="G98" s="569"/>
      <c r="H98" s="570"/>
      <c r="I98" s="361"/>
      <c r="J98" s="360"/>
      <c r="K98" s="287"/>
    </row>
    <row r="99" spans="1:14" s="288" customFormat="1" x14ac:dyDescent="0.2">
      <c r="A99" s="286">
        <v>88</v>
      </c>
      <c r="B99" s="487"/>
      <c r="C99" s="500"/>
      <c r="D99" s="539"/>
      <c r="E99" s="500"/>
      <c r="F99" s="539"/>
      <c r="G99" s="540"/>
      <c r="H99" s="571"/>
      <c r="I99" s="287"/>
      <c r="J99" s="360"/>
      <c r="K99" s="287"/>
    </row>
    <row r="100" spans="1:14" s="288" customFormat="1" x14ac:dyDescent="0.2">
      <c r="A100" s="286">
        <v>88</v>
      </c>
      <c r="B100" s="487"/>
      <c r="C100" s="500"/>
      <c r="D100" s="500"/>
      <c r="E100" s="500"/>
      <c r="F100" s="500"/>
      <c r="G100" s="542"/>
      <c r="H100" s="572"/>
      <c r="I100" s="358"/>
      <c r="J100" s="359"/>
      <c r="K100" s="287"/>
    </row>
    <row r="101" spans="1:14" s="288" customFormat="1" ht="12" thickBot="1" x14ac:dyDescent="0.25">
      <c r="A101" s="286">
        <v>88</v>
      </c>
      <c r="B101" s="504"/>
      <c r="C101" s="505"/>
      <c r="D101" s="505"/>
      <c r="E101" s="545"/>
      <c r="F101" s="505"/>
      <c r="G101" s="505"/>
      <c r="H101" s="573"/>
      <c r="I101" s="358"/>
      <c r="J101" s="310"/>
    </row>
    <row r="102" spans="1:14" s="288" customFormat="1" x14ac:dyDescent="0.2">
      <c r="A102" s="286"/>
      <c r="D102" s="352"/>
      <c r="G102" s="306"/>
      <c r="H102" s="311"/>
      <c r="I102" s="287"/>
      <c r="L102" s="306"/>
      <c r="N102" s="311"/>
    </row>
    <row r="103" spans="1:14" x14ac:dyDescent="0.2">
      <c r="A103" s="312" t="s">
        <v>60</v>
      </c>
      <c r="B103" s="284" t="s">
        <v>63</v>
      </c>
      <c r="D103" s="313"/>
      <c r="G103" s="285"/>
      <c r="J103" s="288"/>
      <c r="K103" s="288"/>
      <c r="L103" s="288"/>
      <c r="M103" s="288"/>
      <c r="N103" s="288"/>
    </row>
    <row r="104" spans="1:14" x14ac:dyDescent="0.2">
      <c r="A104" s="312" t="s">
        <v>61</v>
      </c>
      <c r="B104" s="284" t="s">
        <v>62</v>
      </c>
      <c r="H104" s="314"/>
      <c r="I104" s="303"/>
      <c r="J104" s="288"/>
      <c r="K104" s="288"/>
      <c r="L104" s="288"/>
      <c r="M104" s="288"/>
      <c r="N104" s="288"/>
    </row>
    <row r="105" spans="1:14" x14ac:dyDescent="0.2">
      <c r="A105" s="315"/>
      <c r="E105" s="316"/>
      <c r="J105" s="288"/>
      <c r="K105" s="288"/>
      <c r="L105" s="306"/>
      <c r="M105" s="288"/>
      <c r="N105" s="306"/>
    </row>
    <row r="106" spans="1:14" x14ac:dyDescent="0.2">
      <c r="A106" s="315"/>
      <c r="E106" s="316"/>
      <c r="I106" s="357"/>
      <c r="J106" s="288"/>
      <c r="K106" s="288"/>
      <c r="L106" s="288"/>
      <c r="M106" s="288"/>
      <c r="N106" s="288"/>
    </row>
    <row r="107" spans="1:14" x14ac:dyDescent="0.2">
      <c r="A107" s="315"/>
      <c r="J107" s="288"/>
      <c r="K107" s="288"/>
      <c r="L107" s="288"/>
      <c r="M107" s="288"/>
      <c r="N107" s="288"/>
    </row>
    <row r="108" spans="1:14" x14ac:dyDescent="0.2">
      <c r="A108" s="315"/>
      <c r="G108" s="314"/>
      <c r="I108" s="356"/>
      <c r="J108" s="288"/>
      <c r="K108" s="288"/>
      <c r="L108" s="288"/>
      <c r="M108" s="288"/>
      <c r="N108" s="288"/>
    </row>
    <row r="109" spans="1:14" x14ac:dyDescent="0.2">
      <c r="A109" s="315"/>
      <c r="H109" s="318"/>
      <c r="J109" s="288"/>
      <c r="K109" s="288"/>
      <c r="L109" s="353"/>
      <c r="M109" s="353"/>
      <c r="N109" s="353"/>
    </row>
    <row r="110" spans="1:14" x14ac:dyDescent="0.2">
      <c r="G110" s="319"/>
      <c r="J110" s="288"/>
      <c r="K110" s="288"/>
      <c r="L110" s="353"/>
      <c r="M110" s="353"/>
      <c r="N110" s="353"/>
    </row>
    <row r="111" spans="1:14" x14ac:dyDescent="0.2">
      <c r="G111" s="320"/>
      <c r="J111" s="288"/>
      <c r="K111" s="288"/>
      <c r="L111" s="288"/>
      <c r="M111" s="288"/>
      <c r="N111" s="288"/>
    </row>
    <row r="112" spans="1:14" x14ac:dyDescent="0.2">
      <c r="J112" s="288"/>
      <c r="K112" s="288"/>
      <c r="L112" s="352"/>
      <c r="M112" s="288"/>
      <c r="N112" s="352"/>
    </row>
    <row r="113" spans="10:14" x14ac:dyDescent="0.2">
      <c r="J113" s="288"/>
      <c r="K113" s="288"/>
      <c r="L113" s="352"/>
      <c r="M113" s="288"/>
      <c r="N113" s="352"/>
    </row>
    <row r="114" spans="10:14" x14ac:dyDescent="0.2">
      <c r="J114" s="288"/>
      <c r="K114" s="288"/>
      <c r="L114" s="351"/>
      <c r="M114" s="288"/>
      <c r="N114" s="288"/>
    </row>
    <row r="115" spans="10:14" x14ac:dyDescent="0.2">
      <c r="J115" s="288"/>
      <c r="K115" s="288"/>
      <c r="L115" s="287"/>
      <c r="M115" s="288"/>
      <c r="N115" s="288"/>
    </row>
    <row r="116" spans="10:14" x14ac:dyDescent="0.2">
      <c r="J116" s="288"/>
      <c r="K116" s="288"/>
      <c r="L116" s="288"/>
      <c r="M116" s="288"/>
      <c r="N116" s="288"/>
    </row>
    <row r="117" spans="10:14" x14ac:dyDescent="0.2">
      <c r="J117" s="288"/>
      <c r="K117" s="288"/>
      <c r="L117" s="288"/>
      <c r="M117" s="288"/>
      <c r="N117" s="288"/>
    </row>
    <row r="118" spans="10:14" x14ac:dyDescent="0.2">
      <c r="J118" s="288"/>
      <c r="K118" s="288"/>
      <c r="L118" s="288"/>
      <c r="M118" s="288"/>
      <c r="N118" s="288"/>
    </row>
    <row r="119" spans="10:14" x14ac:dyDescent="0.2">
      <c r="J119" s="288"/>
      <c r="K119" s="288"/>
      <c r="L119" s="288"/>
      <c r="M119" s="288"/>
      <c r="N119" s="288"/>
    </row>
    <row r="120" spans="10:14" x14ac:dyDescent="0.2">
      <c r="J120" s="288"/>
      <c r="K120" s="288"/>
      <c r="L120" s="288"/>
      <c r="M120" s="288"/>
      <c r="N120" s="288"/>
    </row>
    <row r="121" spans="10:14" x14ac:dyDescent="0.2">
      <c r="J121" s="288"/>
      <c r="K121" s="288"/>
      <c r="L121" s="288"/>
      <c r="M121" s="288"/>
      <c r="N121" s="288"/>
    </row>
    <row r="122" spans="10:14" x14ac:dyDescent="0.2">
      <c r="J122" s="288"/>
      <c r="K122" s="288"/>
      <c r="L122" s="288"/>
      <c r="M122" s="288"/>
      <c r="N122" s="288"/>
    </row>
    <row r="123" spans="10:14" x14ac:dyDescent="0.2">
      <c r="J123" s="288"/>
      <c r="K123" s="288"/>
      <c r="L123" s="288"/>
      <c r="M123" s="288"/>
      <c r="N123" s="288"/>
    </row>
    <row r="124" spans="10:14" x14ac:dyDescent="0.2">
      <c r="J124" s="288"/>
      <c r="K124" s="288"/>
      <c r="L124" s="288"/>
      <c r="M124" s="288"/>
      <c r="N124" s="288"/>
    </row>
    <row r="125" spans="10:14" x14ac:dyDescent="0.2">
      <c r="J125" s="288"/>
      <c r="K125" s="288"/>
      <c r="L125" s="288"/>
      <c r="M125" s="288"/>
      <c r="N125" s="288"/>
    </row>
    <row r="126" spans="10:14" x14ac:dyDescent="0.2">
      <c r="J126" s="288"/>
      <c r="K126" s="288"/>
      <c r="L126" s="288"/>
      <c r="M126" s="288"/>
      <c r="N126" s="288"/>
    </row>
    <row r="127" spans="10:14" x14ac:dyDescent="0.2">
      <c r="J127" s="288"/>
      <c r="K127" s="288"/>
      <c r="L127" s="288"/>
      <c r="M127" s="288"/>
      <c r="N127" s="288"/>
    </row>
    <row r="128" spans="10:14" x14ac:dyDescent="0.2">
      <c r="J128" s="288"/>
      <c r="K128" s="288"/>
      <c r="L128" s="288"/>
      <c r="M128" s="288"/>
      <c r="N128" s="288"/>
    </row>
    <row r="129" spans="10:14" x14ac:dyDescent="0.2">
      <c r="J129" s="288"/>
      <c r="K129" s="288"/>
      <c r="L129" s="288"/>
      <c r="M129" s="288"/>
      <c r="N129" s="288"/>
    </row>
    <row r="130" spans="10:14" x14ac:dyDescent="0.2">
      <c r="J130" s="288"/>
      <c r="K130" s="288"/>
      <c r="L130" s="288"/>
      <c r="M130" s="288"/>
      <c r="N130" s="288"/>
    </row>
    <row r="131" spans="10:14" x14ac:dyDescent="0.2">
      <c r="J131" s="288"/>
      <c r="K131" s="288"/>
      <c r="L131" s="288"/>
      <c r="M131" s="288"/>
      <c r="N131" s="288"/>
    </row>
    <row r="132" spans="10:14" x14ac:dyDescent="0.2">
      <c r="J132" s="288"/>
      <c r="K132" s="288"/>
      <c r="L132" s="288"/>
      <c r="M132" s="288"/>
      <c r="N132" s="288"/>
    </row>
    <row r="133" spans="10:14" x14ac:dyDescent="0.2">
      <c r="J133" s="288"/>
      <c r="K133" s="288"/>
      <c r="L133" s="288"/>
      <c r="M133" s="288"/>
      <c r="N133" s="288"/>
    </row>
    <row r="134" spans="10:14" x14ac:dyDescent="0.2">
      <c r="J134" s="288"/>
      <c r="K134" s="288"/>
      <c r="L134" s="288"/>
      <c r="M134" s="288"/>
      <c r="N134" s="288"/>
    </row>
    <row r="135" spans="10:14" x14ac:dyDescent="0.2">
      <c r="J135" s="288"/>
      <c r="K135" s="288"/>
      <c r="L135" s="288"/>
      <c r="M135" s="288"/>
      <c r="N135" s="288"/>
    </row>
    <row r="136" spans="10:14" x14ac:dyDescent="0.2">
      <c r="J136" s="288"/>
      <c r="K136" s="288"/>
      <c r="L136" s="288"/>
      <c r="M136" s="288"/>
      <c r="N136" s="288"/>
    </row>
    <row r="137" spans="10:14" x14ac:dyDescent="0.2">
      <c r="J137" s="288"/>
      <c r="K137" s="288"/>
      <c r="L137" s="288"/>
      <c r="M137" s="288"/>
      <c r="N137" s="288"/>
    </row>
    <row r="138" spans="10:14" x14ac:dyDescent="0.2">
      <c r="J138" s="288"/>
      <c r="K138" s="288"/>
      <c r="L138" s="288"/>
      <c r="M138" s="288"/>
      <c r="N138" s="288"/>
    </row>
    <row r="139" spans="10:14" x14ac:dyDescent="0.2">
      <c r="J139" s="288"/>
      <c r="K139" s="288"/>
      <c r="L139" s="288"/>
      <c r="M139" s="288"/>
      <c r="N139" s="288"/>
    </row>
    <row r="140" spans="10:14" x14ac:dyDescent="0.2">
      <c r="J140" s="288"/>
      <c r="K140" s="288"/>
      <c r="L140" s="288"/>
      <c r="M140" s="288"/>
      <c r="N140" s="288"/>
    </row>
    <row r="141" spans="10:14" x14ac:dyDescent="0.2">
      <c r="J141" s="288"/>
      <c r="K141" s="288"/>
      <c r="L141" s="288"/>
      <c r="M141" s="288"/>
      <c r="N141" s="288"/>
    </row>
    <row r="142" spans="10:14" x14ac:dyDescent="0.2">
      <c r="J142" s="288"/>
      <c r="K142" s="288"/>
      <c r="L142" s="288"/>
      <c r="M142" s="288"/>
      <c r="N142" s="288"/>
    </row>
    <row r="143" spans="10:14" x14ac:dyDescent="0.2">
      <c r="J143" s="288"/>
      <c r="K143" s="288"/>
      <c r="L143" s="288"/>
      <c r="M143" s="288"/>
      <c r="N143" s="288"/>
    </row>
    <row r="144" spans="10:14" x14ac:dyDescent="0.2">
      <c r="J144" s="288"/>
      <c r="K144" s="288"/>
      <c r="L144" s="288"/>
      <c r="M144" s="288"/>
      <c r="N144" s="288"/>
    </row>
    <row r="145" spans="10:14" x14ac:dyDescent="0.2">
      <c r="J145" s="288"/>
      <c r="K145" s="288"/>
      <c r="L145" s="288"/>
      <c r="M145" s="288"/>
      <c r="N145" s="288"/>
    </row>
    <row r="146" spans="10:14" x14ac:dyDescent="0.2">
      <c r="J146" s="288"/>
      <c r="K146" s="288"/>
      <c r="L146" s="288"/>
      <c r="M146" s="288"/>
      <c r="N146" s="288"/>
    </row>
    <row r="147" spans="10:14" x14ac:dyDescent="0.2">
      <c r="J147" s="288"/>
      <c r="K147" s="288"/>
      <c r="L147" s="288"/>
      <c r="M147" s="288"/>
      <c r="N147" s="288"/>
    </row>
    <row r="148" spans="10:14" x14ac:dyDescent="0.2">
      <c r="J148" s="288"/>
      <c r="K148" s="288"/>
      <c r="L148" s="288"/>
      <c r="M148" s="288"/>
      <c r="N148" s="288"/>
    </row>
    <row r="149" spans="10:14" x14ac:dyDescent="0.2">
      <c r="J149" s="288"/>
      <c r="K149" s="288"/>
      <c r="L149" s="288"/>
      <c r="M149" s="288"/>
      <c r="N149" s="288"/>
    </row>
    <row r="150" spans="10:14" x14ac:dyDescent="0.2">
      <c r="J150" s="288"/>
      <c r="K150" s="288"/>
      <c r="L150" s="288"/>
      <c r="M150" s="288"/>
      <c r="N150" s="288"/>
    </row>
    <row r="151" spans="10:14" x14ac:dyDescent="0.2">
      <c r="J151" s="288"/>
      <c r="K151" s="288"/>
      <c r="L151" s="288"/>
      <c r="M151" s="288"/>
      <c r="N151" s="288"/>
    </row>
    <row r="152" spans="10:14" x14ac:dyDescent="0.2">
      <c r="J152" s="288"/>
      <c r="K152" s="288"/>
      <c r="L152" s="288"/>
      <c r="M152" s="288"/>
      <c r="N152" s="288"/>
    </row>
    <row r="153" spans="10:14" x14ac:dyDescent="0.2">
      <c r="J153" s="288"/>
      <c r="K153" s="288"/>
      <c r="L153" s="288"/>
      <c r="M153" s="288"/>
      <c r="N153" s="288"/>
    </row>
    <row r="154" spans="10:14" x14ac:dyDescent="0.2">
      <c r="J154" s="288"/>
      <c r="K154" s="288"/>
      <c r="L154" s="288"/>
      <c r="M154" s="288"/>
      <c r="N154" s="288"/>
    </row>
    <row r="155" spans="10:14" x14ac:dyDescent="0.2">
      <c r="J155" s="288"/>
      <c r="K155" s="288"/>
      <c r="L155" s="288"/>
      <c r="M155" s="288"/>
      <c r="N155" s="288"/>
    </row>
    <row r="156" spans="10:14" x14ac:dyDescent="0.2">
      <c r="J156" s="288"/>
      <c r="K156" s="288"/>
      <c r="L156" s="288"/>
      <c r="M156" s="288"/>
      <c r="N156" s="288"/>
    </row>
    <row r="157" spans="10:14" x14ac:dyDescent="0.2">
      <c r="J157" s="288"/>
      <c r="K157" s="288"/>
      <c r="L157" s="288"/>
      <c r="M157" s="288"/>
      <c r="N157" s="288"/>
    </row>
    <row r="158" spans="10:14" x14ac:dyDescent="0.2">
      <c r="J158" s="288"/>
      <c r="K158" s="288"/>
      <c r="L158" s="288"/>
      <c r="M158" s="288"/>
      <c r="N158" s="288"/>
    </row>
    <row r="159" spans="10:14" x14ac:dyDescent="0.2">
      <c r="J159" s="288"/>
      <c r="K159" s="288"/>
      <c r="L159" s="288"/>
      <c r="M159" s="288"/>
      <c r="N159" s="288"/>
    </row>
    <row r="160" spans="10:14" x14ac:dyDescent="0.2">
      <c r="J160" s="288"/>
      <c r="K160" s="288"/>
      <c r="L160" s="288"/>
      <c r="M160" s="288"/>
      <c r="N160" s="288"/>
    </row>
    <row r="161" spans="10:14" x14ac:dyDescent="0.2">
      <c r="J161" s="288"/>
      <c r="K161" s="288"/>
      <c r="L161" s="288"/>
      <c r="M161" s="288"/>
      <c r="N161" s="288"/>
    </row>
    <row r="162" spans="10:14" x14ac:dyDescent="0.2">
      <c r="J162" s="288"/>
      <c r="K162" s="288"/>
      <c r="L162" s="288"/>
      <c r="M162" s="288"/>
      <c r="N162" s="288"/>
    </row>
    <row r="163" spans="10:14" x14ac:dyDescent="0.2">
      <c r="J163" s="288"/>
      <c r="K163" s="288"/>
      <c r="L163" s="288"/>
      <c r="M163" s="288"/>
      <c r="N163" s="288"/>
    </row>
    <row r="164" spans="10:14" x14ac:dyDescent="0.2">
      <c r="J164" s="288"/>
      <c r="K164" s="288"/>
      <c r="L164" s="288"/>
      <c r="M164" s="288"/>
      <c r="N164" s="288"/>
    </row>
    <row r="165" spans="10:14" x14ac:dyDescent="0.2">
      <c r="J165" s="288"/>
      <c r="K165" s="288"/>
      <c r="L165" s="288"/>
      <c r="M165" s="288"/>
      <c r="N165" s="288"/>
    </row>
    <row r="166" spans="10:14" x14ac:dyDescent="0.2">
      <c r="J166" s="288"/>
      <c r="K166" s="288"/>
      <c r="L166" s="288"/>
      <c r="M166" s="288"/>
      <c r="N166" s="288"/>
    </row>
    <row r="167" spans="10:14" x14ac:dyDescent="0.2">
      <c r="J167" s="288"/>
      <c r="K167" s="288"/>
      <c r="L167" s="288"/>
      <c r="M167" s="288"/>
      <c r="N167" s="288"/>
    </row>
    <row r="168" spans="10:14" x14ac:dyDescent="0.2">
      <c r="J168" s="288"/>
      <c r="K168" s="288"/>
      <c r="L168" s="288"/>
      <c r="M168" s="288"/>
      <c r="N168" s="288"/>
    </row>
    <row r="169" spans="10:14" x14ac:dyDescent="0.2">
      <c r="J169" s="288"/>
      <c r="K169" s="288"/>
      <c r="L169" s="288"/>
      <c r="M169" s="288"/>
      <c r="N169" s="288"/>
    </row>
    <row r="170" spans="10:14" x14ac:dyDescent="0.2">
      <c r="J170" s="288"/>
      <c r="K170" s="288"/>
      <c r="L170" s="288"/>
      <c r="M170" s="288"/>
      <c r="N170" s="288"/>
    </row>
    <row r="171" spans="10:14" x14ac:dyDescent="0.2">
      <c r="J171" s="288"/>
      <c r="K171" s="288"/>
      <c r="L171" s="288"/>
      <c r="M171" s="288"/>
      <c r="N171" s="288"/>
    </row>
    <row r="172" spans="10:14" x14ac:dyDescent="0.2">
      <c r="J172" s="288"/>
      <c r="K172" s="288"/>
      <c r="L172" s="288"/>
      <c r="M172" s="288"/>
      <c r="N172" s="288"/>
    </row>
    <row r="173" spans="10:14" x14ac:dyDescent="0.2">
      <c r="J173" s="288"/>
      <c r="K173" s="288"/>
      <c r="L173" s="288"/>
      <c r="M173" s="288"/>
      <c r="N173" s="288"/>
    </row>
    <row r="174" spans="10:14" x14ac:dyDescent="0.2">
      <c r="J174" s="288"/>
      <c r="K174" s="288"/>
      <c r="L174" s="288"/>
      <c r="M174" s="288"/>
      <c r="N174" s="288"/>
    </row>
    <row r="175" spans="10:14" x14ac:dyDescent="0.2">
      <c r="J175" s="288"/>
      <c r="K175" s="288"/>
      <c r="L175" s="288"/>
      <c r="M175" s="288"/>
      <c r="N175" s="288"/>
    </row>
    <row r="176" spans="10:14" x14ac:dyDescent="0.2">
      <c r="J176" s="288"/>
      <c r="K176" s="288"/>
      <c r="L176" s="288"/>
      <c r="M176" s="288"/>
      <c r="N176" s="288"/>
    </row>
    <row r="177" spans="10:14" x14ac:dyDescent="0.2">
      <c r="J177" s="288"/>
      <c r="K177" s="288"/>
      <c r="L177" s="288"/>
      <c r="M177" s="288"/>
      <c r="N177" s="288"/>
    </row>
    <row r="178" spans="10:14" x14ac:dyDescent="0.2">
      <c r="J178" s="288"/>
      <c r="K178" s="288"/>
      <c r="L178" s="288"/>
      <c r="M178" s="288"/>
      <c r="N178" s="288"/>
    </row>
    <row r="179" spans="10:14" x14ac:dyDescent="0.2">
      <c r="J179" s="288"/>
      <c r="K179" s="288"/>
      <c r="L179" s="288"/>
      <c r="M179" s="288"/>
      <c r="N179" s="288"/>
    </row>
    <row r="180" spans="10:14" x14ac:dyDescent="0.2">
      <c r="J180" s="288"/>
      <c r="K180" s="288"/>
      <c r="L180" s="288"/>
      <c r="M180" s="288"/>
      <c r="N180" s="288"/>
    </row>
    <row r="181" spans="10:14" x14ac:dyDescent="0.2">
      <c r="J181" s="288"/>
      <c r="K181" s="288"/>
      <c r="L181" s="288"/>
      <c r="M181" s="288"/>
      <c r="N181" s="288"/>
    </row>
    <row r="182" spans="10:14" x14ac:dyDescent="0.2">
      <c r="J182" s="288"/>
      <c r="K182" s="288"/>
      <c r="L182" s="288"/>
      <c r="M182" s="288"/>
      <c r="N182" s="288"/>
    </row>
    <row r="183" spans="10:14" x14ac:dyDescent="0.2">
      <c r="J183" s="288"/>
      <c r="K183" s="288"/>
      <c r="L183" s="288"/>
      <c r="M183" s="288"/>
      <c r="N183" s="288"/>
    </row>
    <row r="184" spans="10:14" x14ac:dyDescent="0.2">
      <c r="J184" s="288"/>
      <c r="K184" s="288"/>
      <c r="L184" s="288"/>
      <c r="M184" s="288"/>
      <c r="N184" s="288"/>
    </row>
    <row r="185" spans="10:14" x14ac:dyDescent="0.2">
      <c r="J185" s="288"/>
      <c r="K185" s="288"/>
      <c r="L185" s="288"/>
      <c r="M185" s="288"/>
      <c r="N185" s="288"/>
    </row>
    <row r="186" spans="10:14" x14ac:dyDescent="0.2">
      <c r="J186" s="288"/>
      <c r="K186" s="288"/>
      <c r="L186" s="288"/>
      <c r="M186" s="288"/>
      <c r="N186" s="288"/>
    </row>
    <row r="187" spans="10:14" x14ac:dyDescent="0.2">
      <c r="J187" s="288"/>
      <c r="K187" s="288"/>
      <c r="L187" s="288"/>
      <c r="M187" s="288"/>
      <c r="N187" s="288"/>
    </row>
    <row r="188" spans="10:14" x14ac:dyDescent="0.2">
      <c r="J188" s="288"/>
      <c r="K188" s="288"/>
      <c r="L188" s="288"/>
      <c r="M188" s="288"/>
      <c r="N188" s="288"/>
    </row>
    <row r="189" spans="10:14" x14ac:dyDescent="0.2">
      <c r="J189" s="288"/>
      <c r="K189" s="288"/>
      <c r="L189" s="288"/>
      <c r="M189" s="288"/>
      <c r="N189" s="288"/>
    </row>
    <row r="190" spans="10:14" x14ac:dyDescent="0.2">
      <c r="J190" s="288"/>
      <c r="K190" s="288"/>
      <c r="L190" s="288"/>
      <c r="M190" s="288"/>
      <c r="N190" s="288"/>
    </row>
    <row r="191" spans="10:14" x14ac:dyDescent="0.2">
      <c r="J191" s="288"/>
      <c r="K191" s="288"/>
      <c r="L191" s="288"/>
      <c r="M191" s="288"/>
      <c r="N191" s="288"/>
    </row>
    <row r="192" spans="10:14" x14ac:dyDescent="0.2">
      <c r="J192" s="288"/>
      <c r="K192" s="288"/>
      <c r="L192" s="288"/>
      <c r="M192" s="288"/>
      <c r="N192" s="288"/>
    </row>
    <row r="193" spans="10:14" x14ac:dyDescent="0.2">
      <c r="J193" s="288"/>
      <c r="K193" s="288"/>
      <c r="L193" s="288"/>
      <c r="M193" s="288"/>
      <c r="N193" s="288"/>
    </row>
    <row r="194" spans="10:14" x14ac:dyDescent="0.2">
      <c r="J194" s="288"/>
      <c r="K194" s="288"/>
      <c r="L194" s="288"/>
      <c r="M194" s="288"/>
      <c r="N194" s="288"/>
    </row>
    <row r="195" spans="10:14" x14ac:dyDescent="0.2">
      <c r="J195" s="288"/>
      <c r="K195" s="288"/>
      <c r="L195" s="288"/>
      <c r="M195" s="288"/>
      <c r="N195" s="288"/>
    </row>
    <row r="196" spans="10:14" x14ac:dyDescent="0.2">
      <c r="J196" s="288"/>
      <c r="K196" s="288"/>
      <c r="L196" s="288"/>
      <c r="M196" s="288"/>
      <c r="N196" s="288"/>
    </row>
    <row r="197" spans="10:14" x14ac:dyDescent="0.2">
      <c r="J197" s="288"/>
      <c r="K197" s="288"/>
      <c r="L197" s="288"/>
      <c r="M197" s="288"/>
      <c r="N197" s="288"/>
    </row>
    <row r="198" spans="10:14" x14ac:dyDescent="0.2">
      <c r="J198" s="288"/>
      <c r="K198" s="288"/>
      <c r="L198" s="288"/>
      <c r="M198" s="288"/>
      <c r="N198" s="288"/>
    </row>
    <row r="199" spans="10:14" x14ac:dyDescent="0.2">
      <c r="J199" s="288"/>
      <c r="K199" s="288"/>
      <c r="L199" s="288"/>
      <c r="M199" s="288"/>
      <c r="N199" s="288"/>
    </row>
    <row r="200" spans="10:14" x14ac:dyDescent="0.2">
      <c r="J200" s="288"/>
      <c r="K200" s="288"/>
      <c r="L200" s="288"/>
      <c r="M200" s="288"/>
      <c r="N200" s="288"/>
    </row>
    <row r="201" spans="10:14" x14ac:dyDescent="0.2">
      <c r="J201" s="288"/>
      <c r="K201" s="288"/>
      <c r="L201" s="288"/>
      <c r="M201" s="288"/>
      <c r="N201" s="288"/>
    </row>
    <row r="202" spans="10:14" x14ac:dyDescent="0.2">
      <c r="J202" s="288"/>
      <c r="K202" s="288"/>
      <c r="L202" s="288"/>
      <c r="M202" s="288"/>
      <c r="N202" s="288"/>
    </row>
    <row r="203" spans="10:14" x14ac:dyDescent="0.2">
      <c r="J203" s="288"/>
      <c r="K203" s="288"/>
      <c r="L203" s="288"/>
      <c r="M203" s="288"/>
      <c r="N203" s="288"/>
    </row>
    <row r="204" spans="10:14" x14ac:dyDescent="0.2">
      <c r="J204" s="288"/>
      <c r="K204" s="288"/>
      <c r="L204" s="288"/>
      <c r="M204" s="288"/>
      <c r="N204" s="288"/>
    </row>
    <row r="205" spans="10:14" x14ac:dyDescent="0.2">
      <c r="J205" s="288"/>
      <c r="K205" s="288"/>
      <c r="L205" s="288"/>
      <c r="M205" s="288"/>
      <c r="N205" s="288"/>
    </row>
    <row r="206" spans="10:14" x14ac:dyDescent="0.2">
      <c r="J206" s="288"/>
      <c r="K206" s="288"/>
      <c r="L206" s="288"/>
      <c r="M206" s="288"/>
      <c r="N206" s="288"/>
    </row>
    <row r="207" spans="10:14" x14ac:dyDescent="0.2">
      <c r="J207" s="288"/>
      <c r="K207" s="288"/>
      <c r="L207" s="288"/>
      <c r="M207" s="288"/>
      <c r="N207" s="288"/>
    </row>
    <row r="208" spans="10:14" x14ac:dyDescent="0.2">
      <c r="J208" s="288"/>
      <c r="K208" s="288"/>
      <c r="L208" s="288"/>
      <c r="M208" s="288"/>
      <c r="N208" s="288"/>
    </row>
    <row r="209" spans="10:14" x14ac:dyDescent="0.2">
      <c r="J209" s="288"/>
      <c r="K209" s="288"/>
      <c r="L209" s="288"/>
      <c r="M209" s="288"/>
      <c r="N209" s="288"/>
    </row>
    <row r="210" spans="10:14" x14ac:dyDescent="0.2">
      <c r="J210" s="288"/>
      <c r="K210" s="288"/>
      <c r="L210" s="288"/>
      <c r="M210" s="288"/>
      <c r="N210" s="288"/>
    </row>
    <row r="211" spans="10:14" x14ac:dyDescent="0.2">
      <c r="J211" s="288"/>
      <c r="K211" s="288"/>
      <c r="L211" s="288"/>
      <c r="M211" s="288"/>
      <c r="N211" s="288"/>
    </row>
    <row r="212" spans="10:14" x14ac:dyDescent="0.2">
      <c r="J212" s="288"/>
      <c r="K212" s="288"/>
      <c r="L212" s="288"/>
      <c r="M212" s="288"/>
      <c r="N212" s="288"/>
    </row>
    <row r="213" spans="10:14" x14ac:dyDescent="0.2">
      <c r="J213" s="288"/>
      <c r="K213" s="288"/>
      <c r="L213" s="288"/>
      <c r="M213" s="288"/>
      <c r="N213" s="288"/>
    </row>
    <row r="214" spans="10:14" x14ac:dyDescent="0.2">
      <c r="J214" s="288"/>
      <c r="K214" s="288"/>
      <c r="L214" s="288"/>
      <c r="M214" s="288"/>
      <c r="N214" s="288"/>
    </row>
    <row r="215" spans="10:14" x14ac:dyDescent="0.2">
      <c r="J215" s="288"/>
      <c r="K215" s="288"/>
      <c r="L215" s="288"/>
      <c r="M215" s="288"/>
      <c r="N215" s="288"/>
    </row>
    <row r="216" spans="10:14" x14ac:dyDescent="0.2">
      <c r="J216" s="288"/>
      <c r="K216" s="288"/>
      <c r="L216" s="288"/>
      <c r="M216" s="288"/>
      <c r="N216" s="288"/>
    </row>
    <row r="217" spans="10:14" x14ac:dyDescent="0.2">
      <c r="J217" s="288"/>
      <c r="K217" s="288"/>
      <c r="L217" s="288"/>
      <c r="M217" s="288"/>
      <c r="N217" s="288"/>
    </row>
    <row r="218" spans="10:14" x14ac:dyDescent="0.2">
      <c r="J218" s="288"/>
      <c r="K218" s="288"/>
      <c r="L218" s="288"/>
      <c r="M218" s="288"/>
      <c r="N218" s="288"/>
    </row>
    <row r="219" spans="10:14" x14ac:dyDescent="0.2">
      <c r="J219" s="288"/>
      <c r="K219" s="288"/>
      <c r="L219" s="288"/>
      <c r="M219" s="288"/>
      <c r="N219" s="288"/>
    </row>
    <row r="220" spans="10:14" x14ac:dyDescent="0.2">
      <c r="J220" s="288"/>
      <c r="K220" s="288"/>
      <c r="L220" s="288"/>
      <c r="M220" s="288"/>
      <c r="N220" s="288"/>
    </row>
    <row r="221" spans="10:14" x14ac:dyDescent="0.2">
      <c r="J221" s="288"/>
      <c r="K221" s="288"/>
      <c r="L221" s="288"/>
      <c r="M221" s="288"/>
      <c r="N221" s="288"/>
    </row>
    <row r="222" spans="10:14" x14ac:dyDescent="0.2">
      <c r="J222" s="288"/>
      <c r="K222" s="288"/>
      <c r="L222" s="288"/>
      <c r="M222" s="288"/>
      <c r="N222" s="288"/>
    </row>
    <row r="223" spans="10:14" x14ac:dyDescent="0.2">
      <c r="J223" s="288"/>
      <c r="K223" s="288"/>
      <c r="L223" s="288"/>
      <c r="M223" s="288"/>
      <c r="N223" s="288"/>
    </row>
    <row r="224" spans="10:14" x14ac:dyDescent="0.2">
      <c r="J224" s="288"/>
      <c r="K224" s="288"/>
      <c r="L224" s="288"/>
      <c r="M224" s="288"/>
      <c r="N224" s="288"/>
    </row>
    <row r="225" spans="10:14" x14ac:dyDescent="0.2">
      <c r="J225" s="288"/>
      <c r="K225" s="288"/>
      <c r="L225" s="288"/>
      <c r="M225" s="288"/>
      <c r="N225" s="288"/>
    </row>
    <row r="226" spans="10:14" x14ac:dyDescent="0.2">
      <c r="J226" s="288"/>
      <c r="K226" s="288"/>
      <c r="L226" s="288"/>
      <c r="M226" s="288"/>
      <c r="N226" s="288"/>
    </row>
    <row r="227" spans="10:14" x14ac:dyDescent="0.2">
      <c r="J227" s="288"/>
      <c r="K227" s="288"/>
      <c r="L227" s="288"/>
      <c r="M227" s="288"/>
      <c r="N227" s="288"/>
    </row>
    <row r="228" spans="10:14" x14ac:dyDescent="0.2">
      <c r="J228" s="288"/>
      <c r="K228" s="288"/>
      <c r="L228" s="288"/>
      <c r="M228" s="288"/>
      <c r="N228" s="288"/>
    </row>
    <row r="229" spans="10:14" x14ac:dyDescent="0.2">
      <c r="J229" s="288"/>
      <c r="K229" s="288"/>
      <c r="L229" s="288"/>
      <c r="M229" s="288"/>
      <c r="N229" s="288"/>
    </row>
    <row r="230" spans="10:14" x14ac:dyDescent="0.2">
      <c r="J230" s="288"/>
      <c r="K230" s="288"/>
      <c r="L230" s="288"/>
      <c r="M230" s="288"/>
      <c r="N230" s="288"/>
    </row>
    <row r="231" spans="10:14" x14ac:dyDescent="0.2">
      <c r="J231" s="288"/>
      <c r="K231" s="288"/>
      <c r="L231" s="288"/>
      <c r="M231" s="288"/>
      <c r="N231" s="288"/>
    </row>
    <row r="232" spans="10:14" x14ac:dyDescent="0.2">
      <c r="J232" s="288"/>
      <c r="K232" s="288"/>
      <c r="L232" s="288"/>
      <c r="M232" s="288"/>
      <c r="N232" s="288"/>
    </row>
    <row r="233" spans="10:14" x14ac:dyDescent="0.2">
      <c r="J233" s="288"/>
      <c r="K233" s="288"/>
      <c r="L233" s="288"/>
      <c r="M233" s="288"/>
      <c r="N233" s="288"/>
    </row>
    <row r="234" spans="10:14" x14ac:dyDescent="0.2">
      <c r="J234" s="288"/>
      <c r="K234" s="288"/>
      <c r="L234" s="288"/>
      <c r="M234" s="288"/>
      <c r="N234" s="288"/>
    </row>
    <row r="235" spans="10:14" x14ac:dyDescent="0.2">
      <c r="J235" s="288"/>
      <c r="K235" s="288"/>
      <c r="L235" s="288"/>
      <c r="M235" s="288"/>
      <c r="N235" s="288"/>
    </row>
    <row r="236" spans="10:14" x14ac:dyDescent="0.2">
      <c r="J236" s="288"/>
      <c r="K236" s="288"/>
      <c r="L236" s="288"/>
      <c r="M236" s="288"/>
      <c r="N236" s="288"/>
    </row>
    <row r="237" spans="10:14" x14ac:dyDescent="0.2">
      <c r="J237" s="288"/>
      <c r="K237" s="288"/>
      <c r="L237" s="288"/>
      <c r="M237" s="288"/>
      <c r="N237" s="288"/>
    </row>
    <row r="238" spans="10:14" x14ac:dyDescent="0.2">
      <c r="J238" s="288"/>
      <c r="K238" s="288"/>
      <c r="L238" s="288"/>
      <c r="M238" s="288"/>
      <c r="N238" s="288"/>
    </row>
    <row r="239" spans="10:14" x14ac:dyDescent="0.2">
      <c r="J239" s="288"/>
      <c r="K239" s="288"/>
      <c r="L239" s="288"/>
      <c r="M239" s="288"/>
      <c r="N239" s="288"/>
    </row>
    <row r="240" spans="10:14" x14ac:dyDescent="0.2">
      <c r="J240" s="288"/>
      <c r="K240" s="288"/>
      <c r="L240" s="288"/>
      <c r="M240" s="288"/>
      <c r="N240" s="288"/>
    </row>
    <row r="241" spans="10:14" x14ac:dyDescent="0.2">
      <c r="J241" s="288"/>
      <c r="K241" s="288"/>
      <c r="L241" s="288"/>
      <c r="M241" s="288"/>
      <c r="N241" s="288"/>
    </row>
    <row r="242" spans="10:14" x14ac:dyDescent="0.2">
      <c r="J242" s="288"/>
      <c r="K242" s="288"/>
      <c r="L242" s="288"/>
      <c r="M242" s="288"/>
      <c r="N242" s="288"/>
    </row>
    <row r="243" spans="10:14" x14ac:dyDescent="0.2">
      <c r="J243" s="288"/>
      <c r="K243" s="288"/>
      <c r="L243" s="288"/>
      <c r="M243" s="288"/>
      <c r="N243" s="288"/>
    </row>
    <row r="244" spans="10:14" x14ac:dyDescent="0.2">
      <c r="J244" s="288"/>
      <c r="K244" s="288"/>
      <c r="L244" s="288"/>
      <c r="M244" s="288"/>
      <c r="N244" s="288"/>
    </row>
    <row r="245" spans="10:14" x14ac:dyDescent="0.2">
      <c r="J245" s="288"/>
      <c r="K245" s="288"/>
      <c r="L245" s="288"/>
      <c r="M245" s="288"/>
      <c r="N245" s="288"/>
    </row>
    <row r="246" spans="10:14" x14ac:dyDescent="0.2">
      <c r="J246" s="288"/>
      <c r="K246" s="288"/>
      <c r="L246" s="288"/>
      <c r="M246" s="288"/>
      <c r="N246" s="288"/>
    </row>
    <row r="247" spans="10:14" x14ac:dyDescent="0.2">
      <c r="J247" s="288"/>
      <c r="K247" s="288"/>
      <c r="L247" s="288"/>
      <c r="M247" s="288"/>
      <c r="N247" s="288"/>
    </row>
    <row r="248" spans="10:14" x14ac:dyDescent="0.2">
      <c r="J248" s="288"/>
      <c r="K248" s="288"/>
      <c r="L248" s="288"/>
      <c r="M248" s="288"/>
      <c r="N248" s="288"/>
    </row>
    <row r="249" spans="10:14" x14ac:dyDescent="0.2">
      <c r="J249" s="288"/>
      <c r="K249" s="288"/>
      <c r="L249" s="288"/>
      <c r="M249" s="288"/>
      <c r="N249" s="288"/>
    </row>
    <row r="250" spans="10:14" x14ac:dyDescent="0.2">
      <c r="J250" s="288"/>
      <c r="K250" s="288"/>
      <c r="L250" s="288"/>
      <c r="M250" s="288"/>
      <c r="N250" s="288"/>
    </row>
    <row r="251" spans="10:14" x14ac:dyDescent="0.2">
      <c r="J251" s="288"/>
      <c r="K251" s="288"/>
      <c r="L251" s="288"/>
      <c r="M251" s="288"/>
      <c r="N251" s="288"/>
    </row>
    <row r="252" spans="10:14" x14ac:dyDescent="0.2">
      <c r="J252" s="288"/>
      <c r="K252" s="288"/>
      <c r="L252" s="288"/>
      <c r="M252" s="288"/>
      <c r="N252" s="288"/>
    </row>
    <row r="253" spans="10:14" x14ac:dyDescent="0.2">
      <c r="J253" s="288"/>
      <c r="K253" s="288"/>
      <c r="L253" s="288"/>
      <c r="M253" s="288"/>
      <c r="N253" s="288"/>
    </row>
    <row r="254" spans="10:14" x14ac:dyDescent="0.2">
      <c r="J254" s="288"/>
      <c r="K254" s="288"/>
      <c r="L254" s="288"/>
      <c r="M254" s="288"/>
      <c r="N254" s="288"/>
    </row>
    <row r="255" spans="10:14" x14ac:dyDescent="0.2">
      <c r="J255" s="288"/>
      <c r="K255" s="288"/>
      <c r="L255" s="288"/>
      <c r="M255" s="288"/>
      <c r="N255" s="288"/>
    </row>
    <row r="256" spans="10:14" x14ac:dyDescent="0.2">
      <c r="J256" s="288"/>
      <c r="K256" s="288"/>
      <c r="L256" s="288"/>
      <c r="M256" s="288"/>
      <c r="N256" s="288"/>
    </row>
    <row r="257" spans="10:14" x14ac:dyDescent="0.2">
      <c r="J257" s="288"/>
      <c r="K257" s="288"/>
      <c r="L257" s="288"/>
      <c r="M257" s="288"/>
      <c r="N257" s="288"/>
    </row>
    <row r="258" spans="10:14" x14ac:dyDescent="0.2">
      <c r="J258" s="288"/>
      <c r="K258" s="288"/>
      <c r="L258" s="288"/>
      <c r="M258" s="288"/>
      <c r="N258" s="288"/>
    </row>
    <row r="259" spans="10:14" x14ac:dyDescent="0.2">
      <c r="J259" s="288"/>
      <c r="K259" s="288"/>
      <c r="L259" s="288"/>
      <c r="M259" s="288"/>
      <c r="N259" s="288"/>
    </row>
    <row r="260" spans="10:14" x14ac:dyDescent="0.2">
      <c r="J260" s="288"/>
      <c r="K260" s="288"/>
      <c r="L260" s="288"/>
      <c r="M260" s="288"/>
      <c r="N260" s="288"/>
    </row>
    <row r="261" spans="10:14" x14ac:dyDescent="0.2">
      <c r="J261" s="288"/>
      <c r="K261" s="288"/>
      <c r="L261" s="288"/>
      <c r="M261" s="288"/>
      <c r="N261" s="288"/>
    </row>
    <row r="262" spans="10:14" x14ac:dyDescent="0.2">
      <c r="J262" s="288"/>
      <c r="K262" s="288"/>
      <c r="L262" s="288"/>
      <c r="M262" s="288"/>
      <c r="N262" s="288"/>
    </row>
    <row r="263" spans="10:14" x14ac:dyDescent="0.2">
      <c r="J263" s="288"/>
      <c r="K263" s="288"/>
      <c r="L263" s="288"/>
      <c r="M263" s="288"/>
      <c r="N263" s="288"/>
    </row>
    <row r="264" spans="10:14" x14ac:dyDescent="0.2">
      <c r="J264" s="288"/>
      <c r="K264" s="288"/>
      <c r="L264" s="288"/>
      <c r="M264" s="288"/>
      <c r="N264" s="288"/>
    </row>
    <row r="265" spans="10:14" x14ac:dyDescent="0.2">
      <c r="J265" s="288"/>
      <c r="K265" s="288"/>
      <c r="L265" s="288"/>
      <c r="M265" s="288"/>
      <c r="N265" s="288"/>
    </row>
    <row r="266" spans="10:14" x14ac:dyDescent="0.2">
      <c r="J266" s="288"/>
      <c r="K266" s="288"/>
      <c r="L266" s="288"/>
      <c r="M266" s="288"/>
      <c r="N266" s="288"/>
    </row>
    <row r="267" spans="10:14" x14ac:dyDescent="0.2">
      <c r="J267" s="288"/>
      <c r="K267" s="288"/>
      <c r="L267" s="288"/>
      <c r="M267" s="288"/>
      <c r="N267" s="288"/>
    </row>
    <row r="268" spans="10:14" x14ac:dyDescent="0.2">
      <c r="J268" s="288"/>
      <c r="K268" s="288"/>
      <c r="L268" s="288"/>
      <c r="M268" s="288"/>
      <c r="N268" s="288"/>
    </row>
    <row r="269" spans="10:14" x14ac:dyDescent="0.2">
      <c r="J269" s="288"/>
      <c r="K269" s="288"/>
      <c r="L269" s="288"/>
      <c r="M269" s="288"/>
      <c r="N269" s="288"/>
    </row>
    <row r="270" spans="10:14" x14ac:dyDescent="0.2">
      <c r="J270" s="288"/>
      <c r="K270" s="288"/>
      <c r="L270" s="288"/>
      <c r="M270" s="288"/>
      <c r="N270" s="288"/>
    </row>
    <row r="271" spans="10:14" x14ac:dyDescent="0.2">
      <c r="J271" s="288"/>
      <c r="K271" s="288"/>
      <c r="L271" s="288"/>
      <c r="M271" s="288"/>
      <c r="N271" s="288"/>
    </row>
    <row r="272" spans="10:14" x14ac:dyDescent="0.2">
      <c r="J272" s="288"/>
      <c r="K272" s="288"/>
      <c r="L272" s="288"/>
      <c r="M272" s="288"/>
      <c r="N272" s="288"/>
    </row>
    <row r="273" spans="10:14" x14ac:dyDescent="0.2">
      <c r="J273" s="288"/>
      <c r="K273" s="288"/>
      <c r="L273" s="288"/>
      <c r="M273" s="288"/>
      <c r="N273" s="288"/>
    </row>
    <row r="274" spans="10:14" x14ac:dyDescent="0.2">
      <c r="J274" s="288"/>
      <c r="K274" s="288"/>
      <c r="L274" s="288"/>
      <c r="M274" s="288"/>
      <c r="N274" s="288"/>
    </row>
    <row r="275" spans="10:14" x14ac:dyDescent="0.2">
      <c r="J275" s="288"/>
      <c r="K275" s="288"/>
      <c r="L275" s="288"/>
      <c r="M275" s="288"/>
      <c r="N275" s="288"/>
    </row>
    <row r="276" spans="10:14" x14ac:dyDescent="0.2">
      <c r="J276" s="288"/>
      <c r="K276" s="288"/>
      <c r="L276" s="288"/>
      <c r="M276" s="288"/>
      <c r="N276" s="288"/>
    </row>
    <row r="277" spans="10:14" x14ac:dyDescent="0.2">
      <c r="J277" s="288"/>
      <c r="K277" s="288"/>
      <c r="L277" s="288"/>
      <c r="M277" s="288"/>
      <c r="N277" s="288"/>
    </row>
    <row r="278" spans="10:14" x14ac:dyDescent="0.2">
      <c r="J278" s="288"/>
      <c r="K278" s="288"/>
      <c r="L278" s="288"/>
      <c r="M278" s="288"/>
      <c r="N278" s="288"/>
    </row>
    <row r="279" spans="10:14" x14ac:dyDescent="0.2">
      <c r="J279" s="288"/>
      <c r="K279" s="288"/>
      <c r="L279" s="288"/>
      <c r="M279" s="288"/>
      <c r="N279" s="288"/>
    </row>
    <row r="280" spans="10:14" x14ac:dyDescent="0.2">
      <c r="J280" s="288"/>
      <c r="K280" s="288"/>
      <c r="L280" s="288"/>
      <c r="M280" s="288"/>
      <c r="N280" s="288"/>
    </row>
    <row r="281" spans="10:14" x14ac:dyDescent="0.2">
      <c r="J281" s="288"/>
      <c r="K281" s="288"/>
      <c r="L281" s="288"/>
      <c r="M281" s="288"/>
      <c r="N281" s="288"/>
    </row>
    <row r="282" spans="10:14" x14ac:dyDescent="0.2">
      <c r="J282" s="288"/>
      <c r="K282" s="288"/>
      <c r="L282" s="288"/>
      <c r="M282" s="288"/>
      <c r="N282" s="288"/>
    </row>
    <row r="283" spans="10:14" x14ac:dyDescent="0.2">
      <c r="J283" s="288"/>
      <c r="K283" s="288"/>
      <c r="L283" s="288"/>
      <c r="M283" s="288"/>
      <c r="N283" s="288"/>
    </row>
    <row r="284" spans="10:14" x14ac:dyDescent="0.2">
      <c r="J284" s="288"/>
      <c r="K284" s="288"/>
      <c r="L284" s="288"/>
      <c r="M284" s="288"/>
      <c r="N284" s="288"/>
    </row>
    <row r="285" spans="10:14" x14ac:dyDescent="0.2">
      <c r="J285" s="288"/>
      <c r="K285" s="288"/>
      <c r="L285" s="288"/>
      <c r="M285" s="288"/>
      <c r="N285" s="288"/>
    </row>
    <row r="286" spans="10:14" x14ac:dyDescent="0.2">
      <c r="J286" s="288"/>
      <c r="K286" s="288"/>
      <c r="L286" s="288"/>
      <c r="M286" s="288"/>
      <c r="N286" s="288"/>
    </row>
    <row r="287" spans="10:14" x14ac:dyDescent="0.2">
      <c r="J287" s="288"/>
      <c r="K287" s="288"/>
      <c r="L287" s="288"/>
      <c r="M287" s="288"/>
      <c r="N287" s="288"/>
    </row>
    <row r="288" spans="10:14" x14ac:dyDescent="0.2">
      <c r="J288" s="288"/>
      <c r="K288" s="288"/>
      <c r="L288" s="288"/>
      <c r="M288" s="288"/>
      <c r="N288" s="288"/>
    </row>
    <row r="289" spans="10:14" x14ac:dyDescent="0.2">
      <c r="J289" s="288"/>
      <c r="K289" s="288"/>
      <c r="L289" s="288"/>
      <c r="M289" s="288"/>
      <c r="N289" s="288"/>
    </row>
    <row r="290" spans="10:14" x14ac:dyDescent="0.2">
      <c r="J290" s="288"/>
      <c r="K290" s="288"/>
      <c r="L290" s="288"/>
      <c r="M290" s="288"/>
      <c r="N290" s="288"/>
    </row>
    <row r="291" spans="10:14" x14ac:dyDescent="0.2">
      <c r="J291" s="288"/>
      <c r="K291" s="288"/>
      <c r="L291" s="288"/>
      <c r="M291" s="288"/>
      <c r="N291" s="288"/>
    </row>
    <row r="292" spans="10:14" x14ac:dyDescent="0.2">
      <c r="J292" s="288"/>
      <c r="K292" s="288"/>
      <c r="L292" s="288"/>
      <c r="M292" s="288"/>
      <c r="N292" s="288"/>
    </row>
    <row r="293" spans="10:14" x14ac:dyDescent="0.2">
      <c r="J293" s="288"/>
      <c r="K293" s="288"/>
      <c r="L293" s="288"/>
      <c r="M293" s="288"/>
      <c r="N293" s="288"/>
    </row>
    <row r="294" spans="10:14" x14ac:dyDescent="0.2">
      <c r="J294" s="288"/>
      <c r="K294" s="288"/>
      <c r="L294" s="288"/>
      <c r="M294" s="288"/>
      <c r="N294" s="288"/>
    </row>
    <row r="295" spans="10:14" x14ac:dyDescent="0.2">
      <c r="J295" s="288"/>
      <c r="K295" s="288"/>
      <c r="L295" s="288"/>
      <c r="M295" s="288"/>
      <c r="N295" s="288"/>
    </row>
    <row r="296" spans="10:14" x14ac:dyDescent="0.2">
      <c r="J296" s="288"/>
      <c r="K296" s="288"/>
      <c r="L296" s="288"/>
      <c r="M296" s="288"/>
      <c r="N296" s="288"/>
    </row>
    <row r="297" spans="10:14" x14ac:dyDescent="0.2">
      <c r="J297" s="288"/>
      <c r="K297" s="288"/>
      <c r="L297" s="288"/>
      <c r="M297" s="288"/>
      <c r="N297" s="288"/>
    </row>
    <row r="298" spans="10:14" x14ac:dyDescent="0.2">
      <c r="J298" s="288"/>
      <c r="K298" s="288"/>
      <c r="L298" s="288"/>
      <c r="M298" s="288"/>
      <c r="N298" s="288"/>
    </row>
    <row r="299" spans="10:14" x14ac:dyDescent="0.2">
      <c r="J299" s="288"/>
      <c r="K299" s="288"/>
      <c r="L299" s="288"/>
      <c r="M299" s="288"/>
      <c r="N299" s="288"/>
    </row>
    <row r="300" spans="10:14" x14ac:dyDescent="0.2">
      <c r="J300" s="288"/>
      <c r="K300" s="288"/>
      <c r="L300" s="288"/>
      <c r="M300" s="288"/>
      <c r="N300" s="288"/>
    </row>
    <row r="301" spans="10:14" x14ac:dyDescent="0.2">
      <c r="J301" s="288"/>
      <c r="K301" s="288"/>
      <c r="L301" s="288"/>
      <c r="M301" s="288"/>
      <c r="N301" s="288"/>
    </row>
    <row r="302" spans="10:14" x14ac:dyDescent="0.2">
      <c r="J302" s="288"/>
      <c r="K302" s="288"/>
      <c r="L302" s="288"/>
      <c r="M302" s="288"/>
      <c r="N302" s="288"/>
    </row>
    <row r="303" spans="10:14" x14ac:dyDescent="0.2">
      <c r="J303" s="288"/>
      <c r="K303" s="288"/>
      <c r="L303" s="288"/>
      <c r="M303" s="288"/>
      <c r="N303" s="288"/>
    </row>
    <row r="304" spans="10:14" x14ac:dyDescent="0.2">
      <c r="J304" s="288"/>
      <c r="K304" s="288"/>
      <c r="L304" s="288"/>
      <c r="M304" s="288"/>
      <c r="N304" s="288"/>
    </row>
    <row r="305" spans="10:14" x14ac:dyDescent="0.2">
      <c r="J305" s="288"/>
      <c r="K305" s="288"/>
      <c r="L305" s="288"/>
      <c r="M305" s="288"/>
      <c r="N305" s="288"/>
    </row>
    <row r="306" spans="10:14" x14ac:dyDescent="0.2">
      <c r="J306" s="288"/>
      <c r="K306" s="288"/>
      <c r="L306" s="288"/>
      <c r="M306" s="288"/>
      <c r="N306" s="288"/>
    </row>
    <row r="307" spans="10:14" x14ac:dyDescent="0.2">
      <c r="J307" s="288"/>
      <c r="K307" s="288"/>
      <c r="L307" s="288"/>
      <c r="M307" s="288"/>
      <c r="N307" s="288"/>
    </row>
    <row r="308" spans="10:14" x14ac:dyDescent="0.2">
      <c r="J308" s="288"/>
      <c r="K308" s="288"/>
      <c r="L308" s="288"/>
      <c r="M308" s="288"/>
      <c r="N308" s="288"/>
    </row>
    <row r="309" spans="10:14" x14ac:dyDescent="0.2">
      <c r="J309" s="288"/>
      <c r="K309" s="288"/>
      <c r="L309" s="288"/>
      <c r="M309" s="288"/>
      <c r="N309" s="288"/>
    </row>
    <row r="310" spans="10:14" x14ac:dyDescent="0.2">
      <c r="J310" s="288"/>
      <c r="K310" s="288"/>
      <c r="L310" s="288"/>
      <c r="M310" s="288"/>
      <c r="N310" s="288"/>
    </row>
    <row r="311" spans="10:14" x14ac:dyDescent="0.2">
      <c r="J311" s="288"/>
      <c r="K311" s="288"/>
      <c r="L311" s="288"/>
      <c r="M311" s="288"/>
      <c r="N311" s="288"/>
    </row>
    <row r="312" spans="10:14" x14ac:dyDescent="0.2">
      <c r="J312" s="288"/>
      <c r="K312" s="288"/>
      <c r="L312" s="288"/>
      <c r="M312" s="288"/>
      <c r="N312" s="288"/>
    </row>
    <row r="313" spans="10:14" x14ac:dyDescent="0.2">
      <c r="J313" s="288"/>
      <c r="K313" s="288"/>
      <c r="L313" s="288"/>
      <c r="M313" s="288"/>
      <c r="N313" s="288"/>
    </row>
    <row r="314" spans="10:14" x14ac:dyDescent="0.2">
      <c r="J314" s="288"/>
      <c r="K314" s="288"/>
      <c r="L314" s="288"/>
      <c r="M314" s="288"/>
      <c r="N314" s="288"/>
    </row>
    <row r="315" spans="10:14" x14ac:dyDescent="0.2">
      <c r="J315" s="288"/>
      <c r="K315" s="288"/>
      <c r="L315" s="288"/>
      <c r="M315" s="288"/>
      <c r="N315" s="288"/>
    </row>
    <row r="316" spans="10:14" x14ac:dyDescent="0.2">
      <c r="J316" s="288"/>
      <c r="K316" s="288"/>
      <c r="L316" s="288"/>
      <c r="M316" s="288"/>
      <c r="N316" s="288"/>
    </row>
    <row r="317" spans="10:14" x14ac:dyDescent="0.2">
      <c r="J317" s="288"/>
      <c r="K317" s="288"/>
      <c r="L317" s="288"/>
      <c r="M317" s="288"/>
      <c r="N317" s="288"/>
    </row>
    <row r="318" spans="10:14" x14ac:dyDescent="0.2">
      <c r="J318" s="288"/>
      <c r="K318" s="288"/>
      <c r="L318" s="288"/>
      <c r="M318" s="288"/>
      <c r="N318" s="288"/>
    </row>
    <row r="319" spans="10:14" x14ac:dyDescent="0.2">
      <c r="J319" s="288"/>
      <c r="K319" s="288"/>
      <c r="L319" s="288"/>
      <c r="M319" s="288"/>
      <c r="N319" s="288"/>
    </row>
    <row r="320" spans="10:14" x14ac:dyDescent="0.2">
      <c r="J320" s="288"/>
      <c r="K320" s="288"/>
      <c r="L320" s="288"/>
      <c r="M320" s="288"/>
      <c r="N320" s="288"/>
    </row>
    <row r="321" spans="10:14" x14ac:dyDescent="0.2">
      <c r="J321" s="288"/>
      <c r="K321" s="288"/>
      <c r="L321" s="288"/>
      <c r="M321" s="288"/>
      <c r="N321" s="288"/>
    </row>
    <row r="322" spans="10:14" x14ac:dyDescent="0.2">
      <c r="J322" s="288"/>
      <c r="K322" s="288"/>
      <c r="L322" s="288"/>
      <c r="M322" s="288"/>
      <c r="N322" s="288"/>
    </row>
    <row r="323" spans="10:14" x14ac:dyDescent="0.2">
      <c r="J323" s="288"/>
      <c r="K323" s="288"/>
      <c r="L323" s="288"/>
      <c r="M323" s="288"/>
      <c r="N323" s="288"/>
    </row>
    <row r="324" spans="10:14" x14ac:dyDescent="0.2">
      <c r="J324" s="288"/>
      <c r="K324" s="288"/>
      <c r="L324" s="288"/>
      <c r="M324" s="288"/>
      <c r="N324" s="288"/>
    </row>
    <row r="325" spans="10:14" x14ac:dyDescent="0.2">
      <c r="J325" s="288"/>
      <c r="K325" s="288"/>
      <c r="L325" s="288"/>
      <c r="M325" s="288"/>
      <c r="N325" s="288"/>
    </row>
    <row r="326" spans="10:14" x14ac:dyDescent="0.2">
      <c r="J326" s="288"/>
      <c r="K326" s="288"/>
      <c r="L326" s="288"/>
      <c r="M326" s="288"/>
      <c r="N326" s="288"/>
    </row>
    <row r="327" spans="10:14" x14ac:dyDescent="0.2">
      <c r="J327" s="288"/>
      <c r="K327" s="288"/>
      <c r="L327" s="288"/>
      <c r="M327" s="288"/>
      <c r="N327" s="288"/>
    </row>
    <row r="328" spans="10:14" x14ac:dyDescent="0.2">
      <c r="J328" s="288"/>
      <c r="K328" s="288"/>
      <c r="L328" s="288"/>
      <c r="M328" s="288"/>
      <c r="N328" s="288"/>
    </row>
    <row r="329" spans="10:14" x14ac:dyDescent="0.2">
      <c r="J329" s="288"/>
      <c r="K329" s="288"/>
      <c r="L329" s="288"/>
      <c r="M329" s="288"/>
      <c r="N329" s="288"/>
    </row>
    <row r="330" spans="10:14" x14ac:dyDescent="0.2">
      <c r="J330" s="288"/>
      <c r="K330" s="288"/>
      <c r="L330" s="288"/>
      <c r="M330" s="288"/>
      <c r="N330" s="288"/>
    </row>
    <row r="331" spans="10:14" x14ac:dyDescent="0.2">
      <c r="J331" s="288"/>
      <c r="K331" s="288"/>
      <c r="L331" s="288"/>
      <c r="M331" s="288"/>
      <c r="N331" s="288"/>
    </row>
    <row r="332" spans="10:14" x14ac:dyDescent="0.2">
      <c r="J332" s="288"/>
      <c r="K332" s="288"/>
      <c r="L332" s="288"/>
      <c r="M332" s="288"/>
      <c r="N332" s="288"/>
    </row>
    <row r="333" spans="10:14" x14ac:dyDescent="0.2">
      <c r="J333" s="288"/>
      <c r="K333" s="288"/>
      <c r="L333" s="288"/>
      <c r="M333" s="288"/>
      <c r="N333" s="288"/>
    </row>
    <row r="334" spans="10:14" x14ac:dyDescent="0.2">
      <c r="J334" s="288"/>
      <c r="K334" s="288"/>
      <c r="L334" s="288"/>
      <c r="M334" s="288"/>
      <c r="N334" s="288"/>
    </row>
    <row r="335" spans="10:14" x14ac:dyDescent="0.2">
      <c r="J335" s="288"/>
      <c r="K335" s="288"/>
      <c r="L335" s="288"/>
      <c r="M335" s="288"/>
      <c r="N335" s="288"/>
    </row>
    <row r="336" spans="10:14" x14ac:dyDescent="0.2">
      <c r="J336" s="288"/>
      <c r="K336" s="288"/>
      <c r="L336" s="288"/>
      <c r="M336" s="288"/>
      <c r="N336" s="288"/>
    </row>
    <row r="337" spans="10:14" x14ac:dyDescent="0.2">
      <c r="J337" s="288"/>
      <c r="K337" s="288"/>
      <c r="L337" s="288"/>
      <c r="M337" s="288"/>
      <c r="N337" s="288"/>
    </row>
    <row r="338" spans="10:14" x14ac:dyDescent="0.2">
      <c r="J338" s="288"/>
      <c r="K338" s="288"/>
      <c r="L338" s="288"/>
      <c r="M338" s="288"/>
      <c r="N338" s="288"/>
    </row>
    <row r="339" spans="10:14" x14ac:dyDescent="0.2">
      <c r="J339" s="288"/>
      <c r="K339" s="288"/>
      <c r="L339" s="288"/>
      <c r="M339" s="288"/>
      <c r="N339" s="288"/>
    </row>
    <row r="340" spans="10:14" x14ac:dyDescent="0.2">
      <c r="J340" s="288"/>
      <c r="K340" s="288"/>
      <c r="L340" s="288"/>
      <c r="M340" s="288"/>
      <c r="N340" s="288"/>
    </row>
    <row r="341" spans="10:14" x14ac:dyDescent="0.2">
      <c r="J341" s="288"/>
      <c r="K341" s="288"/>
      <c r="L341" s="288"/>
      <c r="M341" s="288"/>
      <c r="N341" s="288"/>
    </row>
    <row r="342" spans="10:14" x14ac:dyDescent="0.2">
      <c r="J342" s="288"/>
      <c r="K342" s="288"/>
      <c r="L342" s="288"/>
      <c r="M342" s="288"/>
      <c r="N342" s="288"/>
    </row>
    <row r="343" spans="10:14" x14ac:dyDescent="0.2">
      <c r="J343" s="288"/>
      <c r="K343" s="288"/>
      <c r="L343" s="288"/>
      <c r="M343" s="288"/>
      <c r="N343" s="288"/>
    </row>
    <row r="344" spans="10:14" x14ac:dyDescent="0.2">
      <c r="J344" s="288"/>
      <c r="K344" s="288"/>
      <c r="L344" s="288"/>
      <c r="M344" s="288"/>
      <c r="N344" s="288"/>
    </row>
    <row r="345" spans="10:14" x14ac:dyDescent="0.2">
      <c r="J345" s="288"/>
      <c r="K345" s="288"/>
      <c r="L345" s="288"/>
      <c r="M345" s="288"/>
      <c r="N345" s="288"/>
    </row>
    <row r="346" spans="10:14" x14ac:dyDescent="0.2">
      <c r="J346" s="288"/>
      <c r="K346" s="288"/>
      <c r="L346" s="288"/>
      <c r="M346" s="288"/>
      <c r="N346" s="288"/>
    </row>
    <row r="347" spans="10:14" x14ac:dyDescent="0.2">
      <c r="J347" s="288"/>
      <c r="K347" s="288"/>
      <c r="L347" s="288"/>
      <c r="M347" s="288"/>
      <c r="N347" s="288"/>
    </row>
    <row r="348" spans="10:14" x14ac:dyDescent="0.2">
      <c r="J348" s="288"/>
      <c r="K348" s="288"/>
      <c r="L348" s="288"/>
      <c r="M348" s="288"/>
      <c r="N348" s="288"/>
    </row>
    <row r="349" spans="10:14" x14ac:dyDescent="0.2">
      <c r="J349" s="288"/>
      <c r="K349" s="288"/>
      <c r="L349" s="288"/>
      <c r="M349" s="288"/>
      <c r="N349" s="288"/>
    </row>
    <row r="350" spans="10:14" x14ac:dyDescent="0.2">
      <c r="J350" s="288"/>
      <c r="K350" s="288"/>
      <c r="L350" s="288"/>
      <c r="M350" s="288"/>
      <c r="N350" s="288"/>
    </row>
    <row r="351" spans="10:14" x14ac:dyDescent="0.2">
      <c r="J351" s="288"/>
      <c r="K351" s="288"/>
      <c r="L351" s="288"/>
      <c r="M351" s="288"/>
      <c r="N351" s="288"/>
    </row>
    <row r="352" spans="10:14" x14ac:dyDescent="0.2">
      <c r="J352" s="288"/>
      <c r="K352" s="288"/>
      <c r="L352" s="288"/>
      <c r="M352" s="288"/>
      <c r="N352" s="288"/>
    </row>
    <row r="353" spans="10:14" x14ac:dyDescent="0.2">
      <c r="J353" s="288"/>
      <c r="K353" s="288"/>
      <c r="L353" s="288"/>
      <c r="M353" s="288"/>
      <c r="N353" s="288"/>
    </row>
    <row r="354" spans="10:14" x14ac:dyDescent="0.2">
      <c r="J354" s="288"/>
      <c r="K354" s="288"/>
      <c r="L354" s="288"/>
      <c r="M354" s="288"/>
      <c r="N354" s="288"/>
    </row>
    <row r="355" spans="10:14" x14ac:dyDescent="0.2">
      <c r="J355" s="288"/>
      <c r="K355" s="288"/>
      <c r="L355" s="288"/>
      <c r="M355" s="288"/>
      <c r="N355" s="288"/>
    </row>
    <row r="356" spans="10:14" x14ac:dyDescent="0.2">
      <c r="J356" s="288"/>
      <c r="K356" s="288"/>
      <c r="L356" s="288"/>
      <c r="M356" s="288"/>
      <c r="N356" s="288"/>
    </row>
    <row r="357" spans="10:14" x14ac:dyDescent="0.2">
      <c r="J357" s="288"/>
      <c r="K357" s="288"/>
      <c r="L357" s="288"/>
      <c r="M357" s="288"/>
      <c r="N357" s="288"/>
    </row>
    <row r="358" spans="10:14" x14ac:dyDescent="0.2">
      <c r="J358" s="288"/>
      <c r="K358" s="288"/>
      <c r="L358" s="288"/>
      <c r="M358" s="288"/>
      <c r="N358" s="288"/>
    </row>
    <row r="359" spans="10:14" x14ac:dyDescent="0.2">
      <c r="J359" s="288"/>
      <c r="K359" s="288"/>
      <c r="L359" s="288"/>
      <c r="M359" s="288"/>
      <c r="N359" s="288"/>
    </row>
    <row r="360" spans="10:14" x14ac:dyDescent="0.2">
      <c r="J360" s="288"/>
      <c r="K360" s="288"/>
      <c r="L360" s="288"/>
      <c r="M360" s="288"/>
      <c r="N360" s="288"/>
    </row>
    <row r="361" spans="10:14" x14ac:dyDescent="0.2">
      <c r="J361" s="288"/>
      <c r="K361" s="288"/>
      <c r="L361" s="288"/>
      <c r="M361" s="288"/>
      <c r="N361" s="288"/>
    </row>
    <row r="362" spans="10:14" x14ac:dyDescent="0.2">
      <c r="J362" s="288"/>
      <c r="K362" s="288"/>
      <c r="L362" s="288"/>
      <c r="M362" s="288"/>
      <c r="N362" s="288"/>
    </row>
    <row r="363" spans="10:14" x14ac:dyDescent="0.2">
      <c r="J363" s="288"/>
      <c r="K363" s="288"/>
      <c r="L363" s="288"/>
      <c r="M363" s="288"/>
      <c r="N363" s="288"/>
    </row>
    <row r="364" spans="10:14" x14ac:dyDescent="0.2">
      <c r="J364" s="288"/>
      <c r="K364" s="288"/>
      <c r="L364" s="288"/>
      <c r="M364" s="288"/>
      <c r="N364" s="288"/>
    </row>
    <row r="365" spans="10:14" x14ac:dyDescent="0.2">
      <c r="J365" s="288"/>
      <c r="K365" s="288"/>
      <c r="L365" s="288"/>
      <c r="M365" s="288"/>
      <c r="N365" s="288"/>
    </row>
    <row r="366" spans="10:14" x14ac:dyDescent="0.2">
      <c r="J366" s="288"/>
      <c r="K366" s="288"/>
      <c r="L366" s="288"/>
      <c r="M366" s="288"/>
      <c r="N366" s="288"/>
    </row>
    <row r="367" spans="10:14" x14ac:dyDescent="0.2">
      <c r="J367" s="288"/>
      <c r="K367" s="288"/>
      <c r="L367" s="288"/>
      <c r="M367" s="288"/>
      <c r="N367" s="288"/>
    </row>
    <row r="368" spans="10:14" x14ac:dyDescent="0.2">
      <c r="J368" s="288"/>
      <c r="K368" s="288"/>
      <c r="L368" s="288"/>
      <c r="M368" s="288"/>
      <c r="N368" s="288"/>
    </row>
    <row r="369" spans="10:14" x14ac:dyDescent="0.2">
      <c r="J369" s="288"/>
      <c r="K369" s="288"/>
      <c r="L369" s="288"/>
      <c r="M369" s="288"/>
      <c r="N369" s="288"/>
    </row>
    <row r="370" spans="10:14" x14ac:dyDescent="0.2">
      <c r="J370" s="288"/>
      <c r="K370" s="288"/>
      <c r="L370" s="288"/>
      <c r="M370" s="288"/>
      <c r="N370" s="288"/>
    </row>
    <row r="371" spans="10:14" x14ac:dyDescent="0.2">
      <c r="J371" s="288"/>
      <c r="K371" s="288"/>
      <c r="L371" s="288"/>
      <c r="M371" s="288"/>
      <c r="N371" s="288"/>
    </row>
    <row r="372" spans="10:14" x14ac:dyDescent="0.2">
      <c r="J372" s="288"/>
      <c r="K372" s="288"/>
      <c r="L372" s="288"/>
      <c r="M372" s="288"/>
      <c r="N372" s="288"/>
    </row>
    <row r="373" spans="10:14" x14ac:dyDescent="0.2">
      <c r="J373" s="288"/>
      <c r="K373" s="288"/>
      <c r="L373" s="288"/>
      <c r="M373" s="288"/>
      <c r="N373" s="288"/>
    </row>
    <row r="374" spans="10:14" x14ac:dyDescent="0.2">
      <c r="J374" s="288"/>
      <c r="K374" s="288"/>
      <c r="L374" s="288"/>
      <c r="M374" s="288"/>
      <c r="N374" s="288"/>
    </row>
    <row r="375" spans="10:14" x14ac:dyDescent="0.2">
      <c r="J375" s="288"/>
      <c r="K375" s="288"/>
      <c r="L375" s="288"/>
      <c r="M375" s="288"/>
      <c r="N375" s="288"/>
    </row>
    <row r="376" spans="10:14" x14ac:dyDescent="0.2">
      <c r="J376" s="288"/>
      <c r="K376" s="288"/>
      <c r="L376" s="288"/>
      <c r="M376" s="288"/>
      <c r="N376" s="288"/>
    </row>
    <row r="377" spans="10:14" x14ac:dyDescent="0.2">
      <c r="J377" s="288"/>
      <c r="K377" s="288"/>
      <c r="L377" s="288"/>
      <c r="M377" s="288"/>
      <c r="N377" s="288"/>
    </row>
    <row r="378" spans="10:14" x14ac:dyDescent="0.2">
      <c r="J378" s="288"/>
      <c r="K378" s="288"/>
      <c r="L378" s="288"/>
      <c r="M378" s="288"/>
      <c r="N378" s="288"/>
    </row>
    <row r="379" spans="10:14" x14ac:dyDescent="0.2">
      <c r="J379" s="288"/>
      <c r="K379" s="288"/>
      <c r="L379" s="288"/>
      <c r="M379" s="288"/>
      <c r="N379" s="288"/>
    </row>
    <row r="380" spans="10:14" x14ac:dyDescent="0.2">
      <c r="J380" s="288"/>
      <c r="K380" s="288"/>
      <c r="L380" s="288"/>
      <c r="M380" s="288"/>
      <c r="N380" s="288"/>
    </row>
    <row r="381" spans="10:14" x14ac:dyDescent="0.2">
      <c r="J381" s="288"/>
      <c r="K381" s="288"/>
      <c r="L381" s="288"/>
      <c r="M381" s="288"/>
      <c r="N381" s="288"/>
    </row>
    <row r="382" spans="10:14" x14ac:dyDescent="0.2">
      <c r="J382" s="288"/>
      <c r="K382" s="288"/>
      <c r="L382" s="288"/>
      <c r="M382" s="288"/>
      <c r="N382" s="288"/>
    </row>
    <row r="383" spans="10:14" x14ac:dyDescent="0.2">
      <c r="J383" s="288"/>
      <c r="K383" s="288"/>
      <c r="L383" s="288"/>
      <c r="M383" s="288"/>
      <c r="N383" s="288"/>
    </row>
    <row r="384" spans="10:14" x14ac:dyDescent="0.2">
      <c r="J384" s="288"/>
      <c r="K384" s="288"/>
      <c r="L384" s="288"/>
      <c r="M384" s="288"/>
      <c r="N384" s="288"/>
    </row>
    <row r="385" spans="10:14" x14ac:dyDescent="0.2">
      <c r="J385" s="288"/>
      <c r="K385" s="288"/>
      <c r="L385" s="288"/>
      <c r="M385" s="288"/>
      <c r="N385" s="288"/>
    </row>
    <row r="386" spans="10:14" x14ac:dyDescent="0.2">
      <c r="J386" s="288"/>
      <c r="K386" s="288"/>
      <c r="L386" s="288"/>
      <c r="M386" s="288"/>
      <c r="N386" s="288"/>
    </row>
    <row r="387" spans="10:14" x14ac:dyDescent="0.2">
      <c r="J387" s="288"/>
      <c r="K387" s="288"/>
      <c r="L387" s="288"/>
      <c r="M387" s="288"/>
      <c r="N387" s="288"/>
    </row>
    <row r="388" spans="10:14" x14ac:dyDescent="0.2">
      <c r="J388" s="288"/>
      <c r="K388" s="288"/>
      <c r="L388" s="288"/>
      <c r="M388" s="288"/>
      <c r="N388" s="288"/>
    </row>
    <row r="389" spans="10:14" x14ac:dyDescent="0.2">
      <c r="J389" s="288"/>
      <c r="K389" s="288"/>
      <c r="L389" s="288"/>
      <c r="M389" s="288"/>
      <c r="N389" s="288"/>
    </row>
    <row r="390" spans="10:14" x14ac:dyDescent="0.2">
      <c r="J390" s="288"/>
      <c r="K390" s="288"/>
      <c r="L390" s="288"/>
      <c r="M390" s="288"/>
      <c r="N390" s="288"/>
    </row>
    <row r="391" spans="10:14" x14ac:dyDescent="0.2">
      <c r="J391" s="288"/>
      <c r="K391" s="288"/>
      <c r="L391" s="288"/>
      <c r="M391" s="288"/>
      <c r="N391" s="288"/>
    </row>
    <row r="392" spans="10:14" x14ac:dyDescent="0.2">
      <c r="J392" s="288"/>
      <c r="K392" s="288"/>
      <c r="L392" s="288"/>
      <c r="M392" s="288"/>
      <c r="N392" s="288"/>
    </row>
    <row r="393" spans="10:14" x14ac:dyDescent="0.2">
      <c r="J393" s="288"/>
      <c r="K393" s="288"/>
      <c r="L393" s="288"/>
      <c r="M393" s="288"/>
      <c r="N393" s="288"/>
    </row>
    <row r="394" spans="10:14" x14ac:dyDescent="0.2">
      <c r="J394" s="288"/>
      <c r="K394" s="288"/>
      <c r="L394" s="288"/>
      <c r="M394" s="288"/>
      <c r="N394" s="288"/>
    </row>
    <row r="395" spans="10:14" x14ac:dyDescent="0.2">
      <c r="J395" s="288"/>
      <c r="K395" s="288"/>
      <c r="L395" s="288"/>
      <c r="M395" s="288"/>
      <c r="N395" s="288"/>
    </row>
    <row r="396" spans="10:14" x14ac:dyDescent="0.2">
      <c r="J396" s="288"/>
      <c r="K396" s="288"/>
      <c r="L396" s="288"/>
      <c r="M396" s="288"/>
      <c r="N396" s="288"/>
    </row>
    <row r="397" spans="10:14" x14ac:dyDescent="0.2">
      <c r="J397" s="288"/>
      <c r="K397" s="288"/>
      <c r="L397" s="288"/>
      <c r="M397" s="288"/>
      <c r="N397" s="288"/>
    </row>
    <row r="398" spans="10:14" x14ac:dyDescent="0.2">
      <c r="J398" s="288"/>
      <c r="K398" s="288"/>
      <c r="L398" s="288"/>
      <c r="M398" s="288"/>
      <c r="N398" s="288"/>
    </row>
    <row r="399" spans="10:14" x14ac:dyDescent="0.2">
      <c r="J399" s="288"/>
      <c r="K399" s="288"/>
      <c r="L399" s="288"/>
      <c r="M399" s="288"/>
      <c r="N399" s="288"/>
    </row>
    <row r="400" spans="10:14" x14ac:dyDescent="0.2">
      <c r="J400" s="288"/>
      <c r="K400" s="288"/>
      <c r="L400" s="288"/>
      <c r="M400" s="288"/>
      <c r="N400" s="288"/>
    </row>
    <row r="401" spans="10:14" x14ac:dyDescent="0.2">
      <c r="J401" s="288"/>
      <c r="K401" s="288"/>
      <c r="L401" s="288"/>
      <c r="M401" s="288"/>
      <c r="N401" s="288"/>
    </row>
    <row r="402" spans="10:14" x14ac:dyDescent="0.2">
      <c r="J402" s="288"/>
      <c r="K402" s="288"/>
      <c r="L402" s="288"/>
      <c r="M402" s="288"/>
      <c r="N402" s="288"/>
    </row>
    <row r="403" spans="10:14" x14ac:dyDescent="0.2">
      <c r="J403" s="288"/>
      <c r="K403" s="288"/>
      <c r="L403" s="288"/>
      <c r="M403" s="288"/>
      <c r="N403" s="288"/>
    </row>
    <row r="404" spans="10:14" x14ac:dyDescent="0.2">
      <c r="J404" s="288"/>
      <c r="K404" s="288"/>
      <c r="L404" s="288"/>
      <c r="M404" s="288"/>
      <c r="N404" s="288"/>
    </row>
    <row r="405" spans="10:14" x14ac:dyDescent="0.2">
      <c r="J405" s="288"/>
      <c r="K405" s="288"/>
      <c r="L405" s="288"/>
      <c r="M405" s="288"/>
      <c r="N405" s="288"/>
    </row>
    <row r="406" spans="10:14" x14ac:dyDescent="0.2">
      <c r="J406" s="288"/>
      <c r="K406" s="288"/>
      <c r="L406" s="288"/>
      <c r="M406" s="288"/>
      <c r="N406" s="288"/>
    </row>
    <row r="407" spans="10:14" x14ac:dyDescent="0.2">
      <c r="J407" s="288"/>
      <c r="K407" s="288"/>
      <c r="L407" s="288"/>
      <c r="M407" s="288"/>
      <c r="N407" s="288"/>
    </row>
    <row r="408" spans="10:14" x14ac:dyDescent="0.2">
      <c r="J408" s="288"/>
      <c r="K408" s="288"/>
      <c r="L408" s="288"/>
      <c r="M408" s="288"/>
      <c r="N408" s="288"/>
    </row>
    <row r="409" spans="10:14" x14ac:dyDescent="0.2">
      <c r="J409" s="288"/>
      <c r="K409" s="288"/>
      <c r="L409" s="288"/>
      <c r="M409" s="288"/>
      <c r="N409" s="288"/>
    </row>
    <row r="410" spans="10:14" x14ac:dyDescent="0.2">
      <c r="J410" s="288"/>
      <c r="K410" s="288"/>
      <c r="L410" s="288"/>
      <c r="M410" s="288"/>
      <c r="N410" s="288"/>
    </row>
    <row r="411" spans="10:14" x14ac:dyDescent="0.2">
      <c r="J411" s="288"/>
      <c r="K411" s="288"/>
      <c r="L411" s="288"/>
      <c r="M411" s="288"/>
      <c r="N411" s="288"/>
    </row>
    <row r="412" spans="10:14" x14ac:dyDescent="0.2">
      <c r="J412" s="288"/>
      <c r="K412" s="288"/>
      <c r="L412" s="288"/>
      <c r="M412" s="288"/>
      <c r="N412" s="288"/>
    </row>
    <row r="413" spans="10:14" x14ac:dyDescent="0.2">
      <c r="J413" s="288"/>
      <c r="K413" s="288"/>
      <c r="L413" s="288"/>
      <c r="M413" s="288"/>
      <c r="N413" s="288"/>
    </row>
    <row r="414" spans="10:14" x14ac:dyDescent="0.2">
      <c r="J414" s="288"/>
      <c r="K414" s="288"/>
      <c r="L414" s="288"/>
      <c r="M414" s="288"/>
      <c r="N414" s="288"/>
    </row>
    <row r="415" spans="10:14" x14ac:dyDescent="0.2">
      <c r="J415" s="288"/>
      <c r="K415" s="288"/>
      <c r="L415" s="288"/>
      <c r="M415" s="288"/>
      <c r="N415" s="288"/>
    </row>
    <row r="416" spans="10:14" x14ac:dyDescent="0.2">
      <c r="J416" s="288"/>
      <c r="K416" s="288"/>
      <c r="L416" s="288"/>
      <c r="M416" s="288"/>
      <c r="N416" s="288"/>
    </row>
    <row r="417" spans="10:14" x14ac:dyDescent="0.2">
      <c r="J417" s="288"/>
      <c r="K417" s="288"/>
      <c r="L417" s="288"/>
      <c r="M417" s="288"/>
      <c r="N417" s="288"/>
    </row>
    <row r="418" spans="10:14" x14ac:dyDescent="0.2">
      <c r="J418" s="288"/>
      <c r="K418" s="288"/>
      <c r="L418" s="288"/>
      <c r="M418" s="288"/>
      <c r="N418" s="288"/>
    </row>
    <row r="419" spans="10:14" x14ac:dyDescent="0.2">
      <c r="J419" s="288"/>
      <c r="K419" s="288"/>
      <c r="L419" s="288"/>
      <c r="M419" s="288"/>
      <c r="N419" s="288"/>
    </row>
    <row r="420" spans="10:14" x14ac:dyDescent="0.2">
      <c r="J420" s="288"/>
      <c r="K420" s="288"/>
      <c r="L420" s="288"/>
      <c r="M420" s="288"/>
      <c r="N420" s="288"/>
    </row>
    <row r="421" spans="10:14" x14ac:dyDescent="0.2">
      <c r="J421" s="288"/>
      <c r="K421" s="288"/>
      <c r="L421" s="288"/>
      <c r="M421" s="288"/>
      <c r="N421" s="288"/>
    </row>
    <row r="422" spans="10:14" x14ac:dyDescent="0.2">
      <c r="J422" s="288"/>
      <c r="K422" s="288"/>
      <c r="L422" s="288"/>
      <c r="M422" s="288"/>
      <c r="N422" s="288"/>
    </row>
    <row r="423" spans="10:14" x14ac:dyDescent="0.2">
      <c r="J423" s="288"/>
      <c r="K423" s="288"/>
      <c r="L423" s="288"/>
      <c r="M423" s="288"/>
      <c r="N423" s="288"/>
    </row>
    <row r="424" spans="10:14" x14ac:dyDescent="0.2">
      <c r="J424" s="288"/>
      <c r="K424" s="288"/>
      <c r="L424" s="288"/>
      <c r="M424" s="288"/>
      <c r="N424" s="288"/>
    </row>
    <row r="425" spans="10:14" x14ac:dyDescent="0.2">
      <c r="J425" s="288"/>
      <c r="K425" s="288"/>
      <c r="L425" s="288"/>
      <c r="M425" s="288"/>
      <c r="N425" s="288"/>
    </row>
    <row r="426" spans="10:14" x14ac:dyDescent="0.2">
      <c r="J426" s="288"/>
      <c r="K426" s="288"/>
      <c r="L426" s="288"/>
      <c r="M426" s="288"/>
      <c r="N426" s="288"/>
    </row>
    <row r="427" spans="10:14" x14ac:dyDescent="0.2">
      <c r="J427" s="288"/>
      <c r="K427" s="288"/>
      <c r="L427" s="288"/>
      <c r="M427" s="288"/>
      <c r="N427" s="288"/>
    </row>
    <row r="428" spans="10:14" x14ac:dyDescent="0.2">
      <c r="J428" s="288"/>
      <c r="K428" s="288"/>
      <c r="L428" s="288"/>
      <c r="M428" s="288"/>
      <c r="N428" s="288"/>
    </row>
    <row r="429" spans="10:14" x14ac:dyDescent="0.2">
      <c r="J429" s="288"/>
      <c r="K429" s="288"/>
      <c r="L429" s="288"/>
      <c r="M429" s="288"/>
      <c r="N429" s="288"/>
    </row>
    <row r="430" spans="10:14" x14ac:dyDescent="0.2">
      <c r="J430" s="288"/>
      <c r="K430" s="288"/>
      <c r="L430" s="288"/>
      <c r="M430" s="288"/>
      <c r="N430" s="288"/>
    </row>
    <row r="431" spans="10:14" x14ac:dyDescent="0.2">
      <c r="J431" s="288"/>
      <c r="K431" s="288"/>
      <c r="L431" s="288"/>
      <c r="M431" s="288"/>
      <c r="N431" s="288"/>
    </row>
    <row r="432" spans="10:14" x14ac:dyDescent="0.2">
      <c r="J432" s="288"/>
      <c r="K432" s="288"/>
      <c r="L432" s="288"/>
      <c r="M432" s="288"/>
      <c r="N432" s="288"/>
    </row>
    <row r="433" spans="10:14" x14ac:dyDescent="0.2">
      <c r="J433" s="288"/>
      <c r="K433" s="288"/>
      <c r="L433" s="288"/>
      <c r="M433" s="288"/>
      <c r="N433" s="288"/>
    </row>
    <row r="434" spans="10:14" x14ac:dyDescent="0.2">
      <c r="J434" s="288"/>
      <c r="K434" s="288"/>
      <c r="L434" s="288"/>
      <c r="M434" s="288"/>
      <c r="N434" s="288"/>
    </row>
    <row r="435" spans="10:14" x14ac:dyDescent="0.2">
      <c r="J435" s="288"/>
      <c r="K435" s="288"/>
      <c r="L435" s="288"/>
      <c r="M435" s="288"/>
      <c r="N435" s="288"/>
    </row>
    <row r="436" spans="10:14" x14ac:dyDescent="0.2">
      <c r="J436" s="288"/>
      <c r="K436" s="288"/>
      <c r="L436" s="288"/>
      <c r="M436" s="288"/>
      <c r="N436" s="288"/>
    </row>
    <row r="437" spans="10:14" x14ac:dyDescent="0.2">
      <c r="J437" s="288"/>
      <c r="K437" s="288"/>
      <c r="L437" s="288"/>
      <c r="M437" s="288"/>
      <c r="N437" s="288"/>
    </row>
    <row r="438" spans="10:14" x14ac:dyDescent="0.2">
      <c r="J438" s="288"/>
      <c r="K438" s="288"/>
      <c r="L438" s="288"/>
      <c r="M438" s="288"/>
      <c r="N438" s="288"/>
    </row>
    <row r="439" spans="10:14" x14ac:dyDescent="0.2">
      <c r="J439" s="288"/>
      <c r="K439" s="288"/>
      <c r="L439" s="288"/>
      <c r="M439" s="288"/>
      <c r="N439" s="288"/>
    </row>
    <row r="440" spans="10:14" x14ac:dyDescent="0.2">
      <c r="J440" s="288"/>
      <c r="K440" s="288"/>
      <c r="L440" s="288"/>
      <c r="M440" s="288"/>
      <c r="N440" s="288"/>
    </row>
    <row r="441" spans="10:14" x14ac:dyDescent="0.2">
      <c r="J441" s="288"/>
      <c r="K441" s="288"/>
      <c r="L441" s="288"/>
      <c r="M441" s="288"/>
      <c r="N441" s="288"/>
    </row>
    <row r="442" spans="10:14" x14ac:dyDescent="0.2">
      <c r="J442" s="288"/>
      <c r="K442" s="288"/>
      <c r="L442" s="288"/>
      <c r="M442" s="288"/>
      <c r="N442" s="288"/>
    </row>
    <row r="443" spans="10:14" x14ac:dyDescent="0.2">
      <c r="J443" s="288"/>
      <c r="K443" s="288"/>
      <c r="L443" s="288"/>
      <c r="M443" s="288"/>
      <c r="N443" s="288"/>
    </row>
    <row r="444" spans="10:14" x14ac:dyDescent="0.2">
      <c r="J444" s="288"/>
      <c r="K444" s="288"/>
      <c r="L444" s="288"/>
      <c r="M444" s="288"/>
      <c r="N444" s="288"/>
    </row>
    <row r="445" spans="10:14" x14ac:dyDescent="0.2">
      <c r="J445" s="288"/>
      <c r="K445" s="288"/>
      <c r="L445" s="288"/>
      <c r="M445" s="288"/>
      <c r="N445" s="288"/>
    </row>
    <row r="446" spans="10:14" x14ac:dyDescent="0.2">
      <c r="J446" s="288"/>
      <c r="K446" s="288"/>
      <c r="L446" s="288"/>
      <c r="M446" s="288"/>
      <c r="N446" s="288"/>
    </row>
    <row r="447" spans="10:14" x14ac:dyDescent="0.2">
      <c r="J447" s="288"/>
      <c r="K447" s="288"/>
      <c r="L447" s="288"/>
      <c r="M447" s="288"/>
      <c r="N447" s="288"/>
    </row>
    <row r="448" spans="10:14" x14ac:dyDescent="0.2">
      <c r="J448" s="288"/>
      <c r="K448" s="288"/>
      <c r="L448" s="288"/>
      <c r="M448" s="288"/>
      <c r="N448" s="288"/>
    </row>
    <row r="449" spans="10:14" x14ac:dyDescent="0.2">
      <c r="J449" s="288"/>
      <c r="K449" s="288"/>
      <c r="L449" s="288"/>
      <c r="M449" s="288"/>
      <c r="N449" s="288"/>
    </row>
    <row r="450" spans="10:14" x14ac:dyDescent="0.2">
      <c r="J450" s="288"/>
      <c r="K450" s="288"/>
      <c r="L450" s="288"/>
      <c r="M450" s="288"/>
      <c r="N450" s="288"/>
    </row>
    <row r="451" spans="10:14" x14ac:dyDescent="0.2">
      <c r="J451" s="288"/>
      <c r="K451" s="288"/>
      <c r="L451" s="288"/>
      <c r="M451" s="288"/>
      <c r="N451" s="288"/>
    </row>
    <row r="452" spans="10:14" x14ac:dyDescent="0.2">
      <c r="J452" s="288"/>
      <c r="K452" s="288"/>
      <c r="L452" s="288"/>
      <c r="M452" s="288"/>
      <c r="N452" s="288"/>
    </row>
    <row r="453" spans="10:14" x14ac:dyDescent="0.2">
      <c r="J453" s="288"/>
      <c r="K453" s="288"/>
      <c r="L453" s="288"/>
      <c r="M453" s="288"/>
      <c r="N453" s="288"/>
    </row>
    <row r="454" spans="10:14" x14ac:dyDescent="0.2">
      <c r="J454" s="288"/>
      <c r="K454" s="288"/>
      <c r="L454" s="288"/>
      <c r="M454" s="288"/>
      <c r="N454" s="288"/>
    </row>
    <row r="455" spans="10:14" x14ac:dyDescent="0.2">
      <c r="J455" s="288"/>
      <c r="K455" s="288"/>
      <c r="L455" s="288"/>
      <c r="M455" s="288"/>
      <c r="N455" s="288"/>
    </row>
    <row r="456" spans="10:14" x14ac:dyDescent="0.2">
      <c r="J456" s="288"/>
      <c r="K456" s="288"/>
      <c r="L456" s="288"/>
      <c r="M456" s="288"/>
      <c r="N456" s="288"/>
    </row>
    <row r="457" spans="10:14" x14ac:dyDescent="0.2">
      <c r="J457" s="288"/>
      <c r="K457" s="288"/>
      <c r="L457" s="288"/>
      <c r="M457" s="288"/>
      <c r="N457" s="288"/>
    </row>
    <row r="458" spans="10:14" x14ac:dyDescent="0.2">
      <c r="J458" s="288"/>
      <c r="K458" s="288"/>
      <c r="L458" s="288"/>
      <c r="M458" s="288"/>
      <c r="N458" s="288"/>
    </row>
    <row r="459" spans="10:14" x14ac:dyDescent="0.2">
      <c r="J459" s="288"/>
      <c r="K459" s="288"/>
      <c r="L459" s="288"/>
      <c r="M459" s="288"/>
      <c r="N459" s="288"/>
    </row>
    <row r="460" spans="10:14" x14ac:dyDescent="0.2">
      <c r="J460" s="288"/>
      <c r="K460" s="288"/>
      <c r="L460" s="288"/>
      <c r="M460" s="288"/>
      <c r="N460" s="288"/>
    </row>
    <row r="461" spans="10:14" x14ac:dyDescent="0.2">
      <c r="J461" s="288"/>
      <c r="K461" s="288"/>
      <c r="L461" s="288"/>
      <c r="M461" s="288"/>
      <c r="N461" s="288"/>
    </row>
    <row r="462" spans="10:14" x14ac:dyDescent="0.2">
      <c r="J462" s="288"/>
      <c r="K462" s="288"/>
      <c r="L462" s="288"/>
      <c r="M462" s="288"/>
      <c r="N462" s="288"/>
    </row>
    <row r="463" spans="10:14" x14ac:dyDescent="0.2">
      <c r="J463" s="288"/>
      <c r="K463" s="288"/>
      <c r="L463" s="288"/>
      <c r="M463" s="288"/>
      <c r="N463" s="288"/>
    </row>
    <row r="464" spans="10:14" x14ac:dyDescent="0.2">
      <c r="J464" s="288"/>
      <c r="K464" s="288"/>
      <c r="L464" s="288"/>
      <c r="M464" s="288"/>
      <c r="N464" s="288"/>
    </row>
    <row r="465" spans="10:14" x14ac:dyDescent="0.2">
      <c r="J465" s="288"/>
      <c r="K465" s="288"/>
      <c r="L465" s="288"/>
      <c r="M465" s="288"/>
      <c r="N465" s="288"/>
    </row>
    <row r="466" spans="10:14" x14ac:dyDescent="0.2">
      <c r="J466" s="288"/>
      <c r="K466" s="288"/>
      <c r="L466" s="288"/>
      <c r="M466" s="288"/>
      <c r="N466" s="288"/>
    </row>
    <row r="467" spans="10:14" x14ac:dyDescent="0.2">
      <c r="J467" s="288"/>
      <c r="K467" s="288"/>
      <c r="L467" s="288"/>
      <c r="M467" s="288"/>
      <c r="N467" s="288"/>
    </row>
    <row r="468" spans="10:14" x14ac:dyDescent="0.2">
      <c r="J468" s="288"/>
      <c r="K468" s="288"/>
      <c r="L468" s="288"/>
      <c r="M468" s="288"/>
      <c r="N468" s="288"/>
    </row>
    <row r="469" spans="10:14" x14ac:dyDescent="0.2">
      <c r="J469" s="288"/>
      <c r="K469" s="288"/>
      <c r="L469" s="288"/>
      <c r="M469" s="288"/>
      <c r="N469" s="288"/>
    </row>
    <row r="470" spans="10:14" x14ac:dyDescent="0.2">
      <c r="J470" s="288"/>
      <c r="K470" s="288"/>
      <c r="L470" s="288"/>
      <c r="M470" s="288"/>
      <c r="N470" s="288"/>
    </row>
    <row r="471" spans="10:14" x14ac:dyDescent="0.2">
      <c r="J471" s="288"/>
      <c r="K471" s="288"/>
      <c r="L471" s="288"/>
      <c r="M471" s="288"/>
      <c r="N471" s="288"/>
    </row>
    <row r="472" spans="10:14" x14ac:dyDescent="0.2">
      <c r="J472" s="288"/>
      <c r="K472" s="288"/>
      <c r="L472" s="288"/>
      <c r="M472" s="288"/>
      <c r="N472" s="288"/>
    </row>
    <row r="473" spans="10:14" x14ac:dyDescent="0.2">
      <c r="J473" s="288"/>
      <c r="K473" s="288"/>
      <c r="L473" s="288"/>
      <c r="M473" s="288"/>
      <c r="N473" s="288"/>
    </row>
    <row r="474" spans="10:14" x14ac:dyDescent="0.2">
      <c r="J474" s="288"/>
      <c r="K474" s="288"/>
      <c r="L474" s="288"/>
      <c r="M474" s="288"/>
      <c r="N474" s="288"/>
    </row>
    <row r="475" spans="10:14" x14ac:dyDescent="0.2">
      <c r="J475" s="288"/>
      <c r="K475" s="288"/>
      <c r="L475" s="288"/>
      <c r="M475" s="288"/>
      <c r="N475" s="288"/>
    </row>
    <row r="476" spans="10:14" x14ac:dyDescent="0.2">
      <c r="J476" s="288"/>
      <c r="K476" s="288"/>
      <c r="L476" s="288"/>
      <c r="M476" s="288"/>
      <c r="N476" s="288"/>
    </row>
    <row r="477" spans="10:14" x14ac:dyDescent="0.2">
      <c r="J477" s="288"/>
      <c r="K477" s="288"/>
      <c r="L477" s="288"/>
      <c r="M477" s="288"/>
      <c r="N477" s="288"/>
    </row>
    <row r="478" spans="10:14" x14ac:dyDescent="0.2">
      <c r="J478" s="288"/>
      <c r="K478" s="288"/>
      <c r="L478" s="288"/>
      <c r="M478" s="288"/>
      <c r="N478" s="288"/>
    </row>
    <row r="479" spans="10:14" x14ac:dyDescent="0.2">
      <c r="J479" s="288"/>
      <c r="K479" s="288"/>
      <c r="L479" s="288"/>
      <c r="M479" s="288"/>
      <c r="N479" s="288"/>
    </row>
    <row r="480" spans="10:14" x14ac:dyDescent="0.2">
      <c r="J480" s="288"/>
      <c r="K480" s="288"/>
      <c r="L480" s="288"/>
      <c r="M480" s="288"/>
      <c r="N480" s="288"/>
    </row>
    <row r="481" spans="10:14" x14ac:dyDescent="0.2">
      <c r="J481" s="288"/>
      <c r="K481" s="288"/>
      <c r="L481" s="288"/>
      <c r="M481" s="288"/>
      <c r="N481" s="288"/>
    </row>
    <row r="482" spans="10:14" x14ac:dyDescent="0.2">
      <c r="J482" s="288"/>
      <c r="K482" s="288"/>
      <c r="L482" s="288"/>
      <c r="M482" s="288"/>
      <c r="N482" s="288"/>
    </row>
    <row r="483" spans="10:14" x14ac:dyDescent="0.2">
      <c r="J483" s="288"/>
      <c r="K483" s="288"/>
      <c r="L483" s="288"/>
      <c r="M483" s="288"/>
      <c r="N483" s="288"/>
    </row>
    <row r="484" spans="10:14" x14ac:dyDescent="0.2">
      <c r="J484" s="288"/>
      <c r="K484" s="288"/>
      <c r="L484" s="288"/>
      <c r="M484" s="288"/>
      <c r="N484" s="288"/>
    </row>
    <row r="485" spans="10:14" x14ac:dyDescent="0.2">
      <c r="J485" s="288"/>
      <c r="K485" s="288"/>
      <c r="L485" s="288"/>
      <c r="M485" s="288"/>
      <c r="N485" s="288"/>
    </row>
    <row r="486" spans="10:14" x14ac:dyDescent="0.2">
      <c r="J486" s="288"/>
      <c r="K486" s="288"/>
      <c r="L486" s="288"/>
      <c r="M486" s="288"/>
      <c r="N486" s="288"/>
    </row>
    <row r="487" spans="10:14" x14ac:dyDescent="0.2">
      <c r="J487" s="288"/>
      <c r="K487" s="288"/>
      <c r="L487" s="288"/>
      <c r="M487" s="288"/>
      <c r="N487" s="288"/>
    </row>
    <row r="488" spans="10:14" x14ac:dyDescent="0.2">
      <c r="J488" s="288"/>
      <c r="K488" s="288"/>
      <c r="L488" s="288"/>
      <c r="M488" s="288"/>
      <c r="N488" s="288"/>
    </row>
    <row r="489" spans="10:14" x14ac:dyDescent="0.2">
      <c r="J489" s="288"/>
      <c r="K489" s="288"/>
      <c r="L489" s="288"/>
      <c r="M489" s="288"/>
      <c r="N489" s="288"/>
    </row>
    <row r="490" spans="10:14" x14ac:dyDescent="0.2">
      <c r="J490" s="288"/>
      <c r="K490" s="288"/>
      <c r="L490" s="288"/>
      <c r="M490" s="288"/>
      <c r="N490" s="288"/>
    </row>
    <row r="491" spans="10:14" x14ac:dyDescent="0.2">
      <c r="J491" s="288"/>
      <c r="K491" s="288"/>
      <c r="L491" s="288"/>
      <c r="M491" s="288"/>
      <c r="N491" s="288"/>
    </row>
    <row r="492" spans="10:14" x14ac:dyDescent="0.2">
      <c r="J492" s="288"/>
      <c r="K492" s="288"/>
      <c r="L492" s="288"/>
      <c r="M492" s="288"/>
      <c r="N492" s="288"/>
    </row>
    <row r="493" spans="10:14" x14ac:dyDescent="0.2">
      <c r="J493" s="288"/>
      <c r="K493" s="288"/>
      <c r="L493" s="288"/>
      <c r="M493" s="288"/>
      <c r="N493" s="288"/>
    </row>
    <row r="494" spans="10:14" x14ac:dyDescent="0.2">
      <c r="J494" s="288"/>
      <c r="K494" s="288"/>
      <c r="L494" s="288"/>
      <c r="M494" s="288"/>
      <c r="N494" s="288"/>
    </row>
    <row r="495" spans="10:14" x14ac:dyDescent="0.2">
      <c r="J495" s="288"/>
      <c r="K495" s="288"/>
      <c r="L495" s="288"/>
      <c r="M495" s="288"/>
      <c r="N495" s="288"/>
    </row>
    <row r="496" spans="10:14" x14ac:dyDescent="0.2">
      <c r="J496" s="288"/>
      <c r="K496" s="288"/>
      <c r="L496" s="288"/>
      <c r="M496" s="288"/>
      <c r="N496" s="288"/>
    </row>
    <row r="497" spans="10:14" x14ac:dyDescent="0.2">
      <c r="J497" s="288"/>
      <c r="K497" s="288"/>
      <c r="L497" s="288"/>
      <c r="M497" s="288"/>
      <c r="N497" s="288"/>
    </row>
    <row r="498" spans="10:14" x14ac:dyDescent="0.2">
      <c r="J498" s="288"/>
      <c r="K498" s="288"/>
      <c r="L498" s="288"/>
      <c r="M498" s="288"/>
      <c r="N498" s="288"/>
    </row>
    <row r="499" spans="10:14" x14ac:dyDescent="0.2">
      <c r="J499" s="288"/>
      <c r="K499" s="288"/>
      <c r="L499" s="288"/>
      <c r="M499" s="288"/>
      <c r="N499" s="288"/>
    </row>
    <row r="500" spans="10:14" x14ac:dyDescent="0.2">
      <c r="J500" s="288"/>
      <c r="K500" s="288"/>
      <c r="L500" s="288"/>
      <c r="M500" s="288"/>
      <c r="N500" s="288"/>
    </row>
    <row r="501" spans="10:14" x14ac:dyDescent="0.2">
      <c r="J501" s="288"/>
      <c r="K501" s="288"/>
      <c r="L501" s="288"/>
      <c r="M501" s="288"/>
      <c r="N501" s="288"/>
    </row>
    <row r="502" spans="10:14" x14ac:dyDescent="0.2">
      <c r="J502" s="288"/>
      <c r="K502" s="288"/>
      <c r="L502" s="288"/>
      <c r="M502" s="288"/>
      <c r="N502" s="288"/>
    </row>
    <row r="503" spans="10:14" x14ac:dyDescent="0.2">
      <c r="J503" s="288"/>
      <c r="K503" s="288"/>
      <c r="L503" s="288"/>
      <c r="M503" s="288"/>
      <c r="N503" s="288"/>
    </row>
    <row r="504" spans="10:14" x14ac:dyDescent="0.2">
      <c r="J504" s="288"/>
      <c r="K504" s="288"/>
      <c r="L504" s="288"/>
      <c r="M504" s="288"/>
      <c r="N504" s="288"/>
    </row>
    <row r="505" spans="10:14" x14ac:dyDescent="0.2">
      <c r="J505" s="288"/>
      <c r="K505" s="288"/>
      <c r="L505" s="288"/>
      <c r="M505" s="288"/>
      <c r="N505" s="288"/>
    </row>
    <row r="506" spans="10:14" x14ac:dyDescent="0.2">
      <c r="J506" s="288"/>
      <c r="K506" s="288"/>
      <c r="L506" s="288"/>
      <c r="M506" s="288"/>
      <c r="N506" s="288"/>
    </row>
    <row r="507" spans="10:14" x14ac:dyDescent="0.2">
      <c r="J507" s="288"/>
      <c r="K507" s="288"/>
      <c r="L507" s="288"/>
      <c r="M507" s="288"/>
      <c r="N507" s="288"/>
    </row>
    <row r="508" spans="10:14" x14ac:dyDescent="0.2">
      <c r="J508" s="288"/>
      <c r="K508" s="288"/>
      <c r="L508" s="288"/>
      <c r="M508" s="288"/>
      <c r="N508" s="288"/>
    </row>
    <row r="509" spans="10:14" x14ac:dyDescent="0.2">
      <c r="J509" s="288"/>
      <c r="K509" s="288"/>
      <c r="L509" s="288"/>
      <c r="M509" s="288"/>
      <c r="N509" s="288"/>
    </row>
    <row r="510" spans="10:14" x14ac:dyDescent="0.2">
      <c r="J510" s="288"/>
      <c r="K510" s="288"/>
      <c r="L510" s="288"/>
      <c r="M510" s="288"/>
      <c r="N510" s="288"/>
    </row>
    <row r="511" spans="10:14" x14ac:dyDescent="0.2">
      <c r="J511" s="288"/>
      <c r="K511" s="288"/>
      <c r="L511" s="288"/>
      <c r="M511" s="288"/>
      <c r="N511" s="288"/>
    </row>
    <row r="512" spans="10:14" x14ac:dyDescent="0.2">
      <c r="J512" s="288"/>
      <c r="K512" s="288"/>
      <c r="L512" s="288"/>
      <c r="M512" s="288"/>
      <c r="N512" s="288"/>
    </row>
    <row r="513" spans="10:14" x14ac:dyDescent="0.2">
      <c r="J513" s="288"/>
      <c r="K513" s="288"/>
      <c r="L513" s="288"/>
      <c r="M513" s="288"/>
      <c r="N513" s="288"/>
    </row>
    <row r="514" spans="10:14" x14ac:dyDescent="0.2">
      <c r="J514" s="288"/>
      <c r="K514" s="288"/>
      <c r="L514" s="288"/>
      <c r="M514" s="288"/>
      <c r="N514" s="288"/>
    </row>
    <row r="515" spans="10:14" x14ac:dyDescent="0.2">
      <c r="J515" s="288"/>
      <c r="K515" s="288"/>
      <c r="L515" s="288"/>
      <c r="M515" s="288"/>
      <c r="N515" s="288"/>
    </row>
    <row r="516" spans="10:14" x14ac:dyDescent="0.2">
      <c r="J516" s="288"/>
      <c r="K516" s="288"/>
      <c r="L516" s="288"/>
      <c r="M516" s="288"/>
      <c r="N516" s="288"/>
    </row>
    <row r="517" spans="10:14" x14ac:dyDescent="0.2">
      <c r="J517" s="288"/>
      <c r="K517" s="288"/>
      <c r="L517" s="288"/>
      <c r="M517" s="288"/>
      <c r="N517" s="288"/>
    </row>
    <row r="518" spans="10:14" x14ac:dyDescent="0.2">
      <c r="J518" s="288"/>
      <c r="K518" s="288"/>
      <c r="L518" s="288"/>
      <c r="M518" s="288"/>
      <c r="N518" s="288"/>
    </row>
    <row r="519" spans="10:14" x14ac:dyDescent="0.2">
      <c r="J519" s="288"/>
      <c r="K519" s="288"/>
      <c r="L519" s="288"/>
      <c r="M519" s="288"/>
      <c r="N519" s="288"/>
    </row>
    <row r="520" spans="10:14" x14ac:dyDescent="0.2">
      <c r="J520" s="288"/>
      <c r="K520" s="288"/>
      <c r="L520" s="288"/>
      <c r="M520" s="288"/>
      <c r="N520" s="288"/>
    </row>
    <row r="521" spans="10:14" x14ac:dyDescent="0.2">
      <c r="J521" s="288"/>
      <c r="K521" s="288"/>
      <c r="L521" s="288"/>
      <c r="M521" s="288"/>
      <c r="N521" s="288"/>
    </row>
    <row r="522" spans="10:14" x14ac:dyDescent="0.2">
      <c r="J522" s="288"/>
      <c r="K522" s="288"/>
      <c r="L522" s="288"/>
      <c r="M522" s="288"/>
      <c r="N522" s="288"/>
    </row>
    <row r="523" spans="10:14" x14ac:dyDescent="0.2">
      <c r="J523" s="288"/>
      <c r="K523" s="288"/>
      <c r="L523" s="288"/>
      <c r="M523" s="288"/>
      <c r="N523" s="288"/>
    </row>
    <row r="524" spans="10:14" x14ac:dyDescent="0.2">
      <c r="J524" s="288"/>
      <c r="K524" s="288"/>
      <c r="L524" s="288"/>
      <c r="M524" s="288"/>
      <c r="N524" s="288"/>
    </row>
    <row r="525" spans="10:14" x14ac:dyDescent="0.2">
      <c r="J525" s="288"/>
      <c r="K525" s="288"/>
      <c r="L525" s="288"/>
      <c r="M525" s="288"/>
      <c r="N525" s="288"/>
    </row>
    <row r="526" spans="10:14" x14ac:dyDescent="0.2">
      <c r="J526" s="288"/>
      <c r="K526" s="288"/>
      <c r="L526" s="288"/>
      <c r="M526" s="288"/>
      <c r="N526" s="288"/>
    </row>
    <row r="527" spans="10:14" x14ac:dyDescent="0.2">
      <c r="J527" s="288"/>
      <c r="K527" s="288"/>
      <c r="L527" s="288"/>
      <c r="M527" s="288"/>
      <c r="N527" s="288"/>
    </row>
    <row r="528" spans="10:14" x14ac:dyDescent="0.2">
      <c r="J528" s="288"/>
      <c r="K528" s="288"/>
      <c r="L528" s="288"/>
      <c r="M528" s="288"/>
      <c r="N528" s="288"/>
    </row>
    <row r="529" spans="10:14" x14ac:dyDescent="0.2">
      <c r="J529" s="288"/>
      <c r="K529" s="288"/>
      <c r="L529" s="288"/>
      <c r="M529" s="288"/>
      <c r="N529" s="288"/>
    </row>
    <row r="530" spans="10:14" x14ac:dyDescent="0.2">
      <c r="J530" s="288"/>
      <c r="K530" s="288"/>
      <c r="L530" s="288"/>
      <c r="M530" s="288"/>
      <c r="N530" s="288"/>
    </row>
    <row r="531" spans="10:14" x14ac:dyDescent="0.2">
      <c r="J531" s="288"/>
      <c r="K531" s="288"/>
      <c r="L531" s="288"/>
      <c r="M531" s="288"/>
      <c r="N531" s="288"/>
    </row>
    <row r="532" spans="10:14" x14ac:dyDescent="0.2">
      <c r="J532" s="288"/>
      <c r="K532" s="288"/>
      <c r="L532" s="288"/>
      <c r="M532" s="288"/>
      <c r="N532" s="288"/>
    </row>
    <row r="533" spans="10:14" x14ac:dyDescent="0.2">
      <c r="J533" s="288"/>
      <c r="K533" s="288"/>
      <c r="L533" s="288"/>
      <c r="M533" s="288"/>
      <c r="N533" s="288"/>
    </row>
    <row r="534" spans="10:14" x14ac:dyDescent="0.2">
      <c r="J534" s="288"/>
      <c r="K534" s="288"/>
      <c r="L534" s="288"/>
      <c r="M534" s="288"/>
      <c r="N534" s="288"/>
    </row>
    <row r="535" spans="10:14" x14ac:dyDescent="0.2">
      <c r="J535" s="288"/>
      <c r="K535" s="288"/>
      <c r="L535" s="288"/>
      <c r="M535" s="288"/>
      <c r="N535" s="288"/>
    </row>
    <row r="536" spans="10:14" x14ac:dyDescent="0.2">
      <c r="J536" s="288"/>
      <c r="K536" s="288"/>
      <c r="L536" s="288"/>
      <c r="M536" s="288"/>
      <c r="N536" s="288"/>
    </row>
    <row r="537" spans="10:14" x14ac:dyDescent="0.2">
      <c r="J537" s="288"/>
      <c r="K537" s="288"/>
      <c r="L537" s="288"/>
      <c r="M537" s="288"/>
      <c r="N537" s="288"/>
    </row>
    <row r="538" spans="10:14" x14ac:dyDescent="0.2">
      <c r="J538" s="288"/>
      <c r="K538" s="288"/>
      <c r="L538" s="288"/>
      <c r="M538" s="288"/>
      <c r="N538" s="288"/>
    </row>
    <row r="539" spans="10:14" x14ac:dyDescent="0.2">
      <c r="J539" s="288"/>
      <c r="K539" s="288"/>
      <c r="L539" s="288"/>
      <c r="M539" s="288"/>
      <c r="N539" s="288"/>
    </row>
    <row r="540" spans="10:14" x14ac:dyDescent="0.2">
      <c r="J540" s="288"/>
      <c r="K540" s="288"/>
      <c r="L540" s="288"/>
      <c r="M540" s="288"/>
      <c r="N540" s="288"/>
    </row>
    <row r="541" spans="10:14" x14ac:dyDescent="0.2">
      <c r="J541" s="288"/>
      <c r="K541" s="288"/>
      <c r="L541" s="288"/>
      <c r="M541" s="288"/>
      <c r="N541" s="288"/>
    </row>
    <row r="542" spans="10:14" x14ac:dyDescent="0.2">
      <c r="J542" s="288"/>
      <c r="K542" s="288"/>
      <c r="L542" s="288"/>
      <c r="M542" s="288"/>
      <c r="N542" s="288"/>
    </row>
    <row r="543" spans="10:14" x14ac:dyDescent="0.2">
      <c r="J543" s="288"/>
      <c r="K543" s="288"/>
      <c r="L543" s="288"/>
      <c r="M543" s="288"/>
      <c r="N543" s="288"/>
    </row>
    <row r="544" spans="10:14" x14ac:dyDescent="0.2">
      <c r="J544" s="288"/>
      <c r="K544" s="288"/>
      <c r="L544" s="288"/>
      <c r="M544" s="288"/>
      <c r="N544" s="288"/>
    </row>
    <row r="545" spans="10:14" x14ac:dyDescent="0.2">
      <c r="J545" s="288"/>
      <c r="K545" s="288"/>
      <c r="L545" s="288"/>
      <c r="M545" s="288"/>
      <c r="N545" s="288"/>
    </row>
    <row r="546" spans="10:14" x14ac:dyDescent="0.2">
      <c r="J546" s="288"/>
      <c r="K546" s="288"/>
      <c r="L546" s="288"/>
      <c r="M546" s="288"/>
      <c r="N546" s="288"/>
    </row>
    <row r="547" spans="10:14" x14ac:dyDescent="0.2">
      <c r="J547" s="288"/>
      <c r="K547" s="288"/>
      <c r="L547" s="288"/>
      <c r="M547" s="288"/>
      <c r="N547" s="288"/>
    </row>
    <row r="548" spans="10:14" x14ac:dyDescent="0.2">
      <c r="J548" s="288"/>
      <c r="K548" s="288"/>
      <c r="L548" s="288"/>
      <c r="M548" s="288"/>
      <c r="N548" s="288"/>
    </row>
    <row r="549" spans="10:14" x14ac:dyDescent="0.2">
      <c r="J549" s="288"/>
      <c r="K549" s="288"/>
      <c r="L549" s="288"/>
      <c r="M549" s="288"/>
      <c r="N549" s="288"/>
    </row>
    <row r="550" spans="10:14" x14ac:dyDescent="0.2">
      <c r="J550" s="288"/>
      <c r="K550" s="288"/>
      <c r="L550" s="288"/>
      <c r="M550" s="288"/>
      <c r="N550" s="288"/>
    </row>
    <row r="551" spans="10:14" x14ac:dyDescent="0.2">
      <c r="J551" s="288"/>
      <c r="K551" s="288"/>
      <c r="L551" s="288"/>
      <c r="M551" s="288"/>
      <c r="N551" s="288"/>
    </row>
    <row r="552" spans="10:14" x14ac:dyDescent="0.2">
      <c r="J552" s="288"/>
      <c r="K552" s="288"/>
      <c r="L552" s="288"/>
      <c r="M552" s="288"/>
      <c r="N552" s="288"/>
    </row>
    <row r="553" spans="10:14" x14ac:dyDescent="0.2">
      <c r="J553" s="288"/>
      <c r="K553" s="288"/>
      <c r="L553" s="288"/>
      <c r="M553" s="288"/>
      <c r="N553" s="288"/>
    </row>
    <row r="554" spans="10:14" x14ac:dyDescent="0.2">
      <c r="J554" s="288"/>
      <c r="K554" s="288"/>
      <c r="L554" s="288"/>
      <c r="M554" s="288"/>
      <c r="N554" s="288"/>
    </row>
    <row r="555" spans="10:14" x14ac:dyDescent="0.2">
      <c r="J555" s="288"/>
      <c r="K555" s="288"/>
      <c r="L555" s="288"/>
      <c r="M555" s="288"/>
      <c r="N555" s="288"/>
    </row>
    <row r="556" spans="10:14" x14ac:dyDescent="0.2">
      <c r="J556" s="288"/>
      <c r="K556" s="288"/>
      <c r="L556" s="288"/>
      <c r="M556" s="288"/>
      <c r="N556" s="288"/>
    </row>
    <row r="557" spans="10:14" x14ac:dyDescent="0.2">
      <c r="J557" s="288"/>
      <c r="K557" s="288"/>
      <c r="L557" s="288"/>
      <c r="M557" s="288"/>
      <c r="N557" s="288"/>
    </row>
    <row r="558" spans="10:14" x14ac:dyDescent="0.2">
      <c r="J558" s="288"/>
      <c r="K558" s="288"/>
      <c r="L558" s="288"/>
      <c r="M558" s="288"/>
      <c r="N558" s="288"/>
    </row>
    <row r="559" spans="10:14" x14ac:dyDescent="0.2">
      <c r="J559" s="288"/>
      <c r="K559" s="288"/>
      <c r="L559" s="288"/>
      <c r="M559" s="288"/>
      <c r="N559" s="288"/>
    </row>
    <row r="560" spans="10:14" x14ac:dyDescent="0.2">
      <c r="J560" s="288"/>
      <c r="K560" s="288"/>
      <c r="L560" s="288"/>
      <c r="M560" s="288"/>
      <c r="N560" s="288"/>
    </row>
    <row r="561" spans="10:14" x14ac:dyDescent="0.2">
      <c r="J561" s="288"/>
      <c r="K561" s="288"/>
      <c r="L561" s="288"/>
      <c r="M561" s="288"/>
      <c r="N561" s="288"/>
    </row>
    <row r="562" spans="10:14" x14ac:dyDescent="0.2">
      <c r="J562" s="288"/>
      <c r="K562" s="288"/>
      <c r="L562" s="288"/>
      <c r="M562" s="288"/>
      <c r="N562" s="288"/>
    </row>
    <row r="563" spans="10:14" x14ac:dyDescent="0.2">
      <c r="J563" s="288"/>
      <c r="K563" s="288"/>
      <c r="L563" s="288"/>
      <c r="M563" s="288"/>
      <c r="N563" s="288"/>
    </row>
    <row r="564" spans="10:14" x14ac:dyDescent="0.2">
      <c r="J564" s="288"/>
      <c r="K564" s="288"/>
      <c r="L564" s="288"/>
      <c r="M564" s="288"/>
      <c r="N564" s="288"/>
    </row>
    <row r="565" spans="10:14" x14ac:dyDescent="0.2">
      <c r="J565" s="288"/>
      <c r="K565" s="288"/>
      <c r="L565" s="288"/>
      <c r="M565" s="288"/>
      <c r="N565" s="288"/>
    </row>
    <row r="566" spans="10:14" x14ac:dyDescent="0.2">
      <c r="J566" s="288"/>
      <c r="K566" s="288"/>
      <c r="L566" s="288"/>
      <c r="M566" s="288"/>
      <c r="N566" s="288"/>
    </row>
    <row r="567" spans="10:14" x14ac:dyDescent="0.2">
      <c r="J567" s="288"/>
      <c r="K567" s="288"/>
      <c r="L567" s="288"/>
      <c r="M567" s="288"/>
      <c r="N567" s="288"/>
    </row>
    <row r="568" spans="10:14" x14ac:dyDescent="0.2">
      <c r="J568" s="288"/>
      <c r="K568" s="288"/>
      <c r="L568" s="288"/>
      <c r="M568" s="288"/>
      <c r="N568" s="288"/>
    </row>
    <row r="569" spans="10:14" x14ac:dyDescent="0.2">
      <c r="J569" s="288"/>
      <c r="K569" s="288"/>
      <c r="L569" s="288"/>
      <c r="M569" s="288"/>
      <c r="N569" s="288"/>
    </row>
    <row r="570" spans="10:14" x14ac:dyDescent="0.2">
      <c r="J570" s="288"/>
      <c r="K570" s="288"/>
      <c r="L570" s="288"/>
      <c r="M570" s="288"/>
      <c r="N570" s="288"/>
    </row>
    <row r="571" spans="10:14" x14ac:dyDescent="0.2">
      <c r="J571" s="288"/>
      <c r="K571" s="288"/>
      <c r="L571" s="288"/>
      <c r="M571" s="288"/>
      <c r="N571" s="288"/>
    </row>
    <row r="572" spans="10:14" x14ac:dyDescent="0.2">
      <c r="J572" s="288"/>
      <c r="K572" s="288"/>
      <c r="L572" s="288"/>
      <c r="M572" s="288"/>
      <c r="N572" s="288"/>
    </row>
    <row r="573" spans="10:14" x14ac:dyDescent="0.2">
      <c r="J573" s="288"/>
      <c r="K573" s="288"/>
      <c r="L573" s="288"/>
      <c r="M573" s="288"/>
      <c r="N573" s="288"/>
    </row>
    <row r="574" spans="10:14" x14ac:dyDescent="0.2">
      <c r="J574" s="288"/>
      <c r="K574" s="288"/>
      <c r="L574" s="288"/>
      <c r="M574" s="288"/>
      <c r="N574" s="288"/>
    </row>
    <row r="575" spans="10:14" x14ac:dyDescent="0.2">
      <c r="J575" s="288"/>
      <c r="K575" s="288"/>
      <c r="L575" s="288"/>
      <c r="M575" s="288"/>
      <c r="N575" s="288"/>
    </row>
    <row r="576" spans="10:14" x14ac:dyDescent="0.2">
      <c r="J576" s="288"/>
      <c r="K576" s="288"/>
      <c r="L576" s="288"/>
      <c r="M576" s="288"/>
      <c r="N576" s="288"/>
    </row>
    <row r="577" spans="10:14" x14ac:dyDescent="0.2">
      <c r="J577" s="288"/>
      <c r="K577" s="288"/>
      <c r="L577" s="288"/>
      <c r="M577" s="288"/>
      <c r="N577" s="288"/>
    </row>
    <row r="578" spans="10:14" x14ac:dyDescent="0.2">
      <c r="J578" s="288"/>
      <c r="K578" s="288"/>
      <c r="L578" s="288"/>
      <c r="M578" s="288"/>
      <c r="N578" s="288"/>
    </row>
    <row r="579" spans="10:14" x14ac:dyDescent="0.2">
      <c r="J579" s="288"/>
      <c r="K579" s="288"/>
      <c r="L579" s="288"/>
      <c r="M579" s="288"/>
      <c r="N579" s="288"/>
    </row>
    <row r="580" spans="10:14" x14ac:dyDescent="0.2">
      <c r="J580" s="288"/>
      <c r="K580" s="288"/>
      <c r="L580" s="288"/>
      <c r="M580" s="288"/>
      <c r="N580" s="288"/>
    </row>
    <row r="581" spans="10:14" x14ac:dyDescent="0.2">
      <c r="J581" s="288"/>
      <c r="K581" s="288"/>
      <c r="L581" s="288"/>
      <c r="M581" s="288"/>
      <c r="N581" s="288"/>
    </row>
    <row r="582" spans="10:14" x14ac:dyDescent="0.2">
      <c r="J582" s="288"/>
      <c r="K582" s="288"/>
      <c r="L582" s="288"/>
      <c r="M582" s="288"/>
      <c r="N582" s="288"/>
    </row>
    <row r="583" spans="10:14" x14ac:dyDescent="0.2">
      <c r="J583" s="288"/>
      <c r="K583" s="288"/>
      <c r="L583" s="288"/>
      <c r="M583" s="288"/>
      <c r="N583" s="288"/>
    </row>
    <row r="584" spans="10:14" x14ac:dyDescent="0.2">
      <c r="J584" s="288"/>
      <c r="K584" s="288"/>
      <c r="L584" s="288"/>
      <c r="M584" s="288"/>
      <c r="N584" s="288"/>
    </row>
    <row r="585" spans="10:14" x14ac:dyDescent="0.2">
      <c r="J585" s="288"/>
      <c r="K585" s="288"/>
      <c r="L585" s="288"/>
      <c r="M585" s="288"/>
      <c r="N585" s="288"/>
    </row>
    <row r="586" spans="10:14" x14ac:dyDescent="0.2">
      <c r="J586" s="288"/>
      <c r="K586" s="288"/>
      <c r="L586" s="288"/>
      <c r="M586" s="288"/>
      <c r="N586" s="288"/>
    </row>
    <row r="587" spans="10:14" x14ac:dyDescent="0.2">
      <c r="J587" s="288"/>
      <c r="K587" s="288"/>
      <c r="L587" s="288"/>
      <c r="M587" s="288"/>
      <c r="N587" s="288"/>
    </row>
    <row r="588" spans="10:14" x14ac:dyDescent="0.2">
      <c r="J588" s="288"/>
      <c r="K588" s="288"/>
      <c r="L588" s="288"/>
      <c r="M588" s="288"/>
      <c r="N588" s="288"/>
    </row>
    <row r="589" spans="10:14" x14ac:dyDescent="0.2">
      <c r="J589" s="288"/>
      <c r="K589" s="288"/>
      <c r="L589" s="288"/>
      <c r="M589" s="288"/>
      <c r="N589" s="288"/>
    </row>
    <row r="590" spans="10:14" x14ac:dyDescent="0.2">
      <c r="J590" s="288"/>
      <c r="K590" s="288"/>
      <c r="L590" s="288"/>
      <c r="M590" s="288"/>
      <c r="N590" s="288"/>
    </row>
    <row r="591" spans="10:14" x14ac:dyDescent="0.2">
      <c r="J591" s="288"/>
      <c r="K591" s="288"/>
      <c r="L591" s="288"/>
      <c r="M591" s="288"/>
      <c r="N591" s="288"/>
    </row>
    <row r="592" spans="10:14" x14ac:dyDescent="0.2">
      <c r="J592" s="288"/>
      <c r="K592" s="288"/>
      <c r="L592" s="288"/>
      <c r="M592" s="288"/>
      <c r="N592" s="288"/>
    </row>
    <row r="593" spans="10:14" x14ac:dyDescent="0.2">
      <c r="J593" s="288"/>
      <c r="K593" s="288"/>
      <c r="L593" s="288"/>
      <c r="M593" s="288"/>
      <c r="N593" s="288"/>
    </row>
    <row r="594" spans="10:14" x14ac:dyDescent="0.2">
      <c r="J594" s="288"/>
      <c r="K594" s="288"/>
      <c r="L594" s="288"/>
      <c r="M594" s="288"/>
      <c r="N594" s="288"/>
    </row>
    <row r="595" spans="10:14" x14ac:dyDescent="0.2">
      <c r="J595" s="288"/>
      <c r="K595" s="288"/>
      <c r="L595" s="288"/>
      <c r="M595" s="288"/>
      <c r="N595" s="288"/>
    </row>
    <row r="596" spans="10:14" x14ac:dyDescent="0.2">
      <c r="J596" s="288"/>
      <c r="K596" s="288"/>
      <c r="L596" s="288"/>
      <c r="M596" s="288"/>
      <c r="N596" s="288"/>
    </row>
    <row r="597" spans="10:14" x14ac:dyDescent="0.2">
      <c r="J597" s="288"/>
      <c r="K597" s="288"/>
      <c r="L597" s="288"/>
      <c r="M597" s="288"/>
      <c r="N597" s="288"/>
    </row>
    <row r="598" spans="10:14" x14ac:dyDescent="0.2">
      <c r="J598" s="288"/>
      <c r="K598" s="288"/>
      <c r="L598" s="288"/>
      <c r="M598" s="288"/>
      <c r="N598" s="288"/>
    </row>
    <row r="599" spans="10:14" x14ac:dyDescent="0.2">
      <c r="J599" s="288"/>
      <c r="K599" s="288"/>
      <c r="L599" s="288"/>
      <c r="M599" s="288"/>
      <c r="N599" s="288"/>
    </row>
    <row r="600" spans="10:14" x14ac:dyDescent="0.2">
      <c r="J600" s="288"/>
      <c r="K600" s="288"/>
      <c r="L600" s="288"/>
      <c r="M600" s="288"/>
      <c r="N600" s="288"/>
    </row>
    <row r="601" spans="10:14" x14ac:dyDescent="0.2">
      <c r="J601" s="288"/>
      <c r="K601" s="288"/>
      <c r="L601" s="288"/>
      <c r="M601" s="288"/>
      <c r="N601" s="288"/>
    </row>
    <row r="602" spans="10:14" x14ac:dyDescent="0.2">
      <c r="J602" s="288"/>
      <c r="K602" s="288"/>
      <c r="L602" s="288"/>
      <c r="M602" s="288"/>
      <c r="N602" s="288"/>
    </row>
    <row r="603" spans="10:14" x14ac:dyDescent="0.2">
      <c r="J603" s="288"/>
      <c r="K603" s="288"/>
      <c r="L603" s="288"/>
      <c r="M603" s="288"/>
      <c r="N603" s="288"/>
    </row>
    <row r="604" spans="10:14" x14ac:dyDescent="0.2">
      <c r="J604" s="288"/>
      <c r="K604" s="288"/>
      <c r="L604" s="288"/>
      <c r="M604" s="288"/>
      <c r="N604" s="288"/>
    </row>
    <row r="605" spans="10:14" x14ac:dyDescent="0.2">
      <c r="J605" s="288"/>
      <c r="K605" s="288"/>
      <c r="L605" s="288"/>
      <c r="M605" s="288"/>
      <c r="N605" s="288"/>
    </row>
    <row r="606" spans="10:14" x14ac:dyDescent="0.2">
      <c r="J606" s="288"/>
      <c r="K606" s="288"/>
      <c r="L606" s="288"/>
      <c r="M606" s="288"/>
      <c r="N606" s="288"/>
    </row>
    <row r="607" spans="10:14" x14ac:dyDescent="0.2">
      <c r="J607" s="288"/>
      <c r="K607" s="288"/>
      <c r="L607" s="288"/>
      <c r="M607" s="288"/>
      <c r="N607" s="288"/>
    </row>
    <row r="608" spans="10:14" x14ac:dyDescent="0.2">
      <c r="J608" s="288"/>
      <c r="K608" s="288"/>
      <c r="L608" s="288"/>
      <c r="M608" s="288"/>
      <c r="N608" s="288"/>
    </row>
    <row r="609" spans="10:14" x14ac:dyDescent="0.2">
      <c r="J609" s="288"/>
      <c r="K609" s="288"/>
      <c r="L609" s="288"/>
      <c r="M609" s="288"/>
      <c r="N609" s="288"/>
    </row>
    <row r="610" spans="10:14" x14ac:dyDescent="0.2">
      <c r="J610" s="288"/>
      <c r="K610" s="288"/>
      <c r="L610" s="288"/>
      <c r="M610" s="288"/>
      <c r="N610" s="288"/>
    </row>
    <row r="611" spans="10:14" x14ac:dyDescent="0.2">
      <c r="J611" s="288"/>
      <c r="K611" s="288"/>
      <c r="L611" s="288"/>
      <c r="M611" s="288"/>
      <c r="N611" s="288"/>
    </row>
    <row r="612" spans="10:14" x14ac:dyDescent="0.2">
      <c r="J612" s="288"/>
      <c r="K612" s="288"/>
      <c r="L612" s="288"/>
      <c r="M612" s="288"/>
      <c r="N612" s="288"/>
    </row>
    <row r="613" spans="10:14" x14ac:dyDescent="0.2">
      <c r="J613" s="288"/>
      <c r="K613" s="288"/>
      <c r="L613" s="288"/>
      <c r="M613" s="288"/>
      <c r="N613" s="288"/>
    </row>
    <row r="614" spans="10:14" x14ac:dyDescent="0.2">
      <c r="J614" s="288"/>
      <c r="K614" s="288"/>
      <c r="L614" s="288"/>
      <c r="M614" s="288"/>
      <c r="N614" s="288"/>
    </row>
    <row r="615" spans="10:14" x14ac:dyDescent="0.2">
      <c r="J615" s="288"/>
      <c r="K615" s="288"/>
      <c r="L615" s="288"/>
      <c r="M615" s="288"/>
      <c r="N615" s="288"/>
    </row>
    <row r="616" spans="10:14" x14ac:dyDescent="0.2">
      <c r="J616" s="288"/>
      <c r="K616" s="288"/>
      <c r="L616" s="288"/>
      <c r="M616" s="288"/>
      <c r="N616" s="288"/>
    </row>
    <row r="617" spans="10:14" x14ac:dyDescent="0.2">
      <c r="J617" s="288"/>
      <c r="K617" s="288"/>
      <c r="L617" s="288"/>
      <c r="M617" s="288"/>
      <c r="N617" s="288"/>
    </row>
    <row r="618" spans="10:14" x14ac:dyDescent="0.2">
      <c r="J618" s="288"/>
      <c r="K618" s="288"/>
      <c r="L618" s="288"/>
      <c r="M618" s="288"/>
      <c r="N618" s="288"/>
    </row>
    <row r="619" spans="10:14" x14ac:dyDescent="0.2">
      <c r="J619" s="288"/>
      <c r="K619" s="288"/>
      <c r="L619" s="288"/>
      <c r="M619" s="288"/>
      <c r="N619" s="288"/>
    </row>
    <row r="620" spans="10:14" x14ac:dyDescent="0.2">
      <c r="J620" s="288"/>
      <c r="K620" s="288"/>
      <c r="L620" s="288"/>
      <c r="M620" s="288"/>
      <c r="N620" s="288"/>
    </row>
    <row r="621" spans="10:14" x14ac:dyDescent="0.2">
      <c r="J621" s="288"/>
      <c r="K621" s="288"/>
      <c r="L621" s="288"/>
      <c r="M621" s="288"/>
      <c r="N621" s="288"/>
    </row>
    <row r="622" spans="10:14" x14ac:dyDescent="0.2">
      <c r="J622" s="288"/>
      <c r="K622" s="288"/>
      <c r="L622" s="288"/>
      <c r="M622" s="288"/>
      <c r="N622" s="288"/>
    </row>
    <row r="623" spans="10:14" x14ac:dyDescent="0.2">
      <c r="J623" s="288"/>
      <c r="K623" s="288"/>
      <c r="L623" s="288"/>
      <c r="M623" s="288"/>
      <c r="N623" s="288"/>
    </row>
    <row r="624" spans="10:14" x14ac:dyDescent="0.2">
      <c r="J624" s="288"/>
      <c r="K624" s="288"/>
      <c r="L624" s="288"/>
      <c r="M624" s="288"/>
      <c r="N624" s="288"/>
    </row>
    <row r="625" spans="10:14" x14ac:dyDescent="0.2">
      <c r="J625" s="288"/>
      <c r="K625" s="288"/>
      <c r="L625" s="288"/>
      <c r="M625" s="288"/>
      <c r="N625" s="288"/>
    </row>
    <row r="626" spans="10:14" x14ac:dyDescent="0.2">
      <c r="J626" s="288"/>
      <c r="K626" s="288"/>
      <c r="L626" s="288"/>
      <c r="M626" s="288"/>
      <c r="N626" s="288"/>
    </row>
    <row r="627" spans="10:14" x14ac:dyDescent="0.2">
      <c r="J627" s="288"/>
      <c r="K627" s="288"/>
      <c r="L627" s="288"/>
      <c r="M627" s="288"/>
      <c r="N627" s="288"/>
    </row>
    <row r="628" spans="10:14" x14ac:dyDescent="0.2">
      <c r="J628" s="288"/>
      <c r="K628" s="288"/>
      <c r="L628" s="288"/>
      <c r="M628" s="288"/>
      <c r="N628" s="288"/>
    </row>
    <row r="629" spans="10:14" x14ac:dyDescent="0.2">
      <c r="J629" s="288"/>
      <c r="K629" s="288"/>
      <c r="L629" s="288"/>
      <c r="M629" s="288"/>
      <c r="N629" s="288"/>
    </row>
    <row r="630" spans="10:14" x14ac:dyDescent="0.2">
      <c r="J630" s="288"/>
      <c r="K630" s="288"/>
      <c r="L630" s="288"/>
      <c r="M630" s="288"/>
      <c r="N630" s="288"/>
    </row>
    <row r="631" spans="10:14" x14ac:dyDescent="0.2">
      <c r="J631" s="288"/>
      <c r="K631" s="288"/>
      <c r="L631" s="288"/>
      <c r="M631" s="288"/>
      <c r="N631" s="288"/>
    </row>
    <row r="632" spans="10:14" x14ac:dyDescent="0.2">
      <c r="J632" s="288"/>
      <c r="K632" s="288"/>
      <c r="L632" s="288"/>
      <c r="M632" s="288"/>
      <c r="N632" s="288"/>
    </row>
    <row r="633" spans="10:14" x14ac:dyDescent="0.2">
      <c r="J633" s="288"/>
      <c r="K633" s="288"/>
      <c r="L633" s="288"/>
      <c r="M633" s="288"/>
      <c r="N633" s="288"/>
    </row>
    <row r="634" spans="10:14" x14ac:dyDescent="0.2">
      <c r="J634" s="288"/>
      <c r="K634" s="288"/>
      <c r="L634" s="288"/>
      <c r="M634" s="288"/>
      <c r="N634" s="288"/>
    </row>
    <row r="635" spans="10:14" x14ac:dyDescent="0.2">
      <c r="J635" s="288"/>
      <c r="K635" s="288"/>
      <c r="L635" s="288"/>
      <c r="M635" s="288"/>
      <c r="N635" s="288"/>
    </row>
    <row r="636" spans="10:14" x14ac:dyDescent="0.2">
      <c r="J636" s="288"/>
      <c r="K636" s="288"/>
      <c r="L636" s="288"/>
      <c r="M636" s="288"/>
      <c r="N636" s="288"/>
    </row>
    <row r="637" spans="10:14" x14ac:dyDescent="0.2">
      <c r="J637" s="288"/>
      <c r="K637" s="288"/>
      <c r="L637" s="288"/>
      <c r="M637" s="288"/>
      <c r="N637" s="288"/>
    </row>
    <row r="638" spans="10:14" x14ac:dyDescent="0.2">
      <c r="J638" s="288"/>
      <c r="K638" s="288"/>
      <c r="L638" s="288"/>
      <c r="M638" s="288"/>
      <c r="N638" s="288"/>
    </row>
    <row r="639" spans="10:14" x14ac:dyDescent="0.2">
      <c r="J639" s="288"/>
      <c r="K639" s="288"/>
      <c r="L639" s="288"/>
      <c r="M639" s="288"/>
      <c r="N639" s="288"/>
    </row>
    <row r="640" spans="10:14" x14ac:dyDescent="0.2">
      <c r="J640" s="288"/>
      <c r="K640" s="288"/>
      <c r="L640" s="288"/>
      <c r="M640" s="288"/>
      <c r="N640" s="288"/>
    </row>
    <row r="641" spans="10:14" x14ac:dyDescent="0.2">
      <c r="J641" s="288"/>
      <c r="K641" s="288"/>
      <c r="L641" s="288"/>
      <c r="M641" s="288"/>
      <c r="N641" s="288"/>
    </row>
    <row r="642" spans="10:14" x14ac:dyDescent="0.2">
      <c r="J642" s="288"/>
      <c r="K642" s="288"/>
      <c r="L642" s="288"/>
      <c r="M642" s="288"/>
      <c r="N642" s="288"/>
    </row>
    <row r="643" spans="10:14" x14ac:dyDescent="0.2">
      <c r="J643" s="288"/>
      <c r="K643" s="288"/>
      <c r="L643" s="288"/>
      <c r="M643" s="288"/>
      <c r="N643" s="288"/>
    </row>
    <row r="644" spans="10:14" x14ac:dyDescent="0.2">
      <c r="J644" s="288"/>
      <c r="K644" s="288"/>
      <c r="L644" s="288"/>
      <c r="M644" s="288"/>
      <c r="N644" s="288"/>
    </row>
    <row r="645" spans="10:14" x14ac:dyDescent="0.2">
      <c r="J645" s="288"/>
      <c r="K645" s="288"/>
      <c r="L645" s="288"/>
      <c r="M645" s="288"/>
      <c r="N645" s="288"/>
    </row>
    <row r="646" spans="10:14" x14ac:dyDescent="0.2">
      <c r="J646" s="288"/>
      <c r="K646" s="288"/>
      <c r="L646" s="288"/>
      <c r="M646" s="288"/>
      <c r="N646" s="288"/>
    </row>
    <row r="647" spans="10:14" x14ac:dyDescent="0.2">
      <c r="J647" s="288"/>
      <c r="K647" s="288"/>
      <c r="L647" s="288"/>
      <c r="M647" s="288"/>
      <c r="N647" s="288"/>
    </row>
    <row r="648" spans="10:14" x14ac:dyDescent="0.2">
      <c r="J648" s="288"/>
      <c r="K648" s="288"/>
      <c r="L648" s="288"/>
      <c r="M648" s="288"/>
      <c r="N648" s="288"/>
    </row>
    <row r="649" spans="10:14" x14ac:dyDescent="0.2">
      <c r="J649" s="288"/>
      <c r="K649" s="288"/>
      <c r="L649" s="288"/>
      <c r="M649" s="288"/>
      <c r="N649" s="288"/>
    </row>
    <row r="650" spans="10:14" x14ac:dyDescent="0.2">
      <c r="J650" s="288"/>
      <c r="K650" s="288"/>
      <c r="L650" s="288"/>
      <c r="M650" s="288"/>
      <c r="N650" s="288"/>
    </row>
    <row r="651" spans="10:14" x14ac:dyDescent="0.2">
      <c r="J651" s="288"/>
      <c r="K651" s="288"/>
      <c r="L651" s="288"/>
      <c r="M651" s="288"/>
      <c r="N651" s="288"/>
    </row>
    <row r="652" spans="10:14" x14ac:dyDescent="0.2">
      <c r="J652" s="288"/>
      <c r="K652" s="288"/>
      <c r="L652" s="288"/>
      <c r="M652" s="288"/>
      <c r="N652" s="288"/>
    </row>
    <row r="653" spans="10:14" x14ac:dyDescent="0.2">
      <c r="J653" s="288"/>
      <c r="K653" s="288"/>
      <c r="L653" s="288"/>
      <c r="M653" s="288"/>
      <c r="N653" s="288"/>
    </row>
    <row r="654" spans="10:14" x14ac:dyDescent="0.2">
      <c r="J654" s="288"/>
      <c r="K654" s="288"/>
      <c r="L654" s="288"/>
      <c r="M654" s="288"/>
      <c r="N654" s="288"/>
    </row>
    <row r="655" spans="10:14" x14ac:dyDescent="0.2">
      <c r="J655" s="288"/>
      <c r="K655" s="288"/>
      <c r="L655" s="288"/>
      <c r="M655" s="288"/>
      <c r="N655" s="288"/>
    </row>
    <row r="656" spans="10:14" x14ac:dyDescent="0.2">
      <c r="J656" s="288"/>
      <c r="K656" s="288"/>
      <c r="L656" s="288"/>
      <c r="M656" s="288"/>
      <c r="N656" s="288"/>
    </row>
    <row r="657" spans="10:14" x14ac:dyDescent="0.2">
      <c r="J657" s="288"/>
      <c r="K657" s="288"/>
      <c r="L657" s="288"/>
      <c r="M657" s="288"/>
      <c r="N657" s="288"/>
    </row>
    <row r="658" spans="10:14" x14ac:dyDescent="0.2">
      <c r="J658" s="288"/>
      <c r="K658" s="288"/>
      <c r="L658" s="288"/>
      <c r="M658" s="288"/>
      <c r="N658" s="288"/>
    </row>
    <row r="659" spans="10:14" x14ac:dyDescent="0.2">
      <c r="J659" s="288"/>
      <c r="K659" s="288"/>
      <c r="L659" s="288"/>
      <c r="M659" s="288"/>
      <c r="N659" s="288"/>
    </row>
    <row r="660" spans="10:14" x14ac:dyDescent="0.2">
      <c r="J660" s="288"/>
      <c r="K660" s="288"/>
      <c r="L660" s="288"/>
      <c r="M660" s="288"/>
      <c r="N660" s="288"/>
    </row>
    <row r="661" spans="10:14" x14ac:dyDescent="0.2">
      <c r="J661" s="288"/>
      <c r="K661" s="288"/>
      <c r="L661" s="288"/>
      <c r="M661" s="288"/>
      <c r="N661" s="288"/>
    </row>
    <row r="662" spans="10:14" x14ac:dyDescent="0.2">
      <c r="J662" s="288"/>
      <c r="K662" s="288"/>
      <c r="L662" s="288"/>
      <c r="M662" s="288"/>
      <c r="N662" s="288"/>
    </row>
    <row r="663" spans="10:14" x14ac:dyDescent="0.2">
      <c r="J663" s="288"/>
      <c r="K663" s="288"/>
      <c r="L663" s="288"/>
      <c r="M663" s="288"/>
      <c r="N663" s="288"/>
    </row>
    <row r="664" spans="10:14" x14ac:dyDescent="0.2">
      <c r="J664" s="288"/>
      <c r="K664" s="288"/>
      <c r="L664" s="288"/>
      <c r="M664" s="288"/>
      <c r="N664" s="288"/>
    </row>
    <row r="665" spans="10:14" x14ac:dyDescent="0.2">
      <c r="J665" s="288"/>
      <c r="K665" s="288"/>
      <c r="L665" s="288"/>
      <c r="M665" s="288"/>
      <c r="N665" s="288"/>
    </row>
    <row r="666" spans="10:14" x14ac:dyDescent="0.2">
      <c r="J666" s="288"/>
      <c r="K666" s="288"/>
      <c r="L666" s="288"/>
      <c r="M666" s="288"/>
      <c r="N666" s="288"/>
    </row>
    <row r="667" spans="10:14" x14ac:dyDescent="0.2">
      <c r="J667" s="288"/>
      <c r="K667" s="288"/>
      <c r="L667" s="288"/>
      <c r="M667" s="288"/>
      <c r="N667" s="288"/>
    </row>
    <row r="668" spans="10:14" x14ac:dyDescent="0.2">
      <c r="J668" s="288"/>
      <c r="K668" s="288"/>
      <c r="L668" s="288"/>
      <c r="M668" s="288"/>
      <c r="N668" s="288"/>
    </row>
    <row r="669" spans="10:14" x14ac:dyDescent="0.2">
      <c r="J669" s="288"/>
      <c r="K669" s="288"/>
      <c r="L669" s="288"/>
      <c r="M669" s="288"/>
      <c r="N669" s="288"/>
    </row>
    <row r="670" spans="10:14" x14ac:dyDescent="0.2">
      <c r="J670" s="288"/>
      <c r="K670" s="288"/>
      <c r="L670" s="288"/>
      <c r="M670" s="288"/>
      <c r="N670" s="288"/>
    </row>
    <row r="671" spans="10:14" x14ac:dyDescent="0.2">
      <c r="J671" s="288"/>
      <c r="K671" s="288"/>
      <c r="L671" s="288"/>
      <c r="M671" s="288"/>
      <c r="N671" s="288"/>
    </row>
    <row r="672" spans="10:14" x14ac:dyDescent="0.2">
      <c r="J672" s="288"/>
      <c r="K672" s="288"/>
      <c r="L672" s="288"/>
      <c r="M672" s="288"/>
      <c r="N672" s="288"/>
    </row>
    <row r="673" spans="10:14" x14ac:dyDescent="0.2">
      <c r="J673" s="288"/>
      <c r="K673" s="288"/>
      <c r="L673" s="288"/>
      <c r="M673" s="288"/>
      <c r="N673" s="288"/>
    </row>
    <row r="674" spans="10:14" x14ac:dyDescent="0.2">
      <c r="J674" s="288"/>
      <c r="K674" s="288"/>
      <c r="L674" s="288"/>
      <c r="M674" s="288"/>
      <c r="N674" s="288"/>
    </row>
    <row r="675" spans="10:14" x14ac:dyDescent="0.2">
      <c r="J675" s="288"/>
      <c r="K675" s="288"/>
      <c r="L675" s="288"/>
      <c r="M675" s="288"/>
      <c r="N675" s="288"/>
    </row>
    <row r="676" spans="10:14" x14ac:dyDescent="0.2">
      <c r="J676" s="288"/>
      <c r="K676" s="288"/>
      <c r="L676" s="288"/>
      <c r="M676" s="288"/>
      <c r="N676" s="288"/>
    </row>
    <row r="677" spans="10:14" x14ac:dyDescent="0.2">
      <c r="J677" s="288"/>
      <c r="K677" s="288"/>
      <c r="L677" s="288"/>
      <c r="M677" s="288"/>
      <c r="N677" s="288"/>
    </row>
    <row r="678" spans="10:14" x14ac:dyDescent="0.2">
      <c r="J678" s="288"/>
      <c r="K678" s="288"/>
      <c r="L678" s="288"/>
      <c r="M678" s="288"/>
      <c r="N678" s="288"/>
    </row>
    <row r="679" spans="10:14" x14ac:dyDescent="0.2">
      <c r="J679" s="288"/>
      <c r="K679" s="288"/>
      <c r="L679" s="288"/>
      <c r="M679" s="288"/>
      <c r="N679" s="288"/>
    </row>
    <row r="680" spans="10:14" x14ac:dyDescent="0.2">
      <c r="J680" s="288"/>
      <c r="K680" s="288"/>
      <c r="L680" s="288"/>
      <c r="M680" s="288"/>
      <c r="N680" s="288"/>
    </row>
    <row r="681" spans="10:14" x14ac:dyDescent="0.2">
      <c r="J681" s="288"/>
      <c r="K681" s="288"/>
      <c r="L681" s="288"/>
      <c r="M681" s="288"/>
      <c r="N681" s="288"/>
    </row>
    <row r="682" spans="10:14" x14ac:dyDescent="0.2">
      <c r="J682" s="288"/>
      <c r="K682" s="288"/>
      <c r="L682" s="288"/>
      <c r="M682" s="288"/>
      <c r="N682" s="288"/>
    </row>
    <row r="683" spans="10:14" x14ac:dyDescent="0.2">
      <c r="J683" s="288"/>
      <c r="K683" s="288"/>
      <c r="L683" s="288"/>
      <c r="M683" s="288"/>
      <c r="N683" s="288"/>
    </row>
    <row r="684" spans="10:14" x14ac:dyDescent="0.2">
      <c r="J684" s="288"/>
      <c r="K684" s="288"/>
      <c r="L684" s="288"/>
      <c r="M684" s="288"/>
      <c r="N684" s="288"/>
    </row>
    <row r="685" spans="10:14" x14ac:dyDescent="0.2">
      <c r="J685" s="288"/>
      <c r="K685" s="288"/>
      <c r="L685" s="288"/>
      <c r="M685" s="288"/>
      <c r="N685" s="288"/>
    </row>
    <row r="686" spans="10:14" x14ac:dyDescent="0.2">
      <c r="J686" s="288"/>
      <c r="K686" s="288"/>
      <c r="L686" s="288"/>
      <c r="M686" s="288"/>
      <c r="N686" s="288"/>
    </row>
    <row r="687" spans="10:14" x14ac:dyDescent="0.2">
      <c r="J687" s="288"/>
      <c r="K687" s="288"/>
      <c r="L687" s="288"/>
      <c r="M687" s="288"/>
      <c r="N687" s="288"/>
    </row>
    <row r="688" spans="10:14" x14ac:dyDescent="0.2">
      <c r="J688" s="288"/>
      <c r="K688" s="288"/>
      <c r="L688" s="288"/>
      <c r="M688" s="288"/>
      <c r="N688" s="288"/>
    </row>
    <row r="689" spans="10:14" x14ac:dyDescent="0.2">
      <c r="J689" s="288"/>
      <c r="K689" s="288"/>
      <c r="L689" s="288"/>
      <c r="M689" s="288"/>
      <c r="N689" s="288"/>
    </row>
    <row r="690" spans="10:14" x14ac:dyDescent="0.2">
      <c r="J690" s="288"/>
      <c r="K690" s="288"/>
      <c r="L690" s="288"/>
      <c r="M690" s="288"/>
      <c r="N690" s="288"/>
    </row>
    <row r="691" spans="10:14" x14ac:dyDescent="0.2">
      <c r="J691" s="288"/>
      <c r="K691" s="288"/>
      <c r="L691" s="288"/>
      <c r="M691" s="288"/>
      <c r="N691" s="288"/>
    </row>
    <row r="692" spans="10:14" x14ac:dyDescent="0.2">
      <c r="J692" s="288"/>
      <c r="K692" s="288"/>
      <c r="L692" s="288"/>
      <c r="M692" s="288"/>
      <c r="N692" s="288"/>
    </row>
    <row r="693" spans="10:14" x14ac:dyDescent="0.2">
      <c r="J693" s="288"/>
      <c r="K693" s="288"/>
      <c r="L693" s="288"/>
      <c r="M693" s="288"/>
      <c r="N693" s="288"/>
    </row>
    <row r="694" spans="10:14" x14ac:dyDescent="0.2">
      <c r="J694" s="288"/>
      <c r="K694" s="288"/>
      <c r="L694" s="288"/>
      <c r="M694" s="288"/>
      <c r="N694" s="288"/>
    </row>
    <row r="695" spans="10:14" x14ac:dyDescent="0.2">
      <c r="J695" s="288"/>
      <c r="K695" s="288"/>
      <c r="L695" s="288"/>
      <c r="M695" s="288"/>
      <c r="N695" s="288"/>
    </row>
    <row r="696" spans="10:14" x14ac:dyDescent="0.2">
      <c r="J696" s="288"/>
      <c r="K696" s="288"/>
      <c r="L696" s="288"/>
      <c r="M696" s="288"/>
      <c r="N696" s="288"/>
    </row>
    <row r="697" spans="10:14" x14ac:dyDescent="0.2">
      <c r="J697" s="288"/>
      <c r="K697" s="288"/>
      <c r="L697" s="288"/>
      <c r="M697" s="288"/>
      <c r="N697" s="288"/>
    </row>
    <row r="698" spans="10:14" x14ac:dyDescent="0.2">
      <c r="J698" s="288"/>
      <c r="K698" s="288"/>
      <c r="L698" s="288"/>
      <c r="M698" s="288"/>
      <c r="N698" s="288"/>
    </row>
    <row r="699" spans="10:14" x14ac:dyDescent="0.2">
      <c r="J699" s="288"/>
      <c r="K699" s="288"/>
      <c r="L699" s="288"/>
      <c r="M699" s="288"/>
      <c r="N699" s="288"/>
    </row>
    <row r="700" spans="10:14" x14ac:dyDescent="0.2">
      <c r="J700" s="288"/>
      <c r="K700" s="288"/>
      <c r="L700" s="288"/>
      <c r="M700" s="288"/>
      <c r="N700" s="288"/>
    </row>
    <row r="701" spans="10:14" x14ac:dyDescent="0.2">
      <c r="J701" s="288"/>
      <c r="K701" s="288"/>
      <c r="L701" s="288"/>
      <c r="M701" s="288"/>
      <c r="N701" s="288"/>
    </row>
    <row r="702" spans="10:14" x14ac:dyDescent="0.2">
      <c r="J702" s="288"/>
      <c r="K702" s="288"/>
      <c r="L702" s="288"/>
      <c r="M702" s="288"/>
      <c r="N702" s="288"/>
    </row>
    <row r="703" spans="10:14" x14ac:dyDescent="0.2">
      <c r="J703" s="288"/>
      <c r="K703" s="288"/>
      <c r="L703" s="288"/>
      <c r="M703" s="288"/>
      <c r="N703" s="288"/>
    </row>
    <row r="704" spans="10:14" x14ac:dyDescent="0.2">
      <c r="J704" s="288"/>
      <c r="K704" s="288"/>
      <c r="L704" s="288"/>
      <c r="M704" s="288"/>
      <c r="N704" s="288"/>
    </row>
    <row r="705" spans="10:14" x14ac:dyDescent="0.2">
      <c r="J705" s="288"/>
      <c r="K705" s="288"/>
      <c r="L705" s="288"/>
      <c r="M705" s="288"/>
      <c r="N705" s="288"/>
    </row>
    <row r="706" spans="10:14" x14ac:dyDescent="0.2">
      <c r="J706" s="288"/>
      <c r="K706" s="288"/>
      <c r="L706" s="288"/>
      <c r="M706" s="288"/>
      <c r="N706" s="288"/>
    </row>
    <row r="707" spans="10:14" x14ac:dyDescent="0.2">
      <c r="J707" s="288"/>
      <c r="K707" s="288"/>
      <c r="L707" s="288"/>
      <c r="M707" s="288"/>
      <c r="N707" s="288"/>
    </row>
    <row r="708" spans="10:14" x14ac:dyDescent="0.2">
      <c r="J708" s="288"/>
      <c r="K708" s="288"/>
      <c r="L708" s="288"/>
      <c r="M708" s="288"/>
      <c r="N708" s="288"/>
    </row>
    <row r="709" spans="10:14" x14ac:dyDescent="0.2">
      <c r="J709" s="288"/>
      <c r="K709" s="288"/>
      <c r="L709" s="288"/>
      <c r="M709" s="288"/>
      <c r="N709" s="288"/>
    </row>
    <row r="710" spans="10:14" x14ac:dyDescent="0.2">
      <c r="J710" s="288"/>
      <c r="K710" s="288"/>
      <c r="L710" s="288"/>
      <c r="M710" s="288"/>
      <c r="N710" s="288"/>
    </row>
    <row r="711" spans="10:14" x14ac:dyDescent="0.2">
      <c r="J711" s="288"/>
      <c r="K711" s="288"/>
      <c r="L711" s="288"/>
      <c r="M711" s="288"/>
      <c r="N711" s="288"/>
    </row>
    <row r="712" spans="10:14" x14ac:dyDescent="0.2">
      <c r="J712" s="288"/>
      <c r="K712" s="288"/>
      <c r="L712" s="288"/>
      <c r="M712" s="288"/>
      <c r="N712" s="288"/>
    </row>
    <row r="713" spans="10:14" x14ac:dyDescent="0.2">
      <c r="J713" s="288"/>
      <c r="K713" s="288"/>
      <c r="L713" s="288"/>
      <c r="M713" s="288"/>
      <c r="N713" s="288"/>
    </row>
    <row r="714" spans="10:14" x14ac:dyDescent="0.2">
      <c r="J714" s="288"/>
      <c r="K714" s="288"/>
      <c r="L714" s="288"/>
      <c r="M714" s="288"/>
      <c r="N714" s="288"/>
    </row>
    <row r="715" spans="10:14" x14ac:dyDescent="0.2">
      <c r="J715" s="288"/>
      <c r="K715" s="288"/>
      <c r="L715" s="288"/>
      <c r="M715" s="288"/>
      <c r="N715" s="288"/>
    </row>
    <row r="716" spans="10:14" x14ac:dyDescent="0.2">
      <c r="J716" s="288"/>
      <c r="K716" s="288"/>
      <c r="L716" s="288"/>
      <c r="M716" s="288"/>
      <c r="N716" s="288"/>
    </row>
    <row r="717" spans="10:14" x14ac:dyDescent="0.2">
      <c r="J717" s="288"/>
      <c r="K717" s="288"/>
      <c r="L717" s="288"/>
      <c r="M717" s="288"/>
      <c r="N717" s="288"/>
    </row>
    <row r="718" spans="10:14" x14ac:dyDescent="0.2">
      <c r="J718" s="288"/>
      <c r="K718" s="288"/>
      <c r="L718" s="288"/>
      <c r="M718" s="288"/>
      <c r="N718" s="288"/>
    </row>
    <row r="719" spans="10:14" x14ac:dyDescent="0.2">
      <c r="J719" s="288"/>
      <c r="K719" s="288"/>
      <c r="L719" s="288"/>
      <c r="M719" s="288"/>
      <c r="N719" s="288"/>
    </row>
    <row r="720" spans="10:14" x14ac:dyDescent="0.2">
      <c r="J720" s="288"/>
      <c r="K720" s="288"/>
      <c r="L720" s="288"/>
      <c r="M720" s="288"/>
      <c r="N720" s="288"/>
    </row>
    <row r="721" spans="10:14" x14ac:dyDescent="0.2">
      <c r="J721" s="288"/>
      <c r="K721" s="288"/>
      <c r="L721" s="288"/>
      <c r="M721" s="288"/>
      <c r="N721" s="288"/>
    </row>
    <row r="722" spans="10:14" x14ac:dyDescent="0.2">
      <c r="J722" s="288"/>
      <c r="K722" s="288"/>
      <c r="L722" s="288"/>
      <c r="M722" s="288"/>
      <c r="N722" s="288"/>
    </row>
    <row r="723" spans="10:14" x14ac:dyDescent="0.2">
      <c r="J723" s="288"/>
      <c r="K723" s="288"/>
      <c r="L723" s="288"/>
      <c r="M723" s="288"/>
      <c r="N723" s="288"/>
    </row>
    <row r="724" spans="10:14" x14ac:dyDescent="0.2">
      <c r="J724" s="288"/>
      <c r="K724" s="288"/>
      <c r="L724" s="288"/>
      <c r="M724" s="288"/>
      <c r="N724" s="288"/>
    </row>
    <row r="725" spans="10:14" x14ac:dyDescent="0.2">
      <c r="J725" s="288"/>
      <c r="K725" s="288"/>
      <c r="L725" s="288"/>
      <c r="M725" s="288"/>
      <c r="N725" s="288"/>
    </row>
    <row r="726" spans="10:14" x14ac:dyDescent="0.2">
      <c r="J726" s="288"/>
      <c r="K726" s="288"/>
      <c r="L726" s="288"/>
      <c r="M726" s="288"/>
      <c r="N726" s="288"/>
    </row>
    <row r="727" spans="10:14" x14ac:dyDescent="0.2">
      <c r="J727" s="288"/>
      <c r="K727" s="288"/>
      <c r="L727" s="288"/>
      <c r="M727" s="288"/>
      <c r="N727" s="288"/>
    </row>
    <row r="728" spans="10:14" x14ac:dyDescent="0.2">
      <c r="J728" s="288"/>
      <c r="K728" s="288"/>
      <c r="L728" s="288"/>
      <c r="M728" s="288"/>
      <c r="N728" s="288"/>
    </row>
    <row r="729" spans="10:14" x14ac:dyDescent="0.2">
      <c r="J729" s="288"/>
      <c r="K729" s="288"/>
      <c r="L729" s="288"/>
      <c r="M729" s="288"/>
      <c r="N729" s="288"/>
    </row>
    <row r="730" spans="10:14" x14ac:dyDescent="0.2">
      <c r="J730" s="288"/>
      <c r="K730" s="288"/>
      <c r="L730" s="288"/>
      <c r="M730" s="288"/>
      <c r="N730" s="288"/>
    </row>
    <row r="731" spans="10:14" x14ac:dyDescent="0.2">
      <c r="J731" s="288"/>
      <c r="K731" s="288"/>
      <c r="L731" s="288"/>
      <c r="M731" s="288"/>
      <c r="N731" s="288"/>
    </row>
    <row r="732" spans="10:14" x14ac:dyDescent="0.2">
      <c r="J732" s="288"/>
      <c r="K732" s="288"/>
      <c r="L732" s="288"/>
      <c r="M732" s="288"/>
      <c r="N732" s="288"/>
    </row>
    <row r="733" spans="10:14" x14ac:dyDescent="0.2">
      <c r="J733" s="288"/>
      <c r="K733" s="288"/>
      <c r="L733" s="288"/>
      <c r="M733" s="288"/>
      <c r="N733" s="288"/>
    </row>
    <row r="734" spans="10:14" x14ac:dyDescent="0.2">
      <c r="J734" s="288"/>
      <c r="K734" s="288"/>
      <c r="L734" s="288"/>
      <c r="M734" s="288"/>
      <c r="N734" s="288"/>
    </row>
    <row r="735" spans="10:14" x14ac:dyDescent="0.2">
      <c r="J735" s="288"/>
      <c r="K735" s="288"/>
      <c r="L735" s="288"/>
      <c r="M735" s="288"/>
      <c r="N735" s="288"/>
    </row>
    <row r="736" spans="10:14" x14ac:dyDescent="0.2">
      <c r="J736" s="288"/>
      <c r="K736" s="288"/>
      <c r="L736" s="288"/>
      <c r="M736" s="288"/>
      <c r="N736" s="288"/>
    </row>
    <row r="737" spans="10:14" x14ac:dyDescent="0.2">
      <c r="J737" s="288"/>
      <c r="K737" s="288"/>
      <c r="L737" s="288"/>
      <c r="M737" s="288"/>
      <c r="N737" s="288"/>
    </row>
    <row r="738" spans="10:14" x14ac:dyDescent="0.2">
      <c r="J738" s="288"/>
      <c r="K738" s="288"/>
      <c r="L738" s="288"/>
      <c r="M738" s="288"/>
      <c r="N738" s="288"/>
    </row>
    <row r="739" spans="10:14" x14ac:dyDescent="0.2">
      <c r="J739" s="288"/>
      <c r="K739" s="288"/>
      <c r="L739" s="288"/>
      <c r="M739" s="288"/>
      <c r="N739" s="288"/>
    </row>
    <row r="740" spans="10:14" x14ac:dyDescent="0.2">
      <c r="J740" s="288"/>
      <c r="K740" s="288"/>
      <c r="L740" s="288"/>
      <c r="M740" s="288"/>
      <c r="N740" s="288"/>
    </row>
    <row r="741" spans="10:14" x14ac:dyDescent="0.2">
      <c r="J741" s="288"/>
      <c r="K741" s="288"/>
      <c r="L741" s="288"/>
      <c r="M741" s="288"/>
      <c r="N741" s="288"/>
    </row>
    <row r="742" spans="10:14" x14ac:dyDescent="0.2">
      <c r="J742" s="288"/>
      <c r="K742" s="288"/>
      <c r="L742" s="288"/>
      <c r="M742" s="288"/>
      <c r="N742" s="288"/>
    </row>
    <row r="743" spans="10:14" x14ac:dyDescent="0.2">
      <c r="J743" s="288"/>
      <c r="K743" s="288"/>
      <c r="L743" s="288"/>
      <c r="M743" s="288"/>
      <c r="N743" s="288"/>
    </row>
    <row r="744" spans="10:14" x14ac:dyDescent="0.2">
      <c r="J744" s="288"/>
      <c r="K744" s="288"/>
      <c r="L744" s="288"/>
      <c r="M744" s="288"/>
      <c r="N744" s="288"/>
    </row>
    <row r="745" spans="10:14" x14ac:dyDescent="0.2">
      <c r="J745" s="288"/>
      <c r="K745" s="288"/>
      <c r="L745" s="288"/>
      <c r="M745" s="288"/>
      <c r="N745" s="288"/>
    </row>
    <row r="746" spans="10:14" x14ac:dyDescent="0.2">
      <c r="J746" s="288"/>
      <c r="K746" s="288"/>
      <c r="L746" s="288"/>
      <c r="M746" s="288"/>
      <c r="N746" s="288"/>
    </row>
    <row r="747" spans="10:14" x14ac:dyDescent="0.2">
      <c r="J747" s="288"/>
      <c r="K747" s="288"/>
      <c r="L747" s="288"/>
      <c r="M747" s="288"/>
      <c r="N747" s="288"/>
    </row>
    <row r="748" spans="10:14" x14ac:dyDescent="0.2">
      <c r="J748" s="288"/>
      <c r="K748" s="288"/>
      <c r="L748" s="288"/>
      <c r="M748" s="288"/>
      <c r="N748" s="288"/>
    </row>
    <row r="749" spans="10:14" x14ac:dyDescent="0.2">
      <c r="J749" s="288"/>
      <c r="K749" s="288"/>
      <c r="L749" s="288"/>
      <c r="M749" s="288"/>
      <c r="N749" s="288"/>
    </row>
    <row r="750" spans="10:14" x14ac:dyDescent="0.2">
      <c r="J750" s="288"/>
      <c r="K750" s="288"/>
      <c r="L750" s="288"/>
      <c r="M750" s="288"/>
      <c r="N750" s="288"/>
    </row>
    <row r="751" spans="10:14" x14ac:dyDescent="0.2">
      <c r="J751" s="288"/>
      <c r="K751" s="288"/>
      <c r="L751" s="288"/>
      <c r="M751" s="288"/>
      <c r="N751" s="288"/>
    </row>
    <row r="752" spans="10:14" x14ac:dyDescent="0.2">
      <c r="J752" s="288"/>
      <c r="K752" s="288"/>
      <c r="L752" s="288"/>
      <c r="M752" s="288"/>
      <c r="N752" s="288"/>
    </row>
    <row r="753" spans="10:14" x14ac:dyDescent="0.2">
      <c r="J753" s="288"/>
      <c r="K753" s="288"/>
      <c r="L753" s="288"/>
      <c r="M753" s="288"/>
      <c r="N753" s="288"/>
    </row>
    <row r="754" spans="10:14" x14ac:dyDescent="0.2">
      <c r="J754" s="288"/>
      <c r="K754" s="288"/>
      <c r="L754" s="288"/>
      <c r="M754" s="288"/>
      <c r="N754" s="288"/>
    </row>
    <row r="755" spans="10:14" x14ac:dyDescent="0.2">
      <c r="J755" s="288"/>
      <c r="K755" s="288"/>
      <c r="L755" s="288"/>
      <c r="M755" s="288"/>
      <c r="N755" s="288"/>
    </row>
    <row r="756" spans="10:14" x14ac:dyDescent="0.2">
      <c r="J756" s="288"/>
      <c r="K756" s="288"/>
      <c r="L756" s="288"/>
      <c r="M756" s="288"/>
      <c r="N756" s="288"/>
    </row>
    <row r="757" spans="10:14" x14ac:dyDescent="0.2">
      <c r="J757" s="288"/>
      <c r="K757" s="288"/>
      <c r="L757" s="288"/>
      <c r="M757" s="288"/>
      <c r="N757" s="288"/>
    </row>
    <row r="758" spans="10:14" x14ac:dyDescent="0.2">
      <c r="J758" s="288"/>
      <c r="K758" s="288"/>
      <c r="L758" s="288"/>
      <c r="M758" s="288"/>
      <c r="N758" s="288"/>
    </row>
    <row r="759" spans="10:14" x14ac:dyDescent="0.2">
      <c r="J759" s="288"/>
      <c r="K759" s="288"/>
      <c r="L759" s="288"/>
      <c r="M759" s="288"/>
      <c r="N759" s="288"/>
    </row>
    <row r="760" spans="10:14" x14ac:dyDescent="0.2">
      <c r="J760" s="288"/>
      <c r="K760" s="288"/>
      <c r="L760" s="288"/>
      <c r="M760" s="288"/>
      <c r="N760" s="288"/>
    </row>
    <row r="761" spans="10:14" x14ac:dyDescent="0.2">
      <c r="J761" s="288"/>
      <c r="K761" s="288"/>
      <c r="L761" s="288"/>
      <c r="M761" s="288"/>
      <c r="N761" s="288"/>
    </row>
    <row r="762" spans="10:14" x14ac:dyDescent="0.2">
      <c r="J762" s="288"/>
      <c r="K762" s="288"/>
      <c r="L762" s="288"/>
      <c r="M762" s="288"/>
      <c r="N762" s="288"/>
    </row>
    <row r="763" spans="10:14" x14ac:dyDescent="0.2">
      <c r="J763" s="288"/>
      <c r="K763" s="288"/>
      <c r="L763" s="288"/>
      <c r="M763" s="288"/>
      <c r="N763" s="288"/>
    </row>
    <row r="764" spans="10:14" x14ac:dyDescent="0.2">
      <c r="J764" s="288"/>
      <c r="K764" s="288"/>
      <c r="L764" s="288"/>
      <c r="M764" s="288"/>
      <c r="N764" s="288"/>
    </row>
    <row r="765" spans="10:14" x14ac:dyDescent="0.2">
      <c r="J765" s="288"/>
      <c r="K765" s="288"/>
      <c r="L765" s="288"/>
      <c r="M765" s="288"/>
      <c r="N765" s="288"/>
    </row>
    <row r="766" spans="10:14" x14ac:dyDescent="0.2">
      <c r="J766" s="288"/>
      <c r="K766" s="288"/>
      <c r="L766" s="288"/>
      <c r="M766" s="288"/>
      <c r="N766" s="288"/>
    </row>
    <row r="767" spans="10:14" x14ac:dyDescent="0.2">
      <c r="J767" s="288"/>
      <c r="K767" s="288"/>
      <c r="L767" s="288"/>
      <c r="M767" s="288"/>
      <c r="N767" s="288"/>
    </row>
    <row r="768" spans="10:14" x14ac:dyDescent="0.2">
      <c r="J768" s="288"/>
      <c r="K768" s="288"/>
      <c r="L768" s="288"/>
      <c r="M768" s="288"/>
      <c r="N768" s="288"/>
    </row>
    <row r="769" spans="10:14" x14ac:dyDescent="0.2">
      <c r="J769" s="288"/>
      <c r="K769" s="288"/>
      <c r="L769" s="288"/>
      <c r="M769" s="288"/>
      <c r="N769" s="288"/>
    </row>
    <row r="770" spans="10:14" x14ac:dyDescent="0.2">
      <c r="J770" s="288"/>
      <c r="K770" s="288"/>
      <c r="L770" s="288"/>
      <c r="M770" s="288"/>
      <c r="N770" s="288"/>
    </row>
    <row r="771" spans="10:14" x14ac:dyDescent="0.2">
      <c r="J771" s="288"/>
      <c r="K771" s="288"/>
      <c r="L771" s="288"/>
      <c r="M771" s="288"/>
      <c r="N771" s="288"/>
    </row>
    <row r="772" spans="10:14" x14ac:dyDescent="0.2">
      <c r="J772" s="288"/>
      <c r="K772" s="288"/>
      <c r="L772" s="288"/>
      <c r="M772" s="288"/>
      <c r="N772" s="288"/>
    </row>
    <row r="773" spans="10:14" x14ac:dyDescent="0.2">
      <c r="J773" s="288"/>
      <c r="K773" s="288"/>
      <c r="L773" s="288"/>
      <c r="M773" s="288"/>
      <c r="N773" s="288"/>
    </row>
    <row r="774" spans="10:14" x14ac:dyDescent="0.2">
      <c r="J774" s="288"/>
      <c r="K774" s="288"/>
      <c r="L774" s="288"/>
      <c r="M774" s="288"/>
      <c r="N774" s="288"/>
    </row>
    <row r="775" spans="10:14" x14ac:dyDescent="0.2">
      <c r="J775" s="288"/>
      <c r="K775" s="288"/>
      <c r="L775" s="288"/>
      <c r="M775" s="288"/>
      <c r="N775" s="288"/>
    </row>
    <row r="776" spans="10:14" x14ac:dyDescent="0.2">
      <c r="J776" s="288"/>
      <c r="K776" s="288"/>
      <c r="L776" s="288"/>
      <c r="M776" s="288"/>
      <c r="N776" s="288"/>
    </row>
    <row r="777" spans="10:14" x14ac:dyDescent="0.2">
      <c r="J777" s="288"/>
      <c r="K777" s="288"/>
      <c r="L777" s="288"/>
      <c r="M777" s="288"/>
      <c r="N777" s="288"/>
    </row>
    <row r="778" spans="10:14" x14ac:dyDescent="0.2">
      <c r="J778" s="288"/>
      <c r="K778" s="288"/>
      <c r="L778" s="288"/>
      <c r="M778" s="288"/>
      <c r="N778" s="288"/>
    </row>
    <row r="779" spans="10:14" x14ac:dyDescent="0.2">
      <c r="J779" s="288"/>
      <c r="K779" s="288"/>
      <c r="L779" s="288"/>
      <c r="M779" s="288"/>
      <c r="N779" s="288"/>
    </row>
    <row r="780" spans="10:14" x14ac:dyDescent="0.2">
      <c r="J780" s="288"/>
      <c r="K780" s="288"/>
      <c r="L780" s="288"/>
      <c r="M780" s="288"/>
      <c r="N780" s="288"/>
    </row>
    <row r="781" spans="10:14" x14ac:dyDescent="0.2">
      <c r="J781" s="288"/>
      <c r="K781" s="288"/>
      <c r="L781" s="288"/>
      <c r="M781" s="288"/>
      <c r="N781" s="288"/>
    </row>
    <row r="782" spans="10:14" x14ac:dyDescent="0.2">
      <c r="J782" s="288"/>
      <c r="K782" s="288"/>
      <c r="L782" s="288"/>
      <c r="M782" s="288"/>
      <c r="N782" s="288"/>
    </row>
    <row r="783" spans="10:14" x14ac:dyDescent="0.2">
      <c r="J783" s="288"/>
      <c r="K783" s="288"/>
      <c r="L783" s="288"/>
      <c r="M783" s="288"/>
      <c r="N783" s="288"/>
    </row>
    <row r="784" spans="10:14" x14ac:dyDescent="0.2">
      <c r="J784" s="288"/>
      <c r="K784" s="288"/>
      <c r="L784" s="288"/>
      <c r="M784" s="288"/>
      <c r="N784" s="288"/>
    </row>
    <row r="785" spans="10:14" x14ac:dyDescent="0.2">
      <c r="J785" s="288"/>
      <c r="K785" s="288"/>
      <c r="L785" s="288"/>
      <c r="M785" s="288"/>
      <c r="N785" s="288"/>
    </row>
    <row r="786" spans="10:14" x14ac:dyDescent="0.2">
      <c r="J786" s="288"/>
      <c r="K786" s="288"/>
      <c r="L786" s="288"/>
      <c r="M786" s="288"/>
      <c r="N786" s="288"/>
    </row>
    <row r="787" spans="10:14" x14ac:dyDescent="0.2">
      <c r="J787" s="288"/>
      <c r="K787" s="288"/>
      <c r="L787" s="288"/>
      <c r="M787" s="288"/>
      <c r="N787" s="288"/>
    </row>
    <row r="788" spans="10:14" x14ac:dyDescent="0.2">
      <c r="J788" s="288"/>
      <c r="K788" s="288"/>
      <c r="L788" s="288"/>
      <c r="M788" s="288"/>
      <c r="N788" s="288"/>
    </row>
    <row r="789" spans="10:14" x14ac:dyDescent="0.2">
      <c r="J789" s="288"/>
      <c r="K789" s="288"/>
      <c r="L789" s="288"/>
      <c r="M789" s="288"/>
      <c r="N789" s="288"/>
    </row>
    <row r="790" spans="10:14" x14ac:dyDescent="0.2">
      <c r="J790" s="288"/>
      <c r="K790" s="288"/>
      <c r="L790" s="288"/>
      <c r="M790" s="288"/>
      <c r="N790" s="288"/>
    </row>
    <row r="791" spans="10:14" x14ac:dyDescent="0.2">
      <c r="J791" s="288"/>
      <c r="K791" s="288"/>
      <c r="L791" s="288"/>
      <c r="M791" s="288"/>
      <c r="N791" s="288"/>
    </row>
    <row r="792" spans="10:14" x14ac:dyDescent="0.2">
      <c r="J792" s="288"/>
      <c r="K792" s="288"/>
      <c r="L792" s="288"/>
      <c r="M792" s="288"/>
      <c r="N792" s="288"/>
    </row>
    <row r="793" spans="10:14" x14ac:dyDescent="0.2">
      <c r="J793" s="288"/>
      <c r="K793" s="288"/>
      <c r="L793" s="288"/>
      <c r="M793" s="288"/>
      <c r="N793" s="288"/>
    </row>
    <row r="794" spans="10:14" x14ac:dyDescent="0.2">
      <c r="J794" s="288"/>
      <c r="K794" s="288"/>
      <c r="L794" s="288"/>
      <c r="M794" s="288"/>
      <c r="N794" s="288"/>
    </row>
    <row r="795" spans="10:14" x14ac:dyDescent="0.2">
      <c r="J795" s="288"/>
      <c r="K795" s="288"/>
      <c r="L795" s="288"/>
      <c r="M795" s="288"/>
      <c r="N795" s="288"/>
    </row>
    <row r="796" spans="10:14" x14ac:dyDescent="0.2">
      <c r="J796" s="288"/>
      <c r="K796" s="288"/>
      <c r="L796" s="288"/>
      <c r="M796" s="288"/>
      <c r="N796" s="288"/>
    </row>
    <row r="797" spans="10:14" x14ac:dyDescent="0.2">
      <c r="J797" s="288"/>
      <c r="K797" s="288"/>
      <c r="L797" s="288"/>
      <c r="M797" s="288"/>
      <c r="N797" s="288"/>
    </row>
    <row r="798" spans="10:14" x14ac:dyDescent="0.2">
      <c r="J798" s="288"/>
      <c r="K798" s="288"/>
      <c r="L798" s="288"/>
      <c r="M798" s="288"/>
      <c r="N798" s="288"/>
    </row>
    <row r="799" spans="10:14" x14ac:dyDescent="0.2">
      <c r="J799" s="288"/>
      <c r="K799" s="288"/>
      <c r="L799" s="288"/>
      <c r="M799" s="288"/>
      <c r="N799" s="288"/>
    </row>
    <row r="800" spans="10:14" x14ac:dyDescent="0.2">
      <c r="J800" s="288"/>
      <c r="K800" s="288"/>
      <c r="L800" s="288"/>
      <c r="M800" s="288"/>
      <c r="N800" s="288"/>
    </row>
    <row r="801" spans="10:14" x14ac:dyDescent="0.2">
      <c r="J801" s="288"/>
      <c r="K801" s="288"/>
      <c r="L801" s="288"/>
      <c r="M801" s="288"/>
      <c r="N801" s="288"/>
    </row>
    <row r="802" spans="10:14" x14ac:dyDescent="0.2">
      <c r="J802" s="288"/>
      <c r="K802" s="288"/>
      <c r="L802" s="288"/>
      <c r="M802" s="288"/>
      <c r="N802" s="288"/>
    </row>
    <row r="803" spans="10:14" x14ac:dyDescent="0.2">
      <c r="J803" s="288"/>
      <c r="K803" s="288"/>
      <c r="L803" s="288"/>
      <c r="M803" s="288"/>
      <c r="N803" s="288"/>
    </row>
    <row r="804" spans="10:14" x14ac:dyDescent="0.2">
      <c r="J804" s="288"/>
      <c r="K804" s="288"/>
      <c r="L804" s="288"/>
      <c r="M804" s="288"/>
      <c r="N804" s="288"/>
    </row>
    <row r="805" spans="10:14" x14ac:dyDescent="0.2">
      <c r="J805" s="288"/>
      <c r="K805" s="288"/>
      <c r="L805" s="288"/>
      <c r="M805" s="288"/>
      <c r="N805" s="288"/>
    </row>
    <row r="806" spans="10:14" x14ac:dyDescent="0.2">
      <c r="J806" s="288"/>
      <c r="K806" s="288"/>
      <c r="L806" s="288"/>
      <c r="M806" s="288"/>
      <c r="N806" s="288"/>
    </row>
    <row r="807" spans="10:14" x14ac:dyDescent="0.2">
      <c r="J807" s="288"/>
      <c r="K807" s="288"/>
      <c r="L807" s="288"/>
      <c r="M807" s="288"/>
      <c r="N807" s="288"/>
    </row>
    <row r="808" spans="10:14" x14ac:dyDescent="0.2">
      <c r="J808" s="288"/>
      <c r="K808" s="288"/>
      <c r="L808" s="288"/>
      <c r="M808" s="288"/>
      <c r="N808" s="288"/>
    </row>
    <row r="809" spans="10:14" x14ac:dyDescent="0.2">
      <c r="J809" s="288"/>
      <c r="K809" s="288"/>
      <c r="L809" s="288"/>
      <c r="M809" s="288"/>
      <c r="N809" s="288"/>
    </row>
    <row r="810" spans="10:14" x14ac:dyDescent="0.2">
      <c r="J810" s="288"/>
      <c r="K810" s="288"/>
      <c r="L810" s="288"/>
      <c r="M810" s="288"/>
      <c r="N810" s="288"/>
    </row>
    <row r="811" spans="10:14" x14ac:dyDescent="0.2">
      <c r="J811" s="288"/>
      <c r="K811" s="288"/>
      <c r="L811" s="288"/>
      <c r="M811" s="288"/>
      <c r="N811" s="288"/>
    </row>
    <row r="812" spans="10:14" x14ac:dyDescent="0.2">
      <c r="J812" s="288"/>
      <c r="K812" s="288"/>
      <c r="L812" s="288"/>
      <c r="M812" s="288"/>
      <c r="N812" s="288"/>
    </row>
    <row r="813" spans="10:14" x14ac:dyDescent="0.2">
      <c r="J813" s="288"/>
      <c r="K813" s="288"/>
      <c r="L813" s="288"/>
      <c r="M813" s="288"/>
      <c r="N813" s="288"/>
    </row>
    <row r="814" spans="10:14" x14ac:dyDescent="0.2">
      <c r="J814" s="288"/>
      <c r="K814" s="288"/>
      <c r="L814" s="288"/>
      <c r="M814" s="288"/>
      <c r="N814" s="288"/>
    </row>
    <row r="815" spans="10:14" x14ac:dyDescent="0.2">
      <c r="J815" s="288"/>
      <c r="K815" s="288"/>
      <c r="L815" s="288"/>
      <c r="M815" s="288"/>
      <c r="N815" s="288"/>
    </row>
    <row r="816" spans="10:14" x14ac:dyDescent="0.2">
      <c r="J816" s="288"/>
      <c r="K816" s="288"/>
      <c r="L816" s="288"/>
      <c r="M816" s="288"/>
      <c r="N816" s="288"/>
    </row>
    <row r="817" spans="10:14" x14ac:dyDescent="0.2">
      <c r="J817" s="288"/>
      <c r="K817" s="288"/>
      <c r="L817" s="288"/>
      <c r="M817" s="288"/>
      <c r="N817" s="288"/>
    </row>
    <row r="818" spans="10:14" x14ac:dyDescent="0.2">
      <c r="J818" s="288"/>
      <c r="K818" s="288"/>
      <c r="L818" s="288"/>
      <c r="M818" s="288"/>
      <c r="N818" s="288"/>
    </row>
    <row r="819" spans="10:14" x14ac:dyDescent="0.2">
      <c r="J819" s="288"/>
      <c r="K819" s="288"/>
      <c r="L819" s="288"/>
      <c r="M819" s="288"/>
      <c r="N819" s="288"/>
    </row>
    <row r="820" spans="10:14" x14ac:dyDescent="0.2">
      <c r="J820" s="288"/>
      <c r="K820" s="288"/>
      <c r="L820" s="288"/>
      <c r="M820" s="288"/>
      <c r="N820" s="288"/>
    </row>
    <row r="821" spans="10:14" x14ac:dyDescent="0.2">
      <c r="J821" s="288"/>
      <c r="K821" s="288"/>
      <c r="L821" s="288"/>
      <c r="M821" s="288"/>
      <c r="N821" s="288"/>
    </row>
    <row r="822" spans="10:14" x14ac:dyDescent="0.2">
      <c r="J822" s="288"/>
      <c r="K822" s="288"/>
      <c r="L822" s="288"/>
      <c r="M822" s="288"/>
      <c r="N822" s="288"/>
    </row>
    <row r="823" spans="10:14" x14ac:dyDescent="0.2">
      <c r="J823" s="288"/>
      <c r="K823" s="288"/>
      <c r="L823" s="288"/>
      <c r="M823" s="288"/>
      <c r="N823" s="288"/>
    </row>
    <row r="824" spans="10:14" x14ac:dyDescent="0.2">
      <c r="J824" s="288"/>
      <c r="K824" s="288"/>
      <c r="L824" s="288"/>
      <c r="M824" s="288"/>
      <c r="N824" s="288"/>
    </row>
    <row r="825" spans="10:14" x14ac:dyDescent="0.2">
      <c r="J825" s="288"/>
      <c r="K825" s="288"/>
      <c r="L825" s="288"/>
      <c r="M825" s="288"/>
      <c r="N825" s="288"/>
    </row>
    <row r="826" spans="10:14" x14ac:dyDescent="0.2">
      <c r="J826" s="288"/>
      <c r="K826" s="288"/>
      <c r="L826" s="288"/>
      <c r="M826" s="288"/>
      <c r="N826" s="288"/>
    </row>
    <row r="827" spans="10:14" x14ac:dyDescent="0.2">
      <c r="J827" s="288"/>
      <c r="K827" s="288"/>
      <c r="L827" s="288"/>
      <c r="M827" s="288"/>
      <c r="N827" s="288"/>
    </row>
    <row r="828" spans="10:14" x14ac:dyDescent="0.2">
      <c r="J828" s="288"/>
      <c r="K828" s="288"/>
      <c r="L828" s="288"/>
      <c r="M828" s="288"/>
      <c r="N828" s="288"/>
    </row>
    <row r="829" spans="10:14" x14ac:dyDescent="0.2">
      <c r="J829" s="288"/>
      <c r="K829" s="288"/>
      <c r="L829" s="288"/>
      <c r="M829" s="288"/>
      <c r="N829" s="288"/>
    </row>
    <row r="830" spans="10:14" x14ac:dyDescent="0.2">
      <c r="J830" s="288"/>
      <c r="K830" s="288"/>
      <c r="L830" s="288"/>
      <c r="M830" s="288"/>
      <c r="N830" s="288"/>
    </row>
    <row r="831" spans="10:14" x14ac:dyDescent="0.2">
      <c r="J831" s="288"/>
      <c r="K831" s="288"/>
      <c r="L831" s="288"/>
      <c r="M831" s="288"/>
      <c r="N831" s="288"/>
    </row>
    <row r="832" spans="10:14" x14ac:dyDescent="0.2">
      <c r="J832" s="288"/>
      <c r="K832" s="288"/>
      <c r="L832" s="288"/>
      <c r="M832" s="288"/>
      <c r="N832" s="288"/>
    </row>
    <row r="833" spans="10:14" x14ac:dyDescent="0.2">
      <c r="J833" s="288"/>
      <c r="K833" s="288"/>
      <c r="L833" s="288"/>
      <c r="M833" s="288"/>
      <c r="N833" s="288"/>
    </row>
    <row r="834" spans="10:14" x14ac:dyDescent="0.2">
      <c r="J834" s="288"/>
      <c r="K834" s="288"/>
      <c r="L834" s="288"/>
      <c r="M834" s="288"/>
      <c r="N834" s="288"/>
    </row>
    <row r="835" spans="10:14" x14ac:dyDescent="0.2">
      <c r="J835" s="288"/>
      <c r="K835" s="288"/>
      <c r="L835" s="288"/>
      <c r="M835" s="288"/>
      <c r="N835" s="288"/>
    </row>
    <row r="836" spans="10:14" x14ac:dyDescent="0.2">
      <c r="J836" s="288"/>
      <c r="K836" s="288"/>
      <c r="L836" s="288"/>
      <c r="M836" s="288"/>
      <c r="N836" s="288"/>
    </row>
    <row r="837" spans="10:14" x14ac:dyDescent="0.2">
      <c r="J837" s="288"/>
      <c r="K837" s="288"/>
      <c r="L837" s="288"/>
      <c r="M837" s="288"/>
      <c r="N837" s="288"/>
    </row>
    <row r="838" spans="10:14" x14ac:dyDescent="0.2">
      <c r="J838" s="288"/>
      <c r="K838" s="288"/>
      <c r="L838" s="288"/>
      <c r="M838" s="288"/>
      <c r="N838" s="288"/>
    </row>
    <row r="839" spans="10:14" x14ac:dyDescent="0.2">
      <c r="J839" s="288"/>
      <c r="K839" s="288"/>
      <c r="L839" s="288"/>
      <c r="M839" s="288"/>
      <c r="N839" s="288"/>
    </row>
    <row r="840" spans="10:14" x14ac:dyDescent="0.2">
      <c r="J840" s="288"/>
      <c r="K840" s="288"/>
      <c r="L840" s="288"/>
      <c r="M840" s="288"/>
      <c r="N840" s="288"/>
    </row>
    <row r="841" spans="10:14" x14ac:dyDescent="0.2">
      <c r="J841" s="288"/>
      <c r="K841" s="288"/>
      <c r="L841" s="288"/>
      <c r="M841" s="288"/>
      <c r="N841" s="288"/>
    </row>
    <row r="842" spans="10:14" x14ac:dyDescent="0.2">
      <c r="J842" s="288"/>
      <c r="K842" s="288"/>
      <c r="L842" s="288"/>
      <c r="M842" s="288"/>
      <c r="N842" s="288"/>
    </row>
    <row r="843" spans="10:14" x14ac:dyDescent="0.2">
      <c r="J843" s="288"/>
      <c r="K843" s="288"/>
      <c r="L843" s="288"/>
      <c r="M843" s="288"/>
      <c r="N843" s="288"/>
    </row>
    <row r="844" spans="10:14" x14ac:dyDescent="0.2">
      <c r="J844" s="288"/>
      <c r="K844" s="288"/>
      <c r="L844" s="288"/>
      <c r="M844" s="288"/>
      <c r="N844" s="288"/>
    </row>
    <row r="845" spans="10:14" x14ac:dyDescent="0.2">
      <c r="J845" s="288"/>
      <c r="K845" s="288"/>
      <c r="L845" s="288"/>
      <c r="M845" s="288"/>
      <c r="N845" s="288"/>
    </row>
    <row r="846" spans="10:14" x14ac:dyDescent="0.2">
      <c r="J846" s="288"/>
      <c r="K846" s="288"/>
      <c r="L846" s="288"/>
      <c r="M846" s="288"/>
      <c r="N846" s="288"/>
    </row>
    <row r="847" spans="10:14" x14ac:dyDescent="0.2">
      <c r="J847" s="288"/>
      <c r="K847" s="288"/>
      <c r="L847" s="288"/>
      <c r="M847" s="288"/>
      <c r="N847" s="288"/>
    </row>
    <row r="848" spans="10:14" x14ac:dyDescent="0.2">
      <c r="J848" s="288"/>
      <c r="K848" s="288"/>
      <c r="L848" s="288"/>
      <c r="M848" s="288"/>
      <c r="N848" s="288"/>
    </row>
    <row r="849" spans="10:14" x14ac:dyDescent="0.2">
      <c r="J849" s="288"/>
      <c r="K849" s="288"/>
      <c r="L849" s="288"/>
      <c r="M849" s="288"/>
      <c r="N849" s="288"/>
    </row>
    <row r="850" spans="10:14" x14ac:dyDescent="0.2">
      <c r="J850" s="288"/>
      <c r="K850" s="288"/>
      <c r="L850" s="288"/>
      <c r="M850" s="288"/>
      <c r="N850" s="288"/>
    </row>
    <row r="851" spans="10:14" x14ac:dyDescent="0.2">
      <c r="J851" s="288"/>
      <c r="K851" s="288"/>
      <c r="L851" s="288"/>
      <c r="M851" s="288"/>
      <c r="N851" s="288"/>
    </row>
    <row r="852" spans="10:14" x14ac:dyDescent="0.2">
      <c r="J852" s="288"/>
      <c r="K852" s="288"/>
      <c r="L852" s="288"/>
      <c r="M852" s="288"/>
      <c r="N852" s="288"/>
    </row>
    <row r="853" spans="10:14" x14ac:dyDescent="0.2">
      <c r="J853" s="288"/>
      <c r="K853" s="288"/>
      <c r="L853" s="288"/>
      <c r="M853" s="288"/>
      <c r="N853" s="288"/>
    </row>
    <row r="854" spans="10:14" x14ac:dyDescent="0.2">
      <c r="J854" s="288"/>
      <c r="K854" s="288"/>
      <c r="L854" s="288"/>
      <c r="M854" s="288"/>
      <c r="N854" s="288"/>
    </row>
    <row r="855" spans="10:14" x14ac:dyDescent="0.2">
      <c r="J855" s="288"/>
      <c r="K855" s="288"/>
      <c r="L855" s="288"/>
      <c r="M855" s="288"/>
      <c r="N855" s="288"/>
    </row>
    <row r="856" spans="10:14" x14ac:dyDescent="0.2">
      <c r="J856" s="288"/>
      <c r="K856" s="288"/>
      <c r="L856" s="288"/>
      <c r="M856" s="288"/>
      <c r="N856" s="288"/>
    </row>
    <row r="857" spans="10:14" x14ac:dyDescent="0.2">
      <c r="J857" s="288"/>
      <c r="K857" s="288"/>
      <c r="L857" s="288"/>
      <c r="M857" s="288"/>
      <c r="N857" s="288"/>
    </row>
    <row r="858" spans="10:14" x14ac:dyDescent="0.2">
      <c r="J858" s="288"/>
      <c r="K858" s="288"/>
      <c r="L858" s="288"/>
      <c r="M858" s="288"/>
      <c r="N858" s="288"/>
    </row>
    <row r="859" spans="10:14" x14ac:dyDescent="0.2">
      <c r="J859" s="288"/>
      <c r="K859" s="288"/>
      <c r="L859" s="288"/>
      <c r="M859" s="288"/>
      <c r="N859" s="288"/>
    </row>
    <row r="860" spans="10:14" x14ac:dyDescent="0.2">
      <c r="J860" s="288"/>
      <c r="K860" s="288"/>
      <c r="L860" s="288"/>
      <c r="M860" s="288"/>
      <c r="N860" s="288"/>
    </row>
    <row r="861" spans="10:14" x14ac:dyDescent="0.2">
      <c r="J861" s="288"/>
      <c r="K861" s="288"/>
      <c r="L861" s="288"/>
      <c r="M861" s="288"/>
      <c r="N861" s="288"/>
    </row>
    <row r="862" spans="10:14" x14ac:dyDescent="0.2">
      <c r="J862" s="288"/>
      <c r="K862" s="288"/>
      <c r="L862" s="288"/>
      <c r="M862" s="288"/>
      <c r="N862" s="288"/>
    </row>
    <row r="863" spans="10:14" x14ac:dyDescent="0.2">
      <c r="J863" s="288"/>
      <c r="K863" s="288"/>
      <c r="L863" s="288"/>
      <c r="M863" s="288"/>
      <c r="N863" s="288"/>
    </row>
    <row r="864" spans="10:14" x14ac:dyDescent="0.2">
      <c r="J864" s="288"/>
      <c r="K864" s="288"/>
      <c r="L864" s="288"/>
      <c r="M864" s="288"/>
      <c r="N864" s="288"/>
    </row>
    <row r="865" spans="10:14" x14ac:dyDescent="0.2">
      <c r="J865" s="288"/>
      <c r="K865" s="288"/>
      <c r="L865" s="288"/>
      <c r="M865" s="288"/>
      <c r="N865" s="288"/>
    </row>
    <row r="866" spans="10:14" x14ac:dyDescent="0.2">
      <c r="J866" s="288"/>
      <c r="K866" s="288"/>
      <c r="L866" s="288"/>
      <c r="M866" s="288"/>
      <c r="N866" s="288"/>
    </row>
    <row r="867" spans="10:14" x14ac:dyDescent="0.2">
      <c r="J867" s="288"/>
      <c r="K867" s="288"/>
      <c r="L867" s="288"/>
      <c r="M867" s="288"/>
      <c r="N867" s="288"/>
    </row>
    <row r="868" spans="10:14" x14ac:dyDescent="0.2">
      <c r="J868" s="288"/>
      <c r="K868" s="288"/>
      <c r="L868" s="288"/>
      <c r="M868" s="288"/>
      <c r="N868" s="288"/>
    </row>
    <row r="869" spans="10:14" x14ac:dyDescent="0.2">
      <c r="J869" s="288"/>
      <c r="K869" s="288"/>
      <c r="L869" s="288"/>
      <c r="M869" s="288"/>
      <c r="N869" s="288"/>
    </row>
    <row r="870" spans="10:14" x14ac:dyDescent="0.2">
      <c r="J870" s="288"/>
      <c r="K870" s="288"/>
      <c r="L870" s="288"/>
      <c r="M870" s="288"/>
      <c r="N870" s="288"/>
    </row>
    <row r="871" spans="10:14" x14ac:dyDescent="0.2">
      <c r="J871" s="288"/>
      <c r="K871" s="288"/>
      <c r="L871" s="288"/>
      <c r="M871" s="288"/>
      <c r="N871" s="288"/>
    </row>
    <row r="872" spans="10:14" x14ac:dyDescent="0.2">
      <c r="J872" s="288"/>
      <c r="K872" s="288"/>
      <c r="L872" s="288"/>
      <c r="M872" s="288"/>
      <c r="N872" s="288"/>
    </row>
    <row r="873" spans="10:14" x14ac:dyDescent="0.2">
      <c r="J873" s="288"/>
      <c r="K873" s="288"/>
      <c r="L873" s="288"/>
      <c r="M873" s="288"/>
      <c r="N873" s="288"/>
    </row>
    <row r="874" spans="10:14" x14ac:dyDescent="0.2">
      <c r="J874" s="288"/>
      <c r="K874" s="288"/>
      <c r="L874" s="288"/>
      <c r="M874" s="288"/>
      <c r="N874" s="288"/>
    </row>
    <row r="875" spans="10:14" x14ac:dyDescent="0.2">
      <c r="J875" s="288"/>
      <c r="K875" s="288"/>
      <c r="L875" s="288"/>
      <c r="M875" s="288"/>
      <c r="N875" s="288"/>
    </row>
    <row r="876" spans="10:14" x14ac:dyDescent="0.2">
      <c r="J876" s="288"/>
      <c r="K876" s="288"/>
      <c r="L876" s="288"/>
      <c r="M876" s="288"/>
      <c r="N876" s="288"/>
    </row>
    <row r="877" spans="10:14" x14ac:dyDescent="0.2">
      <c r="J877" s="288"/>
      <c r="K877" s="288"/>
      <c r="L877" s="288"/>
      <c r="M877" s="288"/>
      <c r="N877" s="288"/>
    </row>
    <row r="878" spans="10:14" x14ac:dyDescent="0.2">
      <c r="J878" s="288"/>
      <c r="K878" s="288"/>
      <c r="L878" s="288"/>
      <c r="M878" s="288"/>
      <c r="N878" s="288"/>
    </row>
    <row r="879" spans="10:14" x14ac:dyDescent="0.2">
      <c r="J879" s="288"/>
      <c r="K879" s="288"/>
      <c r="L879" s="288"/>
      <c r="M879" s="288"/>
      <c r="N879" s="288"/>
    </row>
    <row r="880" spans="10:14" x14ac:dyDescent="0.2">
      <c r="J880" s="288"/>
      <c r="K880" s="288"/>
      <c r="L880" s="288"/>
      <c r="M880" s="288"/>
      <c r="N880" s="288"/>
    </row>
    <row r="881" spans="10:14" x14ac:dyDescent="0.2">
      <c r="J881" s="288"/>
      <c r="K881" s="288"/>
      <c r="L881" s="288"/>
      <c r="M881" s="288"/>
      <c r="N881" s="288"/>
    </row>
    <row r="882" spans="10:14" x14ac:dyDescent="0.2">
      <c r="J882" s="288"/>
      <c r="K882" s="288"/>
      <c r="L882" s="288"/>
      <c r="M882" s="288"/>
      <c r="N882" s="288"/>
    </row>
    <row r="883" spans="10:14" x14ac:dyDescent="0.2">
      <c r="J883" s="288"/>
      <c r="K883" s="288"/>
      <c r="L883" s="288"/>
      <c r="M883" s="288"/>
      <c r="N883" s="288"/>
    </row>
    <row r="884" spans="10:14" x14ac:dyDescent="0.2">
      <c r="J884" s="288"/>
      <c r="K884" s="288"/>
      <c r="L884" s="288"/>
      <c r="M884" s="288"/>
      <c r="N884" s="288"/>
    </row>
    <row r="885" spans="10:14" x14ac:dyDescent="0.2">
      <c r="J885" s="288"/>
      <c r="K885" s="288"/>
      <c r="L885" s="288"/>
      <c r="M885" s="288"/>
      <c r="N885" s="288"/>
    </row>
    <row r="886" spans="10:14" x14ac:dyDescent="0.2">
      <c r="J886" s="288"/>
      <c r="K886" s="288"/>
      <c r="L886" s="288"/>
      <c r="M886" s="288"/>
      <c r="N886" s="288"/>
    </row>
    <row r="887" spans="10:14" x14ac:dyDescent="0.2">
      <c r="J887" s="288"/>
      <c r="K887" s="288"/>
      <c r="L887" s="288"/>
      <c r="M887" s="288"/>
      <c r="N887" s="288"/>
    </row>
    <row r="888" spans="10:14" x14ac:dyDescent="0.2">
      <c r="J888" s="288"/>
      <c r="K888" s="288"/>
      <c r="L888" s="288"/>
      <c r="M888" s="288"/>
      <c r="N888" s="288"/>
    </row>
    <row r="889" spans="10:14" x14ac:dyDescent="0.2">
      <c r="J889" s="288"/>
      <c r="K889" s="288"/>
      <c r="L889" s="288"/>
      <c r="M889" s="288"/>
      <c r="N889" s="288"/>
    </row>
    <row r="890" spans="10:14" x14ac:dyDescent="0.2">
      <c r="J890" s="288"/>
      <c r="K890" s="288"/>
      <c r="L890" s="288"/>
      <c r="M890" s="288"/>
      <c r="N890" s="288"/>
    </row>
    <row r="891" spans="10:14" x14ac:dyDescent="0.2">
      <c r="J891" s="288"/>
      <c r="K891" s="288"/>
      <c r="L891" s="288"/>
      <c r="M891" s="288"/>
      <c r="N891" s="288"/>
    </row>
    <row r="892" spans="10:14" x14ac:dyDescent="0.2">
      <c r="J892" s="288"/>
      <c r="K892" s="288"/>
      <c r="L892" s="288"/>
      <c r="M892" s="288"/>
      <c r="N892" s="288"/>
    </row>
    <row r="893" spans="10:14" x14ac:dyDescent="0.2">
      <c r="J893" s="288"/>
      <c r="K893" s="288"/>
      <c r="L893" s="288"/>
      <c r="M893" s="288"/>
      <c r="N893" s="288"/>
    </row>
    <row r="894" spans="10:14" x14ac:dyDescent="0.2">
      <c r="J894" s="288"/>
      <c r="K894" s="288"/>
      <c r="L894" s="288"/>
      <c r="M894" s="288"/>
      <c r="N894" s="288"/>
    </row>
    <row r="895" spans="10:14" x14ac:dyDescent="0.2">
      <c r="J895" s="288"/>
      <c r="K895" s="288"/>
      <c r="L895" s="288"/>
      <c r="M895" s="288"/>
      <c r="N895" s="288"/>
    </row>
    <row r="896" spans="10:14" x14ac:dyDescent="0.2">
      <c r="J896" s="288"/>
      <c r="K896" s="288"/>
      <c r="L896" s="288"/>
      <c r="M896" s="288"/>
      <c r="N896" s="288"/>
    </row>
    <row r="897" spans="10:14" x14ac:dyDescent="0.2">
      <c r="J897" s="288"/>
      <c r="K897" s="288"/>
      <c r="L897" s="288"/>
      <c r="M897" s="288"/>
      <c r="N897" s="288"/>
    </row>
    <row r="898" spans="10:14" x14ac:dyDescent="0.2">
      <c r="J898" s="288"/>
      <c r="K898" s="288"/>
      <c r="L898" s="288"/>
      <c r="M898" s="288"/>
      <c r="N898" s="288"/>
    </row>
    <row r="899" spans="10:14" x14ac:dyDescent="0.2">
      <c r="J899" s="288"/>
      <c r="K899" s="288"/>
      <c r="L899" s="288"/>
      <c r="M899" s="288"/>
      <c r="N899" s="288"/>
    </row>
    <row r="900" spans="10:14" x14ac:dyDescent="0.2">
      <c r="J900" s="288"/>
      <c r="K900" s="288"/>
      <c r="L900" s="288"/>
      <c r="M900" s="288"/>
      <c r="N900" s="288"/>
    </row>
    <row r="901" spans="10:14" x14ac:dyDescent="0.2">
      <c r="J901" s="288"/>
      <c r="K901" s="288"/>
      <c r="L901" s="288"/>
      <c r="M901" s="288"/>
      <c r="N901" s="288"/>
    </row>
    <row r="902" spans="10:14" x14ac:dyDescent="0.2">
      <c r="J902" s="288"/>
      <c r="K902" s="288"/>
      <c r="L902" s="288"/>
      <c r="M902" s="288"/>
      <c r="N902" s="288"/>
    </row>
    <row r="903" spans="10:14" x14ac:dyDescent="0.2">
      <c r="J903" s="288"/>
      <c r="K903" s="288"/>
      <c r="L903" s="288"/>
      <c r="M903" s="288"/>
      <c r="N903" s="288"/>
    </row>
    <row r="904" spans="10:14" x14ac:dyDescent="0.2">
      <c r="J904" s="288"/>
      <c r="K904" s="288"/>
      <c r="L904" s="288"/>
      <c r="M904" s="288"/>
      <c r="N904" s="288"/>
    </row>
    <row r="905" spans="10:14" x14ac:dyDescent="0.2">
      <c r="J905" s="288"/>
      <c r="K905" s="288"/>
      <c r="L905" s="288"/>
      <c r="M905" s="288"/>
      <c r="N905" s="288"/>
    </row>
    <row r="906" spans="10:14" x14ac:dyDescent="0.2">
      <c r="J906" s="288"/>
      <c r="K906" s="288"/>
      <c r="L906" s="288"/>
      <c r="M906" s="288"/>
      <c r="N906" s="288"/>
    </row>
    <row r="907" spans="10:14" x14ac:dyDescent="0.2">
      <c r="J907" s="288"/>
      <c r="K907" s="288"/>
      <c r="L907" s="288"/>
      <c r="M907" s="288"/>
      <c r="N907" s="288"/>
    </row>
    <row r="908" spans="10:14" x14ac:dyDescent="0.2">
      <c r="J908" s="288"/>
      <c r="K908" s="288"/>
      <c r="L908" s="288"/>
      <c r="M908" s="288"/>
      <c r="N908" s="288"/>
    </row>
    <row r="909" spans="10:14" x14ac:dyDescent="0.2">
      <c r="J909" s="288"/>
      <c r="K909" s="288"/>
      <c r="L909" s="288"/>
      <c r="M909" s="288"/>
      <c r="N909" s="288"/>
    </row>
    <row r="910" spans="10:14" x14ac:dyDescent="0.2">
      <c r="J910" s="288"/>
      <c r="K910" s="288"/>
      <c r="L910" s="288"/>
      <c r="M910" s="288"/>
      <c r="N910" s="288"/>
    </row>
    <row r="911" spans="10:14" x14ac:dyDescent="0.2">
      <c r="J911" s="288"/>
      <c r="K911" s="288"/>
      <c r="L911" s="288"/>
      <c r="M911" s="288"/>
      <c r="N911" s="288"/>
    </row>
    <row r="912" spans="10:14" x14ac:dyDescent="0.2">
      <c r="J912" s="288"/>
      <c r="K912" s="288"/>
      <c r="L912" s="288"/>
      <c r="M912" s="288"/>
      <c r="N912" s="288"/>
    </row>
    <row r="913" spans="10:14" x14ac:dyDescent="0.2">
      <c r="J913" s="288"/>
      <c r="K913" s="288"/>
      <c r="L913" s="288"/>
      <c r="M913" s="288"/>
      <c r="N913" s="288"/>
    </row>
    <row r="914" spans="10:14" x14ac:dyDescent="0.2">
      <c r="J914" s="288"/>
      <c r="K914" s="288"/>
      <c r="L914" s="288"/>
      <c r="M914" s="288"/>
      <c r="N914" s="288"/>
    </row>
    <row r="915" spans="10:14" x14ac:dyDescent="0.2">
      <c r="J915" s="288"/>
      <c r="K915" s="288"/>
      <c r="L915" s="288"/>
      <c r="M915" s="288"/>
      <c r="N915" s="288"/>
    </row>
    <row r="916" spans="10:14" x14ac:dyDescent="0.2">
      <c r="J916" s="288"/>
      <c r="K916" s="288"/>
      <c r="L916" s="288"/>
      <c r="M916" s="288"/>
      <c r="N916" s="288"/>
    </row>
    <row r="917" spans="10:14" x14ac:dyDescent="0.2">
      <c r="J917" s="288"/>
      <c r="K917" s="288"/>
      <c r="L917" s="288"/>
      <c r="M917" s="288"/>
      <c r="N917" s="288"/>
    </row>
    <row r="918" spans="10:14" x14ac:dyDescent="0.2">
      <c r="J918" s="288"/>
      <c r="K918" s="288"/>
      <c r="L918" s="288"/>
      <c r="M918" s="288"/>
      <c r="N918" s="288"/>
    </row>
    <row r="919" spans="10:14" x14ac:dyDescent="0.2">
      <c r="J919" s="288"/>
      <c r="K919" s="288"/>
      <c r="L919" s="288"/>
      <c r="M919" s="288"/>
      <c r="N919" s="288"/>
    </row>
    <row r="920" spans="10:14" x14ac:dyDescent="0.2">
      <c r="J920" s="288"/>
      <c r="K920" s="288"/>
      <c r="L920" s="288"/>
      <c r="M920" s="288"/>
      <c r="N920" s="288"/>
    </row>
    <row r="921" spans="10:14" x14ac:dyDescent="0.2">
      <c r="J921" s="288"/>
      <c r="K921" s="288"/>
      <c r="L921" s="288"/>
      <c r="M921" s="288"/>
      <c r="N921" s="288"/>
    </row>
    <row r="922" spans="10:14" x14ac:dyDescent="0.2">
      <c r="J922" s="288"/>
      <c r="K922" s="288"/>
      <c r="L922" s="288"/>
      <c r="M922" s="288"/>
      <c r="N922" s="288"/>
    </row>
    <row r="923" spans="10:14" x14ac:dyDescent="0.2">
      <c r="J923" s="288"/>
      <c r="K923" s="288"/>
      <c r="L923" s="288"/>
      <c r="M923" s="288"/>
      <c r="N923" s="288"/>
    </row>
    <row r="924" spans="10:14" x14ac:dyDescent="0.2">
      <c r="J924" s="288"/>
      <c r="K924" s="288"/>
      <c r="L924" s="288"/>
      <c r="M924" s="288"/>
      <c r="N924" s="288"/>
    </row>
    <row r="925" spans="10:14" x14ac:dyDescent="0.2">
      <c r="J925" s="288"/>
      <c r="K925" s="288"/>
      <c r="L925" s="288"/>
      <c r="M925" s="288"/>
      <c r="N925" s="288"/>
    </row>
    <row r="926" spans="10:14" x14ac:dyDescent="0.2">
      <c r="J926" s="288"/>
      <c r="K926" s="288"/>
      <c r="L926" s="288"/>
      <c r="M926" s="288"/>
      <c r="N926" s="288"/>
    </row>
    <row r="927" spans="10:14" x14ac:dyDescent="0.2">
      <c r="J927" s="288"/>
      <c r="K927" s="288"/>
      <c r="L927" s="288"/>
      <c r="M927" s="288"/>
      <c r="N927" s="288"/>
    </row>
    <row r="928" spans="10:14" x14ac:dyDescent="0.2">
      <c r="J928" s="288"/>
      <c r="K928" s="288"/>
      <c r="L928" s="288"/>
      <c r="M928" s="288"/>
      <c r="N928" s="288"/>
    </row>
    <row r="929" spans="10:14" x14ac:dyDescent="0.2">
      <c r="J929" s="288"/>
      <c r="K929" s="288"/>
      <c r="L929" s="288"/>
      <c r="M929" s="288"/>
      <c r="N929" s="288"/>
    </row>
    <row r="930" spans="10:14" x14ac:dyDescent="0.2">
      <c r="J930" s="288"/>
      <c r="K930" s="288"/>
      <c r="L930" s="288"/>
      <c r="M930" s="288"/>
      <c r="N930" s="288"/>
    </row>
    <row r="931" spans="10:14" x14ac:dyDescent="0.2">
      <c r="J931" s="288"/>
      <c r="K931" s="288"/>
      <c r="L931" s="288"/>
      <c r="M931" s="288"/>
      <c r="N931" s="288"/>
    </row>
    <row r="932" spans="10:14" x14ac:dyDescent="0.2">
      <c r="J932" s="288"/>
      <c r="K932" s="288"/>
      <c r="L932" s="288"/>
      <c r="M932" s="288"/>
      <c r="N932" s="288"/>
    </row>
    <row r="933" spans="10:14" x14ac:dyDescent="0.2">
      <c r="J933" s="288"/>
      <c r="K933" s="288"/>
      <c r="L933" s="288"/>
      <c r="M933" s="288"/>
      <c r="N933" s="288"/>
    </row>
    <row r="934" spans="10:14" x14ac:dyDescent="0.2">
      <c r="J934" s="288"/>
      <c r="K934" s="288"/>
      <c r="L934" s="288"/>
      <c r="M934" s="288"/>
      <c r="N934" s="288"/>
    </row>
    <row r="935" spans="10:14" x14ac:dyDescent="0.2">
      <c r="J935" s="288"/>
      <c r="K935" s="288"/>
      <c r="L935" s="288"/>
      <c r="M935" s="288"/>
      <c r="N935" s="288"/>
    </row>
    <row r="936" spans="10:14" x14ac:dyDescent="0.2">
      <c r="J936" s="288"/>
      <c r="K936" s="288"/>
      <c r="L936" s="288"/>
      <c r="M936" s="288"/>
      <c r="N936" s="288"/>
    </row>
    <row r="937" spans="10:14" x14ac:dyDescent="0.2">
      <c r="J937" s="288"/>
      <c r="K937" s="288"/>
      <c r="L937" s="288"/>
      <c r="M937" s="288"/>
      <c r="N937" s="288"/>
    </row>
    <row r="938" spans="10:14" x14ac:dyDescent="0.2">
      <c r="J938" s="288"/>
      <c r="K938" s="288"/>
      <c r="L938" s="288"/>
      <c r="M938" s="288"/>
      <c r="N938" s="288"/>
    </row>
    <row r="939" spans="10:14" x14ac:dyDescent="0.2">
      <c r="J939" s="288"/>
      <c r="K939" s="288"/>
      <c r="L939" s="288"/>
      <c r="M939" s="288"/>
      <c r="N939" s="288"/>
    </row>
    <row r="940" spans="10:14" x14ac:dyDescent="0.2">
      <c r="J940" s="288"/>
      <c r="K940" s="288"/>
      <c r="L940" s="288"/>
      <c r="M940" s="288"/>
      <c r="N940" s="288"/>
    </row>
    <row r="941" spans="10:14" x14ac:dyDescent="0.2">
      <c r="J941" s="288"/>
      <c r="K941" s="288"/>
      <c r="L941" s="288"/>
      <c r="M941" s="288"/>
      <c r="N941" s="288"/>
    </row>
    <row r="942" spans="10:14" x14ac:dyDescent="0.2">
      <c r="J942" s="288"/>
      <c r="K942" s="288"/>
      <c r="L942" s="288"/>
      <c r="M942" s="288"/>
      <c r="N942" s="288"/>
    </row>
    <row r="943" spans="10:14" x14ac:dyDescent="0.2">
      <c r="J943" s="288"/>
      <c r="K943" s="288"/>
      <c r="L943" s="288"/>
      <c r="M943" s="288"/>
      <c r="N943" s="288"/>
    </row>
    <row r="944" spans="10:14" x14ac:dyDescent="0.2">
      <c r="J944" s="288"/>
      <c r="K944" s="288"/>
      <c r="L944" s="288"/>
      <c r="M944" s="288"/>
      <c r="N944" s="288"/>
    </row>
    <row r="945" spans="10:14" x14ac:dyDescent="0.2">
      <c r="J945" s="288"/>
      <c r="K945" s="288"/>
      <c r="L945" s="288"/>
      <c r="M945" s="288"/>
      <c r="N945" s="288"/>
    </row>
    <row r="946" spans="10:14" x14ac:dyDescent="0.2">
      <c r="J946" s="288"/>
      <c r="K946" s="288"/>
      <c r="L946" s="288"/>
      <c r="M946" s="288"/>
      <c r="N946" s="288"/>
    </row>
    <row r="947" spans="10:14" x14ac:dyDescent="0.2">
      <c r="J947" s="288"/>
      <c r="K947" s="288"/>
      <c r="L947" s="288"/>
      <c r="M947" s="288"/>
      <c r="N947" s="288"/>
    </row>
    <row r="948" spans="10:14" x14ac:dyDescent="0.2">
      <c r="J948" s="288"/>
      <c r="K948" s="288"/>
      <c r="L948" s="288"/>
      <c r="M948" s="288"/>
      <c r="N948" s="288"/>
    </row>
    <row r="949" spans="10:14" x14ac:dyDescent="0.2">
      <c r="J949" s="288"/>
      <c r="K949" s="288"/>
      <c r="L949" s="288"/>
      <c r="M949" s="288"/>
      <c r="N949" s="288"/>
    </row>
    <row r="950" spans="10:14" x14ac:dyDescent="0.2">
      <c r="J950" s="288"/>
      <c r="K950" s="288"/>
      <c r="L950" s="288"/>
      <c r="M950" s="288"/>
      <c r="N950" s="288"/>
    </row>
    <row r="951" spans="10:14" x14ac:dyDescent="0.2">
      <c r="J951" s="288"/>
      <c r="K951" s="288"/>
      <c r="L951" s="288"/>
      <c r="M951" s="288"/>
      <c r="N951" s="288"/>
    </row>
    <row r="952" spans="10:14" x14ac:dyDescent="0.2">
      <c r="J952" s="288"/>
      <c r="K952" s="288"/>
      <c r="L952" s="288"/>
      <c r="M952" s="288"/>
      <c r="N952" s="288"/>
    </row>
    <row r="953" spans="10:14" x14ac:dyDescent="0.2">
      <c r="J953" s="288"/>
      <c r="K953" s="288"/>
      <c r="L953" s="288"/>
      <c r="M953" s="288"/>
      <c r="N953" s="288"/>
    </row>
    <row r="954" spans="10:14" x14ac:dyDescent="0.2">
      <c r="J954" s="288"/>
      <c r="K954" s="288"/>
      <c r="L954" s="288"/>
      <c r="M954" s="288"/>
      <c r="N954" s="288"/>
    </row>
    <row r="955" spans="10:14" x14ac:dyDescent="0.2">
      <c r="J955" s="288"/>
      <c r="K955" s="288"/>
      <c r="L955" s="288"/>
      <c r="M955" s="288"/>
      <c r="N955" s="288"/>
    </row>
    <row r="956" spans="10:14" x14ac:dyDescent="0.2">
      <c r="J956" s="288"/>
      <c r="K956" s="288"/>
      <c r="L956" s="288"/>
      <c r="M956" s="288"/>
      <c r="N956" s="288"/>
    </row>
    <row r="957" spans="10:14" x14ac:dyDescent="0.2">
      <c r="J957" s="288"/>
      <c r="K957" s="288"/>
      <c r="L957" s="288"/>
      <c r="M957" s="288"/>
      <c r="N957" s="288"/>
    </row>
    <row r="958" spans="10:14" x14ac:dyDescent="0.2">
      <c r="J958" s="288"/>
      <c r="K958" s="288"/>
      <c r="L958" s="288"/>
      <c r="M958" s="288"/>
      <c r="N958" s="288"/>
    </row>
    <row r="959" spans="10:14" x14ac:dyDescent="0.2">
      <c r="J959" s="288"/>
      <c r="K959" s="288"/>
      <c r="L959" s="288"/>
      <c r="M959" s="288"/>
      <c r="N959" s="288"/>
    </row>
    <row r="960" spans="10:14" x14ac:dyDescent="0.2">
      <c r="J960" s="288"/>
      <c r="K960" s="288"/>
      <c r="L960" s="288"/>
      <c r="M960" s="288"/>
      <c r="N960" s="288"/>
    </row>
    <row r="961" spans="10:14" x14ac:dyDescent="0.2">
      <c r="J961" s="288"/>
      <c r="K961" s="288"/>
      <c r="L961" s="288"/>
      <c r="M961" s="288"/>
      <c r="N961" s="288"/>
    </row>
    <row r="962" spans="10:14" x14ac:dyDescent="0.2">
      <c r="J962" s="288"/>
      <c r="K962" s="288"/>
      <c r="L962" s="288"/>
      <c r="M962" s="288"/>
      <c r="N962" s="288"/>
    </row>
    <row r="963" spans="10:14" x14ac:dyDescent="0.2">
      <c r="J963" s="288"/>
      <c r="K963" s="288"/>
      <c r="L963" s="288"/>
      <c r="M963" s="288"/>
      <c r="N963" s="288"/>
    </row>
    <row r="964" spans="10:14" x14ac:dyDescent="0.2">
      <c r="J964" s="288"/>
      <c r="K964" s="288"/>
      <c r="L964" s="288"/>
      <c r="M964" s="288"/>
      <c r="N964" s="288"/>
    </row>
    <row r="965" spans="10:14" x14ac:dyDescent="0.2">
      <c r="J965" s="288"/>
      <c r="K965" s="288"/>
      <c r="L965" s="288"/>
      <c r="M965" s="288"/>
      <c r="N965" s="288"/>
    </row>
    <row r="966" spans="10:14" x14ac:dyDescent="0.2">
      <c r="J966" s="288"/>
      <c r="K966" s="288"/>
      <c r="L966" s="288"/>
      <c r="M966" s="288"/>
      <c r="N966" s="288"/>
    </row>
    <row r="967" spans="10:14" x14ac:dyDescent="0.2">
      <c r="J967" s="288"/>
      <c r="K967" s="288"/>
      <c r="L967" s="288"/>
      <c r="M967" s="288"/>
      <c r="N967" s="288"/>
    </row>
    <row r="968" spans="10:14" x14ac:dyDescent="0.2">
      <c r="J968" s="288"/>
      <c r="K968" s="288"/>
      <c r="L968" s="288"/>
      <c r="M968" s="288"/>
      <c r="N968" s="288"/>
    </row>
    <row r="969" spans="10:14" x14ac:dyDescent="0.2">
      <c r="J969" s="288"/>
      <c r="K969" s="288"/>
      <c r="L969" s="288"/>
      <c r="M969" s="288"/>
      <c r="N969" s="288"/>
    </row>
    <row r="970" spans="10:14" x14ac:dyDescent="0.2">
      <c r="J970" s="288"/>
      <c r="K970" s="288"/>
      <c r="L970" s="288"/>
      <c r="M970" s="288"/>
      <c r="N970" s="288"/>
    </row>
    <row r="971" spans="10:14" x14ac:dyDescent="0.2">
      <c r="J971" s="288"/>
      <c r="K971" s="288"/>
      <c r="L971" s="288"/>
      <c r="M971" s="288"/>
      <c r="N971" s="288"/>
    </row>
    <row r="972" spans="10:14" x14ac:dyDescent="0.2">
      <c r="J972" s="288"/>
      <c r="K972" s="288"/>
      <c r="L972" s="288"/>
      <c r="M972" s="288"/>
      <c r="N972" s="288"/>
    </row>
    <row r="973" spans="10:14" x14ac:dyDescent="0.2">
      <c r="J973" s="288"/>
      <c r="K973" s="288"/>
      <c r="L973" s="288"/>
      <c r="M973" s="288"/>
      <c r="N973" s="288"/>
    </row>
    <row r="974" spans="10:14" x14ac:dyDescent="0.2">
      <c r="J974" s="288"/>
      <c r="K974" s="288"/>
      <c r="L974" s="288"/>
      <c r="M974" s="288"/>
      <c r="N974" s="288"/>
    </row>
    <row r="975" spans="10:14" x14ac:dyDescent="0.2">
      <c r="J975" s="288"/>
      <c r="K975" s="288"/>
      <c r="L975" s="288"/>
      <c r="M975" s="288"/>
      <c r="N975" s="288"/>
    </row>
    <row r="976" spans="10:14" x14ac:dyDescent="0.2">
      <c r="J976" s="288"/>
      <c r="K976" s="288"/>
      <c r="L976" s="288"/>
      <c r="M976" s="288"/>
      <c r="N976" s="288"/>
    </row>
    <row r="977" spans="10:14" x14ac:dyDescent="0.2">
      <c r="J977" s="288"/>
      <c r="K977" s="288"/>
      <c r="L977" s="288"/>
      <c r="M977" s="288"/>
      <c r="N977" s="288"/>
    </row>
    <row r="978" spans="10:14" x14ac:dyDescent="0.2">
      <c r="J978" s="288"/>
      <c r="K978" s="288"/>
      <c r="L978" s="288"/>
      <c r="M978" s="288"/>
      <c r="N978" s="288"/>
    </row>
    <row r="979" spans="10:14" x14ac:dyDescent="0.2">
      <c r="J979" s="288"/>
      <c r="K979" s="288"/>
      <c r="L979" s="288"/>
      <c r="M979" s="288"/>
      <c r="N979" s="288"/>
    </row>
    <row r="980" spans="10:14" x14ac:dyDescent="0.2">
      <c r="J980" s="288"/>
      <c r="K980" s="288"/>
      <c r="L980" s="288"/>
      <c r="M980" s="288"/>
      <c r="N980" s="288"/>
    </row>
    <row r="981" spans="10:14" x14ac:dyDescent="0.2">
      <c r="J981" s="288"/>
      <c r="K981" s="288"/>
      <c r="L981" s="288"/>
      <c r="M981" s="288"/>
      <c r="N981" s="288"/>
    </row>
    <row r="982" spans="10:14" x14ac:dyDescent="0.2">
      <c r="J982" s="288"/>
      <c r="K982" s="288"/>
      <c r="L982" s="288"/>
      <c r="M982" s="288"/>
      <c r="N982" s="288"/>
    </row>
    <row r="983" spans="10:14" x14ac:dyDescent="0.2">
      <c r="J983" s="288"/>
      <c r="K983" s="288"/>
      <c r="L983" s="288"/>
      <c r="M983" s="288"/>
      <c r="N983" s="288"/>
    </row>
    <row r="984" spans="10:14" x14ac:dyDescent="0.2">
      <c r="J984" s="288"/>
      <c r="K984" s="288"/>
      <c r="L984" s="288"/>
      <c r="M984" s="288"/>
      <c r="N984" s="288"/>
    </row>
    <row r="985" spans="10:14" x14ac:dyDescent="0.2">
      <c r="J985" s="288"/>
      <c r="K985" s="288"/>
      <c r="L985" s="288"/>
      <c r="M985" s="288"/>
      <c r="N985" s="288"/>
    </row>
    <row r="986" spans="10:14" x14ac:dyDescent="0.2">
      <c r="J986" s="288"/>
      <c r="K986" s="288"/>
      <c r="L986" s="288"/>
      <c r="M986" s="288"/>
      <c r="N986" s="288"/>
    </row>
    <row r="987" spans="10:14" x14ac:dyDescent="0.2">
      <c r="J987" s="288"/>
      <c r="K987" s="288"/>
      <c r="L987" s="288"/>
      <c r="M987" s="288"/>
      <c r="N987" s="288"/>
    </row>
    <row r="988" spans="10:14" x14ac:dyDescent="0.2">
      <c r="J988" s="288"/>
      <c r="K988" s="288"/>
      <c r="L988" s="288"/>
      <c r="M988" s="288"/>
      <c r="N988" s="288"/>
    </row>
    <row r="989" spans="10:14" x14ac:dyDescent="0.2">
      <c r="J989" s="288"/>
      <c r="K989" s="288"/>
      <c r="L989" s="288"/>
      <c r="M989" s="288"/>
      <c r="N989" s="288"/>
    </row>
    <row r="990" spans="10:14" x14ac:dyDescent="0.2">
      <c r="J990" s="288"/>
      <c r="K990" s="288"/>
      <c r="L990" s="288"/>
      <c r="M990" s="288"/>
      <c r="N990" s="288"/>
    </row>
    <row r="991" spans="10:14" x14ac:dyDescent="0.2">
      <c r="J991" s="288"/>
      <c r="K991" s="288"/>
      <c r="L991" s="288"/>
      <c r="M991" s="288"/>
      <c r="N991" s="288"/>
    </row>
    <row r="992" spans="10:14" x14ac:dyDescent="0.2">
      <c r="J992" s="288"/>
      <c r="K992" s="288"/>
      <c r="L992" s="288"/>
      <c r="M992" s="288"/>
      <c r="N992" s="288"/>
    </row>
    <row r="993" spans="10:14" x14ac:dyDescent="0.2">
      <c r="J993" s="288"/>
      <c r="K993" s="288"/>
      <c r="L993" s="288"/>
      <c r="M993" s="288"/>
      <c r="N993" s="288"/>
    </row>
    <row r="994" spans="10:14" x14ac:dyDescent="0.2">
      <c r="J994" s="288"/>
      <c r="K994" s="288"/>
      <c r="L994" s="288"/>
      <c r="M994" s="288"/>
      <c r="N994" s="288"/>
    </row>
    <row r="995" spans="10:14" x14ac:dyDescent="0.2">
      <c r="J995" s="288"/>
      <c r="K995" s="288"/>
      <c r="L995" s="288"/>
      <c r="M995" s="288"/>
      <c r="N995" s="288"/>
    </row>
    <row r="996" spans="10:14" x14ac:dyDescent="0.2">
      <c r="J996" s="288"/>
      <c r="K996" s="288"/>
      <c r="L996" s="288"/>
      <c r="M996" s="288"/>
      <c r="N996" s="288"/>
    </row>
    <row r="997" spans="10:14" x14ac:dyDescent="0.2">
      <c r="J997" s="288"/>
      <c r="K997" s="288"/>
      <c r="L997" s="288"/>
      <c r="M997" s="288"/>
      <c r="N997" s="288"/>
    </row>
    <row r="998" spans="10:14" x14ac:dyDescent="0.2">
      <c r="J998" s="288"/>
      <c r="K998" s="288"/>
      <c r="L998" s="288"/>
      <c r="M998" s="288"/>
      <c r="N998" s="288"/>
    </row>
    <row r="999" spans="10:14" x14ac:dyDescent="0.2">
      <c r="J999" s="288"/>
      <c r="K999" s="288"/>
      <c r="L999" s="288"/>
      <c r="M999" s="288"/>
      <c r="N999" s="288"/>
    </row>
    <row r="1000" spans="10:14" x14ac:dyDescent="0.2">
      <c r="J1000" s="288"/>
      <c r="K1000" s="288"/>
      <c r="L1000" s="288"/>
      <c r="M1000" s="288"/>
      <c r="N1000" s="288"/>
    </row>
    <row r="1001" spans="10:14" x14ac:dyDescent="0.2">
      <c r="J1001" s="288"/>
      <c r="K1001" s="288"/>
      <c r="L1001" s="288"/>
      <c r="M1001" s="288"/>
      <c r="N1001" s="288"/>
    </row>
    <row r="1002" spans="10:14" x14ac:dyDescent="0.2">
      <c r="J1002" s="288"/>
      <c r="K1002" s="288"/>
      <c r="L1002" s="288"/>
      <c r="M1002" s="288"/>
      <c r="N1002" s="288"/>
    </row>
    <row r="1003" spans="10:14" x14ac:dyDescent="0.2">
      <c r="J1003" s="288"/>
      <c r="K1003" s="288"/>
      <c r="L1003" s="288"/>
      <c r="M1003" s="288"/>
      <c r="N1003" s="288"/>
    </row>
    <row r="1004" spans="10:14" x14ac:dyDescent="0.2">
      <c r="J1004" s="288"/>
      <c r="K1004" s="288"/>
      <c r="L1004" s="288"/>
      <c r="M1004" s="288"/>
      <c r="N1004" s="288"/>
    </row>
    <row r="1005" spans="10:14" x14ac:dyDescent="0.2">
      <c r="J1005" s="288"/>
      <c r="K1005" s="288"/>
      <c r="L1005" s="288"/>
      <c r="M1005" s="288"/>
      <c r="N1005" s="288"/>
    </row>
    <row r="1006" spans="10:14" x14ac:dyDescent="0.2">
      <c r="J1006" s="288"/>
      <c r="K1006" s="288"/>
      <c r="L1006" s="288"/>
      <c r="M1006" s="288"/>
      <c r="N1006" s="288"/>
    </row>
    <row r="1007" spans="10:14" x14ac:dyDescent="0.2">
      <c r="J1007" s="288"/>
      <c r="K1007" s="288"/>
      <c r="L1007" s="288"/>
      <c r="M1007" s="288"/>
      <c r="N1007" s="288"/>
    </row>
    <row r="1008" spans="10:14" x14ac:dyDescent="0.2">
      <c r="J1008" s="288"/>
      <c r="K1008" s="288"/>
      <c r="L1008" s="288"/>
      <c r="M1008" s="288"/>
      <c r="N1008" s="288"/>
    </row>
    <row r="1009" spans="10:14" x14ac:dyDescent="0.2">
      <c r="J1009" s="288"/>
      <c r="K1009" s="288"/>
      <c r="L1009" s="288"/>
      <c r="M1009" s="288"/>
      <c r="N1009" s="288"/>
    </row>
    <row r="1010" spans="10:14" x14ac:dyDescent="0.2">
      <c r="J1010" s="288"/>
      <c r="K1010" s="288"/>
      <c r="L1010" s="288"/>
      <c r="M1010" s="288"/>
      <c r="N1010" s="288"/>
    </row>
    <row r="1011" spans="10:14" x14ac:dyDescent="0.2">
      <c r="J1011" s="288"/>
      <c r="K1011" s="288"/>
      <c r="L1011" s="288"/>
      <c r="M1011" s="288"/>
      <c r="N1011" s="288"/>
    </row>
    <row r="1012" spans="10:14" x14ac:dyDescent="0.2">
      <c r="J1012" s="288"/>
      <c r="K1012" s="288"/>
      <c r="L1012" s="288"/>
      <c r="M1012" s="288"/>
      <c r="N1012" s="288"/>
    </row>
    <row r="1013" spans="10:14" x14ac:dyDescent="0.2">
      <c r="J1013" s="288"/>
      <c r="K1013" s="288"/>
      <c r="L1013" s="288"/>
      <c r="M1013" s="288"/>
      <c r="N1013" s="288"/>
    </row>
    <row r="1014" spans="10:14" x14ac:dyDescent="0.2">
      <c r="J1014" s="288"/>
      <c r="K1014" s="288"/>
      <c r="L1014" s="288"/>
      <c r="M1014" s="288"/>
      <c r="N1014" s="288"/>
    </row>
    <row r="1015" spans="10:14" x14ac:dyDescent="0.2">
      <c r="J1015" s="288"/>
      <c r="K1015" s="288"/>
      <c r="L1015" s="288"/>
      <c r="M1015" s="288"/>
      <c r="N1015" s="288"/>
    </row>
    <row r="1016" spans="10:14" x14ac:dyDescent="0.2">
      <c r="J1016" s="288"/>
      <c r="K1016" s="288"/>
      <c r="L1016" s="288"/>
      <c r="M1016" s="288"/>
      <c r="N1016" s="288"/>
    </row>
    <row r="1017" spans="10:14" x14ac:dyDescent="0.2">
      <c r="J1017" s="288"/>
      <c r="K1017" s="288"/>
      <c r="L1017" s="288"/>
      <c r="M1017" s="288"/>
      <c r="N1017" s="288"/>
    </row>
    <row r="1018" spans="10:14" x14ac:dyDescent="0.2">
      <c r="J1018" s="288"/>
      <c r="K1018" s="288"/>
      <c r="L1018" s="288"/>
      <c r="M1018" s="288"/>
      <c r="N1018" s="288"/>
    </row>
    <row r="1019" spans="10:14" x14ac:dyDescent="0.2">
      <c r="J1019" s="288"/>
      <c r="K1019" s="288"/>
      <c r="L1019" s="288"/>
      <c r="M1019" s="288"/>
      <c r="N1019" s="288"/>
    </row>
    <row r="1020" spans="10:14" x14ac:dyDescent="0.2">
      <c r="J1020" s="288"/>
      <c r="K1020" s="288"/>
      <c r="L1020" s="288"/>
      <c r="M1020" s="288"/>
      <c r="N1020" s="288"/>
    </row>
    <row r="1021" spans="10:14" x14ac:dyDescent="0.2">
      <c r="J1021" s="288"/>
      <c r="K1021" s="288"/>
      <c r="L1021" s="288"/>
      <c r="M1021" s="288"/>
      <c r="N1021" s="288"/>
    </row>
    <row r="1022" spans="10:14" x14ac:dyDescent="0.2">
      <c r="J1022" s="288"/>
      <c r="K1022" s="288"/>
      <c r="L1022" s="288"/>
      <c r="M1022" s="288"/>
      <c r="N1022" s="288"/>
    </row>
    <row r="1023" spans="10:14" x14ac:dyDescent="0.2">
      <c r="J1023" s="288"/>
      <c r="K1023" s="288"/>
      <c r="L1023" s="288"/>
      <c r="M1023" s="288"/>
      <c r="N1023" s="288"/>
    </row>
    <row r="1024" spans="10:14" x14ac:dyDescent="0.2">
      <c r="J1024" s="288"/>
      <c r="K1024" s="288"/>
      <c r="L1024" s="288"/>
      <c r="M1024" s="288"/>
      <c r="N1024" s="288"/>
    </row>
    <row r="1025" spans="10:14" x14ac:dyDescent="0.2">
      <c r="J1025" s="288"/>
      <c r="K1025" s="288"/>
      <c r="L1025" s="288"/>
      <c r="M1025" s="288"/>
      <c r="N1025" s="288"/>
    </row>
    <row r="1026" spans="10:14" x14ac:dyDescent="0.2">
      <c r="J1026" s="288"/>
      <c r="K1026" s="288"/>
      <c r="L1026" s="288"/>
      <c r="M1026" s="288"/>
      <c r="N1026" s="288"/>
    </row>
    <row r="1027" spans="10:14" x14ac:dyDescent="0.2">
      <c r="J1027" s="288"/>
      <c r="K1027" s="288"/>
      <c r="L1027" s="288"/>
      <c r="M1027" s="288"/>
      <c r="N1027" s="288"/>
    </row>
    <row r="1028" spans="10:14" x14ac:dyDescent="0.2">
      <c r="J1028" s="288"/>
      <c r="K1028" s="288"/>
      <c r="L1028" s="288"/>
      <c r="M1028" s="288"/>
      <c r="N1028" s="288"/>
    </row>
    <row r="1029" spans="10:14" x14ac:dyDescent="0.2">
      <c r="J1029" s="288"/>
      <c r="K1029" s="288"/>
      <c r="L1029" s="288"/>
      <c r="M1029" s="288"/>
      <c r="N1029" s="288"/>
    </row>
    <row r="1030" spans="10:14" x14ac:dyDescent="0.2">
      <c r="J1030" s="288"/>
      <c r="K1030" s="288"/>
      <c r="L1030" s="288"/>
      <c r="M1030" s="288"/>
      <c r="N1030" s="288"/>
    </row>
    <row r="1031" spans="10:14" x14ac:dyDescent="0.2">
      <c r="J1031" s="288"/>
      <c r="K1031" s="288"/>
      <c r="L1031" s="288"/>
      <c r="M1031" s="288"/>
      <c r="N1031" s="288"/>
    </row>
    <row r="1032" spans="10:14" x14ac:dyDescent="0.2">
      <c r="J1032" s="288"/>
      <c r="K1032" s="288"/>
      <c r="L1032" s="288"/>
      <c r="M1032" s="288"/>
      <c r="N1032" s="288"/>
    </row>
    <row r="1033" spans="10:14" x14ac:dyDescent="0.2">
      <c r="J1033" s="288"/>
      <c r="K1033" s="288"/>
      <c r="L1033" s="288"/>
      <c r="M1033" s="288"/>
      <c r="N1033" s="288"/>
    </row>
    <row r="1034" spans="10:14" x14ac:dyDescent="0.2">
      <c r="J1034" s="288"/>
      <c r="K1034" s="288"/>
      <c r="L1034" s="288"/>
      <c r="M1034" s="288"/>
      <c r="N1034" s="288"/>
    </row>
    <row r="1035" spans="10:14" x14ac:dyDescent="0.2">
      <c r="J1035" s="288"/>
      <c r="K1035" s="288"/>
      <c r="L1035" s="288"/>
      <c r="M1035" s="288"/>
      <c r="N1035" s="288"/>
    </row>
    <row r="1036" spans="10:14" x14ac:dyDescent="0.2">
      <c r="J1036" s="288"/>
      <c r="K1036" s="288"/>
      <c r="L1036" s="288"/>
      <c r="M1036" s="288"/>
      <c r="N1036" s="288"/>
    </row>
    <row r="1037" spans="10:14" x14ac:dyDescent="0.2">
      <c r="J1037" s="288"/>
      <c r="K1037" s="288"/>
      <c r="L1037" s="288"/>
      <c r="M1037" s="288"/>
      <c r="N1037" s="288"/>
    </row>
    <row r="1038" spans="10:14" x14ac:dyDescent="0.2">
      <c r="J1038" s="288"/>
      <c r="K1038" s="288"/>
      <c r="L1038" s="288"/>
      <c r="M1038" s="288"/>
      <c r="N1038" s="288"/>
    </row>
    <row r="1039" spans="10:14" x14ac:dyDescent="0.2">
      <c r="J1039" s="288"/>
      <c r="K1039" s="288"/>
      <c r="L1039" s="288"/>
      <c r="M1039" s="288"/>
      <c r="N1039" s="288"/>
    </row>
    <row r="1040" spans="10:14" x14ac:dyDescent="0.2">
      <c r="J1040" s="288"/>
      <c r="K1040" s="288"/>
      <c r="L1040" s="288"/>
      <c r="M1040" s="288"/>
      <c r="N1040" s="288"/>
    </row>
    <row r="1041" spans="10:14" x14ac:dyDescent="0.2">
      <c r="J1041" s="288"/>
      <c r="K1041" s="288"/>
      <c r="L1041" s="288"/>
      <c r="M1041" s="288"/>
      <c r="N1041" s="288"/>
    </row>
    <row r="1042" spans="10:14" x14ac:dyDescent="0.2">
      <c r="J1042" s="288"/>
      <c r="K1042" s="288"/>
      <c r="L1042" s="288"/>
      <c r="M1042" s="288"/>
      <c r="N1042" s="288"/>
    </row>
    <row r="1043" spans="10:14" x14ac:dyDescent="0.2">
      <c r="J1043" s="288"/>
      <c r="K1043" s="288"/>
      <c r="L1043" s="288"/>
      <c r="M1043" s="288"/>
      <c r="N1043" s="288"/>
    </row>
    <row r="1044" spans="10:14" x14ac:dyDescent="0.2">
      <c r="J1044" s="288"/>
      <c r="K1044" s="288"/>
      <c r="L1044" s="288"/>
      <c r="M1044" s="288"/>
      <c r="N1044" s="288"/>
    </row>
    <row r="1045" spans="10:14" x14ac:dyDescent="0.2">
      <c r="J1045" s="288"/>
      <c r="K1045" s="288"/>
      <c r="L1045" s="288"/>
      <c r="M1045" s="288"/>
      <c r="N1045" s="288"/>
    </row>
    <row r="1046" spans="10:14" x14ac:dyDescent="0.2">
      <c r="J1046" s="288"/>
      <c r="K1046" s="288"/>
      <c r="L1046" s="288"/>
      <c r="M1046" s="288"/>
      <c r="N1046" s="288"/>
    </row>
    <row r="1047" spans="10:14" x14ac:dyDescent="0.2">
      <c r="J1047" s="288"/>
      <c r="K1047" s="288"/>
      <c r="L1047" s="288"/>
      <c r="M1047" s="288"/>
      <c r="N1047" s="288"/>
    </row>
    <row r="1048" spans="10:14" x14ac:dyDescent="0.2">
      <c r="J1048" s="288"/>
      <c r="K1048" s="288"/>
      <c r="L1048" s="288"/>
      <c r="M1048" s="288"/>
      <c r="N1048" s="288"/>
    </row>
    <row r="1049" spans="10:14" x14ac:dyDescent="0.2">
      <c r="J1049" s="288"/>
      <c r="K1049" s="288"/>
      <c r="L1049" s="288"/>
      <c r="M1049" s="288"/>
      <c r="N1049" s="288"/>
    </row>
    <row r="1050" spans="10:14" x14ac:dyDescent="0.2">
      <c r="J1050" s="288"/>
      <c r="K1050" s="288"/>
      <c r="L1050" s="288"/>
      <c r="M1050" s="288"/>
      <c r="N1050" s="288"/>
    </row>
    <row r="1051" spans="10:14" x14ac:dyDescent="0.2">
      <c r="J1051" s="288"/>
      <c r="K1051" s="288"/>
      <c r="L1051" s="288"/>
      <c r="M1051" s="288"/>
      <c r="N1051" s="288"/>
    </row>
    <row r="1052" spans="10:14" x14ac:dyDescent="0.2">
      <c r="J1052" s="288"/>
      <c r="K1052" s="288"/>
      <c r="L1052" s="288"/>
      <c r="M1052" s="288"/>
      <c r="N1052" s="288"/>
    </row>
    <row r="1053" spans="10:14" x14ac:dyDescent="0.2">
      <c r="J1053" s="288"/>
      <c r="K1053" s="288"/>
      <c r="L1053" s="288"/>
      <c r="M1053" s="288"/>
      <c r="N1053" s="288"/>
    </row>
    <row r="1054" spans="10:14" x14ac:dyDescent="0.2">
      <c r="J1054" s="288"/>
      <c r="K1054" s="288"/>
      <c r="L1054" s="288"/>
      <c r="M1054" s="288"/>
      <c r="N1054" s="288"/>
    </row>
    <row r="1055" spans="10:14" x14ac:dyDescent="0.2">
      <c r="J1055" s="288"/>
      <c r="K1055" s="288"/>
      <c r="L1055" s="288"/>
      <c r="M1055" s="288"/>
      <c r="N1055" s="288"/>
    </row>
    <row r="1056" spans="10:14" x14ac:dyDescent="0.2">
      <c r="J1056" s="288"/>
      <c r="K1056" s="288"/>
      <c r="L1056" s="288"/>
      <c r="M1056" s="288"/>
      <c r="N1056" s="288"/>
    </row>
    <row r="1057" spans="10:14" x14ac:dyDescent="0.2">
      <c r="J1057" s="288"/>
      <c r="K1057" s="288"/>
      <c r="L1057" s="288"/>
      <c r="M1057" s="288"/>
      <c r="N1057" s="288"/>
    </row>
    <row r="1058" spans="10:14" x14ac:dyDescent="0.2">
      <c r="J1058" s="288"/>
      <c r="K1058" s="288"/>
      <c r="L1058" s="288"/>
      <c r="M1058" s="288"/>
      <c r="N1058" s="288"/>
    </row>
    <row r="1059" spans="10:14" x14ac:dyDescent="0.2">
      <c r="J1059" s="288"/>
      <c r="K1059" s="288"/>
      <c r="L1059" s="288"/>
      <c r="M1059" s="288"/>
      <c r="N1059" s="288"/>
    </row>
    <row r="1060" spans="10:14" x14ac:dyDescent="0.2">
      <c r="J1060" s="288"/>
      <c r="K1060" s="288"/>
      <c r="L1060" s="288"/>
      <c r="M1060" s="288"/>
      <c r="N1060" s="288"/>
    </row>
    <row r="1061" spans="10:14" x14ac:dyDescent="0.2">
      <c r="J1061" s="288"/>
      <c r="K1061" s="288"/>
      <c r="L1061" s="288"/>
      <c r="M1061" s="288"/>
      <c r="N1061" s="288"/>
    </row>
    <row r="1062" spans="10:14" x14ac:dyDescent="0.2">
      <c r="J1062" s="288"/>
      <c r="K1062" s="288"/>
      <c r="L1062" s="288"/>
      <c r="M1062" s="288"/>
      <c r="N1062" s="288"/>
    </row>
    <row r="1063" spans="10:14" x14ac:dyDescent="0.2">
      <c r="J1063" s="288"/>
      <c r="K1063" s="288"/>
      <c r="L1063" s="288"/>
      <c r="M1063" s="288"/>
      <c r="N1063" s="288"/>
    </row>
    <row r="1064" spans="10:14" x14ac:dyDescent="0.2">
      <c r="J1064" s="288"/>
      <c r="K1064" s="288"/>
      <c r="L1064" s="288"/>
      <c r="M1064" s="288"/>
      <c r="N1064" s="288"/>
    </row>
    <row r="1065" spans="10:14" x14ac:dyDescent="0.2">
      <c r="J1065" s="288"/>
      <c r="K1065" s="288"/>
      <c r="L1065" s="288"/>
      <c r="M1065" s="288"/>
      <c r="N1065" s="288"/>
    </row>
    <row r="1066" spans="10:14" x14ac:dyDescent="0.2">
      <c r="J1066" s="288"/>
      <c r="K1066" s="288"/>
      <c r="L1066" s="288"/>
      <c r="M1066" s="288"/>
      <c r="N1066" s="288"/>
    </row>
    <row r="1067" spans="10:14" x14ac:dyDescent="0.2">
      <c r="J1067" s="288"/>
      <c r="K1067" s="288"/>
      <c r="L1067" s="288"/>
      <c r="M1067" s="288"/>
      <c r="N1067" s="288"/>
    </row>
    <row r="1068" spans="10:14" x14ac:dyDescent="0.2">
      <c r="J1068" s="288"/>
      <c r="K1068" s="288"/>
      <c r="L1068" s="288"/>
      <c r="M1068" s="288"/>
      <c r="N1068" s="288"/>
    </row>
    <row r="1069" spans="10:14" x14ac:dyDescent="0.2">
      <c r="J1069" s="288"/>
      <c r="K1069" s="288"/>
      <c r="L1069" s="288"/>
      <c r="M1069" s="288"/>
      <c r="N1069" s="288"/>
    </row>
    <row r="1070" spans="10:14" x14ac:dyDescent="0.2">
      <c r="J1070" s="288"/>
      <c r="K1070" s="288"/>
      <c r="L1070" s="288"/>
      <c r="M1070" s="288"/>
      <c r="N1070" s="288"/>
    </row>
    <row r="1071" spans="10:14" x14ac:dyDescent="0.2">
      <c r="J1071" s="288"/>
      <c r="K1071" s="288"/>
      <c r="L1071" s="288"/>
      <c r="M1071" s="288"/>
      <c r="N1071" s="288"/>
    </row>
    <row r="1072" spans="10:14" x14ac:dyDescent="0.2">
      <c r="J1072" s="288"/>
      <c r="K1072" s="288"/>
      <c r="L1072" s="288"/>
      <c r="M1072" s="288"/>
      <c r="N1072" s="288"/>
    </row>
    <row r="1073" spans="10:14" x14ac:dyDescent="0.2">
      <c r="J1073" s="288"/>
      <c r="K1073" s="288"/>
      <c r="L1073" s="288"/>
      <c r="M1073" s="288"/>
      <c r="N1073" s="288"/>
    </row>
    <row r="1074" spans="10:14" x14ac:dyDescent="0.2">
      <c r="J1074" s="288"/>
      <c r="K1074" s="288"/>
      <c r="L1074" s="288"/>
      <c r="M1074" s="288"/>
      <c r="N1074" s="288"/>
    </row>
    <row r="1075" spans="10:14" x14ac:dyDescent="0.2">
      <c r="J1075" s="288"/>
      <c r="K1075" s="288"/>
      <c r="L1075" s="288"/>
      <c r="M1075" s="288"/>
      <c r="N1075" s="288"/>
    </row>
    <row r="1076" spans="10:14" x14ac:dyDescent="0.2">
      <c r="J1076" s="288"/>
      <c r="K1076" s="288"/>
      <c r="L1076" s="288"/>
      <c r="M1076" s="288"/>
      <c r="N1076" s="288"/>
    </row>
    <row r="1077" spans="10:14" x14ac:dyDescent="0.2">
      <c r="J1077" s="288"/>
      <c r="K1077" s="288"/>
      <c r="L1077" s="288"/>
      <c r="M1077" s="288"/>
      <c r="N1077" s="288"/>
    </row>
    <row r="1078" spans="10:14" x14ac:dyDescent="0.2">
      <c r="J1078" s="288"/>
      <c r="K1078" s="288"/>
      <c r="L1078" s="288"/>
      <c r="M1078" s="288"/>
      <c r="N1078" s="288"/>
    </row>
    <row r="1079" spans="10:14" x14ac:dyDescent="0.2">
      <c r="J1079" s="288"/>
      <c r="K1079" s="288"/>
      <c r="L1079" s="288"/>
      <c r="M1079" s="288"/>
      <c r="N1079" s="288"/>
    </row>
    <row r="1080" spans="10:14" x14ac:dyDescent="0.2">
      <c r="J1080" s="288"/>
      <c r="K1080" s="288"/>
      <c r="L1080" s="288"/>
      <c r="M1080" s="288"/>
      <c r="N1080" s="288"/>
    </row>
    <row r="1081" spans="10:14" x14ac:dyDescent="0.2">
      <c r="J1081" s="288"/>
      <c r="K1081" s="288"/>
      <c r="L1081" s="288"/>
      <c r="M1081" s="288"/>
      <c r="N1081" s="288"/>
    </row>
    <row r="1082" spans="10:14" x14ac:dyDescent="0.2">
      <c r="J1082" s="288"/>
      <c r="K1082" s="288"/>
      <c r="L1082" s="288"/>
      <c r="M1082" s="288"/>
      <c r="N1082" s="288"/>
    </row>
    <row r="1083" spans="10:14" x14ac:dyDescent="0.2">
      <c r="J1083" s="288"/>
      <c r="K1083" s="288"/>
      <c r="L1083" s="288"/>
      <c r="M1083" s="288"/>
      <c r="N1083" s="288"/>
    </row>
    <row r="1084" spans="10:14" x14ac:dyDescent="0.2">
      <c r="J1084" s="288"/>
      <c r="K1084" s="288"/>
      <c r="L1084" s="288"/>
      <c r="M1084" s="288"/>
      <c r="N1084" s="288"/>
    </row>
    <row r="1085" spans="10:14" x14ac:dyDescent="0.2">
      <c r="J1085" s="288"/>
      <c r="K1085" s="288"/>
      <c r="L1085" s="288"/>
      <c r="M1085" s="288"/>
      <c r="N1085" s="288"/>
    </row>
    <row r="1086" spans="10:14" x14ac:dyDescent="0.2">
      <c r="J1086" s="288"/>
      <c r="K1086" s="288"/>
      <c r="L1086" s="288"/>
      <c r="M1086" s="288"/>
      <c r="N1086" s="288"/>
    </row>
    <row r="1087" spans="10:14" x14ac:dyDescent="0.2">
      <c r="J1087" s="288"/>
      <c r="K1087" s="288"/>
      <c r="L1087" s="288"/>
      <c r="M1087" s="288"/>
      <c r="N1087" s="288"/>
    </row>
    <row r="1088" spans="10:14" x14ac:dyDescent="0.2">
      <c r="J1088" s="288"/>
      <c r="K1088" s="288"/>
      <c r="L1088" s="288"/>
      <c r="M1088" s="288"/>
      <c r="N1088" s="288"/>
    </row>
    <row r="1089" spans="10:14" x14ac:dyDescent="0.2">
      <c r="J1089" s="288"/>
      <c r="K1089" s="288"/>
      <c r="L1089" s="288"/>
      <c r="M1089" s="288"/>
      <c r="N1089" s="288"/>
    </row>
    <row r="1090" spans="10:14" x14ac:dyDescent="0.2">
      <c r="J1090" s="288"/>
      <c r="K1090" s="288"/>
      <c r="L1090" s="288"/>
      <c r="M1090" s="288"/>
      <c r="N1090" s="288"/>
    </row>
    <row r="1091" spans="10:14" x14ac:dyDescent="0.2">
      <c r="J1091" s="288"/>
      <c r="K1091" s="288"/>
      <c r="L1091" s="288"/>
      <c r="M1091" s="288"/>
      <c r="N1091" s="288"/>
    </row>
    <row r="1092" spans="10:14" x14ac:dyDescent="0.2">
      <c r="J1092" s="288"/>
      <c r="K1092" s="288"/>
      <c r="L1092" s="288"/>
      <c r="M1092" s="288"/>
      <c r="N1092" s="288"/>
    </row>
    <row r="1093" spans="10:14" x14ac:dyDescent="0.2">
      <c r="J1093" s="288"/>
      <c r="K1093" s="288"/>
      <c r="L1093" s="288"/>
      <c r="M1093" s="288"/>
      <c r="N1093" s="288"/>
    </row>
    <row r="1094" spans="10:14" x14ac:dyDescent="0.2">
      <c r="J1094" s="288"/>
      <c r="K1094" s="288"/>
      <c r="L1094" s="288"/>
      <c r="M1094" s="288"/>
      <c r="N1094" s="288"/>
    </row>
    <row r="1095" spans="10:14" x14ac:dyDescent="0.2">
      <c r="J1095" s="288"/>
      <c r="K1095" s="288"/>
      <c r="L1095" s="288"/>
      <c r="M1095" s="288"/>
      <c r="N1095" s="288"/>
    </row>
    <row r="1096" spans="10:14" x14ac:dyDescent="0.2">
      <c r="J1096" s="288"/>
      <c r="K1096" s="288"/>
      <c r="L1096" s="288"/>
      <c r="M1096" s="288"/>
      <c r="N1096" s="288"/>
    </row>
    <row r="1097" spans="10:14" x14ac:dyDescent="0.2">
      <c r="J1097" s="288"/>
      <c r="K1097" s="288"/>
      <c r="L1097" s="288"/>
      <c r="M1097" s="288"/>
      <c r="N1097" s="288"/>
    </row>
    <row r="1098" spans="10:14" x14ac:dyDescent="0.2">
      <c r="J1098" s="288"/>
      <c r="K1098" s="288"/>
      <c r="L1098" s="288"/>
      <c r="M1098" s="288"/>
      <c r="N1098" s="288"/>
    </row>
    <row r="1099" spans="10:14" x14ac:dyDescent="0.2">
      <c r="J1099" s="288"/>
      <c r="K1099" s="288"/>
      <c r="L1099" s="288"/>
      <c r="M1099" s="288"/>
      <c r="N1099" s="288"/>
    </row>
    <row r="1100" spans="10:14" x14ac:dyDescent="0.2">
      <c r="J1100" s="288"/>
      <c r="K1100" s="288"/>
      <c r="L1100" s="288"/>
      <c r="M1100" s="288"/>
      <c r="N1100" s="288"/>
    </row>
    <row r="1101" spans="10:14" x14ac:dyDescent="0.2">
      <c r="J1101" s="288"/>
      <c r="K1101" s="288"/>
      <c r="L1101" s="288"/>
      <c r="M1101" s="288"/>
      <c r="N1101" s="288"/>
    </row>
    <row r="1102" spans="10:14" x14ac:dyDescent="0.2">
      <c r="J1102" s="288"/>
      <c r="K1102" s="288"/>
      <c r="L1102" s="288"/>
      <c r="M1102" s="288"/>
      <c r="N1102" s="288"/>
    </row>
    <row r="1103" spans="10:14" x14ac:dyDescent="0.2">
      <c r="J1103" s="288"/>
      <c r="K1103" s="288"/>
      <c r="L1103" s="288"/>
      <c r="M1103" s="288"/>
      <c r="N1103" s="288"/>
    </row>
    <row r="1104" spans="10:14" x14ac:dyDescent="0.2">
      <c r="J1104" s="288"/>
      <c r="K1104" s="288"/>
      <c r="L1104" s="288"/>
      <c r="M1104" s="288"/>
      <c r="N1104" s="288"/>
    </row>
    <row r="1105" spans="10:14" x14ac:dyDescent="0.2">
      <c r="J1105" s="288"/>
      <c r="K1105" s="288"/>
      <c r="L1105" s="288"/>
      <c r="M1105" s="288"/>
      <c r="N1105" s="288"/>
    </row>
    <row r="1106" spans="10:14" x14ac:dyDescent="0.2">
      <c r="J1106" s="288"/>
      <c r="K1106" s="288"/>
      <c r="L1106" s="288"/>
      <c r="M1106" s="288"/>
      <c r="N1106" s="288"/>
    </row>
    <row r="1107" spans="10:14" x14ac:dyDescent="0.2">
      <c r="J1107" s="288"/>
      <c r="K1107" s="288"/>
      <c r="L1107" s="288"/>
      <c r="M1107" s="288"/>
      <c r="N1107" s="288"/>
    </row>
    <row r="1108" spans="10:14" x14ac:dyDescent="0.2">
      <c r="J1108" s="288"/>
      <c r="K1108" s="288"/>
      <c r="L1108" s="288"/>
      <c r="M1108" s="288"/>
      <c r="N1108" s="288"/>
    </row>
    <row r="1109" spans="10:14" x14ac:dyDescent="0.2">
      <c r="J1109" s="288"/>
      <c r="K1109" s="288"/>
      <c r="L1109" s="288"/>
      <c r="M1109" s="288"/>
      <c r="N1109" s="288"/>
    </row>
    <row r="1110" spans="10:14" x14ac:dyDescent="0.2">
      <c r="J1110" s="288"/>
      <c r="K1110" s="288"/>
      <c r="L1110" s="288"/>
      <c r="M1110" s="288"/>
      <c r="N1110" s="288"/>
    </row>
    <row r="1111" spans="10:14" x14ac:dyDescent="0.2">
      <c r="J1111" s="288"/>
      <c r="K1111" s="288"/>
      <c r="L1111" s="288"/>
      <c r="M1111" s="288"/>
      <c r="N1111" s="288"/>
    </row>
    <row r="1112" spans="10:14" x14ac:dyDescent="0.2">
      <c r="J1112" s="288"/>
      <c r="K1112" s="288"/>
      <c r="L1112" s="288"/>
      <c r="M1112" s="288"/>
      <c r="N1112" s="288"/>
    </row>
    <row r="1113" spans="10:14" x14ac:dyDescent="0.2">
      <c r="J1113" s="288"/>
      <c r="K1113" s="288"/>
      <c r="L1113" s="288"/>
      <c r="M1113" s="288"/>
      <c r="N1113" s="288"/>
    </row>
    <row r="1114" spans="10:14" x14ac:dyDescent="0.2">
      <c r="J1114" s="288"/>
      <c r="K1114" s="288"/>
      <c r="L1114" s="288"/>
      <c r="M1114" s="288"/>
      <c r="N1114" s="288"/>
    </row>
    <row r="1115" spans="10:14" x14ac:dyDescent="0.2">
      <c r="J1115" s="288"/>
      <c r="K1115" s="288"/>
      <c r="L1115" s="288"/>
      <c r="M1115" s="288"/>
      <c r="N1115" s="288"/>
    </row>
    <row r="1116" spans="10:14" x14ac:dyDescent="0.2">
      <c r="J1116" s="288"/>
      <c r="K1116" s="288"/>
      <c r="L1116" s="288"/>
      <c r="M1116" s="288"/>
      <c r="N1116" s="288"/>
    </row>
    <row r="1117" spans="10:14" x14ac:dyDescent="0.2">
      <c r="J1117" s="288"/>
      <c r="K1117" s="288"/>
      <c r="L1117" s="288"/>
      <c r="M1117" s="288"/>
      <c r="N1117" s="288"/>
    </row>
    <row r="1118" spans="10:14" x14ac:dyDescent="0.2">
      <c r="J1118" s="288"/>
      <c r="K1118" s="288"/>
      <c r="L1118" s="288"/>
      <c r="M1118" s="288"/>
      <c r="N1118" s="288"/>
    </row>
    <row r="1119" spans="10:14" x14ac:dyDescent="0.2">
      <c r="J1119" s="288"/>
      <c r="K1119" s="288"/>
      <c r="L1119" s="288"/>
      <c r="M1119" s="288"/>
      <c r="N1119" s="288"/>
    </row>
    <row r="1120" spans="10:14" x14ac:dyDescent="0.2">
      <c r="J1120" s="288"/>
      <c r="K1120" s="288"/>
      <c r="L1120" s="288"/>
      <c r="M1120" s="288"/>
      <c r="N1120" s="288"/>
    </row>
    <row r="1121" spans="10:14" x14ac:dyDescent="0.2">
      <c r="J1121" s="288"/>
      <c r="K1121" s="288"/>
      <c r="L1121" s="288"/>
      <c r="M1121" s="288"/>
      <c r="N1121" s="288"/>
    </row>
    <row r="1122" spans="10:14" x14ac:dyDescent="0.2">
      <c r="J1122" s="288"/>
      <c r="K1122" s="288"/>
      <c r="L1122" s="288"/>
      <c r="M1122" s="288"/>
      <c r="N1122" s="288"/>
    </row>
    <row r="1123" spans="10:14" x14ac:dyDescent="0.2">
      <c r="J1123" s="288"/>
      <c r="K1123" s="288"/>
      <c r="L1123" s="288"/>
      <c r="M1123" s="288"/>
      <c r="N1123" s="288"/>
    </row>
    <row r="1124" spans="10:14" x14ac:dyDescent="0.2">
      <c r="J1124" s="288"/>
      <c r="K1124" s="288"/>
      <c r="L1124" s="288"/>
      <c r="M1124" s="288"/>
      <c r="N1124" s="288"/>
    </row>
    <row r="1125" spans="10:14" x14ac:dyDescent="0.2">
      <c r="J1125" s="288"/>
      <c r="K1125" s="288"/>
      <c r="L1125" s="288"/>
      <c r="M1125" s="288"/>
      <c r="N1125" s="288"/>
    </row>
    <row r="1126" spans="10:14" x14ac:dyDescent="0.2">
      <c r="J1126" s="288"/>
      <c r="K1126" s="288"/>
      <c r="L1126" s="288"/>
      <c r="M1126" s="288"/>
      <c r="N1126" s="288"/>
    </row>
    <row r="1127" spans="10:14" x14ac:dyDescent="0.2">
      <c r="J1127" s="288"/>
      <c r="K1127" s="288"/>
      <c r="L1127" s="288"/>
      <c r="M1127" s="288"/>
      <c r="N1127" s="288"/>
    </row>
    <row r="1128" spans="10:14" x14ac:dyDescent="0.2">
      <c r="J1128" s="288"/>
      <c r="K1128" s="288"/>
      <c r="L1128" s="288"/>
      <c r="M1128" s="288"/>
      <c r="N1128" s="288"/>
    </row>
    <row r="1129" spans="10:14" x14ac:dyDescent="0.2">
      <c r="J1129" s="288"/>
      <c r="K1129" s="288"/>
      <c r="L1129" s="288"/>
      <c r="M1129" s="288"/>
      <c r="N1129" s="288"/>
    </row>
    <row r="1130" spans="10:14" x14ac:dyDescent="0.2">
      <c r="J1130" s="288"/>
      <c r="K1130" s="288"/>
      <c r="L1130" s="288"/>
      <c r="M1130" s="288"/>
      <c r="N1130" s="288"/>
    </row>
    <row r="1131" spans="10:14" x14ac:dyDescent="0.2">
      <c r="J1131" s="288"/>
      <c r="K1131" s="288"/>
      <c r="L1131" s="288"/>
      <c r="M1131" s="288"/>
      <c r="N1131" s="288"/>
    </row>
    <row r="1132" spans="10:14" x14ac:dyDescent="0.2">
      <c r="J1132" s="288"/>
      <c r="K1132" s="288"/>
      <c r="L1132" s="288"/>
      <c r="M1132" s="288"/>
      <c r="N1132" s="288"/>
    </row>
    <row r="1133" spans="10:14" x14ac:dyDescent="0.2">
      <c r="J1133" s="288"/>
      <c r="K1133" s="288"/>
      <c r="L1133" s="288"/>
      <c r="M1133" s="288"/>
      <c r="N1133" s="288"/>
    </row>
    <row r="1134" spans="10:14" x14ac:dyDescent="0.2">
      <c r="J1134" s="288"/>
      <c r="K1134" s="288"/>
      <c r="L1134" s="288"/>
      <c r="M1134" s="288"/>
      <c r="N1134" s="288"/>
    </row>
    <row r="1135" spans="10:14" x14ac:dyDescent="0.2">
      <c r="J1135" s="288"/>
      <c r="K1135" s="288"/>
      <c r="L1135" s="288"/>
      <c r="M1135" s="288"/>
      <c r="N1135" s="288"/>
    </row>
    <row r="1136" spans="10:14" x14ac:dyDescent="0.2">
      <c r="J1136" s="288"/>
      <c r="K1136" s="288"/>
      <c r="L1136" s="288"/>
      <c r="M1136" s="288"/>
      <c r="N1136" s="288"/>
    </row>
    <row r="1137" spans="10:14" x14ac:dyDescent="0.2">
      <c r="J1137" s="288"/>
      <c r="K1137" s="288"/>
      <c r="L1137" s="288"/>
      <c r="M1137" s="288"/>
      <c r="N1137" s="288"/>
    </row>
    <row r="1138" spans="10:14" x14ac:dyDescent="0.2">
      <c r="J1138" s="288"/>
      <c r="K1138" s="288"/>
      <c r="L1138" s="288"/>
      <c r="M1138" s="288"/>
      <c r="N1138" s="288"/>
    </row>
    <row r="1139" spans="10:14" x14ac:dyDescent="0.2">
      <c r="J1139" s="288"/>
      <c r="K1139" s="288"/>
      <c r="L1139" s="288"/>
      <c r="M1139" s="288"/>
      <c r="N1139" s="288"/>
    </row>
    <row r="1140" spans="10:14" x14ac:dyDescent="0.2">
      <c r="J1140" s="288"/>
      <c r="K1140" s="288"/>
      <c r="L1140" s="288"/>
      <c r="M1140" s="288"/>
      <c r="N1140" s="288"/>
    </row>
    <row r="1141" spans="10:14" x14ac:dyDescent="0.2">
      <c r="J1141" s="288"/>
      <c r="K1141" s="288"/>
      <c r="L1141" s="288"/>
      <c r="M1141" s="288"/>
      <c r="N1141" s="288"/>
    </row>
    <row r="1142" spans="10:14" x14ac:dyDescent="0.2">
      <c r="J1142" s="288"/>
      <c r="K1142" s="288"/>
      <c r="L1142" s="288"/>
      <c r="M1142" s="288"/>
      <c r="N1142" s="288"/>
    </row>
    <row r="1143" spans="10:14" x14ac:dyDescent="0.2">
      <c r="J1143" s="288"/>
      <c r="K1143" s="288"/>
      <c r="L1143" s="288"/>
      <c r="M1143" s="288"/>
      <c r="N1143" s="288"/>
    </row>
    <row r="1144" spans="10:14" x14ac:dyDescent="0.2">
      <c r="J1144" s="288"/>
      <c r="K1144" s="288"/>
      <c r="L1144" s="288"/>
      <c r="M1144" s="288"/>
      <c r="N1144" s="288"/>
    </row>
    <row r="1145" spans="10:14" x14ac:dyDescent="0.2">
      <c r="J1145" s="288"/>
      <c r="K1145" s="288"/>
      <c r="L1145" s="288"/>
      <c r="M1145" s="288"/>
      <c r="N1145" s="288"/>
    </row>
    <row r="1146" spans="10:14" x14ac:dyDescent="0.2">
      <c r="J1146" s="288"/>
      <c r="K1146" s="288"/>
      <c r="L1146" s="288"/>
      <c r="M1146" s="288"/>
      <c r="N1146" s="288"/>
    </row>
    <row r="1147" spans="10:14" x14ac:dyDescent="0.2">
      <c r="J1147" s="288"/>
      <c r="K1147" s="288"/>
      <c r="L1147" s="288"/>
      <c r="M1147" s="288"/>
      <c r="N1147" s="288"/>
    </row>
    <row r="1148" spans="10:14" x14ac:dyDescent="0.2">
      <c r="J1148" s="288"/>
      <c r="K1148" s="288"/>
      <c r="L1148" s="288"/>
      <c r="M1148" s="288"/>
      <c r="N1148" s="288"/>
    </row>
    <row r="1149" spans="10:14" x14ac:dyDescent="0.2">
      <c r="J1149" s="288"/>
      <c r="K1149" s="288"/>
      <c r="L1149" s="288"/>
      <c r="M1149" s="288"/>
      <c r="N1149" s="288"/>
    </row>
    <row r="1150" spans="10:14" x14ac:dyDescent="0.2">
      <c r="J1150" s="288"/>
      <c r="K1150" s="288"/>
      <c r="L1150" s="288"/>
      <c r="M1150" s="288"/>
      <c r="N1150" s="288"/>
    </row>
    <row r="1151" spans="10:14" x14ac:dyDescent="0.2">
      <c r="J1151" s="288"/>
      <c r="K1151" s="288"/>
      <c r="L1151" s="288"/>
      <c r="M1151" s="288"/>
      <c r="N1151" s="288"/>
    </row>
    <row r="1152" spans="10:14" x14ac:dyDescent="0.2">
      <c r="J1152" s="288"/>
      <c r="K1152" s="288"/>
      <c r="L1152" s="288"/>
      <c r="M1152" s="288"/>
      <c r="N1152" s="288"/>
    </row>
    <row r="1153" spans="10:14" x14ac:dyDescent="0.2">
      <c r="J1153" s="288"/>
      <c r="K1153" s="288"/>
      <c r="L1153" s="288"/>
      <c r="M1153" s="288"/>
      <c r="N1153" s="288"/>
    </row>
    <row r="1154" spans="10:14" x14ac:dyDescent="0.2">
      <c r="J1154" s="288"/>
      <c r="K1154" s="288"/>
      <c r="L1154" s="288"/>
      <c r="M1154" s="288"/>
      <c r="N1154" s="288"/>
    </row>
    <row r="1155" spans="10:14" x14ac:dyDescent="0.2">
      <c r="J1155" s="288"/>
      <c r="K1155" s="288"/>
      <c r="L1155" s="288"/>
      <c r="M1155" s="288"/>
      <c r="N1155" s="288"/>
    </row>
    <row r="1156" spans="10:14" x14ac:dyDescent="0.2">
      <c r="J1156" s="288"/>
      <c r="K1156" s="288"/>
      <c r="L1156" s="288"/>
      <c r="M1156" s="288"/>
      <c r="N1156" s="288"/>
    </row>
    <row r="1157" spans="10:14" x14ac:dyDescent="0.2">
      <c r="J1157" s="288"/>
      <c r="K1157" s="288"/>
      <c r="L1157" s="288"/>
      <c r="M1157" s="288"/>
      <c r="N1157" s="288"/>
    </row>
    <row r="1158" spans="10:14" x14ac:dyDescent="0.2">
      <c r="J1158" s="288"/>
      <c r="K1158" s="288"/>
      <c r="L1158" s="288"/>
      <c r="M1158" s="288"/>
      <c r="N1158" s="288"/>
    </row>
    <row r="1159" spans="10:14" x14ac:dyDescent="0.2">
      <c r="J1159" s="288"/>
      <c r="K1159" s="288"/>
      <c r="L1159" s="288"/>
      <c r="M1159" s="288"/>
      <c r="N1159" s="288"/>
    </row>
    <row r="1160" spans="10:14" x14ac:dyDescent="0.2">
      <c r="J1160" s="288"/>
      <c r="K1160" s="288"/>
      <c r="L1160" s="288"/>
      <c r="M1160" s="288"/>
      <c r="N1160" s="288"/>
    </row>
    <row r="1161" spans="10:14" x14ac:dyDescent="0.2">
      <c r="J1161" s="288"/>
      <c r="K1161" s="288"/>
      <c r="L1161" s="288"/>
      <c r="M1161" s="288"/>
      <c r="N1161" s="288"/>
    </row>
    <row r="1162" spans="10:14" x14ac:dyDescent="0.2">
      <c r="J1162" s="288"/>
      <c r="K1162" s="288"/>
      <c r="L1162" s="288"/>
      <c r="M1162" s="288"/>
      <c r="N1162" s="288"/>
    </row>
    <row r="1163" spans="10:14" x14ac:dyDescent="0.2">
      <c r="J1163" s="288"/>
      <c r="K1163" s="288"/>
      <c r="L1163" s="288"/>
      <c r="M1163" s="288"/>
      <c r="N1163" s="288"/>
    </row>
    <row r="1164" spans="10:14" x14ac:dyDescent="0.2">
      <c r="J1164" s="288"/>
      <c r="K1164" s="288"/>
      <c r="L1164" s="288"/>
      <c r="M1164" s="288"/>
      <c r="N1164" s="288"/>
    </row>
    <row r="1165" spans="10:14" x14ac:dyDescent="0.2">
      <c r="J1165" s="288"/>
      <c r="K1165" s="288"/>
      <c r="L1165" s="288"/>
      <c r="M1165" s="288"/>
      <c r="N1165" s="288"/>
    </row>
    <row r="1166" spans="10:14" x14ac:dyDescent="0.2">
      <c r="J1166" s="288"/>
      <c r="K1166" s="288"/>
      <c r="L1166" s="288"/>
      <c r="M1166" s="288"/>
      <c r="N1166" s="288"/>
    </row>
    <row r="1167" spans="10:14" x14ac:dyDescent="0.2">
      <c r="J1167" s="288"/>
      <c r="K1167" s="288"/>
      <c r="L1167" s="288"/>
      <c r="M1167" s="288"/>
      <c r="N1167" s="288"/>
    </row>
    <row r="1168" spans="10:14" x14ac:dyDescent="0.2">
      <c r="J1168" s="288"/>
      <c r="K1168" s="288"/>
      <c r="L1168" s="288"/>
      <c r="M1168" s="288"/>
      <c r="N1168" s="288"/>
    </row>
    <row r="1169" spans="10:14" x14ac:dyDescent="0.2">
      <c r="J1169" s="288"/>
      <c r="K1169" s="288"/>
      <c r="L1169" s="288"/>
      <c r="M1169" s="288"/>
      <c r="N1169" s="288"/>
    </row>
    <row r="1170" spans="10:14" x14ac:dyDescent="0.2">
      <c r="J1170" s="288"/>
      <c r="K1170" s="288"/>
      <c r="L1170" s="288"/>
      <c r="M1170" s="288"/>
      <c r="N1170" s="288"/>
    </row>
    <row r="1171" spans="10:14" x14ac:dyDescent="0.2">
      <c r="J1171" s="288"/>
      <c r="K1171" s="288"/>
      <c r="L1171" s="288"/>
      <c r="M1171" s="288"/>
      <c r="N1171" s="288"/>
    </row>
    <row r="1172" spans="10:14" x14ac:dyDescent="0.2">
      <c r="J1172" s="288"/>
      <c r="K1172" s="288"/>
      <c r="L1172" s="288"/>
      <c r="M1172" s="288"/>
      <c r="N1172" s="288"/>
    </row>
    <row r="1173" spans="10:14" x14ac:dyDescent="0.2">
      <c r="J1173" s="288"/>
      <c r="K1173" s="288"/>
      <c r="L1173" s="288"/>
      <c r="M1173" s="288"/>
      <c r="N1173" s="288"/>
    </row>
    <row r="1174" spans="10:14" x14ac:dyDescent="0.2">
      <c r="J1174" s="288"/>
      <c r="K1174" s="288"/>
      <c r="L1174" s="288"/>
      <c r="M1174" s="288"/>
      <c r="N1174" s="288"/>
    </row>
    <row r="1175" spans="10:14" x14ac:dyDescent="0.2">
      <c r="J1175" s="288"/>
      <c r="K1175" s="288"/>
      <c r="L1175" s="288"/>
      <c r="M1175" s="288"/>
      <c r="N1175" s="288"/>
    </row>
    <row r="1176" spans="10:14" x14ac:dyDescent="0.2">
      <c r="J1176" s="288"/>
      <c r="K1176" s="288"/>
      <c r="L1176" s="288"/>
      <c r="M1176" s="288"/>
      <c r="N1176" s="288"/>
    </row>
    <row r="1177" spans="10:14" x14ac:dyDescent="0.2">
      <c r="J1177" s="288"/>
      <c r="K1177" s="288"/>
      <c r="L1177" s="288"/>
      <c r="M1177" s="288"/>
      <c r="N1177" s="288"/>
    </row>
    <row r="1178" spans="10:14" x14ac:dyDescent="0.2">
      <c r="J1178" s="288"/>
      <c r="K1178" s="288"/>
      <c r="L1178" s="288"/>
      <c r="M1178" s="288"/>
      <c r="N1178" s="288"/>
    </row>
    <row r="1179" spans="10:14" x14ac:dyDescent="0.2">
      <c r="J1179" s="288"/>
      <c r="K1179" s="288"/>
      <c r="L1179" s="288"/>
      <c r="M1179" s="288"/>
      <c r="N1179" s="288"/>
    </row>
    <row r="1180" spans="10:14" x14ac:dyDescent="0.2">
      <c r="J1180" s="288"/>
      <c r="K1180" s="288"/>
      <c r="L1180" s="288"/>
      <c r="M1180" s="288"/>
      <c r="N1180" s="288"/>
    </row>
    <row r="1181" spans="10:14" x14ac:dyDescent="0.2">
      <c r="J1181" s="288"/>
      <c r="K1181" s="288"/>
      <c r="L1181" s="288"/>
      <c r="M1181" s="288"/>
      <c r="N1181" s="288"/>
    </row>
    <row r="1182" spans="10:14" x14ac:dyDescent="0.2">
      <c r="J1182" s="288"/>
      <c r="K1182" s="288"/>
      <c r="L1182" s="288"/>
      <c r="M1182" s="288"/>
      <c r="N1182" s="288"/>
    </row>
    <row r="1183" spans="10:14" x14ac:dyDescent="0.2">
      <c r="J1183" s="288"/>
      <c r="K1183" s="288"/>
      <c r="L1183" s="288"/>
      <c r="M1183" s="288"/>
      <c r="N1183" s="288"/>
    </row>
    <row r="1184" spans="10:14" x14ac:dyDescent="0.2">
      <c r="J1184" s="288"/>
      <c r="K1184" s="288"/>
      <c r="L1184" s="288"/>
      <c r="M1184" s="288"/>
      <c r="N1184" s="288"/>
    </row>
    <row r="1185" spans="10:14" x14ac:dyDescent="0.2">
      <c r="J1185" s="288"/>
      <c r="K1185" s="288"/>
      <c r="L1185" s="288"/>
      <c r="M1185" s="288"/>
      <c r="N1185" s="288"/>
    </row>
    <row r="1186" spans="10:14" x14ac:dyDescent="0.2">
      <c r="J1186" s="288"/>
      <c r="K1186" s="288"/>
      <c r="L1186" s="288"/>
      <c r="M1186" s="288"/>
      <c r="N1186" s="288"/>
    </row>
    <row r="1187" spans="10:14" x14ac:dyDescent="0.2">
      <c r="J1187" s="288"/>
      <c r="K1187" s="288"/>
      <c r="L1187" s="288"/>
      <c r="M1187" s="288"/>
      <c r="N1187" s="288"/>
    </row>
    <row r="1188" spans="10:14" x14ac:dyDescent="0.2">
      <c r="J1188" s="288"/>
      <c r="K1188" s="288"/>
      <c r="L1188" s="288"/>
      <c r="M1188" s="288"/>
      <c r="N1188" s="288"/>
    </row>
    <row r="1189" spans="10:14" x14ac:dyDescent="0.2">
      <c r="J1189" s="288"/>
      <c r="K1189" s="288"/>
      <c r="L1189" s="288"/>
      <c r="M1189" s="288"/>
      <c r="N1189" s="288"/>
    </row>
    <row r="1190" spans="10:14" x14ac:dyDescent="0.2">
      <c r="J1190" s="288"/>
      <c r="K1190" s="288"/>
      <c r="L1190" s="288"/>
      <c r="M1190" s="288"/>
      <c r="N1190" s="288"/>
    </row>
    <row r="1191" spans="10:14" x14ac:dyDescent="0.2">
      <c r="J1191" s="288"/>
      <c r="K1191" s="288"/>
      <c r="L1191" s="288"/>
      <c r="M1191" s="288"/>
      <c r="N1191" s="288"/>
    </row>
    <row r="1192" spans="10:14" x14ac:dyDescent="0.2">
      <c r="J1192" s="288"/>
      <c r="K1192" s="288"/>
      <c r="L1192" s="288"/>
      <c r="M1192" s="288"/>
      <c r="N1192" s="288"/>
    </row>
    <row r="1193" spans="10:14" x14ac:dyDescent="0.2">
      <c r="J1193" s="288"/>
      <c r="K1193" s="288"/>
      <c r="L1193" s="288"/>
      <c r="M1193" s="288"/>
      <c r="N1193" s="288"/>
    </row>
    <row r="1194" spans="10:14" x14ac:dyDescent="0.2">
      <c r="J1194" s="288"/>
      <c r="K1194" s="288"/>
      <c r="L1194" s="288"/>
      <c r="M1194" s="288"/>
      <c r="N1194" s="288"/>
    </row>
    <row r="1195" spans="10:14" x14ac:dyDescent="0.2">
      <c r="J1195" s="288"/>
      <c r="K1195" s="288"/>
      <c r="L1195" s="288"/>
      <c r="M1195" s="288"/>
      <c r="N1195" s="288"/>
    </row>
    <row r="1196" spans="10:14" x14ac:dyDescent="0.2">
      <c r="J1196" s="288"/>
      <c r="K1196" s="288"/>
      <c r="L1196" s="288"/>
      <c r="M1196" s="288"/>
      <c r="N1196" s="288"/>
    </row>
    <row r="1197" spans="10:14" x14ac:dyDescent="0.2">
      <c r="J1197" s="288"/>
      <c r="K1197" s="288"/>
      <c r="L1197" s="288"/>
      <c r="M1197" s="288"/>
      <c r="N1197" s="288"/>
    </row>
    <row r="1198" spans="10:14" x14ac:dyDescent="0.2">
      <c r="J1198" s="288"/>
      <c r="K1198" s="288"/>
      <c r="L1198" s="288"/>
      <c r="M1198" s="288"/>
      <c r="N1198" s="288"/>
    </row>
    <row r="1199" spans="10:14" x14ac:dyDescent="0.2">
      <c r="J1199" s="288"/>
      <c r="K1199" s="288"/>
      <c r="L1199" s="288"/>
      <c r="M1199" s="288"/>
      <c r="N1199" s="288"/>
    </row>
    <row r="1200" spans="10:14" x14ac:dyDescent="0.2">
      <c r="J1200" s="288"/>
      <c r="K1200" s="288"/>
      <c r="L1200" s="288"/>
      <c r="M1200" s="288"/>
      <c r="N1200" s="288"/>
    </row>
    <row r="1201" spans="10:14" x14ac:dyDescent="0.2">
      <c r="J1201" s="288"/>
      <c r="K1201" s="288"/>
      <c r="L1201" s="288"/>
      <c r="M1201" s="288"/>
      <c r="N1201" s="288"/>
    </row>
    <row r="1202" spans="10:14" x14ac:dyDescent="0.2">
      <c r="J1202" s="288"/>
      <c r="K1202" s="288"/>
      <c r="L1202" s="288"/>
      <c r="M1202" s="288"/>
      <c r="N1202" s="288"/>
    </row>
    <row r="1203" spans="10:14" x14ac:dyDescent="0.2">
      <c r="J1203" s="288"/>
      <c r="K1203" s="288"/>
      <c r="L1203" s="288"/>
      <c r="M1203" s="288"/>
      <c r="N1203" s="288"/>
    </row>
    <row r="1204" spans="10:14" x14ac:dyDescent="0.2">
      <c r="J1204" s="288"/>
      <c r="K1204" s="288"/>
      <c r="L1204" s="288"/>
      <c r="M1204" s="288"/>
      <c r="N1204" s="288"/>
    </row>
    <row r="1205" spans="10:14" x14ac:dyDescent="0.2">
      <c r="J1205" s="288"/>
      <c r="K1205" s="288"/>
      <c r="L1205" s="288"/>
      <c r="M1205" s="288"/>
      <c r="N1205" s="288"/>
    </row>
    <row r="1206" spans="10:14" x14ac:dyDescent="0.2">
      <c r="J1206" s="288"/>
      <c r="K1206" s="288"/>
      <c r="L1206" s="288"/>
      <c r="M1206" s="288"/>
      <c r="N1206" s="288"/>
    </row>
    <row r="1207" spans="10:14" x14ac:dyDescent="0.2">
      <c r="J1207" s="288"/>
      <c r="K1207" s="288"/>
      <c r="L1207" s="288"/>
      <c r="M1207" s="288"/>
      <c r="N1207" s="288"/>
    </row>
    <row r="1208" spans="10:14" x14ac:dyDescent="0.2">
      <c r="J1208" s="288"/>
      <c r="K1208" s="288"/>
      <c r="L1208" s="288"/>
      <c r="M1208" s="288"/>
      <c r="N1208" s="288"/>
    </row>
    <row r="1209" spans="10:14" x14ac:dyDescent="0.2">
      <c r="J1209" s="288"/>
      <c r="K1209" s="288"/>
      <c r="L1209" s="288"/>
      <c r="M1209" s="288"/>
      <c r="N1209" s="288"/>
    </row>
    <row r="1210" spans="10:14" x14ac:dyDescent="0.2">
      <c r="J1210" s="288"/>
      <c r="K1210" s="288"/>
      <c r="L1210" s="288"/>
      <c r="M1210" s="288"/>
      <c r="N1210" s="288"/>
    </row>
    <row r="1211" spans="10:14" x14ac:dyDescent="0.2">
      <c r="J1211" s="288"/>
      <c r="K1211" s="288"/>
      <c r="L1211" s="288"/>
      <c r="M1211" s="288"/>
      <c r="N1211" s="288"/>
    </row>
    <row r="1212" spans="10:14" x14ac:dyDescent="0.2">
      <c r="J1212" s="288"/>
      <c r="K1212" s="288"/>
      <c r="L1212" s="288"/>
      <c r="M1212" s="288"/>
      <c r="N1212" s="288"/>
    </row>
    <row r="1213" spans="10:14" x14ac:dyDescent="0.2">
      <c r="J1213" s="288"/>
      <c r="K1213" s="288"/>
      <c r="L1213" s="288"/>
      <c r="M1213" s="288"/>
      <c r="N1213" s="288"/>
    </row>
    <row r="1214" spans="10:14" x14ac:dyDescent="0.2">
      <c r="J1214" s="288"/>
      <c r="K1214" s="288"/>
      <c r="L1214" s="288"/>
      <c r="M1214" s="288"/>
      <c r="N1214" s="288"/>
    </row>
    <row r="1215" spans="10:14" x14ac:dyDescent="0.2">
      <c r="J1215" s="288"/>
      <c r="K1215" s="288"/>
      <c r="L1215" s="288"/>
      <c r="M1215" s="288"/>
      <c r="N1215" s="288"/>
    </row>
    <row r="1216" spans="10:14" x14ac:dyDescent="0.2">
      <c r="J1216" s="288"/>
      <c r="K1216" s="288"/>
      <c r="L1216" s="288"/>
      <c r="M1216" s="288"/>
      <c r="N1216" s="288"/>
    </row>
    <row r="1217" spans="10:14" x14ac:dyDescent="0.2">
      <c r="J1217" s="288"/>
      <c r="K1217" s="288"/>
      <c r="L1217" s="288"/>
      <c r="M1217" s="288"/>
      <c r="N1217" s="288"/>
    </row>
    <row r="1218" spans="10:14" x14ac:dyDescent="0.2">
      <c r="J1218" s="288"/>
      <c r="K1218" s="288"/>
      <c r="L1218" s="288"/>
      <c r="M1218" s="288"/>
      <c r="N1218" s="288"/>
    </row>
    <row r="1219" spans="10:14" x14ac:dyDescent="0.2">
      <c r="J1219" s="288"/>
      <c r="K1219" s="288"/>
      <c r="L1219" s="288"/>
      <c r="M1219" s="288"/>
      <c r="N1219" s="288"/>
    </row>
    <row r="1220" spans="10:14" x14ac:dyDescent="0.2">
      <c r="J1220" s="288"/>
      <c r="K1220" s="288"/>
      <c r="L1220" s="288"/>
      <c r="M1220" s="288"/>
      <c r="N1220" s="288"/>
    </row>
    <row r="1221" spans="10:14" x14ac:dyDescent="0.2">
      <c r="J1221" s="288"/>
      <c r="K1221" s="288"/>
      <c r="L1221" s="288"/>
      <c r="M1221" s="288"/>
      <c r="N1221" s="288"/>
    </row>
    <row r="1222" spans="10:14" x14ac:dyDescent="0.2">
      <c r="J1222" s="288"/>
      <c r="K1222" s="288"/>
      <c r="L1222" s="288"/>
      <c r="M1222" s="288"/>
      <c r="N1222" s="288"/>
    </row>
    <row r="1223" spans="10:14" x14ac:dyDescent="0.2">
      <c r="J1223" s="288"/>
      <c r="K1223" s="288"/>
      <c r="L1223" s="288"/>
      <c r="M1223" s="288"/>
      <c r="N1223" s="288"/>
    </row>
    <row r="1224" spans="10:14" x14ac:dyDescent="0.2">
      <c r="J1224" s="288"/>
      <c r="K1224" s="288"/>
      <c r="L1224" s="288"/>
      <c r="M1224" s="288"/>
      <c r="N1224" s="288"/>
    </row>
    <row r="1225" spans="10:14" x14ac:dyDescent="0.2">
      <c r="J1225" s="288"/>
      <c r="K1225" s="288"/>
      <c r="L1225" s="288"/>
      <c r="M1225" s="288"/>
      <c r="N1225" s="288"/>
    </row>
    <row r="1226" spans="10:14" x14ac:dyDescent="0.2">
      <c r="J1226" s="288"/>
      <c r="K1226" s="288"/>
      <c r="L1226" s="288"/>
      <c r="M1226" s="288"/>
      <c r="N1226" s="288"/>
    </row>
    <row r="1227" spans="10:14" x14ac:dyDescent="0.2">
      <c r="J1227" s="288"/>
      <c r="K1227" s="288"/>
      <c r="L1227" s="288"/>
      <c r="M1227" s="288"/>
      <c r="N1227" s="288"/>
    </row>
    <row r="1228" spans="10:14" x14ac:dyDescent="0.2">
      <c r="J1228" s="288"/>
      <c r="K1228" s="288"/>
      <c r="L1228" s="288"/>
      <c r="M1228" s="288"/>
      <c r="N1228" s="288"/>
    </row>
    <row r="1229" spans="10:14" x14ac:dyDescent="0.2">
      <c r="J1229" s="288"/>
      <c r="K1229" s="288"/>
      <c r="L1229" s="288"/>
      <c r="M1229" s="288"/>
      <c r="N1229" s="288"/>
    </row>
    <row r="1230" spans="10:14" x14ac:dyDescent="0.2">
      <c r="J1230" s="288"/>
      <c r="K1230" s="288"/>
      <c r="L1230" s="288"/>
      <c r="M1230" s="288"/>
      <c r="N1230" s="288"/>
    </row>
    <row r="1231" spans="10:14" x14ac:dyDescent="0.2">
      <c r="J1231" s="288"/>
      <c r="K1231" s="288"/>
      <c r="L1231" s="288"/>
      <c r="M1231" s="288"/>
      <c r="N1231" s="288"/>
    </row>
    <row r="1232" spans="10:14" x14ac:dyDescent="0.2">
      <c r="J1232" s="288"/>
      <c r="K1232" s="288"/>
      <c r="L1232" s="288"/>
      <c r="M1232" s="288"/>
      <c r="N1232" s="288"/>
    </row>
    <row r="1233" spans="10:14" x14ac:dyDescent="0.2">
      <c r="J1233" s="288"/>
      <c r="K1233" s="288"/>
      <c r="L1233" s="288"/>
      <c r="M1233" s="288"/>
      <c r="N1233" s="288"/>
    </row>
    <row r="1234" spans="10:14" x14ac:dyDescent="0.2">
      <c r="J1234" s="288"/>
      <c r="K1234" s="288"/>
      <c r="L1234" s="288"/>
      <c r="M1234" s="288"/>
      <c r="N1234" s="288"/>
    </row>
    <row r="1235" spans="10:14" x14ac:dyDescent="0.2">
      <c r="J1235" s="288"/>
      <c r="K1235" s="288"/>
      <c r="L1235" s="288"/>
      <c r="M1235" s="288"/>
      <c r="N1235" s="288"/>
    </row>
    <row r="1236" spans="10:14" x14ac:dyDescent="0.2">
      <c r="J1236" s="288"/>
      <c r="K1236" s="288"/>
      <c r="L1236" s="288"/>
      <c r="M1236" s="288"/>
      <c r="N1236" s="288"/>
    </row>
    <row r="1237" spans="10:14" x14ac:dyDescent="0.2">
      <c r="J1237" s="288"/>
      <c r="K1237" s="288"/>
      <c r="L1237" s="288"/>
      <c r="M1237" s="288"/>
      <c r="N1237" s="288"/>
    </row>
    <row r="1238" spans="10:14" x14ac:dyDescent="0.2">
      <c r="J1238" s="288"/>
      <c r="K1238" s="288"/>
      <c r="L1238" s="288"/>
      <c r="M1238" s="288"/>
      <c r="N1238" s="288"/>
    </row>
    <row r="1239" spans="10:14" x14ac:dyDescent="0.2">
      <c r="J1239" s="288"/>
      <c r="K1239" s="288"/>
      <c r="L1239" s="288"/>
      <c r="M1239" s="288"/>
      <c r="N1239" s="288"/>
    </row>
    <row r="1240" spans="10:14" x14ac:dyDescent="0.2">
      <c r="J1240" s="288"/>
      <c r="K1240" s="288"/>
      <c r="L1240" s="288"/>
      <c r="M1240" s="288"/>
      <c r="N1240" s="288"/>
    </row>
    <row r="1241" spans="10:14" x14ac:dyDescent="0.2">
      <c r="J1241" s="288"/>
      <c r="K1241" s="288"/>
      <c r="L1241" s="288"/>
      <c r="M1241" s="288"/>
      <c r="N1241" s="288"/>
    </row>
    <row r="1242" spans="10:14" x14ac:dyDescent="0.2">
      <c r="J1242" s="288"/>
      <c r="K1242" s="288"/>
      <c r="L1242" s="288"/>
      <c r="M1242" s="288"/>
      <c r="N1242" s="288"/>
    </row>
    <row r="1243" spans="10:14" x14ac:dyDescent="0.2">
      <c r="J1243" s="288"/>
      <c r="K1243" s="288"/>
      <c r="L1243" s="288"/>
      <c r="M1243" s="288"/>
      <c r="N1243" s="288"/>
    </row>
    <row r="1244" spans="10:14" x14ac:dyDescent="0.2">
      <c r="J1244" s="288"/>
      <c r="K1244" s="288"/>
      <c r="L1244" s="288"/>
      <c r="M1244" s="288"/>
      <c r="N1244" s="288"/>
    </row>
    <row r="1245" spans="10:14" x14ac:dyDescent="0.2">
      <c r="J1245" s="288"/>
      <c r="K1245" s="288"/>
      <c r="L1245" s="288"/>
      <c r="M1245" s="288"/>
      <c r="N1245" s="288"/>
    </row>
    <row r="1246" spans="10:14" x14ac:dyDescent="0.2">
      <c r="J1246" s="288"/>
      <c r="K1246" s="288"/>
      <c r="L1246" s="288"/>
      <c r="M1246" s="288"/>
      <c r="N1246" s="288"/>
    </row>
    <row r="1247" spans="10:14" x14ac:dyDescent="0.2">
      <c r="J1247" s="288"/>
      <c r="K1247" s="288"/>
      <c r="L1247" s="288"/>
      <c r="M1247" s="288"/>
      <c r="N1247" s="288"/>
    </row>
    <row r="1248" spans="10:14" x14ac:dyDescent="0.2">
      <c r="J1248" s="288"/>
      <c r="K1248" s="288"/>
      <c r="L1248" s="288"/>
      <c r="M1248" s="288"/>
      <c r="N1248" s="288"/>
    </row>
    <row r="1249" spans="10:14" x14ac:dyDescent="0.2">
      <c r="J1249" s="288"/>
      <c r="K1249" s="288"/>
      <c r="L1249" s="288"/>
      <c r="M1249" s="288"/>
      <c r="N1249" s="288"/>
    </row>
    <row r="1250" spans="10:14" x14ac:dyDescent="0.2">
      <c r="J1250" s="288"/>
      <c r="K1250" s="288"/>
      <c r="L1250" s="288"/>
      <c r="M1250" s="288"/>
      <c r="N1250" s="288"/>
    </row>
    <row r="1251" spans="10:14" x14ac:dyDescent="0.2">
      <c r="J1251" s="288"/>
      <c r="K1251" s="288"/>
      <c r="L1251" s="288"/>
      <c r="M1251" s="288"/>
      <c r="N1251" s="288"/>
    </row>
    <row r="1252" spans="10:14" x14ac:dyDescent="0.2">
      <c r="J1252" s="288"/>
      <c r="K1252" s="288"/>
      <c r="L1252" s="288"/>
      <c r="M1252" s="288"/>
      <c r="N1252" s="288"/>
    </row>
    <row r="1253" spans="10:14" x14ac:dyDescent="0.2">
      <c r="J1253" s="288"/>
      <c r="K1253" s="288"/>
      <c r="L1253" s="288"/>
      <c r="M1253" s="288"/>
      <c r="N1253" s="288"/>
    </row>
    <row r="1254" spans="10:14" x14ac:dyDescent="0.2">
      <c r="J1254" s="288"/>
      <c r="K1254" s="288"/>
      <c r="L1254" s="288"/>
      <c r="M1254" s="288"/>
      <c r="N1254" s="288"/>
    </row>
    <row r="1255" spans="10:14" x14ac:dyDescent="0.2">
      <c r="J1255" s="288"/>
      <c r="K1255" s="288"/>
      <c r="L1255" s="288"/>
      <c r="M1255" s="288"/>
      <c r="N1255" s="288"/>
    </row>
    <row r="1256" spans="10:14" x14ac:dyDescent="0.2">
      <c r="J1256" s="288"/>
      <c r="K1256" s="288"/>
      <c r="L1256" s="288"/>
      <c r="M1256" s="288"/>
      <c r="N1256" s="288"/>
    </row>
    <row r="1257" spans="10:14" x14ac:dyDescent="0.2">
      <c r="J1257" s="288"/>
      <c r="K1257" s="288"/>
      <c r="L1257" s="288"/>
      <c r="M1257" s="288"/>
      <c r="N1257" s="288"/>
    </row>
    <row r="1258" spans="10:14" x14ac:dyDescent="0.2">
      <c r="J1258" s="288"/>
      <c r="K1258" s="288"/>
      <c r="L1258" s="288"/>
      <c r="M1258" s="288"/>
      <c r="N1258" s="288"/>
    </row>
    <row r="1259" spans="10:14" x14ac:dyDescent="0.2">
      <c r="J1259" s="288"/>
      <c r="K1259" s="288"/>
      <c r="L1259" s="288"/>
      <c r="M1259" s="288"/>
      <c r="N1259" s="288"/>
    </row>
    <row r="1260" spans="10:14" x14ac:dyDescent="0.2">
      <c r="J1260" s="288"/>
      <c r="K1260" s="288"/>
      <c r="L1260" s="288"/>
      <c r="M1260" s="288"/>
      <c r="N1260" s="288"/>
    </row>
    <row r="1261" spans="10:14" x14ac:dyDescent="0.2">
      <c r="J1261" s="288"/>
      <c r="K1261" s="288"/>
      <c r="L1261" s="288"/>
      <c r="M1261" s="288"/>
      <c r="N1261" s="288"/>
    </row>
    <row r="1262" spans="10:14" x14ac:dyDescent="0.2">
      <c r="J1262" s="288"/>
      <c r="K1262" s="288"/>
      <c r="L1262" s="288"/>
      <c r="M1262" s="288"/>
      <c r="N1262" s="288"/>
    </row>
    <row r="1263" spans="10:14" x14ac:dyDescent="0.2">
      <c r="J1263" s="288"/>
      <c r="K1263" s="288"/>
      <c r="L1263" s="288"/>
      <c r="M1263" s="288"/>
      <c r="N1263" s="288"/>
    </row>
    <row r="1264" spans="10:14" x14ac:dyDescent="0.2">
      <c r="J1264" s="288"/>
      <c r="K1264" s="288"/>
      <c r="L1264" s="288"/>
      <c r="M1264" s="288"/>
      <c r="N1264" s="288"/>
    </row>
    <row r="1265" spans="10:14" x14ac:dyDescent="0.2">
      <c r="J1265" s="288"/>
      <c r="K1265" s="288"/>
      <c r="L1265" s="288"/>
      <c r="M1265" s="288"/>
      <c r="N1265" s="288"/>
    </row>
    <row r="1266" spans="10:14" x14ac:dyDescent="0.2">
      <c r="J1266" s="288"/>
      <c r="K1266" s="288"/>
      <c r="L1266" s="288"/>
      <c r="M1266" s="288"/>
      <c r="N1266" s="288"/>
    </row>
    <row r="1267" spans="10:14" x14ac:dyDescent="0.2">
      <c r="J1267" s="288"/>
      <c r="K1267" s="288"/>
      <c r="L1267" s="288"/>
      <c r="M1267" s="288"/>
      <c r="N1267" s="288"/>
    </row>
    <row r="1268" spans="10:14" x14ac:dyDescent="0.2">
      <c r="J1268" s="288"/>
      <c r="K1268" s="288"/>
      <c r="L1268" s="288"/>
      <c r="M1268" s="288"/>
      <c r="N1268" s="288"/>
    </row>
    <row r="1269" spans="10:14" x14ac:dyDescent="0.2">
      <c r="J1269" s="288"/>
      <c r="K1269" s="288"/>
      <c r="L1269" s="288"/>
      <c r="M1269" s="288"/>
      <c r="N1269" s="288"/>
    </row>
    <row r="1270" spans="10:14" x14ac:dyDescent="0.2">
      <c r="J1270" s="288"/>
      <c r="K1270" s="288"/>
      <c r="L1270" s="288"/>
      <c r="M1270" s="288"/>
      <c r="N1270" s="288"/>
    </row>
    <row r="1271" spans="10:14" x14ac:dyDescent="0.2">
      <c r="J1271" s="288"/>
      <c r="K1271" s="288"/>
      <c r="L1271" s="288"/>
      <c r="M1271" s="288"/>
      <c r="N1271" s="288"/>
    </row>
    <row r="1272" spans="10:14" x14ac:dyDescent="0.2">
      <c r="J1272" s="288"/>
      <c r="K1272" s="288"/>
      <c r="L1272" s="288"/>
      <c r="M1272" s="288"/>
      <c r="N1272" s="288"/>
    </row>
    <row r="1273" spans="10:14" x14ac:dyDescent="0.2">
      <c r="J1273" s="288"/>
      <c r="K1273" s="288"/>
      <c r="L1273" s="288"/>
      <c r="M1273" s="288"/>
      <c r="N1273" s="288"/>
    </row>
    <row r="1274" spans="10:14" x14ac:dyDescent="0.2">
      <c r="J1274" s="288"/>
      <c r="K1274" s="288"/>
      <c r="L1274" s="288"/>
      <c r="M1274" s="288"/>
      <c r="N1274" s="288"/>
    </row>
    <row r="1275" spans="10:14" x14ac:dyDescent="0.2">
      <c r="J1275" s="288"/>
      <c r="K1275" s="288"/>
      <c r="L1275" s="288"/>
      <c r="M1275" s="288"/>
      <c r="N1275" s="288"/>
    </row>
    <row r="1276" spans="10:14" x14ac:dyDescent="0.2">
      <c r="J1276" s="288"/>
      <c r="K1276" s="288"/>
      <c r="L1276" s="288"/>
      <c r="M1276" s="288"/>
      <c r="N1276" s="288"/>
    </row>
    <row r="1277" spans="10:14" x14ac:dyDescent="0.2">
      <c r="J1277" s="288"/>
      <c r="K1277" s="288"/>
      <c r="L1277" s="288"/>
      <c r="M1277" s="288"/>
      <c r="N1277" s="288"/>
    </row>
    <row r="1278" spans="10:14" x14ac:dyDescent="0.2">
      <c r="J1278" s="288"/>
      <c r="K1278" s="288"/>
      <c r="L1278" s="288"/>
      <c r="M1278" s="288"/>
      <c r="N1278" s="288"/>
    </row>
    <row r="1279" spans="10:14" x14ac:dyDescent="0.2">
      <c r="J1279" s="288"/>
      <c r="K1279" s="288"/>
      <c r="L1279" s="288"/>
      <c r="M1279" s="288"/>
      <c r="N1279" s="288"/>
    </row>
    <row r="1280" spans="10:14" x14ac:dyDescent="0.2">
      <c r="J1280" s="288"/>
      <c r="K1280" s="288"/>
      <c r="L1280" s="288"/>
      <c r="M1280" s="288"/>
      <c r="N1280" s="288"/>
    </row>
    <row r="1281" spans="10:14" x14ac:dyDescent="0.2">
      <c r="J1281" s="288"/>
      <c r="K1281" s="288"/>
      <c r="L1281" s="288"/>
      <c r="M1281" s="288"/>
      <c r="N1281" s="288"/>
    </row>
    <row r="1282" spans="10:14" x14ac:dyDescent="0.2">
      <c r="J1282" s="288"/>
      <c r="K1282" s="288"/>
      <c r="L1282" s="288"/>
      <c r="M1282" s="288"/>
      <c r="N1282" s="288"/>
    </row>
    <row r="1283" spans="10:14" x14ac:dyDescent="0.2">
      <c r="J1283" s="288"/>
      <c r="K1283" s="288"/>
      <c r="L1283" s="288"/>
      <c r="M1283" s="288"/>
      <c r="N1283" s="288"/>
    </row>
    <row r="1284" spans="10:14" x14ac:dyDescent="0.2">
      <c r="J1284" s="288"/>
      <c r="K1284" s="288"/>
      <c r="L1284" s="288"/>
      <c r="M1284" s="288"/>
      <c r="N1284" s="288"/>
    </row>
    <row r="1285" spans="10:14" x14ac:dyDescent="0.2">
      <c r="J1285" s="288"/>
      <c r="K1285" s="288"/>
      <c r="L1285" s="288"/>
      <c r="M1285" s="288"/>
      <c r="N1285" s="288"/>
    </row>
    <row r="1286" spans="10:14" x14ac:dyDescent="0.2">
      <c r="J1286" s="288"/>
      <c r="K1286" s="288"/>
      <c r="L1286" s="288"/>
      <c r="M1286" s="288"/>
      <c r="N1286" s="288"/>
    </row>
    <row r="1287" spans="10:14" x14ac:dyDescent="0.2">
      <c r="J1287" s="288"/>
      <c r="K1287" s="288"/>
      <c r="L1287" s="288"/>
      <c r="M1287" s="288"/>
      <c r="N1287" s="288"/>
    </row>
    <row r="1288" spans="10:14" x14ac:dyDescent="0.2">
      <c r="J1288" s="288"/>
      <c r="K1288" s="288"/>
      <c r="L1288" s="288"/>
      <c r="M1288" s="288"/>
      <c r="N1288" s="288"/>
    </row>
    <row r="1289" spans="10:14" x14ac:dyDescent="0.2">
      <c r="J1289" s="288"/>
      <c r="K1289" s="288"/>
      <c r="L1289" s="288"/>
      <c r="M1289" s="288"/>
      <c r="N1289" s="288"/>
    </row>
    <row r="1290" spans="10:14" x14ac:dyDescent="0.2">
      <c r="J1290" s="288"/>
      <c r="K1290" s="288"/>
      <c r="L1290" s="288"/>
      <c r="M1290" s="288"/>
      <c r="N1290" s="288"/>
    </row>
    <row r="1291" spans="10:14" x14ac:dyDescent="0.2">
      <c r="J1291" s="288"/>
      <c r="K1291" s="288"/>
      <c r="L1291" s="288"/>
      <c r="M1291" s="288"/>
      <c r="N1291" s="288"/>
    </row>
    <row r="1292" spans="10:14" x14ac:dyDescent="0.2">
      <c r="J1292" s="288"/>
      <c r="K1292" s="288"/>
      <c r="L1292" s="288"/>
      <c r="M1292" s="288"/>
      <c r="N1292" s="288"/>
    </row>
    <row r="1293" spans="10:14" x14ac:dyDescent="0.2">
      <c r="J1293" s="288"/>
      <c r="K1293" s="288"/>
      <c r="L1293" s="288"/>
      <c r="M1293" s="288"/>
      <c r="N1293" s="288"/>
    </row>
    <row r="1294" spans="10:14" x14ac:dyDescent="0.2">
      <c r="J1294" s="288"/>
      <c r="K1294" s="288"/>
      <c r="L1294" s="288"/>
      <c r="M1294" s="288"/>
      <c r="N1294" s="288"/>
    </row>
    <row r="1295" spans="10:14" x14ac:dyDescent="0.2">
      <c r="J1295" s="288"/>
      <c r="K1295" s="288"/>
      <c r="L1295" s="288"/>
      <c r="M1295" s="288"/>
      <c r="N1295" s="288"/>
    </row>
    <row r="1296" spans="10:14" x14ac:dyDescent="0.2">
      <c r="J1296" s="288"/>
      <c r="K1296" s="288"/>
      <c r="L1296" s="288"/>
      <c r="M1296" s="288"/>
      <c r="N1296" s="288"/>
    </row>
    <row r="1297" spans="10:14" x14ac:dyDescent="0.2">
      <c r="J1297" s="288"/>
      <c r="K1297" s="288"/>
      <c r="L1297" s="288"/>
      <c r="M1297" s="288"/>
      <c r="N1297" s="288"/>
    </row>
    <row r="1298" spans="10:14" x14ac:dyDescent="0.2">
      <c r="J1298" s="288"/>
      <c r="K1298" s="288"/>
      <c r="L1298" s="288"/>
      <c r="M1298" s="288"/>
      <c r="N1298" s="288"/>
    </row>
    <row r="1299" spans="10:14" x14ac:dyDescent="0.2">
      <c r="J1299" s="288"/>
      <c r="K1299" s="288"/>
      <c r="L1299" s="288"/>
      <c r="M1299" s="288"/>
      <c r="N1299" s="288"/>
    </row>
    <row r="1300" spans="10:14" x14ac:dyDescent="0.2">
      <c r="J1300" s="288"/>
      <c r="K1300" s="288"/>
      <c r="L1300" s="288"/>
      <c r="M1300" s="288"/>
      <c r="N1300" s="288"/>
    </row>
    <row r="1301" spans="10:14" x14ac:dyDescent="0.2">
      <c r="J1301" s="288"/>
      <c r="K1301" s="288"/>
      <c r="L1301" s="288"/>
      <c r="M1301" s="288"/>
      <c r="N1301" s="288"/>
    </row>
    <row r="1302" spans="10:14" x14ac:dyDescent="0.2">
      <c r="J1302" s="288"/>
      <c r="K1302" s="288"/>
      <c r="L1302" s="288"/>
      <c r="M1302" s="288"/>
      <c r="N1302" s="288"/>
    </row>
    <row r="1303" spans="10:14" x14ac:dyDescent="0.2">
      <c r="J1303" s="288"/>
      <c r="K1303" s="288"/>
      <c r="L1303" s="288"/>
      <c r="M1303" s="288"/>
      <c r="N1303" s="288"/>
    </row>
    <row r="1304" spans="10:14" x14ac:dyDescent="0.2">
      <c r="J1304" s="288"/>
      <c r="K1304" s="288"/>
      <c r="L1304" s="288"/>
      <c r="M1304" s="288"/>
      <c r="N1304" s="288"/>
    </row>
    <row r="1305" spans="10:14" x14ac:dyDescent="0.2">
      <c r="J1305" s="288"/>
      <c r="K1305" s="288"/>
      <c r="L1305" s="288"/>
      <c r="M1305" s="288"/>
      <c r="N1305" s="288"/>
    </row>
    <row r="1306" spans="10:14" x14ac:dyDescent="0.2">
      <c r="J1306" s="288"/>
      <c r="K1306" s="288"/>
      <c r="L1306" s="288"/>
      <c r="M1306" s="288"/>
      <c r="N1306" s="288"/>
    </row>
    <row r="1307" spans="10:14" x14ac:dyDescent="0.2">
      <c r="J1307" s="288"/>
      <c r="K1307" s="288"/>
      <c r="L1307" s="288"/>
      <c r="M1307" s="288"/>
      <c r="N1307" s="288"/>
    </row>
    <row r="1308" spans="10:14" x14ac:dyDescent="0.2">
      <c r="J1308" s="288"/>
      <c r="K1308" s="288"/>
      <c r="L1308" s="288"/>
      <c r="M1308" s="288"/>
      <c r="N1308" s="288"/>
    </row>
    <row r="1309" spans="10:14" x14ac:dyDescent="0.2">
      <c r="J1309" s="288"/>
      <c r="K1309" s="288"/>
      <c r="L1309" s="288"/>
      <c r="M1309" s="288"/>
      <c r="N1309" s="288"/>
    </row>
    <row r="1310" spans="10:14" x14ac:dyDescent="0.2">
      <c r="J1310" s="288"/>
      <c r="K1310" s="288"/>
      <c r="L1310" s="288"/>
      <c r="M1310" s="288"/>
      <c r="N1310" s="288"/>
    </row>
    <row r="1311" spans="10:14" x14ac:dyDescent="0.2">
      <c r="J1311" s="288"/>
      <c r="K1311" s="288"/>
      <c r="L1311" s="288"/>
      <c r="M1311" s="288"/>
      <c r="N1311" s="288"/>
    </row>
    <row r="1312" spans="10:14" x14ac:dyDescent="0.2">
      <c r="J1312" s="288"/>
      <c r="K1312" s="288"/>
      <c r="L1312" s="288"/>
      <c r="M1312" s="288"/>
      <c r="N1312" s="288"/>
    </row>
    <row r="1313" spans="10:14" x14ac:dyDescent="0.2">
      <c r="J1313" s="288"/>
      <c r="K1313" s="288"/>
      <c r="L1313" s="288"/>
      <c r="M1313" s="288"/>
      <c r="N1313" s="288"/>
    </row>
    <row r="1314" spans="10:14" x14ac:dyDescent="0.2">
      <c r="J1314" s="288"/>
      <c r="K1314" s="288"/>
      <c r="L1314" s="288"/>
      <c r="M1314" s="288"/>
      <c r="N1314" s="288"/>
    </row>
    <row r="1315" spans="10:14" x14ac:dyDescent="0.2">
      <c r="J1315" s="288"/>
      <c r="K1315" s="288"/>
      <c r="L1315" s="288"/>
      <c r="M1315" s="288"/>
      <c r="N1315" s="288"/>
    </row>
    <row r="1316" spans="10:14" x14ac:dyDescent="0.2">
      <c r="J1316" s="288"/>
      <c r="K1316" s="288"/>
      <c r="L1316" s="288"/>
      <c r="M1316" s="288"/>
      <c r="N1316" s="288"/>
    </row>
    <row r="1317" spans="10:14" x14ac:dyDescent="0.2">
      <c r="J1317" s="288"/>
      <c r="K1317" s="288"/>
      <c r="L1317" s="288"/>
      <c r="M1317" s="288"/>
      <c r="N1317" s="288"/>
    </row>
    <row r="1318" spans="10:14" x14ac:dyDescent="0.2">
      <c r="J1318" s="288"/>
      <c r="K1318" s="288"/>
      <c r="L1318" s="288"/>
      <c r="M1318" s="288"/>
      <c r="N1318" s="288"/>
    </row>
    <row r="1319" spans="10:14" x14ac:dyDescent="0.2">
      <c r="J1319" s="288"/>
      <c r="K1319" s="288"/>
      <c r="L1319" s="288"/>
      <c r="M1319" s="288"/>
      <c r="N1319" s="288"/>
    </row>
    <row r="1320" spans="10:14" x14ac:dyDescent="0.2">
      <c r="J1320" s="288"/>
      <c r="K1320" s="288"/>
      <c r="L1320" s="288"/>
      <c r="M1320" s="288"/>
      <c r="N1320" s="288"/>
    </row>
    <row r="1321" spans="10:14" x14ac:dyDescent="0.2">
      <c r="J1321" s="288"/>
      <c r="K1321" s="288"/>
      <c r="L1321" s="288"/>
      <c r="M1321" s="288"/>
      <c r="N1321" s="288"/>
    </row>
    <row r="1322" spans="10:14" x14ac:dyDescent="0.2">
      <c r="J1322" s="288"/>
      <c r="K1322" s="288"/>
      <c r="L1322" s="288"/>
      <c r="M1322" s="288"/>
      <c r="N1322" s="288"/>
    </row>
    <row r="1323" spans="10:14" x14ac:dyDescent="0.2">
      <c r="J1323" s="288"/>
      <c r="K1323" s="288"/>
      <c r="L1323" s="288"/>
      <c r="M1323" s="288"/>
      <c r="N1323" s="288"/>
    </row>
    <row r="1324" spans="10:14" x14ac:dyDescent="0.2">
      <c r="J1324" s="288"/>
      <c r="K1324" s="288"/>
      <c r="L1324" s="288"/>
      <c r="M1324" s="288"/>
      <c r="N1324" s="288"/>
    </row>
    <row r="1325" spans="10:14" x14ac:dyDescent="0.2">
      <c r="J1325" s="288"/>
      <c r="K1325" s="288"/>
      <c r="L1325" s="288"/>
      <c r="M1325" s="288"/>
      <c r="N1325" s="288"/>
    </row>
    <row r="1326" spans="10:14" x14ac:dyDescent="0.2">
      <c r="J1326" s="288"/>
      <c r="K1326" s="288"/>
      <c r="L1326" s="288"/>
      <c r="M1326" s="288"/>
      <c r="N1326" s="288"/>
    </row>
    <row r="1327" spans="10:14" x14ac:dyDescent="0.2">
      <c r="J1327" s="288"/>
      <c r="K1327" s="288"/>
      <c r="L1327" s="288"/>
      <c r="M1327" s="288"/>
      <c r="N1327" s="288"/>
    </row>
    <row r="1328" spans="10:14" x14ac:dyDescent="0.2">
      <c r="J1328" s="288"/>
      <c r="K1328" s="288"/>
      <c r="L1328" s="288"/>
      <c r="M1328" s="288"/>
      <c r="N1328" s="288"/>
    </row>
    <row r="1329" spans="10:14" x14ac:dyDescent="0.2">
      <c r="J1329" s="288"/>
      <c r="K1329" s="288"/>
      <c r="L1329" s="288"/>
      <c r="M1329" s="288"/>
      <c r="N1329" s="288"/>
    </row>
    <row r="1330" spans="10:14" x14ac:dyDescent="0.2">
      <c r="J1330" s="288"/>
      <c r="K1330" s="288"/>
      <c r="L1330" s="288"/>
      <c r="M1330" s="288"/>
      <c r="N1330" s="288"/>
    </row>
    <row r="1331" spans="10:14" x14ac:dyDescent="0.2">
      <c r="J1331" s="288"/>
      <c r="K1331" s="288"/>
      <c r="L1331" s="288"/>
      <c r="M1331" s="288"/>
      <c r="N1331" s="288"/>
    </row>
    <row r="1332" spans="10:14" x14ac:dyDescent="0.2">
      <c r="J1332" s="288"/>
      <c r="K1332" s="288"/>
      <c r="L1332" s="288"/>
      <c r="M1332" s="288"/>
      <c r="N1332" s="288"/>
    </row>
    <row r="1333" spans="10:14" x14ac:dyDescent="0.2">
      <c r="J1333" s="288"/>
      <c r="K1333" s="288"/>
      <c r="L1333" s="288"/>
      <c r="M1333" s="288"/>
      <c r="N1333" s="288"/>
    </row>
    <row r="1334" spans="10:14" x14ac:dyDescent="0.2">
      <c r="J1334" s="288"/>
      <c r="K1334" s="288"/>
      <c r="L1334" s="288"/>
      <c r="M1334" s="288"/>
      <c r="N1334" s="288"/>
    </row>
    <row r="1335" spans="10:14" x14ac:dyDescent="0.2">
      <c r="J1335" s="288"/>
      <c r="K1335" s="288"/>
      <c r="L1335" s="288"/>
      <c r="M1335" s="288"/>
      <c r="N1335" s="288"/>
    </row>
    <row r="1336" spans="10:14" x14ac:dyDescent="0.2">
      <c r="J1336" s="288"/>
      <c r="K1336" s="288"/>
      <c r="L1336" s="288"/>
      <c r="M1336" s="288"/>
      <c r="N1336" s="288"/>
    </row>
    <row r="1337" spans="10:14" x14ac:dyDescent="0.2">
      <c r="J1337" s="288"/>
      <c r="K1337" s="288"/>
      <c r="L1337" s="288"/>
      <c r="M1337" s="288"/>
      <c r="N1337" s="288"/>
    </row>
    <row r="1338" spans="10:14" x14ac:dyDescent="0.2">
      <c r="J1338" s="288"/>
      <c r="K1338" s="288"/>
      <c r="L1338" s="288"/>
      <c r="M1338" s="288"/>
      <c r="N1338" s="288"/>
    </row>
    <row r="1339" spans="10:14" x14ac:dyDescent="0.2">
      <c r="J1339" s="288"/>
      <c r="K1339" s="288"/>
      <c r="L1339" s="288"/>
      <c r="M1339" s="288"/>
      <c r="N1339" s="288"/>
    </row>
    <row r="1340" spans="10:14" x14ac:dyDescent="0.2">
      <c r="J1340" s="288"/>
      <c r="K1340" s="288"/>
      <c r="L1340" s="288"/>
      <c r="M1340" s="288"/>
      <c r="N1340" s="288"/>
    </row>
    <row r="1341" spans="10:14" x14ac:dyDescent="0.2">
      <c r="J1341" s="288"/>
      <c r="K1341" s="288"/>
      <c r="L1341" s="288"/>
      <c r="M1341" s="288"/>
      <c r="N1341" s="288"/>
    </row>
    <row r="1342" spans="10:14" x14ac:dyDescent="0.2">
      <c r="J1342" s="288"/>
      <c r="K1342" s="288"/>
      <c r="L1342" s="288"/>
      <c r="M1342" s="288"/>
      <c r="N1342" s="288"/>
    </row>
    <row r="1343" spans="10:14" x14ac:dyDescent="0.2">
      <c r="J1343" s="288"/>
      <c r="K1343" s="288"/>
      <c r="L1343" s="288"/>
      <c r="M1343" s="288"/>
      <c r="N1343" s="288"/>
    </row>
    <row r="1344" spans="10:14" x14ac:dyDescent="0.2">
      <c r="J1344" s="288"/>
      <c r="K1344" s="288"/>
      <c r="L1344" s="288"/>
      <c r="M1344" s="288"/>
      <c r="N1344" s="288"/>
    </row>
    <row r="1345" spans="10:14" x14ac:dyDescent="0.2">
      <c r="J1345" s="288"/>
      <c r="K1345" s="288"/>
      <c r="L1345" s="288"/>
      <c r="M1345" s="288"/>
      <c r="N1345" s="288"/>
    </row>
    <row r="1346" spans="10:14" x14ac:dyDescent="0.2">
      <c r="J1346" s="288"/>
      <c r="K1346" s="288"/>
      <c r="L1346" s="288"/>
      <c r="M1346" s="288"/>
      <c r="N1346" s="288"/>
    </row>
    <row r="1347" spans="10:14" x14ac:dyDescent="0.2">
      <c r="J1347" s="288"/>
      <c r="K1347" s="288"/>
      <c r="L1347" s="288"/>
      <c r="M1347" s="288"/>
      <c r="N1347" s="288"/>
    </row>
    <row r="1348" spans="10:14" x14ac:dyDescent="0.2">
      <c r="J1348" s="288"/>
      <c r="K1348" s="288"/>
      <c r="L1348" s="288"/>
      <c r="M1348" s="288"/>
      <c r="N1348" s="288"/>
    </row>
    <row r="1349" spans="10:14" x14ac:dyDescent="0.2">
      <c r="J1349" s="288"/>
      <c r="K1349" s="288"/>
      <c r="L1349" s="288"/>
      <c r="M1349" s="288"/>
      <c r="N1349" s="288"/>
    </row>
    <row r="1350" spans="10:14" x14ac:dyDescent="0.2">
      <c r="J1350" s="288"/>
      <c r="K1350" s="288"/>
      <c r="L1350" s="288"/>
      <c r="M1350" s="288"/>
      <c r="N1350" s="288"/>
    </row>
    <row r="1351" spans="10:14" x14ac:dyDescent="0.2">
      <c r="J1351" s="288"/>
      <c r="K1351" s="288"/>
      <c r="L1351" s="288"/>
      <c r="M1351" s="288"/>
      <c r="N1351" s="288"/>
    </row>
    <row r="1352" spans="10:14" x14ac:dyDescent="0.2">
      <c r="J1352" s="288"/>
      <c r="K1352" s="288"/>
      <c r="L1352" s="288"/>
      <c r="M1352" s="288"/>
      <c r="N1352" s="288"/>
    </row>
    <row r="1353" spans="10:14" x14ac:dyDescent="0.2">
      <c r="J1353" s="288"/>
      <c r="K1353" s="288"/>
      <c r="L1353" s="288"/>
      <c r="M1353" s="288"/>
      <c r="N1353" s="288"/>
    </row>
    <row r="1354" spans="10:14" x14ac:dyDescent="0.2">
      <c r="J1354" s="288"/>
      <c r="K1354" s="288"/>
      <c r="L1354" s="288"/>
      <c r="M1354" s="288"/>
      <c r="N1354" s="288"/>
    </row>
    <row r="1355" spans="10:14" x14ac:dyDescent="0.2">
      <c r="J1355" s="288"/>
      <c r="K1355" s="288"/>
      <c r="L1355" s="288"/>
      <c r="M1355" s="288"/>
      <c r="N1355" s="288"/>
    </row>
    <row r="1356" spans="10:14" x14ac:dyDescent="0.2">
      <c r="J1356" s="288"/>
      <c r="K1356" s="288"/>
      <c r="L1356" s="288"/>
      <c r="M1356" s="288"/>
      <c r="N1356" s="288"/>
    </row>
    <row r="1357" spans="10:14" x14ac:dyDescent="0.2">
      <c r="J1357" s="288"/>
      <c r="K1357" s="288"/>
      <c r="L1357" s="288"/>
      <c r="M1357" s="288"/>
      <c r="N1357" s="288"/>
    </row>
    <row r="1358" spans="10:14" x14ac:dyDescent="0.2">
      <c r="J1358" s="288"/>
      <c r="K1358" s="288"/>
      <c r="L1358" s="288"/>
      <c r="M1358" s="288"/>
      <c r="N1358" s="288"/>
    </row>
    <row r="1359" spans="10:14" x14ac:dyDescent="0.2">
      <c r="J1359" s="288"/>
      <c r="K1359" s="288"/>
      <c r="L1359" s="288"/>
      <c r="M1359" s="288"/>
      <c r="N1359" s="288"/>
    </row>
    <row r="1360" spans="10:14" x14ac:dyDescent="0.2">
      <c r="J1360" s="288"/>
      <c r="K1360" s="288"/>
      <c r="L1360" s="288"/>
      <c r="M1360" s="288"/>
      <c r="N1360" s="288"/>
    </row>
    <row r="1361" spans="10:14" x14ac:dyDescent="0.2">
      <c r="J1361" s="288"/>
      <c r="K1361" s="288"/>
      <c r="L1361" s="288"/>
      <c r="M1361" s="288"/>
      <c r="N1361" s="288"/>
    </row>
    <row r="1362" spans="10:14" x14ac:dyDescent="0.2">
      <c r="J1362" s="288"/>
      <c r="K1362" s="288"/>
      <c r="L1362" s="288"/>
      <c r="M1362" s="288"/>
      <c r="N1362" s="288"/>
    </row>
    <row r="1363" spans="10:14" x14ac:dyDescent="0.2">
      <c r="J1363" s="288"/>
      <c r="K1363" s="288"/>
      <c r="L1363" s="288"/>
      <c r="M1363" s="288"/>
      <c r="N1363" s="288"/>
    </row>
    <row r="1364" spans="10:14" x14ac:dyDescent="0.2">
      <c r="J1364" s="288"/>
      <c r="K1364" s="288"/>
      <c r="L1364" s="288"/>
      <c r="M1364" s="288"/>
      <c r="N1364" s="288"/>
    </row>
    <row r="1365" spans="10:14" x14ac:dyDescent="0.2">
      <c r="J1365" s="288"/>
      <c r="K1365" s="288"/>
      <c r="L1365" s="288"/>
      <c r="M1365" s="288"/>
      <c r="N1365" s="288"/>
    </row>
    <row r="1366" spans="10:14" x14ac:dyDescent="0.2">
      <c r="J1366" s="288"/>
      <c r="K1366" s="288"/>
      <c r="L1366" s="288"/>
      <c r="M1366" s="288"/>
      <c r="N1366" s="288"/>
    </row>
    <row r="1367" spans="10:14" x14ac:dyDescent="0.2">
      <c r="J1367" s="288"/>
      <c r="K1367" s="288"/>
      <c r="L1367" s="288"/>
      <c r="M1367" s="288"/>
      <c r="N1367" s="288"/>
    </row>
    <row r="1368" spans="10:14" x14ac:dyDescent="0.2">
      <c r="J1368" s="288"/>
      <c r="K1368" s="288"/>
      <c r="L1368" s="288"/>
      <c r="M1368" s="288"/>
      <c r="N1368" s="288"/>
    </row>
    <row r="1369" spans="10:14" x14ac:dyDescent="0.2">
      <c r="J1369" s="288"/>
      <c r="K1369" s="288"/>
      <c r="L1369" s="288"/>
      <c r="M1369" s="288"/>
      <c r="N1369" s="288"/>
    </row>
    <row r="1370" spans="10:14" x14ac:dyDescent="0.2">
      <c r="J1370" s="288"/>
      <c r="K1370" s="288"/>
      <c r="L1370" s="288"/>
      <c r="M1370" s="288"/>
      <c r="N1370" s="288"/>
    </row>
    <row r="1371" spans="10:14" x14ac:dyDescent="0.2">
      <c r="J1371" s="288"/>
      <c r="K1371" s="288"/>
      <c r="L1371" s="288"/>
      <c r="M1371" s="288"/>
      <c r="N1371" s="288"/>
    </row>
    <row r="1372" spans="10:14" x14ac:dyDescent="0.2">
      <c r="J1372" s="288"/>
      <c r="K1372" s="288"/>
      <c r="L1372" s="288"/>
      <c r="M1372" s="288"/>
      <c r="N1372" s="288"/>
    </row>
    <row r="1373" spans="10:14" x14ac:dyDescent="0.2">
      <c r="J1373" s="288"/>
      <c r="K1373" s="288"/>
      <c r="L1373" s="288"/>
      <c r="M1373" s="288"/>
      <c r="N1373" s="288"/>
    </row>
    <row r="1374" spans="10:14" x14ac:dyDescent="0.2">
      <c r="J1374" s="288"/>
      <c r="K1374" s="288"/>
      <c r="L1374" s="288"/>
      <c r="M1374" s="288"/>
      <c r="N1374" s="288"/>
    </row>
    <row r="1375" spans="10:14" x14ac:dyDescent="0.2">
      <c r="J1375" s="288"/>
      <c r="K1375" s="288"/>
      <c r="L1375" s="288"/>
      <c r="M1375" s="288"/>
      <c r="N1375" s="288"/>
    </row>
    <row r="1376" spans="10:14" x14ac:dyDescent="0.2">
      <c r="J1376" s="288"/>
      <c r="K1376" s="288"/>
      <c r="L1376" s="288"/>
      <c r="M1376" s="288"/>
      <c r="N1376" s="288"/>
    </row>
    <row r="1377" spans="10:14" x14ac:dyDescent="0.2">
      <c r="J1377" s="288"/>
      <c r="K1377" s="288"/>
      <c r="L1377" s="288"/>
      <c r="M1377" s="288"/>
      <c r="N1377" s="288"/>
    </row>
    <row r="1378" spans="10:14" x14ac:dyDescent="0.2">
      <c r="J1378" s="288"/>
      <c r="K1378" s="288"/>
      <c r="L1378" s="288"/>
      <c r="M1378" s="288"/>
      <c r="N1378" s="288"/>
    </row>
    <row r="1379" spans="10:14" x14ac:dyDescent="0.2">
      <c r="J1379" s="288"/>
      <c r="K1379" s="288"/>
      <c r="L1379" s="288"/>
      <c r="M1379" s="288"/>
      <c r="N1379" s="288"/>
    </row>
    <row r="1380" spans="10:14" x14ac:dyDescent="0.2">
      <c r="J1380" s="288"/>
      <c r="K1380" s="288"/>
      <c r="L1380" s="288"/>
      <c r="M1380" s="288"/>
      <c r="N1380" s="288"/>
    </row>
    <row r="1381" spans="10:14" x14ac:dyDescent="0.2">
      <c r="J1381" s="288"/>
      <c r="K1381" s="288"/>
      <c r="L1381" s="288"/>
      <c r="M1381" s="288"/>
      <c r="N1381" s="288"/>
    </row>
    <row r="1382" spans="10:14" x14ac:dyDescent="0.2">
      <c r="J1382" s="288"/>
      <c r="K1382" s="288"/>
      <c r="L1382" s="288"/>
      <c r="M1382" s="288"/>
      <c r="N1382" s="288"/>
    </row>
    <row r="1383" spans="10:14" x14ac:dyDescent="0.2">
      <c r="J1383" s="288"/>
      <c r="K1383" s="288"/>
      <c r="L1383" s="288"/>
      <c r="M1383" s="288"/>
      <c r="N1383" s="288"/>
    </row>
    <row r="1384" spans="10:14" x14ac:dyDescent="0.2">
      <c r="J1384" s="288"/>
      <c r="K1384" s="288"/>
      <c r="L1384" s="288"/>
      <c r="M1384" s="288"/>
      <c r="N1384" s="288"/>
    </row>
    <row r="1385" spans="10:14" x14ac:dyDescent="0.2">
      <c r="J1385" s="288"/>
      <c r="K1385" s="288"/>
      <c r="L1385" s="288"/>
      <c r="M1385" s="288"/>
      <c r="N1385" s="288"/>
    </row>
    <row r="1386" spans="10:14" x14ac:dyDescent="0.2">
      <c r="J1386" s="288"/>
      <c r="K1386" s="288"/>
      <c r="L1386" s="288"/>
      <c r="M1386" s="288"/>
      <c r="N1386" s="288"/>
    </row>
    <row r="1387" spans="10:14" x14ac:dyDescent="0.2">
      <c r="J1387" s="288"/>
      <c r="K1387" s="288"/>
      <c r="L1387" s="288"/>
      <c r="M1387" s="288"/>
      <c r="N1387" s="288"/>
    </row>
    <row r="1388" spans="10:14" x14ac:dyDescent="0.2">
      <c r="J1388" s="288"/>
      <c r="K1388" s="288"/>
      <c r="L1388" s="288"/>
      <c r="M1388" s="288"/>
      <c r="N1388" s="288"/>
    </row>
    <row r="1389" spans="10:14" x14ac:dyDescent="0.2">
      <c r="J1389" s="288"/>
      <c r="K1389" s="288"/>
      <c r="L1389" s="288"/>
      <c r="M1389" s="288"/>
      <c r="N1389" s="288"/>
    </row>
    <row r="1390" spans="10:14" x14ac:dyDescent="0.2">
      <c r="J1390" s="288"/>
      <c r="K1390" s="288"/>
      <c r="L1390" s="288"/>
      <c r="M1390" s="288"/>
      <c r="N1390" s="288"/>
    </row>
    <row r="1391" spans="10:14" x14ac:dyDescent="0.2">
      <c r="J1391" s="288"/>
      <c r="K1391" s="288"/>
      <c r="L1391" s="288"/>
      <c r="M1391" s="288"/>
      <c r="N1391" s="288"/>
    </row>
    <row r="1392" spans="10:14" x14ac:dyDescent="0.2">
      <c r="J1392" s="288"/>
      <c r="K1392" s="288"/>
      <c r="L1392" s="288"/>
      <c r="M1392" s="288"/>
      <c r="N1392" s="288"/>
    </row>
    <row r="1393" spans="10:14" x14ac:dyDescent="0.2">
      <c r="J1393" s="288"/>
      <c r="K1393" s="288"/>
      <c r="L1393" s="288"/>
      <c r="M1393" s="288"/>
      <c r="N1393" s="288"/>
    </row>
    <row r="1394" spans="10:14" x14ac:dyDescent="0.2">
      <c r="J1394" s="288"/>
      <c r="K1394" s="288"/>
      <c r="L1394" s="288"/>
      <c r="M1394" s="288"/>
      <c r="N1394" s="288"/>
    </row>
    <row r="1395" spans="10:14" x14ac:dyDescent="0.2">
      <c r="J1395" s="288"/>
      <c r="K1395" s="288"/>
      <c r="L1395" s="288"/>
      <c r="M1395" s="288"/>
      <c r="N1395" s="288"/>
    </row>
    <row r="1396" spans="10:14" x14ac:dyDescent="0.2">
      <c r="J1396" s="288"/>
      <c r="K1396" s="288"/>
      <c r="L1396" s="288"/>
      <c r="M1396" s="288"/>
      <c r="N1396" s="288"/>
    </row>
    <row r="1397" spans="10:14" x14ac:dyDescent="0.2">
      <c r="J1397" s="288"/>
      <c r="K1397" s="288"/>
      <c r="L1397" s="288"/>
      <c r="M1397" s="288"/>
      <c r="N1397" s="288"/>
    </row>
    <row r="1398" spans="10:14" x14ac:dyDescent="0.2">
      <c r="J1398" s="288"/>
      <c r="K1398" s="288"/>
      <c r="L1398" s="288"/>
      <c r="M1398" s="288"/>
      <c r="N1398" s="288"/>
    </row>
    <row r="1399" spans="10:14" x14ac:dyDescent="0.2">
      <c r="J1399" s="288"/>
      <c r="K1399" s="288"/>
      <c r="L1399" s="288"/>
      <c r="M1399" s="288"/>
      <c r="N1399" s="288"/>
    </row>
    <row r="1400" spans="10:14" x14ac:dyDescent="0.2">
      <c r="J1400" s="288"/>
      <c r="K1400" s="288"/>
      <c r="L1400" s="288"/>
      <c r="M1400" s="288"/>
      <c r="N1400" s="288"/>
    </row>
    <row r="1401" spans="10:14" x14ac:dyDescent="0.2">
      <c r="J1401" s="288"/>
      <c r="K1401" s="288"/>
      <c r="L1401" s="288"/>
      <c r="M1401" s="288"/>
      <c r="N1401" s="288"/>
    </row>
    <row r="1402" spans="10:14" x14ac:dyDescent="0.2">
      <c r="J1402" s="288"/>
      <c r="K1402" s="288"/>
      <c r="L1402" s="288"/>
      <c r="M1402" s="288"/>
      <c r="N1402" s="288"/>
    </row>
    <row r="1403" spans="10:14" x14ac:dyDescent="0.2">
      <c r="J1403" s="288"/>
      <c r="K1403" s="288"/>
      <c r="L1403" s="288"/>
      <c r="M1403" s="288"/>
      <c r="N1403" s="288"/>
    </row>
    <row r="1404" spans="10:14" x14ac:dyDescent="0.2">
      <c r="J1404" s="288"/>
      <c r="K1404" s="288"/>
      <c r="L1404" s="288"/>
      <c r="M1404" s="288"/>
      <c r="N1404" s="288"/>
    </row>
    <row r="1405" spans="10:14" x14ac:dyDescent="0.2">
      <c r="J1405" s="288"/>
      <c r="K1405" s="288"/>
      <c r="L1405" s="288"/>
      <c r="M1405" s="288"/>
      <c r="N1405" s="288"/>
    </row>
    <row r="1406" spans="10:14" x14ac:dyDescent="0.2">
      <c r="J1406" s="288"/>
      <c r="K1406" s="288"/>
      <c r="L1406" s="288"/>
      <c r="M1406" s="288"/>
      <c r="N1406" s="288"/>
    </row>
    <row r="1407" spans="10:14" x14ac:dyDescent="0.2">
      <c r="J1407" s="288"/>
      <c r="K1407" s="288"/>
      <c r="L1407" s="288"/>
      <c r="M1407" s="288"/>
      <c r="N1407" s="288"/>
    </row>
    <row r="1408" spans="10:14" x14ac:dyDescent="0.2">
      <c r="J1408" s="288"/>
      <c r="K1408" s="288"/>
      <c r="L1408" s="288"/>
      <c r="M1408" s="288"/>
      <c r="N1408" s="288"/>
    </row>
    <row r="1409" spans="10:14" x14ac:dyDescent="0.2">
      <c r="J1409" s="288"/>
      <c r="K1409" s="288"/>
      <c r="L1409" s="288"/>
      <c r="M1409" s="288"/>
      <c r="N1409" s="288"/>
    </row>
    <row r="1410" spans="10:14" x14ac:dyDescent="0.2">
      <c r="J1410" s="288"/>
      <c r="K1410" s="288"/>
      <c r="L1410" s="288"/>
      <c r="M1410" s="288"/>
      <c r="N1410" s="288"/>
    </row>
    <row r="1411" spans="10:14" x14ac:dyDescent="0.2">
      <c r="J1411" s="288"/>
      <c r="K1411" s="288"/>
      <c r="L1411" s="288"/>
      <c r="M1411" s="288"/>
      <c r="N1411" s="288"/>
    </row>
    <row r="1412" spans="10:14" x14ac:dyDescent="0.2">
      <c r="J1412" s="288"/>
      <c r="K1412" s="288"/>
      <c r="L1412" s="288"/>
      <c r="M1412" s="288"/>
      <c r="N1412" s="288"/>
    </row>
    <row r="1413" spans="10:14" x14ac:dyDescent="0.2">
      <c r="J1413" s="288"/>
      <c r="K1413" s="288"/>
      <c r="L1413" s="288"/>
      <c r="M1413" s="288"/>
      <c r="N1413" s="288"/>
    </row>
    <row r="1414" spans="10:14" x14ac:dyDescent="0.2">
      <c r="J1414" s="288"/>
      <c r="K1414" s="288"/>
      <c r="L1414" s="288"/>
      <c r="M1414" s="288"/>
      <c r="N1414" s="288"/>
    </row>
    <row r="1415" spans="10:14" x14ac:dyDescent="0.2">
      <c r="J1415" s="288"/>
      <c r="K1415" s="288"/>
      <c r="L1415" s="288"/>
      <c r="M1415" s="288"/>
      <c r="N1415" s="288"/>
    </row>
    <row r="1416" spans="10:14" x14ac:dyDescent="0.2">
      <c r="J1416" s="288"/>
      <c r="K1416" s="288"/>
      <c r="L1416" s="288"/>
      <c r="M1416" s="288"/>
      <c r="N1416" s="288"/>
    </row>
    <row r="1417" spans="10:14" x14ac:dyDescent="0.2">
      <c r="J1417" s="288"/>
      <c r="K1417" s="288"/>
      <c r="L1417" s="288"/>
      <c r="M1417" s="288"/>
      <c r="N1417" s="288"/>
    </row>
    <row r="1418" spans="10:14" x14ac:dyDescent="0.2">
      <c r="J1418" s="288"/>
      <c r="K1418" s="288"/>
      <c r="L1418" s="288"/>
      <c r="M1418" s="288"/>
      <c r="N1418" s="288"/>
    </row>
    <row r="1419" spans="10:14" x14ac:dyDescent="0.2">
      <c r="J1419" s="288"/>
      <c r="K1419" s="288"/>
      <c r="L1419" s="288"/>
      <c r="M1419" s="288"/>
      <c r="N1419" s="288"/>
    </row>
    <row r="1420" spans="10:14" x14ac:dyDescent="0.2">
      <c r="J1420" s="288"/>
      <c r="K1420" s="288"/>
      <c r="L1420" s="288"/>
      <c r="M1420" s="288"/>
      <c r="N1420" s="288"/>
    </row>
    <row r="1421" spans="10:14" x14ac:dyDescent="0.2">
      <c r="J1421" s="288"/>
      <c r="K1421" s="288"/>
      <c r="L1421" s="288"/>
      <c r="M1421" s="288"/>
      <c r="N1421" s="288"/>
    </row>
    <row r="1422" spans="10:14" x14ac:dyDescent="0.2">
      <c r="J1422" s="288"/>
      <c r="K1422" s="288"/>
      <c r="L1422" s="288"/>
      <c r="M1422" s="288"/>
      <c r="N1422" s="288"/>
    </row>
    <row r="1423" spans="10:14" x14ac:dyDescent="0.2">
      <c r="J1423" s="288"/>
      <c r="K1423" s="288"/>
      <c r="L1423" s="288"/>
      <c r="M1423" s="288"/>
      <c r="N1423" s="288"/>
    </row>
    <row r="1424" spans="10:14" x14ac:dyDescent="0.2">
      <c r="J1424" s="288"/>
      <c r="K1424" s="288"/>
      <c r="L1424" s="288"/>
      <c r="M1424" s="288"/>
      <c r="N1424" s="288"/>
    </row>
    <row r="1425" spans="10:14" x14ac:dyDescent="0.2">
      <c r="J1425" s="288"/>
      <c r="K1425" s="288"/>
      <c r="L1425" s="288"/>
      <c r="M1425" s="288"/>
      <c r="N1425" s="288"/>
    </row>
    <row r="1426" spans="10:14" x14ac:dyDescent="0.2">
      <c r="J1426" s="288"/>
      <c r="K1426" s="288"/>
      <c r="L1426" s="288"/>
      <c r="M1426" s="288"/>
      <c r="N1426" s="288"/>
    </row>
    <row r="1427" spans="10:14" x14ac:dyDescent="0.2">
      <c r="J1427" s="288"/>
      <c r="K1427" s="288"/>
      <c r="L1427" s="288"/>
      <c r="M1427" s="288"/>
      <c r="N1427" s="288"/>
    </row>
    <row r="1428" spans="10:14" x14ac:dyDescent="0.2">
      <c r="J1428" s="288"/>
      <c r="K1428" s="288"/>
      <c r="L1428" s="288"/>
      <c r="M1428" s="288"/>
      <c r="N1428" s="288"/>
    </row>
    <row r="1429" spans="10:14" x14ac:dyDescent="0.2">
      <c r="J1429" s="288"/>
      <c r="K1429" s="288"/>
      <c r="L1429" s="288"/>
      <c r="M1429" s="288"/>
      <c r="N1429" s="288"/>
    </row>
    <row r="1430" spans="10:14" x14ac:dyDescent="0.2">
      <c r="J1430" s="288"/>
      <c r="K1430" s="288"/>
      <c r="L1430" s="288"/>
      <c r="M1430" s="288"/>
      <c r="N1430" s="288"/>
    </row>
    <row r="1431" spans="10:14" x14ac:dyDescent="0.2">
      <c r="J1431" s="288"/>
      <c r="K1431" s="288"/>
      <c r="L1431" s="288"/>
      <c r="M1431" s="288"/>
      <c r="N1431" s="288"/>
    </row>
    <row r="1432" spans="10:14" x14ac:dyDescent="0.2">
      <c r="J1432" s="288"/>
      <c r="K1432" s="288"/>
      <c r="L1432" s="288"/>
      <c r="M1432" s="288"/>
      <c r="N1432" s="288"/>
    </row>
    <row r="1433" spans="10:14" x14ac:dyDescent="0.2">
      <c r="J1433" s="288"/>
      <c r="K1433" s="288"/>
      <c r="L1433" s="288"/>
      <c r="M1433" s="288"/>
      <c r="N1433" s="288"/>
    </row>
    <row r="1434" spans="10:14" x14ac:dyDescent="0.2">
      <c r="J1434" s="288"/>
      <c r="K1434" s="288"/>
      <c r="L1434" s="288"/>
      <c r="M1434" s="288"/>
      <c r="N1434" s="288"/>
    </row>
    <row r="1435" spans="10:14" x14ac:dyDescent="0.2">
      <c r="J1435" s="288"/>
      <c r="K1435" s="288"/>
      <c r="L1435" s="288"/>
      <c r="M1435" s="288"/>
      <c r="N1435" s="288"/>
    </row>
    <row r="1436" spans="10:14" x14ac:dyDescent="0.2">
      <c r="J1436" s="288"/>
      <c r="K1436" s="288"/>
      <c r="L1436" s="288"/>
      <c r="M1436" s="288"/>
      <c r="N1436" s="288"/>
    </row>
    <row r="1437" spans="10:14" x14ac:dyDescent="0.2">
      <c r="J1437" s="288"/>
      <c r="K1437" s="288"/>
      <c r="L1437" s="288"/>
      <c r="M1437" s="288"/>
      <c r="N1437" s="288"/>
    </row>
    <row r="1438" spans="10:14" x14ac:dyDescent="0.2">
      <c r="J1438" s="288"/>
      <c r="K1438" s="288"/>
      <c r="L1438" s="288"/>
      <c r="M1438" s="288"/>
      <c r="N1438" s="288"/>
    </row>
    <row r="1439" spans="10:14" x14ac:dyDescent="0.2">
      <c r="J1439" s="288"/>
      <c r="K1439" s="288"/>
      <c r="L1439" s="288"/>
      <c r="M1439" s="288"/>
      <c r="N1439" s="288"/>
    </row>
    <row r="1440" spans="10:14" x14ac:dyDescent="0.2">
      <c r="J1440" s="288"/>
      <c r="K1440" s="288"/>
      <c r="L1440" s="288"/>
      <c r="M1440" s="288"/>
      <c r="N1440" s="288"/>
    </row>
    <row r="1441" spans="10:14" x14ac:dyDescent="0.2">
      <c r="J1441" s="288"/>
      <c r="K1441" s="288"/>
      <c r="L1441" s="288"/>
      <c r="M1441" s="288"/>
      <c r="N1441" s="288"/>
    </row>
    <row r="1442" spans="10:14" x14ac:dyDescent="0.2">
      <c r="J1442" s="288"/>
      <c r="K1442" s="288"/>
      <c r="L1442" s="288"/>
      <c r="M1442" s="288"/>
      <c r="N1442" s="288"/>
    </row>
    <row r="1443" spans="10:14" x14ac:dyDescent="0.2">
      <c r="J1443" s="288"/>
      <c r="K1443" s="288"/>
      <c r="L1443" s="288"/>
      <c r="M1443" s="288"/>
      <c r="N1443" s="288"/>
    </row>
    <row r="1444" spans="10:14" x14ac:dyDescent="0.2">
      <c r="J1444" s="288"/>
      <c r="K1444" s="288"/>
      <c r="L1444" s="288"/>
      <c r="M1444" s="288"/>
      <c r="N1444" s="288"/>
    </row>
    <row r="1445" spans="10:14" x14ac:dyDescent="0.2">
      <c r="J1445" s="288"/>
      <c r="K1445" s="288"/>
      <c r="L1445" s="288"/>
      <c r="M1445" s="288"/>
      <c r="N1445" s="288"/>
    </row>
    <row r="1446" spans="10:14" x14ac:dyDescent="0.2">
      <c r="J1446" s="288"/>
      <c r="K1446" s="288"/>
      <c r="L1446" s="288"/>
      <c r="M1446" s="288"/>
      <c r="N1446" s="288"/>
    </row>
    <row r="1447" spans="10:14" x14ac:dyDescent="0.2">
      <c r="J1447" s="288"/>
      <c r="K1447" s="288"/>
      <c r="L1447" s="288"/>
      <c r="M1447" s="288"/>
      <c r="N1447" s="288"/>
    </row>
    <row r="1448" spans="10:14" x14ac:dyDescent="0.2">
      <c r="J1448" s="288"/>
      <c r="K1448" s="288"/>
      <c r="L1448" s="288"/>
      <c r="M1448" s="288"/>
      <c r="N1448" s="288"/>
    </row>
    <row r="1449" spans="10:14" x14ac:dyDescent="0.2">
      <c r="J1449" s="288"/>
      <c r="K1449" s="288"/>
      <c r="L1449" s="288"/>
      <c r="M1449" s="288"/>
      <c r="N1449" s="288"/>
    </row>
    <row r="1450" spans="10:14" x14ac:dyDescent="0.2">
      <c r="J1450" s="288"/>
      <c r="K1450" s="288"/>
      <c r="L1450" s="288"/>
      <c r="M1450" s="288"/>
      <c r="N1450" s="288"/>
    </row>
    <row r="1451" spans="10:14" x14ac:dyDescent="0.2">
      <c r="J1451" s="288"/>
      <c r="K1451" s="288"/>
      <c r="L1451" s="288"/>
      <c r="M1451" s="288"/>
      <c r="N1451" s="288"/>
    </row>
    <row r="1452" spans="10:14" x14ac:dyDescent="0.2">
      <c r="J1452" s="288"/>
      <c r="K1452" s="288"/>
      <c r="L1452" s="288"/>
      <c r="M1452" s="288"/>
      <c r="N1452" s="288"/>
    </row>
    <row r="1453" spans="10:14" x14ac:dyDescent="0.2">
      <c r="J1453" s="288"/>
      <c r="K1453" s="288"/>
      <c r="L1453" s="288"/>
      <c r="M1453" s="288"/>
      <c r="N1453" s="288"/>
    </row>
    <row r="1454" spans="10:14" x14ac:dyDescent="0.2">
      <c r="J1454" s="288"/>
      <c r="K1454" s="288"/>
      <c r="L1454" s="288"/>
      <c r="M1454" s="288"/>
      <c r="N1454" s="288"/>
    </row>
    <row r="1455" spans="10:14" x14ac:dyDescent="0.2">
      <c r="J1455" s="288"/>
      <c r="K1455" s="288"/>
      <c r="L1455" s="288"/>
      <c r="M1455" s="288"/>
      <c r="N1455" s="288"/>
    </row>
    <row r="1456" spans="10:14" x14ac:dyDescent="0.2">
      <c r="J1456" s="288"/>
      <c r="K1456" s="288"/>
      <c r="L1456" s="288"/>
      <c r="M1456" s="288"/>
      <c r="N1456" s="288"/>
    </row>
    <row r="1457" spans="10:14" x14ac:dyDescent="0.2">
      <c r="J1457" s="288"/>
      <c r="K1457" s="288"/>
      <c r="L1457" s="288"/>
      <c r="M1457" s="288"/>
      <c r="N1457" s="288"/>
    </row>
    <row r="1458" spans="10:14" x14ac:dyDescent="0.2">
      <c r="J1458" s="288"/>
      <c r="K1458" s="288"/>
      <c r="L1458" s="288"/>
      <c r="M1458" s="288"/>
      <c r="N1458" s="288"/>
    </row>
    <row r="1459" spans="10:14" x14ac:dyDescent="0.2">
      <c r="J1459" s="288"/>
      <c r="K1459" s="288"/>
      <c r="L1459" s="288"/>
      <c r="M1459" s="288"/>
      <c r="N1459" s="288"/>
    </row>
    <row r="1460" spans="10:14" x14ac:dyDescent="0.2">
      <c r="J1460" s="288"/>
      <c r="K1460" s="288"/>
      <c r="L1460" s="288"/>
      <c r="M1460" s="288"/>
      <c r="N1460" s="288"/>
    </row>
    <row r="1461" spans="10:14" x14ac:dyDescent="0.2">
      <c r="J1461" s="288"/>
      <c r="K1461" s="288"/>
      <c r="L1461" s="288"/>
      <c r="M1461" s="288"/>
      <c r="N1461" s="288"/>
    </row>
    <row r="1462" spans="10:14" x14ac:dyDescent="0.2">
      <c r="J1462" s="288"/>
      <c r="K1462" s="288"/>
      <c r="L1462" s="288"/>
      <c r="M1462" s="288"/>
      <c r="N1462" s="288"/>
    </row>
    <row r="1463" spans="10:14" x14ac:dyDescent="0.2">
      <c r="J1463" s="288"/>
      <c r="K1463" s="288"/>
      <c r="L1463" s="288"/>
      <c r="M1463" s="288"/>
      <c r="N1463" s="288"/>
    </row>
    <row r="1464" spans="10:14" x14ac:dyDescent="0.2">
      <c r="J1464" s="288"/>
      <c r="K1464" s="288"/>
      <c r="L1464" s="288"/>
      <c r="M1464" s="288"/>
      <c r="N1464" s="288"/>
    </row>
    <row r="1465" spans="10:14" x14ac:dyDescent="0.2">
      <c r="J1465" s="288"/>
      <c r="K1465" s="288"/>
      <c r="L1465" s="288"/>
      <c r="M1465" s="288"/>
      <c r="N1465" s="288"/>
    </row>
    <row r="1466" spans="10:14" x14ac:dyDescent="0.2">
      <c r="J1466" s="288"/>
      <c r="K1466" s="288"/>
      <c r="L1466" s="288"/>
      <c r="M1466" s="288"/>
      <c r="N1466" s="288"/>
    </row>
    <row r="1467" spans="10:14" x14ac:dyDescent="0.2">
      <c r="J1467" s="288"/>
      <c r="K1467" s="288"/>
      <c r="L1467" s="288"/>
      <c r="M1467" s="288"/>
      <c r="N1467" s="288"/>
    </row>
    <row r="1468" spans="10:14" x14ac:dyDescent="0.2">
      <c r="J1468" s="288"/>
      <c r="K1468" s="288"/>
      <c r="L1468" s="288"/>
      <c r="M1468" s="288"/>
      <c r="N1468" s="288"/>
    </row>
    <row r="1469" spans="10:14" x14ac:dyDescent="0.2">
      <c r="J1469" s="288"/>
      <c r="K1469" s="288"/>
      <c r="L1469" s="288"/>
      <c r="M1469" s="288"/>
      <c r="N1469" s="288"/>
    </row>
    <row r="1470" spans="10:14" x14ac:dyDescent="0.2">
      <c r="J1470" s="288"/>
      <c r="K1470" s="288"/>
      <c r="L1470" s="288"/>
      <c r="M1470" s="288"/>
      <c r="N1470" s="288"/>
    </row>
    <row r="1471" spans="10:14" x14ac:dyDescent="0.2">
      <c r="J1471" s="288"/>
      <c r="K1471" s="288"/>
      <c r="L1471" s="288"/>
      <c r="M1471" s="288"/>
      <c r="N1471" s="288"/>
    </row>
    <row r="1472" spans="10:14" x14ac:dyDescent="0.2">
      <c r="J1472" s="288"/>
      <c r="K1472" s="288"/>
      <c r="L1472" s="288"/>
      <c r="M1472" s="288"/>
      <c r="N1472" s="288"/>
    </row>
    <row r="1473" spans="10:14" x14ac:dyDescent="0.2">
      <c r="J1473" s="288"/>
      <c r="K1473" s="288"/>
      <c r="L1473" s="288"/>
      <c r="M1473" s="288"/>
      <c r="N1473" s="288"/>
    </row>
    <row r="1474" spans="10:14" x14ac:dyDescent="0.2">
      <c r="J1474" s="288"/>
      <c r="K1474" s="288"/>
      <c r="L1474" s="288"/>
      <c r="M1474" s="288"/>
      <c r="N1474" s="288"/>
    </row>
    <row r="1475" spans="10:14" x14ac:dyDescent="0.2">
      <c r="J1475" s="288"/>
      <c r="K1475" s="288"/>
      <c r="L1475" s="288"/>
      <c r="M1475" s="288"/>
      <c r="N1475" s="288"/>
    </row>
    <row r="1476" spans="10:14" x14ac:dyDescent="0.2">
      <c r="J1476" s="288"/>
      <c r="K1476" s="288"/>
      <c r="L1476" s="288"/>
      <c r="M1476" s="288"/>
      <c r="N1476" s="288"/>
    </row>
    <row r="1477" spans="10:14" x14ac:dyDescent="0.2">
      <c r="J1477" s="288"/>
      <c r="K1477" s="288"/>
      <c r="L1477" s="288"/>
      <c r="M1477" s="288"/>
      <c r="N1477" s="288"/>
    </row>
    <row r="1478" spans="10:14" x14ac:dyDescent="0.2">
      <c r="J1478" s="288"/>
      <c r="K1478" s="288"/>
      <c r="L1478" s="288"/>
      <c r="M1478" s="288"/>
      <c r="N1478" s="288"/>
    </row>
    <row r="1479" spans="10:14" x14ac:dyDescent="0.2">
      <c r="J1479" s="288"/>
      <c r="K1479" s="288"/>
      <c r="L1479" s="288"/>
      <c r="M1479" s="288"/>
      <c r="N1479" s="288"/>
    </row>
    <row r="1480" spans="10:14" x14ac:dyDescent="0.2">
      <c r="J1480" s="288"/>
      <c r="K1480" s="288"/>
      <c r="L1480" s="288"/>
      <c r="M1480" s="288"/>
      <c r="N1480" s="288"/>
    </row>
    <row r="1481" spans="10:14" x14ac:dyDescent="0.2">
      <c r="J1481" s="288"/>
      <c r="K1481" s="288"/>
      <c r="L1481" s="288"/>
      <c r="M1481" s="288"/>
      <c r="N1481" s="288"/>
    </row>
    <row r="1482" spans="10:14" x14ac:dyDescent="0.2">
      <c r="J1482" s="288"/>
      <c r="K1482" s="288"/>
      <c r="L1482" s="288"/>
      <c r="M1482" s="288"/>
      <c r="N1482" s="288"/>
    </row>
    <row r="1483" spans="10:14" x14ac:dyDescent="0.2">
      <c r="J1483" s="288"/>
      <c r="K1483" s="288"/>
      <c r="L1483" s="288"/>
      <c r="M1483" s="288"/>
      <c r="N1483" s="288"/>
    </row>
    <row r="1484" spans="10:14" x14ac:dyDescent="0.2">
      <c r="J1484" s="288"/>
      <c r="K1484" s="288"/>
      <c r="L1484" s="288"/>
      <c r="M1484" s="288"/>
      <c r="N1484" s="288"/>
    </row>
    <row r="1485" spans="10:14" x14ac:dyDescent="0.2">
      <c r="J1485" s="288"/>
      <c r="K1485" s="288"/>
      <c r="L1485" s="288"/>
      <c r="M1485" s="288"/>
      <c r="N1485" s="288"/>
    </row>
    <row r="1486" spans="10:14" x14ac:dyDescent="0.2">
      <c r="J1486" s="288"/>
      <c r="K1486" s="288"/>
      <c r="L1486" s="288"/>
      <c r="M1486" s="288"/>
      <c r="N1486" s="288"/>
    </row>
    <row r="1487" spans="10:14" x14ac:dyDescent="0.2">
      <c r="J1487" s="288"/>
      <c r="K1487" s="288"/>
      <c r="L1487" s="288"/>
      <c r="M1487" s="288"/>
      <c r="N1487" s="288"/>
    </row>
    <row r="1488" spans="10:14" x14ac:dyDescent="0.2">
      <c r="J1488" s="288"/>
      <c r="K1488" s="288"/>
      <c r="L1488" s="288"/>
      <c r="M1488" s="288"/>
      <c r="N1488" s="288"/>
    </row>
    <row r="1489" spans="10:14" x14ac:dyDescent="0.2">
      <c r="J1489" s="288"/>
      <c r="K1489" s="288"/>
      <c r="L1489" s="288"/>
      <c r="M1489" s="288"/>
      <c r="N1489" s="288"/>
    </row>
    <row r="1490" spans="10:14" x14ac:dyDescent="0.2">
      <c r="J1490" s="288"/>
      <c r="K1490" s="288"/>
      <c r="L1490" s="288"/>
      <c r="M1490" s="288"/>
      <c r="N1490" s="288"/>
    </row>
    <row r="1491" spans="10:14" x14ac:dyDescent="0.2">
      <c r="J1491" s="288"/>
      <c r="K1491" s="288"/>
      <c r="L1491" s="288"/>
      <c r="M1491" s="288"/>
      <c r="N1491" s="288"/>
    </row>
    <row r="1492" spans="10:14" x14ac:dyDescent="0.2">
      <c r="J1492" s="288"/>
      <c r="K1492" s="288"/>
      <c r="L1492" s="288"/>
      <c r="M1492" s="288"/>
      <c r="N1492" s="288"/>
    </row>
    <row r="1493" spans="10:14" x14ac:dyDescent="0.2">
      <c r="J1493" s="288"/>
      <c r="K1493" s="288"/>
      <c r="L1493" s="288"/>
      <c r="M1493" s="288"/>
      <c r="N1493" s="288"/>
    </row>
    <row r="1494" spans="10:14" x14ac:dyDescent="0.2">
      <c r="J1494" s="288"/>
      <c r="K1494" s="288"/>
      <c r="L1494" s="288"/>
      <c r="M1494" s="288"/>
      <c r="N1494" s="288"/>
    </row>
    <row r="1495" spans="10:14" x14ac:dyDescent="0.2">
      <c r="J1495" s="288"/>
      <c r="K1495" s="288"/>
      <c r="L1495" s="288"/>
      <c r="M1495" s="288"/>
      <c r="N1495" s="288"/>
    </row>
    <row r="1496" spans="10:14" x14ac:dyDescent="0.2">
      <c r="J1496" s="288"/>
      <c r="K1496" s="288"/>
      <c r="L1496" s="288"/>
      <c r="M1496" s="288"/>
      <c r="N1496" s="288"/>
    </row>
    <row r="1497" spans="10:14" x14ac:dyDescent="0.2">
      <c r="J1497" s="288"/>
      <c r="K1497" s="288"/>
      <c r="L1497" s="288"/>
      <c r="M1497" s="288"/>
      <c r="N1497" s="288"/>
    </row>
    <row r="1498" spans="10:14" x14ac:dyDescent="0.2">
      <c r="J1498" s="288"/>
      <c r="K1498" s="288"/>
      <c r="L1498" s="288"/>
      <c r="M1498" s="288"/>
      <c r="N1498" s="288"/>
    </row>
    <row r="1499" spans="10:14" x14ac:dyDescent="0.2">
      <c r="J1499" s="288"/>
      <c r="K1499" s="288"/>
      <c r="L1499" s="288"/>
      <c r="M1499" s="288"/>
      <c r="N1499" s="288"/>
    </row>
    <row r="1500" spans="10:14" x14ac:dyDescent="0.2">
      <c r="J1500" s="288"/>
      <c r="K1500" s="288"/>
      <c r="L1500" s="288"/>
      <c r="M1500" s="288"/>
      <c r="N1500" s="288"/>
    </row>
    <row r="1501" spans="10:14" x14ac:dyDescent="0.2">
      <c r="J1501" s="288"/>
      <c r="K1501" s="288"/>
      <c r="L1501" s="288"/>
      <c r="M1501" s="288"/>
      <c r="N1501" s="288"/>
    </row>
    <row r="1502" spans="10:14" x14ac:dyDescent="0.2">
      <c r="J1502" s="288"/>
      <c r="K1502" s="288"/>
      <c r="L1502" s="288"/>
      <c r="M1502" s="288"/>
      <c r="N1502" s="288"/>
    </row>
    <row r="1503" spans="10:14" x14ac:dyDescent="0.2">
      <c r="J1503" s="288"/>
      <c r="K1503" s="288"/>
      <c r="L1503" s="288"/>
      <c r="M1503" s="288"/>
      <c r="N1503" s="288"/>
    </row>
    <row r="1504" spans="10:14" x14ac:dyDescent="0.2">
      <c r="J1504" s="288"/>
      <c r="K1504" s="288"/>
      <c r="L1504" s="288"/>
      <c r="M1504" s="288"/>
      <c r="N1504" s="288"/>
    </row>
    <row r="1505" spans="10:14" x14ac:dyDescent="0.2">
      <c r="J1505" s="288"/>
      <c r="K1505" s="288"/>
      <c r="L1505" s="288"/>
      <c r="M1505" s="288"/>
      <c r="N1505" s="288"/>
    </row>
    <row r="1506" spans="10:14" x14ac:dyDescent="0.2">
      <c r="J1506" s="288"/>
      <c r="K1506" s="288"/>
      <c r="L1506" s="288"/>
      <c r="M1506" s="288"/>
      <c r="N1506" s="288"/>
    </row>
    <row r="1507" spans="10:14" x14ac:dyDescent="0.2">
      <c r="J1507" s="288"/>
      <c r="K1507" s="288"/>
      <c r="L1507" s="288"/>
      <c r="M1507" s="288"/>
      <c r="N1507" s="288"/>
    </row>
    <row r="1508" spans="10:14" x14ac:dyDescent="0.2">
      <c r="J1508" s="288"/>
      <c r="K1508" s="288"/>
      <c r="L1508" s="288"/>
      <c r="M1508" s="288"/>
      <c r="N1508" s="288"/>
    </row>
    <row r="1509" spans="10:14" x14ac:dyDescent="0.2">
      <c r="J1509" s="288"/>
      <c r="K1509" s="288"/>
      <c r="L1509" s="288"/>
      <c r="M1509" s="288"/>
      <c r="N1509" s="288"/>
    </row>
    <row r="1510" spans="10:14" x14ac:dyDescent="0.2">
      <c r="J1510" s="288"/>
      <c r="K1510" s="288"/>
      <c r="L1510" s="288"/>
      <c r="M1510" s="288"/>
      <c r="N1510" s="288"/>
    </row>
    <row r="1511" spans="10:14" x14ac:dyDescent="0.2">
      <c r="J1511" s="288"/>
      <c r="K1511" s="288"/>
      <c r="L1511" s="288"/>
      <c r="M1511" s="288"/>
      <c r="N1511" s="288"/>
    </row>
    <row r="1512" spans="10:14" x14ac:dyDescent="0.2">
      <c r="J1512" s="288"/>
      <c r="K1512" s="288"/>
      <c r="L1512" s="288"/>
      <c r="M1512" s="288"/>
      <c r="N1512" s="288"/>
    </row>
    <row r="1513" spans="10:14" x14ac:dyDescent="0.2">
      <c r="J1513" s="288"/>
      <c r="K1513" s="288"/>
      <c r="L1513" s="288"/>
      <c r="M1513" s="288"/>
      <c r="N1513" s="288"/>
    </row>
    <row r="1514" spans="10:14" x14ac:dyDescent="0.2">
      <c r="J1514" s="288"/>
      <c r="K1514" s="288"/>
      <c r="L1514" s="288"/>
      <c r="M1514" s="288"/>
      <c r="N1514" s="288"/>
    </row>
    <row r="1515" spans="10:14" x14ac:dyDescent="0.2">
      <c r="J1515" s="288"/>
      <c r="K1515" s="288"/>
      <c r="L1515" s="288"/>
      <c r="M1515" s="288"/>
      <c r="N1515" s="288"/>
    </row>
    <row r="1516" spans="10:14" x14ac:dyDescent="0.2">
      <c r="J1516" s="288"/>
      <c r="K1516" s="288"/>
      <c r="L1516" s="288"/>
      <c r="M1516" s="288"/>
      <c r="N1516" s="288"/>
    </row>
    <row r="1517" spans="10:14" x14ac:dyDescent="0.2">
      <c r="J1517" s="288"/>
      <c r="K1517" s="288"/>
      <c r="L1517" s="288"/>
      <c r="M1517" s="288"/>
      <c r="N1517" s="288"/>
    </row>
    <row r="1518" spans="10:14" x14ac:dyDescent="0.2">
      <c r="J1518" s="288"/>
      <c r="K1518" s="288"/>
      <c r="L1518" s="288"/>
      <c r="M1518" s="288"/>
      <c r="N1518" s="288"/>
    </row>
    <row r="1519" spans="10:14" x14ac:dyDescent="0.2">
      <c r="J1519" s="288"/>
      <c r="K1519" s="288"/>
      <c r="L1519" s="288"/>
      <c r="M1519" s="288"/>
      <c r="N1519" s="288"/>
    </row>
    <row r="1520" spans="10:14" x14ac:dyDescent="0.2">
      <c r="J1520" s="288"/>
      <c r="K1520" s="288"/>
      <c r="L1520" s="288"/>
      <c r="M1520" s="288"/>
      <c r="N1520" s="288"/>
    </row>
    <row r="1521" spans="10:14" x14ac:dyDescent="0.2">
      <c r="J1521" s="288"/>
      <c r="K1521" s="288"/>
      <c r="L1521" s="288"/>
      <c r="M1521" s="288"/>
      <c r="N1521" s="288"/>
    </row>
    <row r="1522" spans="10:14" x14ac:dyDescent="0.2">
      <c r="J1522" s="288"/>
      <c r="K1522" s="288"/>
      <c r="L1522" s="288"/>
      <c r="M1522" s="288"/>
      <c r="N1522" s="288"/>
    </row>
    <row r="1523" spans="10:14" x14ac:dyDescent="0.2">
      <c r="J1523" s="288"/>
      <c r="K1523" s="288"/>
      <c r="L1523" s="288"/>
      <c r="M1523" s="288"/>
      <c r="N1523" s="288"/>
    </row>
    <row r="1524" spans="10:14" x14ac:dyDescent="0.2">
      <c r="J1524" s="288"/>
      <c r="K1524" s="288"/>
      <c r="L1524" s="288"/>
      <c r="M1524" s="288"/>
      <c r="N1524" s="288"/>
    </row>
    <row r="1525" spans="10:14" x14ac:dyDescent="0.2">
      <c r="J1525" s="288"/>
      <c r="K1525" s="288"/>
      <c r="L1525" s="288"/>
      <c r="M1525" s="288"/>
      <c r="N1525" s="288"/>
    </row>
    <row r="1526" spans="10:14" x14ac:dyDescent="0.2">
      <c r="J1526" s="288"/>
      <c r="K1526" s="288"/>
      <c r="L1526" s="288"/>
      <c r="M1526" s="288"/>
      <c r="N1526" s="288"/>
    </row>
    <row r="1527" spans="10:14" x14ac:dyDescent="0.2">
      <c r="J1527" s="288"/>
      <c r="K1527" s="288"/>
      <c r="L1527" s="288"/>
      <c r="M1527" s="288"/>
      <c r="N1527" s="288"/>
    </row>
    <row r="1528" spans="10:14" x14ac:dyDescent="0.2">
      <c r="J1528" s="288"/>
      <c r="K1528" s="288"/>
      <c r="L1528" s="288"/>
      <c r="M1528" s="288"/>
      <c r="N1528" s="288"/>
    </row>
    <row r="1529" spans="10:14" x14ac:dyDescent="0.2">
      <c r="J1529" s="288"/>
      <c r="K1529" s="288"/>
      <c r="L1529" s="288"/>
      <c r="M1529" s="288"/>
      <c r="N1529" s="288"/>
    </row>
    <row r="1530" spans="10:14" x14ac:dyDescent="0.2">
      <c r="J1530" s="288"/>
      <c r="K1530" s="288"/>
      <c r="L1530" s="288"/>
      <c r="M1530" s="288"/>
      <c r="N1530" s="288"/>
    </row>
    <row r="1531" spans="10:14" x14ac:dyDescent="0.2">
      <c r="J1531" s="288"/>
      <c r="K1531" s="288"/>
      <c r="L1531" s="288"/>
      <c r="M1531" s="288"/>
      <c r="N1531" s="288"/>
    </row>
    <row r="1532" spans="10:14" x14ac:dyDescent="0.2">
      <c r="J1532" s="288"/>
      <c r="K1532" s="288"/>
      <c r="L1532" s="288"/>
      <c r="M1532" s="288"/>
      <c r="N1532" s="288"/>
    </row>
    <row r="1533" spans="10:14" x14ac:dyDescent="0.2">
      <c r="J1533" s="288"/>
      <c r="K1533" s="288"/>
      <c r="L1533" s="288"/>
      <c r="M1533" s="288"/>
      <c r="N1533" s="288"/>
    </row>
    <row r="1534" spans="10:14" x14ac:dyDescent="0.2">
      <c r="J1534" s="288"/>
      <c r="K1534" s="288"/>
      <c r="L1534" s="288"/>
      <c r="M1534" s="288"/>
      <c r="N1534" s="288"/>
    </row>
    <row r="1535" spans="10:14" x14ac:dyDescent="0.2">
      <c r="J1535" s="288"/>
      <c r="K1535" s="288"/>
      <c r="L1535" s="288"/>
      <c r="M1535" s="288"/>
      <c r="N1535" s="288"/>
    </row>
    <row r="1536" spans="10:14" x14ac:dyDescent="0.2">
      <c r="J1536" s="288"/>
      <c r="K1536" s="288"/>
      <c r="L1536" s="288"/>
      <c r="M1536" s="288"/>
      <c r="N1536" s="288"/>
    </row>
    <row r="1537" spans="10:14" x14ac:dyDescent="0.2">
      <c r="J1537" s="288"/>
      <c r="K1537" s="288"/>
      <c r="L1537" s="288"/>
      <c r="M1537" s="288"/>
      <c r="N1537" s="288"/>
    </row>
  </sheetData>
  <mergeCells count="2">
    <mergeCell ref="A2:H2"/>
    <mergeCell ref="J14:J16"/>
  </mergeCells>
  <printOptions horizontalCentered="1"/>
  <pageMargins left="0.5" right="0.5" top="0.75" bottom="0.8" header="0.5" footer="0.3"/>
  <pageSetup scale="65" orientation="portrait" r:id="rId1"/>
  <headerFooter alignWithMargins="0">
    <oddFooter>&amp;CPage# &amp;P of &amp;N&amp;R&amp;F 
&amp;A</oddFooter>
  </headerFooter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9"/>
  <sheetViews>
    <sheetView topLeftCell="A25" workbookViewId="0">
      <selection activeCell="E53" sqref="E53"/>
    </sheetView>
  </sheetViews>
  <sheetFormatPr defaultColWidth="9.140625" defaultRowHeight="11.25" x14ac:dyDescent="0.2"/>
  <cols>
    <col min="1" max="1" width="4.85546875" style="88" bestFit="1" customWidth="1"/>
    <col min="2" max="2" width="53.7109375" style="88" bestFit="1" customWidth="1"/>
    <col min="3" max="3" width="9.5703125" style="88" bestFit="1" customWidth="1"/>
    <col min="4" max="4" width="12" style="88" bestFit="1" customWidth="1"/>
    <col min="5" max="5" width="11.140625" style="88" bestFit="1" customWidth="1"/>
    <col min="6" max="7" width="12.140625" style="88" bestFit="1" customWidth="1"/>
    <col min="8" max="9" width="10.85546875" style="88" bestFit="1" customWidth="1"/>
    <col min="10" max="10" width="11.85546875" style="88" bestFit="1" customWidth="1"/>
    <col min="11" max="11" width="8.7109375" style="88" bestFit="1" customWidth="1"/>
    <col min="12" max="16384" width="9.140625" style="88"/>
  </cols>
  <sheetData>
    <row r="2" spans="1:11" x14ac:dyDescent="0.2">
      <c r="A2" s="89" t="s">
        <v>146</v>
      </c>
      <c r="B2" s="89"/>
      <c r="C2" s="89"/>
      <c r="D2" s="89"/>
      <c r="E2" s="89"/>
      <c r="F2" s="89"/>
      <c r="G2" s="89"/>
      <c r="H2" s="89"/>
      <c r="I2" s="89"/>
    </row>
    <row r="3" spans="1:11" x14ac:dyDescent="0.2">
      <c r="A3" s="94" t="s">
        <v>262</v>
      </c>
      <c r="B3" s="89"/>
      <c r="C3" s="89"/>
      <c r="D3" s="89"/>
      <c r="E3" s="89"/>
      <c r="F3" s="89"/>
      <c r="G3" s="89"/>
      <c r="H3" s="89"/>
      <c r="I3" s="89"/>
    </row>
    <row r="4" spans="1:11" x14ac:dyDescent="0.2">
      <c r="A4" s="89" t="s">
        <v>147</v>
      </c>
      <c r="B4" s="89"/>
      <c r="C4" s="89"/>
      <c r="D4" s="89"/>
      <c r="E4" s="89"/>
      <c r="F4" s="89"/>
      <c r="G4" s="89"/>
      <c r="H4" s="89"/>
      <c r="I4" s="89"/>
    </row>
    <row r="5" spans="1:11" x14ac:dyDescent="0.2">
      <c r="A5" s="89" t="s">
        <v>148</v>
      </c>
      <c r="B5" s="89"/>
      <c r="C5" s="89"/>
      <c r="D5" s="89"/>
      <c r="E5" s="89"/>
      <c r="F5" s="89"/>
      <c r="G5" s="89"/>
      <c r="H5" s="89"/>
      <c r="I5" s="89"/>
    </row>
    <row r="6" spans="1:11" x14ac:dyDescent="0.2">
      <c r="A6" s="89"/>
      <c r="B6" s="89"/>
      <c r="C6" s="89"/>
      <c r="D6" s="89"/>
      <c r="E6" s="89"/>
      <c r="F6" s="89"/>
      <c r="G6" s="89"/>
      <c r="H6" s="89"/>
      <c r="I6" s="89"/>
    </row>
    <row r="7" spans="1:11" x14ac:dyDescent="0.2">
      <c r="B7" s="180" t="s">
        <v>102</v>
      </c>
      <c r="C7" s="180" t="s">
        <v>103</v>
      </c>
      <c r="D7" s="180" t="s">
        <v>104</v>
      </c>
      <c r="E7" s="180" t="s">
        <v>167</v>
      </c>
      <c r="F7" s="180" t="s">
        <v>264</v>
      </c>
      <c r="G7" s="180" t="s">
        <v>265</v>
      </c>
      <c r="H7" s="181" t="s">
        <v>266</v>
      </c>
      <c r="I7" s="180" t="s">
        <v>105</v>
      </c>
      <c r="J7" s="180" t="s">
        <v>169</v>
      </c>
      <c r="K7" s="180" t="s">
        <v>170</v>
      </c>
    </row>
    <row r="8" spans="1:11" ht="33.75" x14ac:dyDescent="0.2">
      <c r="A8" s="91" t="s">
        <v>149</v>
      </c>
      <c r="B8" s="182" t="s">
        <v>44</v>
      </c>
      <c r="C8" s="183" t="s">
        <v>267</v>
      </c>
      <c r="D8" s="183" t="s">
        <v>15</v>
      </c>
      <c r="E8" s="184" t="s">
        <v>268</v>
      </c>
      <c r="F8" s="185" t="s">
        <v>269</v>
      </c>
      <c r="G8" s="185" t="s">
        <v>270</v>
      </c>
      <c r="H8" s="185" t="s">
        <v>271</v>
      </c>
      <c r="I8" s="185" t="s">
        <v>272</v>
      </c>
      <c r="J8" s="185" t="s">
        <v>273</v>
      </c>
      <c r="K8" s="186" t="s">
        <v>274</v>
      </c>
    </row>
    <row r="9" spans="1:11" x14ac:dyDescent="0.2">
      <c r="A9" s="92">
        <v>1</v>
      </c>
      <c r="B9" s="187" t="s">
        <v>275</v>
      </c>
      <c r="C9" s="188" t="s">
        <v>276</v>
      </c>
      <c r="D9" s="189">
        <f>SUM(E9:K9)</f>
        <v>1154247841.2448502</v>
      </c>
      <c r="E9" s="190">
        <v>609257701.15931797</v>
      </c>
      <c r="F9" s="191">
        <v>234176518.05324447</v>
      </c>
      <c r="G9" s="191">
        <v>86328991.912539333</v>
      </c>
      <c r="H9" s="191">
        <v>90957971.20362018</v>
      </c>
      <c r="I9" s="191">
        <v>9748488.4229263533</v>
      </c>
      <c r="J9" s="191">
        <v>123778170.49320194</v>
      </c>
      <c r="K9" s="192">
        <v>0</v>
      </c>
    </row>
    <row r="10" spans="1:11" x14ac:dyDescent="0.2">
      <c r="A10" s="92">
        <f>A9+1</f>
        <v>2</v>
      </c>
      <c r="B10" s="187" t="s">
        <v>54</v>
      </c>
      <c r="C10" s="193"/>
      <c r="D10" s="189"/>
      <c r="E10" s="194">
        <f>E9/$D9</f>
        <v>0.52783958469633074</v>
      </c>
      <c r="F10" s="195">
        <f t="shared" ref="F10:K10" si="0">F9/$D9</f>
        <v>0.20288235306611996</v>
      </c>
      <c r="G10" s="195">
        <f t="shared" si="0"/>
        <v>7.4792422240473042E-2</v>
      </c>
      <c r="H10" s="195">
        <f t="shared" si="0"/>
        <v>7.8802808160786761E-2</v>
      </c>
      <c r="I10" s="195">
        <f t="shared" si="0"/>
        <v>8.4457497554534383E-3</v>
      </c>
      <c r="J10" s="195">
        <f t="shared" si="0"/>
        <v>0.10723708208083615</v>
      </c>
      <c r="K10" s="196">
        <f t="shared" si="0"/>
        <v>0</v>
      </c>
    </row>
    <row r="11" spans="1:11" x14ac:dyDescent="0.2">
      <c r="A11" s="92">
        <f>A10+1</f>
        <v>3</v>
      </c>
      <c r="B11" s="187"/>
      <c r="C11" s="193"/>
      <c r="D11" s="189"/>
      <c r="E11" s="197"/>
      <c r="F11" s="198"/>
      <c r="G11" s="198"/>
      <c r="H11" s="198"/>
      <c r="I11" s="198"/>
      <c r="J11" s="198"/>
      <c r="K11" s="199"/>
    </row>
    <row r="12" spans="1:11" x14ac:dyDescent="0.2">
      <c r="A12" s="92">
        <f t="shared" ref="A12:A55" si="1">A11+1</f>
        <v>4</v>
      </c>
      <c r="B12" s="187" t="s">
        <v>277</v>
      </c>
      <c r="C12" s="188" t="s">
        <v>276</v>
      </c>
      <c r="D12" s="189">
        <f>SUM(E12:K12)</f>
        <v>958153193.17249894</v>
      </c>
      <c r="E12" s="190">
        <v>609257701.15931797</v>
      </c>
      <c r="F12" s="191">
        <v>234140158.08963937</v>
      </c>
      <c r="G12" s="191">
        <v>65836657.463465482</v>
      </c>
      <c r="H12" s="191">
        <v>16184434.068649085</v>
      </c>
      <c r="I12" s="191">
        <v>9397200.2729263529</v>
      </c>
      <c r="J12" s="191">
        <v>23337042.118500698</v>
      </c>
      <c r="K12" s="192">
        <v>0</v>
      </c>
    </row>
    <row r="13" spans="1:11" x14ac:dyDescent="0.2">
      <c r="A13" s="92">
        <f t="shared" si="1"/>
        <v>5</v>
      </c>
      <c r="B13" s="187" t="s">
        <v>54</v>
      </c>
      <c r="C13" s="193"/>
      <c r="D13" s="189"/>
      <c r="E13" s="194">
        <f>E12/$D12</f>
        <v>0.63586669177820254</v>
      </c>
      <c r="F13" s="195">
        <f t="shared" ref="F13" si="2">F12/$D12</f>
        <v>0.24436609903097872</v>
      </c>
      <c r="G13" s="195">
        <f t="shared" ref="G13" si="3">G12/$D12</f>
        <v>6.8712036793904127E-2</v>
      </c>
      <c r="H13" s="195">
        <f t="shared" ref="H13" si="4">H12/$D12</f>
        <v>1.6891280208607893E-2</v>
      </c>
      <c r="I13" s="195">
        <f t="shared" ref="I13" si="5">I12/$D12</f>
        <v>9.8076177587131923E-3</v>
      </c>
      <c r="J13" s="195">
        <f t="shared" ref="J13" si="6">J12/$D12</f>
        <v>2.43562744295935E-2</v>
      </c>
      <c r="K13" s="196">
        <f t="shared" ref="K13" si="7">K12/$D12</f>
        <v>0</v>
      </c>
    </row>
    <row r="14" spans="1:11" x14ac:dyDescent="0.2">
      <c r="A14" s="92">
        <f t="shared" si="1"/>
        <v>6</v>
      </c>
      <c r="B14" s="187"/>
      <c r="C14" s="193"/>
      <c r="D14" s="189"/>
      <c r="E14" s="197"/>
      <c r="F14" s="198"/>
      <c r="G14" s="198"/>
      <c r="H14" s="198"/>
      <c r="I14" s="198"/>
      <c r="J14" s="198"/>
      <c r="K14" s="199"/>
    </row>
    <row r="15" spans="1:11" x14ac:dyDescent="0.2">
      <c r="A15" s="92">
        <f t="shared" si="1"/>
        <v>7</v>
      </c>
      <c r="B15" s="187" t="s">
        <v>278</v>
      </c>
      <c r="C15" s="188" t="s">
        <v>276</v>
      </c>
      <c r="D15" s="189">
        <f t="shared" ref="D15:D21" si="8">SUM(E15:K15)</f>
        <v>714940068.40642238</v>
      </c>
      <c r="E15" s="190">
        <v>416959240.84287125</v>
      </c>
      <c r="F15" s="191">
        <v>150005665.8101829</v>
      </c>
      <c r="G15" s="191">
        <v>46624345.978723206</v>
      </c>
      <c r="H15" s="191">
        <v>40387167.118164286</v>
      </c>
      <c r="I15" s="191">
        <v>6041409.6491122711</v>
      </c>
      <c r="J15" s="191">
        <v>54922239.007368609</v>
      </c>
      <c r="K15" s="192">
        <v>0</v>
      </c>
    </row>
    <row r="16" spans="1:11" x14ac:dyDescent="0.2">
      <c r="A16" s="92">
        <f t="shared" si="1"/>
        <v>8</v>
      </c>
      <c r="B16" s="187" t="s">
        <v>54</v>
      </c>
      <c r="C16" s="193"/>
      <c r="D16" s="189"/>
      <c r="E16" s="194">
        <f>E15/$D15</f>
        <v>0.5832086621921464</v>
      </c>
      <c r="F16" s="195">
        <f t="shared" ref="F16" si="9">F15/$D15</f>
        <v>0.20981572084012656</v>
      </c>
      <c r="G16" s="195">
        <f t="shared" ref="G16" si="10">G15/$D15</f>
        <v>6.5214341787623295E-2</v>
      </c>
      <c r="H16" s="195">
        <f t="shared" ref="H16" si="11">H15/$D15</f>
        <v>5.6490283455767051E-2</v>
      </c>
      <c r="I16" s="195">
        <f t="shared" ref="I16" si="12">I15/$D15</f>
        <v>8.4502322867123277E-3</v>
      </c>
      <c r="J16" s="195">
        <f t="shared" ref="J16" si="13">J15/$D15</f>
        <v>7.682075943762455E-2</v>
      </c>
      <c r="K16" s="196">
        <f t="shared" ref="K16" si="14">K15/$D15</f>
        <v>0</v>
      </c>
    </row>
    <row r="17" spans="1:11" x14ac:dyDescent="0.2">
      <c r="A17" s="92">
        <f t="shared" si="1"/>
        <v>9</v>
      </c>
      <c r="B17" s="187"/>
      <c r="C17" s="193"/>
      <c r="D17" s="189"/>
      <c r="E17" s="197"/>
      <c r="F17" s="198"/>
      <c r="G17" s="198"/>
      <c r="H17" s="198"/>
      <c r="I17" s="198"/>
      <c r="J17" s="198"/>
      <c r="K17" s="199"/>
    </row>
    <row r="18" spans="1:11" x14ac:dyDescent="0.2">
      <c r="A18" s="92">
        <f t="shared" si="1"/>
        <v>10</v>
      </c>
      <c r="B18" s="187" t="s">
        <v>279</v>
      </c>
      <c r="C18" s="188" t="s">
        <v>276</v>
      </c>
      <c r="D18" s="189">
        <f t="shared" si="8"/>
        <v>630894514.61931407</v>
      </c>
      <c r="E18" s="190">
        <v>416959240.84287125</v>
      </c>
      <c r="F18" s="191">
        <v>149984387.15726954</v>
      </c>
      <c r="G18" s="191">
        <v>37219825.256529301</v>
      </c>
      <c r="H18" s="191">
        <v>8244527.6517143622</v>
      </c>
      <c r="I18" s="191">
        <v>5842124.407445604</v>
      </c>
      <c r="J18" s="191">
        <v>12644409.30348403</v>
      </c>
      <c r="K18" s="192">
        <v>0</v>
      </c>
    </row>
    <row r="19" spans="1:11" x14ac:dyDescent="0.2">
      <c r="A19" s="92">
        <f t="shared" si="1"/>
        <v>11</v>
      </c>
      <c r="B19" s="187" t="s">
        <v>54</v>
      </c>
      <c r="C19" s="193"/>
      <c r="D19" s="189"/>
      <c r="E19" s="194">
        <f>E18/$D18</f>
        <v>0.66090167402147604</v>
      </c>
      <c r="F19" s="195">
        <f t="shared" ref="F19" si="15">F18/$D18</f>
        <v>0.23773290729555813</v>
      </c>
      <c r="G19" s="195">
        <f t="shared" ref="G19" si="16">G18/$D18</f>
        <v>5.8995322346379872E-2</v>
      </c>
      <c r="H19" s="195">
        <f t="shared" ref="H19" si="17">H18/$D18</f>
        <v>1.306799704335544E-2</v>
      </c>
      <c r="I19" s="195">
        <f t="shared" ref="I19" si="18">I18/$D18</f>
        <v>9.2600653073846746E-3</v>
      </c>
      <c r="J19" s="195">
        <f t="shared" ref="J19" si="19">J18/$D18</f>
        <v>2.0042033985845874E-2</v>
      </c>
      <c r="K19" s="196">
        <f t="shared" ref="K19" si="20">K18/$D18</f>
        <v>0</v>
      </c>
    </row>
    <row r="20" spans="1:11" x14ac:dyDescent="0.2">
      <c r="A20" s="92">
        <f t="shared" si="1"/>
        <v>12</v>
      </c>
      <c r="B20" s="187"/>
      <c r="C20" s="193"/>
      <c r="D20" s="189"/>
      <c r="E20" s="197"/>
      <c r="F20" s="198"/>
      <c r="G20" s="198"/>
      <c r="H20" s="198"/>
      <c r="I20" s="198"/>
      <c r="J20" s="198"/>
      <c r="K20" s="199"/>
    </row>
    <row r="21" spans="1:11" x14ac:dyDescent="0.2">
      <c r="A21" s="92">
        <f t="shared" si="1"/>
        <v>13</v>
      </c>
      <c r="B21" s="187" t="s">
        <v>280</v>
      </c>
      <c r="C21" s="188" t="s">
        <v>276</v>
      </c>
      <c r="D21" s="189">
        <f t="shared" si="8"/>
        <v>9901108</v>
      </c>
      <c r="E21" s="191">
        <v>7067584.6358423801</v>
      </c>
      <c r="F21" s="191">
        <v>2519090.6701576198</v>
      </c>
      <c r="G21" s="191">
        <v>301358.96499999997</v>
      </c>
      <c r="H21" s="191">
        <v>6781.239999999998</v>
      </c>
      <c r="I21" s="191">
        <v>6292.4889999999996</v>
      </c>
      <c r="J21" s="191">
        <v>0</v>
      </c>
      <c r="K21" s="192">
        <v>0</v>
      </c>
    </row>
    <row r="22" spans="1:11" x14ac:dyDescent="0.2">
      <c r="A22" s="92">
        <f t="shared" si="1"/>
        <v>14</v>
      </c>
      <c r="B22" s="200" t="s">
        <v>54</v>
      </c>
      <c r="C22" s="201"/>
      <c r="D22" s="202"/>
      <c r="E22" s="203">
        <f>E21/$D21</f>
        <v>0.71381754808071785</v>
      </c>
      <c r="F22" s="204">
        <f t="shared" ref="F22" si="21">F21/$D21</f>
        <v>0.25442512799149547</v>
      </c>
      <c r="G22" s="204">
        <f t="shared" ref="G22" si="22">G21/$D21</f>
        <v>3.0436893022477884E-2</v>
      </c>
      <c r="H22" s="204">
        <f t="shared" ref="H22" si="23">H21/$D21</f>
        <v>6.8489708424552057E-4</v>
      </c>
      <c r="I22" s="204">
        <f t="shared" ref="I22" si="24">I21/$D21</f>
        <v>6.355338210632587E-4</v>
      </c>
      <c r="J22" s="204">
        <f t="shared" ref="J22" si="25">J21/$D21</f>
        <v>0</v>
      </c>
      <c r="K22" s="205">
        <f t="shared" ref="K22" si="26">K21/$D21</f>
        <v>0</v>
      </c>
    </row>
    <row r="23" spans="1:11" x14ac:dyDescent="0.2">
      <c r="A23" s="92">
        <f t="shared" si="1"/>
        <v>15</v>
      </c>
      <c r="B23" s="206"/>
      <c r="C23" s="206"/>
      <c r="D23" s="206"/>
      <c r="E23" s="207"/>
      <c r="F23" s="207"/>
      <c r="G23" s="207"/>
      <c r="H23" s="207"/>
      <c r="I23" s="207"/>
      <c r="J23" s="207"/>
      <c r="K23" s="207"/>
    </row>
    <row r="24" spans="1:11" x14ac:dyDescent="0.2">
      <c r="A24" s="92">
        <f t="shared" si="1"/>
        <v>16</v>
      </c>
      <c r="B24" s="208" t="s">
        <v>281</v>
      </c>
      <c r="C24" s="206"/>
      <c r="D24" s="206"/>
      <c r="E24" s="206"/>
      <c r="F24" s="206"/>
      <c r="G24" s="206"/>
      <c r="H24" s="206"/>
      <c r="I24" s="206"/>
      <c r="J24" s="206"/>
      <c r="K24" s="206"/>
    </row>
    <row r="25" spans="1:11" x14ac:dyDescent="0.2">
      <c r="A25" s="92">
        <f t="shared" si="1"/>
        <v>17</v>
      </c>
      <c r="B25" s="209" t="s">
        <v>44</v>
      </c>
      <c r="C25" s="209" t="s">
        <v>282</v>
      </c>
      <c r="D25" s="183" t="s">
        <v>15</v>
      </c>
      <c r="E25" s="210" t="s">
        <v>277</v>
      </c>
      <c r="F25" s="210" t="s">
        <v>283</v>
      </c>
      <c r="G25" s="210" t="s">
        <v>284</v>
      </c>
      <c r="H25" s="211" t="s">
        <v>285</v>
      </c>
      <c r="I25" s="206"/>
      <c r="J25" s="206"/>
      <c r="K25" s="206"/>
    </row>
    <row r="26" spans="1:11" x14ac:dyDescent="0.2">
      <c r="A26" s="92">
        <f t="shared" si="1"/>
        <v>18</v>
      </c>
      <c r="B26" s="212" t="s">
        <v>286</v>
      </c>
      <c r="C26" s="212" t="s">
        <v>287</v>
      </c>
      <c r="D26" s="213">
        <f>SUM(E26:H26)</f>
        <v>1</v>
      </c>
      <c r="E26" s="214">
        <v>0.2822600508093141</v>
      </c>
      <c r="F26" s="214">
        <v>0.39769589905210218</v>
      </c>
      <c r="G26" s="214">
        <v>0.32004405013858367</v>
      </c>
      <c r="H26" s="215">
        <v>0</v>
      </c>
      <c r="I26" s="206"/>
      <c r="J26" s="206"/>
      <c r="K26" s="206"/>
    </row>
    <row r="27" spans="1:11" x14ac:dyDescent="0.2">
      <c r="A27" s="92">
        <f t="shared" si="1"/>
        <v>19</v>
      </c>
      <c r="B27" s="216" t="s">
        <v>288</v>
      </c>
      <c r="C27" s="216" t="s">
        <v>289</v>
      </c>
      <c r="D27" s="217">
        <f t="shared" ref="D27:D30" si="27">SUM(E27:H27)</f>
        <v>1</v>
      </c>
      <c r="E27" s="218"/>
      <c r="F27" s="219">
        <v>0.11076705406115377</v>
      </c>
      <c r="G27" s="219">
        <v>0.6792329459388462</v>
      </c>
      <c r="H27" s="220">
        <v>0.21000000000000008</v>
      </c>
      <c r="I27" s="206"/>
      <c r="J27" s="206"/>
      <c r="K27" s="206"/>
    </row>
    <row r="28" spans="1:11" x14ac:dyDescent="0.2">
      <c r="A28" s="92">
        <f t="shared" si="1"/>
        <v>20</v>
      </c>
      <c r="B28" s="216" t="s">
        <v>290</v>
      </c>
      <c r="C28" s="216" t="s">
        <v>291</v>
      </c>
      <c r="D28" s="217">
        <f t="shared" si="27"/>
        <v>1</v>
      </c>
      <c r="E28" s="218"/>
      <c r="F28" s="219">
        <v>0.11076705406115377</v>
      </c>
      <c r="G28" s="219">
        <v>0.6792329459388462</v>
      </c>
      <c r="H28" s="220">
        <v>0.21000000000000008</v>
      </c>
      <c r="I28" s="206"/>
      <c r="J28" s="206"/>
      <c r="K28" s="206"/>
    </row>
    <row r="29" spans="1:11" x14ac:dyDescent="0.2">
      <c r="A29" s="92">
        <f t="shared" si="1"/>
        <v>21</v>
      </c>
      <c r="B29" s="216" t="s">
        <v>292</v>
      </c>
      <c r="C29" s="216" t="s">
        <v>293</v>
      </c>
      <c r="D29" s="217">
        <f t="shared" si="27"/>
        <v>1</v>
      </c>
      <c r="E29" s="218"/>
      <c r="F29" s="221"/>
      <c r="G29" s="222">
        <v>1</v>
      </c>
      <c r="H29" s="220">
        <v>0</v>
      </c>
      <c r="I29" s="206"/>
      <c r="J29" s="206"/>
      <c r="K29" s="206"/>
    </row>
    <row r="30" spans="1:11" x14ac:dyDescent="0.2">
      <c r="A30" s="92">
        <f t="shared" si="1"/>
        <v>22</v>
      </c>
      <c r="B30" s="223" t="s">
        <v>294</v>
      </c>
      <c r="C30" s="223" t="s">
        <v>295</v>
      </c>
      <c r="D30" s="224">
        <f t="shared" si="27"/>
        <v>1</v>
      </c>
      <c r="E30" s="225"/>
      <c r="F30" s="226">
        <v>1</v>
      </c>
      <c r="G30" s="226"/>
      <c r="H30" s="227">
        <v>0</v>
      </c>
      <c r="I30" s="206"/>
      <c r="J30" s="206"/>
      <c r="K30" s="206"/>
    </row>
    <row r="31" spans="1:11" x14ac:dyDescent="0.2">
      <c r="A31" s="92">
        <f t="shared" si="1"/>
        <v>23</v>
      </c>
      <c r="B31" s="218"/>
      <c r="C31" s="218"/>
      <c r="D31" s="228"/>
      <c r="E31" s="218"/>
      <c r="F31" s="218"/>
      <c r="G31" s="218"/>
      <c r="H31" s="218"/>
      <c r="I31" s="206"/>
      <c r="J31" s="206"/>
      <c r="K31" s="206"/>
    </row>
    <row r="32" spans="1:11" x14ac:dyDescent="0.2">
      <c r="A32" s="92">
        <f t="shared" si="1"/>
        <v>24</v>
      </c>
      <c r="B32" s="229" t="s">
        <v>296</v>
      </c>
      <c r="C32" s="218"/>
      <c r="D32" s="206"/>
      <c r="E32" s="206"/>
      <c r="F32" s="206"/>
      <c r="G32" s="206"/>
      <c r="H32" s="206"/>
      <c r="I32" s="206"/>
      <c r="J32" s="206"/>
      <c r="K32" s="206"/>
    </row>
    <row r="33" spans="1:11" x14ac:dyDescent="0.2">
      <c r="A33" s="92">
        <f t="shared" si="1"/>
        <v>25</v>
      </c>
      <c r="B33" s="209" t="s">
        <v>44</v>
      </c>
      <c r="C33" s="209" t="s">
        <v>282</v>
      </c>
      <c r="D33" s="183" t="s">
        <v>15</v>
      </c>
      <c r="E33" s="230" t="s">
        <v>277</v>
      </c>
      <c r="F33" s="230" t="s">
        <v>283</v>
      </c>
      <c r="G33" s="230" t="s">
        <v>284</v>
      </c>
      <c r="H33" s="231" t="s">
        <v>285</v>
      </c>
      <c r="I33" s="206"/>
      <c r="J33" s="206"/>
      <c r="K33" s="206"/>
    </row>
    <row r="34" spans="1:11" x14ac:dyDescent="0.2">
      <c r="A34" s="92">
        <f t="shared" si="1"/>
        <v>26</v>
      </c>
      <c r="B34" s="193" t="s">
        <v>286</v>
      </c>
      <c r="C34" s="193" t="s">
        <v>287</v>
      </c>
      <c r="D34" s="232">
        <v>107113626.63890575</v>
      </c>
      <c r="E34" s="233">
        <f>E26*D34</f>
        <v>30233897.697467435</v>
      </c>
      <c r="F34" s="233">
        <f>F26*D34</f>
        <v>42598650.046890825</v>
      </c>
      <c r="G34" s="233">
        <f>G26*D34</f>
        <v>34281078.894547485</v>
      </c>
      <c r="H34" s="234">
        <f>H26*D34</f>
        <v>0</v>
      </c>
      <c r="I34" s="206"/>
      <c r="J34" s="206"/>
      <c r="K34" s="206"/>
    </row>
    <row r="35" spans="1:11" x14ac:dyDescent="0.2">
      <c r="A35" s="92">
        <f t="shared" si="1"/>
        <v>27</v>
      </c>
      <c r="B35" s="216" t="s">
        <v>288</v>
      </c>
      <c r="C35" s="216" t="s">
        <v>289</v>
      </c>
      <c r="D35" s="232">
        <v>6884113.6725660004</v>
      </c>
      <c r="E35" s="233">
        <f t="shared" ref="E35:E38" si="28">E27*D35</f>
        <v>0</v>
      </c>
      <c r="F35" s="233">
        <f t="shared" ref="F35:F38" si="29">F27*D35</f>
        <v>762532.99133224599</v>
      </c>
      <c r="G35" s="233">
        <f t="shared" ref="G35:G38" si="30">G27*D35</f>
        <v>4675916.8099948941</v>
      </c>
      <c r="H35" s="235">
        <f t="shared" ref="H35:H38" si="31">H27*D35</f>
        <v>1445663.8712388605</v>
      </c>
      <c r="I35" s="206"/>
      <c r="J35" s="206"/>
      <c r="K35" s="206"/>
    </row>
    <row r="36" spans="1:11" x14ac:dyDescent="0.2">
      <c r="A36" s="92">
        <f t="shared" si="1"/>
        <v>28</v>
      </c>
      <c r="B36" s="216" t="s">
        <v>290</v>
      </c>
      <c r="C36" s="216" t="s">
        <v>291</v>
      </c>
      <c r="D36" s="232">
        <v>521597.32605000003</v>
      </c>
      <c r="E36" s="233">
        <f t="shared" si="28"/>
        <v>0</v>
      </c>
      <c r="F36" s="233">
        <f t="shared" si="29"/>
        <v>57775.799212733604</v>
      </c>
      <c r="G36" s="233">
        <f t="shared" si="30"/>
        <v>354286.0883667664</v>
      </c>
      <c r="H36" s="235">
        <f t="shared" si="31"/>
        <v>109535.43847050004</v>
      </c>
      <c r="I36" s="206"/>
      <c r="J36" s="206"/>
      <c r="K36" s="206"/>
    </row>
    <row r="37" spans="1:11" x14ac:dyDescent="0.2">
      <c r="A37" s="92">
        <f t="shared" si="1"/>
        <v>29</v>
      </c>
      <c r="B37" s="216" t="s">
        <v>292</v>
      </c>
      <c r="C37" s="216" t="s">
        <v>293</v>
      </c>
      <c r="D37" s="232">
        <v>1389343.687039</v>
      </c>
      <c r="E37" s="233">
        <f t="shared" si="28"/>
        <v>0</v>
      </c>
      <c r="F37" s="233">
        <f t="shared" si="29"/>
        <v>0</v>
      </c>
      <c r="G37" s="233">
        <f t="shared" si="30"/>
        <v>1389343.687039</v>
      </c>
      <c r="H37" s="235">
        <f t="shared" si="31"/>
        <v>0</v>
      </c>
      <c r="I37" s="206"/>
      <c r="J37" s="206"/>
      <c r="K37" s="206"/>
    </row>
    <row r="38" spans="1:11" x14ac:dyDescent="0.2">
      <c r="A38" s="92">
        <f t="shared" si="1"/>
        <v>30</v>
      </c>
      <c r="B38" s="223" t="s">
        <v>297</v>
      </c>
      <c r="C38" s="223" t="s">
        <v>295</v>
      </c>
      <c r="D38" s="232">
        <v>6371973.0993599985</v>
      </c>
      <c r="E38" s="233">
        <f t="shared" si="28"/>
        <v>0</v>
      </c>
      <c r="F38" s="233">
        <f t="shared" si="29"/>
        <v>6371973.0993599985</v>
      </c>
      <c r="G38" s="233">
        <f t="shared" si="30"/>
        <v>0</v>
      </c>
      <c r="H38" s="236">
        <f t="shared" si="31"/>
        <v>0</v>
      </c>
      <c r="I38" s="206"/>
      <c r="J38" s="206"/>
      <c r="K38" s="206"/>
    </row>
    <row r="39" spans="1:11" x14ac:dyDescent="0.2">
      <c r="A39" s="92">
        <f t="shared" si="1"/>
        <v>31</v>
      </c>
      <c r="B39" s="237" t="s">
        <v>15</v>
      </c>
      <c r="C39" s="237"/>
      <c r="D39" s="238">
        <f>SUM(D34:D38)</f>
        <v>122280654.42392075</v>
      </c>
      <c r="E39" s="239">
        <f t="shared" ref="E39:H39" si="32">SUM(E34:E38)</f>
        <v>30233897.697467435</v>
      </c>
      <c r="F39" s="239">
        <f t="shared" si="32"/>
        <v>49790931.936795801</v>
      </c>
      <c r="G39" s="239">
        <f t="shared" si="32"/>
        <v>40700625.479948148</v>
      </c>
      <c r="H39" s="240">
        <f t="shared" si="32"/>
        <v>1555199.3097093606</v>
      </c>
      <c r="I39" s="206"/>
      <c r="J39" s="206"/>
      <c r="K39" s="206"/>
    </row>
    <row r="40" spans="1:11" x14ac:dyDescent="0.2">
      <c r="A40" s="92">
        <f t="shared" si="1"/>
        <v>32</v>
      </c>
      <c r="B40" s="218"/>
      <c r="C40" s="218"/>
      <c r="D40" s="206"/>
      <c r="E40" s="206"/>
      <c r="F40" s="206"/>
      <c r="G40" s="206"/>
      <c r="H40" s="206"/>
      <c r="I40" s="206"/>
      <c r="J40" s="206"/>
      <c r="K40" s="206"/>
    </row>
    <row r="41" spans="1:11" s="90" customFormat="1" ht="54.75" customHeight="1" x14ac:dyDescent="0.2">
      <c r="A41" s="92">
        <f t="shared" si="1"/>
        <v>33</v>
      </c>
      <c r="B41" s="241" t="s">
        <v>44</v>
      </c>
      <c r="C41" s="242"/>
      <c r="D41" s="183" t="s">
        <v>15</v>
      </c>
      <c r="E41" s="184" t="s">
        <v>268</v>
      </c>
      <c r="F41" s="185" t="s">
        <v>269</v>
      </c>
      <c r="G41" s="185" t="s">
        <v>270</v>
      </c>
      <c r="H41" s="185" t="s">
        <v>271</v>
      </c>
      <c r="I41" s="185" t="s">
        <v>272</v>
      </c>
      <c r="J41" s="185" t="s">
        <v>273</v>
      </c>
      <c r="K41" s="186" t="s">
        <v>274</v>
      </c>
    </row>
    <row r="42" spans="1:11" x14ac:dyDescent="0.2">
      <c r="A42" s="92">
        <f t="shared" si="1"/>
        <v>34</v>
      </c>
      <c r="B42" s="187"/>
      <c r="C42" s="218"/>
      <c r="D42" s="193"/>
      <c r="E42" s="218"/>
      <c r="F42" s="218"/>
      <c r="G42" s="218"/>
      <c r="H42" s="218"/>
      <c r="I42" s="218"/>
      <c r="J42" s="218"/>
      <c r="K42" s="243"/>
    </row>
    <row r="43" spans="1:11" x14ac:dyDescent="0.2">
      <c r="A43" s="92">
        <f t="shared" si="1"/>
        <v>35</v>
      </c>
      <c r="B43" s="187" t="s">
        <v>277</v>
      </c>
      <c r="C43" s="218"/>
      <c r="D43" s="244">
        <f>E39</f>
        <v>30233897.697467435</v>
      </c>
      <c r="E43" s="245">
        <f>D43*E13</f>
        <v>19224728.508449234</v>
      </c>
      <c r="F43" s="245">
        <f>D43*F13</f>
        <v>7388139.6388318073</v>
      </c>
      <c r="G43" s="245">
        <f>D43*G13</f>
        <v>2077432.6910115157</v>
      </c>
      <c r="H43" s="245">
        <f>D43*H13</f>
        <v>510689.23780630744</v>
      </c>
      <c r="I43" s="245">
        <f>D43*I13</f>
        <v>296522.51197279949</v>
      </c>
      <c r="J43" s="245">
        <f>D43*J13</f>
        <v>736385.10939577187</v>
      </c>
      <c r="K43" s="246">
        <f>D43*K13</f>
        <v>0</v>
      </c>
    </row>
    <row r="44" spans="1:11" x14ac:dyDescent="0.2">
      <c r="A44" s="92">
        <f t="shared" si="1"/>
        <v>36</v>
      </c>
      <c r="B44" s="187" t="s">
        <v>283</v>
      </c>
      <c r="C44" s="218"/>
      <c r="D44" s="244">
        <f>F39</f>
        <v>49790931.936795801</v>
      </c>
      <c r="E44" s="245">
        <f>D44*E19</f>
        <v>32906910.268117718</v>
      </c>
      <c r="F44" s="245">
        <f>D44*F19</f>
        <v>11836943.006289721</v>
      </c>
      <c r="G44" s="245">
        <f>D44*G19</f>
        <v>2937432.0795379286</v>
      </c>
      <c r="H44" s="245">
        <f>D44*H19</f>
        <v>650667.75133595953</v>
      </c>
      <c r="I44" s="245">
        <f>D44*I19</f>
        <v>461067.2814502744</v>
      </c>
      <c r="J44" s="245">
        <f>D44*J19</f>
        <v>997911.55006420019</v>
      </c>
      <c r="K44" s="246">
        <f>D44*K19</f>
        <v>0</v>
      </c>
    </row>
    <row r="45" spans="1:11" x14ac:dyDescent="0.2">
      <c r="A45" s="92">
        <f t="shared" si="1"/>
        <v>37</v>
      </c>
      <c r="B45" s="187" t="s">
        <v>284</v>
      </c>
      <c r="C45" s="218"/>
      <c r="D45" s="244">
        <f>G39</f>
        <v>40700625.479948148</v>
      </c>
      <c r="E45" s="245">
        <f>D45*E22</f>
        <v>29052820.685448177</v>
      </c>
      <c r="F45" s="245">
        <f>D45*F22</f>
        <v>10355261.847069729</v>
      </c>
      <c r="G45" s="245">
        <f>D45*G22</f>
        <v>1238800.5836811194</v>
      </c>
      <c r="H45" s="245">
        <f>D45*H22</f>
        <v>27875.739718185429</v>
      </c>
      <c r="I45" s="245">
        <f>D45*I22</f>
        <v>25866.624030936073</v>
      </c>
      <c r="J45" s="245">
        <f>D45*J22</f>
        <v>0</v>
      </c>
      <c r="K45" s="246">
        <f>D45*K22</f>
        <v>0</v>
      </c>
    </row>
    <row r="46" spans="1:11" x14ac:dyDescent="0.2">
      <c r="A46" s="92">
        <f t="shared" si="1"/>
        <v>38</v>
      </c>
      <c r="B46" s="187" t="s">
        <v>285</v>
      </c>
      <c r="C46" s="218"/>
      <c r="D46" s="244">
        <f>H39</f>
        <v>1555199.3097093606</v>
      </c>
      <c r="E46" s="245">
        <f>D46*E10</f>
        <v>820895.75775700912</v>
      </c>
      <c r="F46" s="245">
        <f>D46*F10</f>
        <v>315522.49544064054</v>
      </c>
      <c r="G46" s="245">
        <f>D46*G10</f>
        <v>116317.1234398747</v>
      </c>
      <c r="H46" s="245">
        <f>D46*H10</f>
        <v>122554.07285481473</v>
      </c>
      <c r="I46" s="245">
        <f>D46*I10</f>
        <v>13134.824189659188</v>
      </c>
      <c r="J46" s="245">
        <f>D46*J10</f>
        <v>166775.03602736242</v>
      </c>
      <c r="K46" s="246">
        <f>D46*K10</f>
        <v>0</v>
      </c>
    </row>
    <row r="47" spans="1:11" x14ac:dyDescent="0.2">
      <c r="A47" s="92">
        <f t="shared" si="1"/>
        <v>39</v>
      </c>
      <c r="B47" s="187"/>
      <c r="C47" s="218"/>
      <c r="D47" s="247"/>
      <c r="E47" s="248"/>
      <c r="F47" s="248"/>
      <c r="G47" s="248"/>
      <c r="H47" s="248"/>
      <c r="I47" s="248"/>
      <c r="J47" s="248"/>
      <c r="K47" s="249"/>
    </row>
    <row r="48" spans="1:11" x14ac:dyDescent="0.2">
      <c r="A48" s="92">
        <f t="shared" si="1"/>
        <v>40</v>
      </c>
      <c r="B48" s="250" t="s">
        <v>15</v>
      </c>
      <c r="C48" s="251"/>
      <c r="D48" s="252">
        <f>SUM(D43:D46)</f>
        <v>122280654.42392074</v>
      </c>
      <c r="E48" s="253">
        <f t="shared" ref="E48:K48" si="33">SUM(E43:E46)</f>
        <v>82005355.21977213</v>
      </c>
      <c r="F48" s="253">
        <f t="shared" si="33"/>
        <v>29895866.987631898</v>
      </c>
      <c r="G48" s="253">
        <f t="shared" si="33"/>
        <v>6369982.4776704386</v>
      </c>
      <c r="H48" s="253">
        <f t="shared" si="33"/>
        <v>1311786.8017152674</v>
      </c>
      <c r="I48" s="253">
        <f t="shared" si="33"/>
        <v>796591.24164366908</v>
      </c>
      <c r="J48" s="253">
        <f t="shared" si="33"/>
        <v>1901071.6954873344</v>
      </c>
      <c r="K48" s="254">
        <f t="shared" si="33"/>
        <v>0</v>
      </c>
    </row>
    <row r="49" spans="1:11" x14ac:dyDescent="0.2">
      <c r="A49" s="92">
        <f t="shared" si="1"/>
        <v>41</v>
      </c>
      <c r="B49" s="255"/>
      <c r="C49" s="218"/>
      <c r="D49" s="256"/>
      <c r="E49" s="256"/>
      <c r="F49" s="256"/>
      <c r="G49" s="256"/>
      <c r="H49" s="256"/>
      <c r="I49" s="256"/>
      <c r="J49" s="256"/>
      <c r="K49" s="256"/>
    </row>
    <row r="50" spans="1:11" x14ac:dyDescent="0.2">
      <c r="A50" s="92">
        <f t="shared" si="1"/>
        <v>42</v>
      </c>
      <c r="B50" s="250" t="s">
        <v>277</v>
      </c>
      <c r="C50" s="251"/>
      <c r="D50" s="257">
        <f>SUM(E50:K50)</f>
        <v>958153193.17249894</v>
      </c>
      <c r="E50" s="258">
        <v>609257701.15931797</v>
      </c>
      <c r="F50" s="258">
        <v>234140158.08963937</v>
      </c>
      <c r="G50" s="258">
        <v>65836657.463465482</v>
      </c>
      <c r="H50" s="258">
        <v>16184434.068649085</v>
      </c>
      <c r="I50" s="258">
        <v>9397200.2729263529</v>
      </c>
      <c r="J50" s="258">
        <v>23337042.118500698</v>
      </c>
      <c r="K50" s="259">
        <v>0</v>
      </c>
    </row>
    <row r="51" spans="1:11" x14ac:dyDescent="0.2">
      <c r="A51" s="92">
        <f t="shared" si="1"/>
        <v>43</v>
      </c>
      <c r="B51" s="260"/>
      <c r="C51" s="218"/>
      <c r="D51" s="256"/>
      <c r="E51" s="256"/>
      <c r="F51" s="256"/>
      <c r="G51" s="256"/>
      <c r="H51" s="256"/>
      <c r="I51" s="256"/>
      <c r="J51" s="256"/>
      <c r="K51" s="256"/>
    </row>
    <row r="52" spans="1:11" x14ac:dyDescent="0.2">
      <c r="A52" s="92">
        <f t="shared" si="1"/>
        <v>44</v>
      </c>
      <c r="B52" s="261" t="s">
        <v>298</v>
      </c>
      <c r="C52" s="218"/>
      <c r="D52" s="256"/>
      <c r="E52" s="256"/>
      <c r="F52" s="256"/>
      <c r="G52" s="256"/>
      <c r="H52" s="256"/>
      <c r="I52" s="256"/>
      <c r="J52" s="256"/>
      <c r="K52" s="256"/>
    </row>
    <row r="53" spans="1:11" x14ac:dyDescent="0.2">
      <c r="A53" s="92">
        <f t="shared" si="1"/>
        <v>45</v>
      </c>
      <c r="B53" s="262" t="s">
        <v>299</v>
      </c>
      <c r="C53" s="263"/>
      <c r="D53" s="264"/>
      <c r="E53" s="265">
        <f>ROUND(SUM(E43:E45)/E50,5)</f>
        <v>0.13325000000000001</v>
      </c>
      <c r="F53" s="265">
        <f>ROUND(SUM(F43:F45)/F50,5)</f>
        <v>0.12634000000000001</v>
      </c>
      <c r="G53" s="265">
        <f t="shared" ref="G53:H53" si="34">ROUND(SUM(G43:G45)/G50,5)</f>
        <v>9.4990000000000005E-2</v>
      </c>
      <c r="H53" s="265">
        <f t="shared" si="34"/>
        <v>7.3480000000000004E-2</v>
      </c>
      <c r="I53" s="265">
        <f>ROUND(SUM(I43:I45)/I50,5)</f>
        <v>8.337E-2</v>
      </c>
      <c r="J53" s="265">
        <f>ROUND(SUM(J43:J45)/J50,5)</f>
        <v>7.4319999999999997E-2</v>
      </c>
      <c r="K53" s="266"/>
    </row>
    <row r="54" spans="1:11" x14ac:dyDescent="0.2">
      <c r="A54" s="92">
        <f t="shared" si="1"/>
        <v>46</v>
      </c>
      <c r="B54" s="267" t="s">
        <v>300</v>
      </c>
      <c r="C54" s="218"/>
      <c r="D54" s="268"/>
      <c r="E54" s="269">
        <f>ROUND($D$46/$D$9,5)</f>
        <v>1.3500000000000001E-3</v>
      </c>
      <c r="F54" s="269">
        <f t="shared" ref="F54:J54" si="35">ROUND($D$46/$D$9,5)</f>
        <v>1.3500000000000001E-3</v>
      </c>
      <c r="G54" s="269">
        <f t="shared" si="35"/>
        <v>1.3500000000000001E-3</v>
      </c>
      <c r="H54" s="269">
        <f t="shared" si="35"/>
        <v>1.3500000000000001E-3</v>
      </c>
      <c r="I54" s="269">
        <f t="shared" si="35"/>
        <v>1.3500000000000001E-3</v>
      </c>
      <c r="J54" s="269">
        <f t="shared" si="35"/>
        <v>1.3500000000000001E-3</v>
      </c>
      <c r="K54" s="270"/>
    </row>
    <row r="55" spans="1:11" x14ac:dyDescent="0.2">
      <c r="A55" s="92">
        <f t="shared" si="1"/>
        <v>47</v>
      </c>
      <c r="B55" s="250" t="s">
        <v>15</v>
      </c>
      <c r="C55" s="251"/>
      <c r="D55" s="271"/>
      <c r="E55" s="272">
        <f>SUM(E53:E54)</f>
        <v>0.1346</v>
      </c>
      <c r="F55" s="272">
        <f t="shared" ref="F55:K55" si="36">SUM(F53:F54)</f>
        <v>0.12769</v>
      </c>
      <c r="G55" s="272">
        <f t="shared" si="36"/>
        <v>9.6340000000000009E-2</v>
      </c>
      <c r="H55" s="272">
        <f t="shared" si="36"/>
        <v>7.4830000000000008E-2</v>
      </c>
      <c r="I55" s="272">
        <f t="shared" si="36"/>
        <v>8.4720000000000004E-2</v>
      </c>
      <c r="J55" s="272">
        <f t="shared" si="36"/>
        <v>7.5670000000000001E-2</v>
      </c>
      <c r="K55" s="273">
        <f t="shared" si="36"/>
        <v>0</v>
      </c>
    </row>
    <row r="56" spans="1:11" x14ac:dyDescent="0.2">
      <c r="A56" s="92"/>
    </row>
    <row r="57" spans="1:11" x14ac:dyDescent="0.2">
      <c r="A57" s="92"/>
      <c r="B57" s="6" t="s">
        <v>263</v>
      </c>
      <c r="E57" s="274"/>
      <c r="F57" s="274"/>
      <c r="G57" s="274"/>
      <c r="H57" s="274"/>
      <c r="I57" s="274"/>
      <c r="J57" s="274"/>
      <c r="K57" s="274"/>
    </row>
    <row r="58" spans="1:11" x14ac:dyDescent="0.2">
      <c r="A58" s="92"/>
      <c r="E58" s="274"/>
      <c r="F58" s="274"/>
      <c r="G58" s="274"/>
      <c r="H58" s="274"/>
      <c r="I58" s="274"/>
      <c r="J58" s="274"/>
      <c r="K58" s="274"/>
    </row>
    <row r="59" spans="1:11" x14ac:dyDescent="0.2">
      <c r="E59" s="274"/>
      <c r="F59" s="274"/>
      <c r="G59" s="274"/>
      <c r="H59" s="274"/>
      <c r="I59" s="274"/>
      <c r="J59" s="274"/>
      <c r="K59" s="274"/>
    </row>
  </sheetData>
  <pageMargins left="0.25" right="0.25" top="1" bottom="1" header="0.5" footer="0.5"/>
  <pageSetup scale="87" orientation="landscape" blackAndWhite="1" r:id="rId1"/>
  <headerFooter alignWithMargins="0"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0"/>
  <sheetViews>
    <sheetView workbookViewId="0">
      <selection activeCell="D18" sqref="D18"/>
    </sheetView>
  </sheetViews>
  <sheetFormatPr defaultColWidth="8.85546875" defaultRowHeight="11.25" x14ac:dyDescent="0.2"/>
  <cols>
    <col min="1" max="1" width="3" style="96" bestFit="1" customWidth="1"/>
    <col min="2" max="2" width="47.28515625" style="96" bestFit="1" customWidth="1"/>
    <col min="3" max="3" width="1.85546875" style="96" customWidth="1"/>
    <col min="4" max="4" width="9.42578125" style="96" bestFit="1" customWidth="1"/>
    <col min="5" max="5" width="8" style="96" bestFit="1" customWidth="1"/>
    <col min="6" max="16384" width="8.85546875" style="96"/>
  </cols>
  <sheetData>
    <row r="2" spans="1:5" s="95" customFormat="1" x14ac:dyDescent="0.2">
      <c r="A2" s="94" t="s">
        <v>17</v>
      </c>
      <c r="B2" s="94"/>
      <c r="C2" s="94"/>
      <c r="D2" s="94"/>
      <c r="E2" s="94"/>
    </row>
    <row r="3" spans="1:5" s="95" customFormat="1" x14ac:dyDescent="0.2">
      <c r="A3" s="94" t="s">
        <v>210</v>
      </c>
      <c r="B3" s="94"/>
      <c r="C3" s="94"/>
      <c r="D3" s="94"/>
      <c r="E3" s="94"/>
    </row>
    <row r="4" spans="1:5" s="95" customFormat="1" x14ac:dyDescent="0.2">
      <c r="A4" s="94" t="s">
        <v>261</v>
      </c>
      <c r="B4" s="94"/>
      <c r="C4" s="94"/>
      <c r="D4" s="94"/>
      <c r="E4" s="94"/>
    </row>
    <row r="6" spans="1:5" x14ac:dyDescent="0.2">
      <c r="B6" s="97" t="s">
        <v>44</v>
      </c>
      <c r="C6" s="95"/>
      <c r="D6" s="97" t="s">
        <v>1</v>
      </c>
      <c r="E6" s="97" t="s">
        <v>54</v>
      </c>
    </row>
    <row r="7" spans="1:5" x14ac:dyDescent="0.2">
      <c r="A7" s="98">
        <v>2</v>
      </c>
      <c r="B7" s="96" t="s">
        <v>211</v>
      </c>
      <c r="D7" s="175">
        <v>5.1240000000000001E-3</v>
      </c>
      <c r="E7" s="99">
        <f>D7</f>
        <v>5.1240000000000001E-3</v>
      </c>
    </row>
    <row r="8" spans="1:5" x14ac:dyDescent="0.2">
      <c r="A8" s="98">
        <v>3</v>
      </c>
      <c r="B8" s="96" t="s">
        <v>212</v>
      </c>
      <c r="D8" s="175">
        <v>3.8519999999999999E-2</v>
      </c>
      <c r="E8" s="99">
        <f>D8</f>
        <v>3.8519999999999999E-2</v>
      </c>
    </row>
    <row r="9" spans="1:5" x14ac:dyDescent="0.2">
      <c r="A9" s="98">
        <v>4</v>
      </c>
      <c r="B9" s="96" t="s">
        <v>213</v>
      </c>
      <c r="D9" s="175">
        <v>2E-3</v>
      </c>
      <c r="E9" s="99">
        <f>D9</f>
        <v>2E-3</v>
      </c>
    </row>
    <row r="10" spans="1:5" x14ac:dyDescent="0.2">
      <c r="A10" s="98">
        <v>5</v>
      </c>
      <c r="D10" s="176"/>
    </row>
    <row r="11" spans="1:5" x14ac:dyDescent="0.2">
      <c r="A11" s="98">
        <v>6</v>
      </c>
    </row>
    <row r="12" spans="1:5" x14ac:dyDescent="0.2">
      <c r="A12" s="98">
        <v>7</v>
      </c>
      <c r="B12" s="97" t="s">
        <v>210</v>
      </c>
    </row>
    <row r="13" spans="1:5" x14ac:dyDescent="0.2">
      <c r="A13" s="98">
        <v>8</v>
      </c>
      <c r="B13" s="96" t="s">
        <v>214</v>
      </c>
      <c r="D13" s="177">
        <f>D7</f>
        <v>5.1240000000000001E-3</v>
      </c>
    </row>
    <row r="14" spans="1:5" x14ac:dyDescent="0.2">
      <c r="A14" s="98">
        <v>9</v>
      </c>
      <c r="B14" s="96" t="s">
        <v>215</v>
      </c>
      <c r="D14" s="177">
        <f>(1-D13)*D8</f>
        <v>3.8322623519999995E-2</v>
      </c>
    </row>
    <row r="15" spans="1:5" x14ac:dyDescent="0.2">
      <c r="A15" s="98">
        <v>10</v>
      </c>
      <c r="B15" s="96" t="s">
        <v>216</v>
      </c>
      <c r="D15" s="177">
        <f>D9</f>
        <v>2E-3</v>
      </c>
    </row>
    <row r="16" spans="1:5" x14ac:dyDescent="0.2">
      <c r="A16" s="98">
        <v>11</v>
      </c>
      <c r="B16" s="100" t="s">
        <v>217</v>
      </c>
      <c r="D16" s="178">
        <f>SUM(D13:D15)</f>
        <v>4.5446623519999993E-2</v>
      </c>
    </row>
    <row r="17" spans="1:4" x14ac:dyDescent="0.2">
      <c r="A17" s="98">
        <v>12</v>
      </c>
      <c r="B17" s="101" t="s">
        <v>218</v>
      </c>
      <c r="D17" s="178">
        <f>1-D16</f>
        <v>0.95455337648000005</v>
      </c>
    </row>
    <row r="18" spans="1:4" ht="12" thickBot="1" x14ac:dyDescent="0.25">
      <c r="A18" s="98">
        <v>13</v>
      </c>
      <c r="B18" s="100" t="s">
        <v>219</v>
      </c>
      <c r="D18" s="179">
        <f>1/D17</f>
        <v>1.0476103533231305</v>
      </c>
    </row>
    <row r="19" spans="1:4" ht="12" thickTop="1" x14ac:dyDescent="0.2">
      <c r="A19" s="98">
        <v>14</v>
      </c>
    </row>
    <row r="20" spans="1:4" x14ac:dyDescent="0.2">
      <c r="A20" s="98">
        <v>15</v>
      </c>
    </row>
  </sheetData>
  <pageMargins left="0.7" right="0.7" top="0.75" bottom="0.75" header="0.3" footer="0.3"/>
  <pageSetup orientation="landscape" horizontalDpi="90" verticalDpi="90" r:id="rId1"/>
  <headerFooter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B1:S67"/>
  <sheetViews>
    <sheetView zoomScaleNormal="100" workbookViewId="0">
      <pane xSplit="3" ySplit="6" topLeftCell="D19" activePane="bottomRight" state="frozen"/>
      <selection activeCell="A11" sqref="A11"/>
      <selection pane="topRight" activeCell="A11" sqref="A11"/>
      <selection pane="bottomLeft" activeCell="A11" sqref="A11"/>
      <selection pane="bottomRight" activeCell="C34" sqref="C34"/>
    </sheetView>
  </sheetViews>
  <sheetFormatPr defaultColWidth="9.140625" defaultRowHeight="11.25" x14ac:dyDescent="0.2"/>
  <cols>
    <col min="1" max="1" width="2.140625" style="3" customWidth="1"/>
    <col min="2" max="2" width="4.42578125" style="3" customWidth="1"/>
    <col min="3" max="3" width="65" style="3" bestFit="1" customWidth="1"/>
    <col min="4" max="5" width="11.5703125" style="3" bestFit="1" customWidth="1"/>
    <col min="6" max="6" width="10.5703125" style="3" bestFit="1" customWidth="1"/>
    <col min="7" max="8" width="10.7109375" style="3" bestFit="1" customWidth="1"/>
    <col min="9" max="10" width="9.85546875" style="3" bestFit="1" customWidth="1"/>
    <col min="11" max="11" width="11.42578125" style="3" customWidth="1"/>
    <col min="12" max="12" width="3.7109375" style="3" customWidth="1"/>
    <col min="13" max="13" width="11.5703125" style="3" bestFit="1" customWidth="1"/>
    <col min="14" max="14" width="3.7109375" style="3" customWidth="1"/>
    <col min="15" max="15" width="3.42578125" style="3" customWidth="1"/>
    <col min="16" max="16" width="3.85546875" style="3" bestFit="1" customWidth="1"/>
    <col min="17" max="17" width="9.140625" style="3"/>
    <col min="18" max="18" width="12" style="3" customWidth="1"/>
    <col min="19" max="16384" width="9.140625" style="3"/>
  </cols>
  <sheetData>
    <row r="1" spans="2:18" x14ac:dyDescent="0.2">
      <c r="B1" s="1" t="s">
        <v>17</v>
      </c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</row>
    <row r="2" spans="2:18" ht="11.25" customHeight="1" x14ac:dyDescent="0.2">
      <c r="B2" s="4" t="str">
        <f>"PGA Filing Proposed Effective " &amp; '(R) 2021 PGA Cost'!N3</f>
        <v>PGA Filing Proposed Effective November 1, 2021</v>
      </c>
      <c r="C2" s="5"/>
      <c r="D2" s="5"/>
      <c r="E2" s="5"/>
      <c r="F2" s="5"/>
      <c r="G2" s="5"/>
      <c r="H2" s="5"/>
      <c r="I2" s="5"/>
      <c r="J2" s="2"/>
      <c r="K2" s="2"/>
      <c r="L2" s="2"/>
      <c r="M2" s="2"/>
      <c r="N2" s="2"/>
      <c r="O2" s="2"/>
    </row>
    <row r="3" spans="2:18" ht="11.25" customHeight="1" x14ac:dyDescent="0.2">
      <c r="B3" s="1" t="s">
        <v>49</v>
      </c>
      <c r="C3" s="1"/>
      <c r="D3" s="1"/>
      <c r="E3" s="1"/>
      <c r="F3" s="1"/>
      <c r="G3" s="1"/>
      <c r="H3" s="1"/>
      <c r="I3" s="1"/>
      <c r="J3" s="2"/>
      <c r="K3" s="2"/>
      <c r="L3" s="2"/>
      <c r="M3" s="2"/>
      <c r="N3" s="2"/>
      <c r="O3" s="2"/>
    </row>
    <row r="4" spans="2:18" x14ac:dyDescent="0.2">
      <c r="B4" s="6"/>
      <c r="C4" s="6"/>
      <c r="D4" s="6"/>
      <c r="L4" s="2"/>
      <c r="M4" s="2"/>
      <c r="N4" s="2"/>
      <c r="O4" s="2"/>
    </row>
    <row r="5" spans="2:18" x14ac:dyDescent="0.2">
      <c r="D5" s="7"/>
      <c r="E5" s="275" t="s">
        <v>20</v>
      </c>
      <c r="F5" s="276"/>
      <c r="G5" s="275" t="s">
        <v>21</v>
      </c>
      <c r="H5" s="276"/>
      <c r="I5" s="275" t="s">
        <v>117</v>
      </c>
      <c r="J5" s="277"/>
      <c r="K5" s="276"/>
      <c r="L5" s="2"/>
      <c r="M5" s="2"/>
      <c r="N5" s="2"/>
      <c r="O5" s="2"/>
    </row>
    <row r="6" spans="2:18" x14ac:dyDescent="0.2">
      <c r="B6" s="9" t="s">
        <v>19</v>
      </c>
      <c r="C6" s="9" t="s">
        <v>44</v>
      </c>
      <c r="D6" s="10" t="s">
        <v>15</v>
      </c>
      <c r="E6" s="278">
        <v>23</v>
      </c>
      <c r="F6" s="279">
        <v>16</v>
      </c>
      <c r="G6" s="278">
        <v>31</v>
      </c>
      <c r="H6" s="279">
        <v>41</v>
      </c>
      <c r="I6" s="279">
        <v>85</v>
      </c>
      <c r="J6" s="279">
        <v>86</v>
      </c>
      <c r="K6" s="279">
        <v>87</v>
      </c>
      <c r="L6" s="2"/>
      <c r="M6" s="11"/>
      <c r="N6" s="11"/>
      <c r="O6" s="11"/>
    </row>
    <row r="7" spans="2:18" x14ac:dyDescent="0.2">
      <c r="B7" s="12"/>
      <c r="C7" s="13" t="s">
        <v>18</v>
      </c>
      <c r="D7" s="12"/>
      <c r="E7" s="12"/>
      <c r="F7" s="12"/>
      <c r="G7" s="14"/>
      <c r="H7" s="12"/>
      <c r="I7" s="12"/>
      <c r="J7" s="12"/>
      <c r="K7" s="12"/>
      <c r="L7" s="2"/>
      <c r="M7" s="11"/>
      <c r="N7" s="11"/>
      <c r="O7" s="11"/>
    </row>
    <row r="8" spans="2:18" x14ac:dyDescent="0.2">
      <c r="B8" s="15">
        <v>1</v>
      </c>
      <c r="C8" s="3" t="s">
        <v>66</v>
      </c>
      <c r="D8" s="12"/>
      <c r="E8" s="16">
        <v>0</v>
      </c>
      <c r="F8" s="16">
        <v>0</v>
      </c>
      <c r="G8" s="16">
        <v>0</v>
      </c>
      <c r="H8" s="16">
        <v>1</v>
      </c>
      <c r="I8" s="16">
        <v>1</v>
      </c>
      <c r="J8" s="16">
        <v>1</v>
      </c>
      <c r="K8" s="16">
        <v>1</v>
      </c>
      <c r="L8" s="2"/>
      <c r="M8" s="11"/>
      <c r="N8" s="11"/>
      <c r="O8" s="11"/>
    </row>
    <row r="9" spans="2:18" x14ac:dyDescent="0.2">
      <c r="B9" s="15">
        <f>B8+1</f>
        <v>2</v>
      </c>
      <c r="C9" s="3" t="s">
        <v>65</v>
      </c>
      <c r="D9" s="17"/>
      <c r="E9" s="18">
        <v>0.14990000000000001</v>
      </c>
      <c r="F9" s="18">
        <v>0.14990000000000001</v>
      </c>
      <c r="G9" s="18">
        <v>0.14213000000000001</v>
      </c>
      <c r="H9" s="18">
        <v>3.7519999999999998E-2</v>
      </c>
      <c r="I9" s="18">
        <v>7.2919999999999999E-2</v>
      </c>
      <c r="J9" s="18">
        <v>8.5690000000000002E-2</v>
      </c>
      <c r="K9" s="18">
        <v>8.3610000000000004E-2</v>
      </c>
      <c r="L9" s="2"/>
      <c r="M9" s="11"/>
      <c r="N9" s="11"/>
      <c r="O9" s="11"/>
    </row>
    <row r="10" spans="2:18" x14ac:dyDescent="0.2">
      <c r="B10" s="15">
        <f>B9+1</f>
        <v>3</v>
      </c>
      <c r="C10" s="3" t="s">
        <v>67</v>
      </c>
      <c r="D10" s="19">
        <f>SUM(E10:K10)</f>
        <v>4667619.0403526807</v>
      </c>
      <c r="E10" s="170">
        <v>0</v>
      </c>
      <c r="F10" s="170">
        <v>0</v>
      </c>
      <c r="G10" s="170">
        <v>0</v>
      </c>
      <c r="H10" s="390">
        <v>4528612.9802955659</v>
      </c>
      <c r="I10" s="390">
        <v>102313.32307692309</v>
      </c>
      <c r="J10" s="390">
        <v>36692.736980191527</v>
      </c>
      <c r="K10" s="390">
        <v>0</v>
      </c>
      <c r="L10" s="84"/>
      <c r="M10" s="123"/>
      <c r="N10" s="11"/>
      <c r="O10" s="11"/>
      <c r="R10" s="20"/>
    </row>
    <row r="11" spans="2:18" x14ac:dyDescent="0.2">
      <c r="B11" s="15">
        <f>B10+1</f>
        <v>4</v>
      </c>
      <c r="C11" s="3" t="s">
        <v>317</v>
      </c>
      <c r="D11" s="21">
        <f>SUM(E11:K11)</f>
        <v>975742679</v>
      </c>
      <c r="E11" s="390">
        <f>'F2021 Forecast '!C19</f>
        <v>636122043</v>
      </c>
      <c r="F11" s="390">
        <f>'F2021 Forecast '!D19</f>
        <v>8832</v>
      </c>
      <c r="G11" s="390">
        <f>'F2021 Forecast '!E19</f>
        <v>237822307</v>
      </c>
      <c r="H11" s="390">
        <f>'F2021 Forecast '!F19</f>
        <v>66459784</v>
      </c>
      <c r="I11" s="390">
        <f>'F2021 Forecast '!G19</f>
        <v>11987089</v>
      </c>
      <c r="J11" s="390">
        <f>'F2021 Forecast '!H19</f>
        <v>6125732</v>
      </c>
      <c r="K11" s="390">
        <f>'F2021 Forecast '!I19</f>
        <v>17216892</v>
      </c>
      <c r="L11" s="2"/>
      <c r="M11" s="11"/>
      <c r="N11" s="11"/>
      <c r="O11" s="11"/>
      <c r="R11" s="20"/>
    </row>
    <row r="12" spans="2:18" x14ac:dyDescent="0.2">
      <c r="B12" s="15"/>
      <c r="D12" s="21"/>
      <c r="E12" s="22"/>
      <c r="F12" s="22"/>
      <c r="G12" s="22"/>
      <c r="H12" s="22"/>
      <c r="I12" s="22"/>
      <c r="J12" s="22"/>
      <c r="K12" s="22"/>
      <c r="L12" s="2"/>
      <c r="M12" s="11"/>
      <c r="N12" s="11"/>
      <c r="O12" s="11"/>
      <c r="R12" s="20"/>
    </row>
    <row r="13" spans="2:18" x14ac:dyDescent="0.2">
      <c r="B13" s="15">
        <f>B11+1</f>
        <v>5</v>
      </c>
      <c r="C13" s="3" t="s">
        <v>151</v>
      </c>
      <c r="D13" s="23"/>
      <c r="E13" s="23">
        <f>'2019 GRC Gas Cost Allocation'!E53</f>
        <v>0.13325000000000001</v>
      </c>
      <c r="F13" s="23">
        <f>'2019 GRC Gas Cost Allocation'!E53</f>
        <v>0.13325000000000001</v>
      </c>
      <c r="G13" s="23">
        <f>'2019 GRC Gas Cost Allocation'!F53</f>
        <v>0.12634000000000001</v>
      </c>
      <c r="H13" s="23">
        <f>'2019 GRC Gas Cost Allocation'!G53</f>
        <v>9.4990000000000005E-2</v>
      </c>
      <c r="I13" s="23">
        <f>'2019 GRC Gas Cost Allocation'!H53</f>
        <v>7.3480000000000004E-2</v>
      </c>
      <c r="J13" s="23">
        <f>'2019 GRC Gas Cost Allocation'!I53</f>
        <v>8.337E-2</v>
      </c>
      <c r="K13" s="23">
        <f>'2019 GRC Gas Cost Allocation'!J53</f>
        <v>7.4319999999999997E-2</v>
      </c>
      <c r="L13" s="2"/>
      <c r="M13" s="11"/>
      <c r="N13" s="11"/>
      <c r="O13" s="11"/>
      <c r="R13" s="20"/>
    </row>
    <row r="14" spans="2:18" x14ac:dyDescent="0.2">
      <c r="B14" s="15">
        <f>B13+1</f>
        <v>6</v>
      </c>
      <c r="C14" s="3" t="s">
        <v>156</v>
      </c>
      <c r="D14" s="24">
        <f>SUM(E14:K14)</f>
        <v>123794997.23229</v>
      </c>
      <c r="E14" s="24">
        <f>E11*E13</f>
        <v>84763262.229750007</v>
      </c>
      <c r="F14" s="24">
        <f t="shared" ref="F14:K14" si="0">F11*F13</f>
        <v>1176.864</v>
      </c>
      <c r="G14" s="24">
        <f t="shared" si="0"/>
        <v>30046470.266380001</v>
      </c>
      <c r="H14" s="24">
        <f t="shared" si="0"/>
        <v>6313014.8821600005</v>
      </c>
      <c r="I14" s="24">
        <f t="shared" si="0"/>
        <v>880811.29972000001</v>
      </c>
      <c r="J14" s="24">
        <f t="shared" si="0"/>
        <v>510702.27684000001</v>
      </c>
      <c r="K14" s="24">
        <f t="shared" si="0"/>
        <v>1279559.41344</v>
      </c>
      <c r="L14" s="2"/>
      <c r="M14" s="11"/>
      <c r="N14" s="11"/>
      <c r="O14" s="11"/>
      <c r="R14" s="20"/>
    </row>
    <row r="15" spans="2:18" x14ac:dyDescent="0.2">
      <c r="B15" s="15"/>
      <c r="F15" s="25"/>
      <c r="L15" s="2"/>
      <c r="M15" s="11"/>
      <c r="N15" s="11"/>
      <c r="O15" s="11"/>
      <c r="R15" s="20"/>
    </row>
    <row r="16" spans="2:18" x14ac:dyDescent="0.2">
      <c r="B16" s="15">
        <f>B14+1</f>
        <v>7</v>
      </c>
      <c r="C16" s="3" t="s">
        <v>154</v>
      </c>
      <c r="D16" s="455">
        <v>133136062.67660853</v>
      </c>
      <c r="E16" s="24">
        <f>$D16*(E14/$D14)</f>
        <v>91159152.188665941</v>
      </c>
      <c r="F16" s="24">
        <f>$D16*(F14/$D14)</f>
        <v>1265.6653561843282</v>
      </c>
      <c r="G16" s="24">
        <f t="shared" ref="G16:K16" si="1">$D16*(G14/$D14)</f>
        <v>32313654.332004093</v>
      </c>
      <c r="H16" s="24">
        <f t="shared" si="1"/>
        <v>6789369.2299416084</v>
      </c>
      <c r="I16" s="24">
        <f t="shared" si="1"/>
        <v>947273.72694830899</v>
      </c>
      <c r="J16" s="24">
        <f t="shared" si="1"/>
        <v>549237.78713670047</v>
      </c>
      <c r="K16" s="24">
        <f t="shared" si="1"/>
        <v>1376109.7465557172</v>
      </c>
      <c r="L16" s="2"/>
      <c r="M16" s="11"/>
      <c r="N16" s="11"/>
      <c r="O16" s="11"/>
      <c r="R16" s="20"/>
    </row>
    <row r="17" spans="2:18" x14ac:dyDescent="0.2">
      <c r="B17" s="15">
        <f>B16+1</f>
        <v>8</v>
      </c>
      <c r="C17" s="3" t="s">
        <v>152</v>
      </c>
      <c r="D17" s="26">
        <f>SUM(E17:K17)</f>
        <v>1</v>
      </c>
      <c r="E17" s="26">
        <f>E16/$D$16</f>
        <v>0.68470668544625835</v>
      </c>
      <c r="F17" s="26">
        <f t="shared" ref="F17:K17" si="2">F16/$D$16</f>
        <v>9.5065554045913689E-6</v>
      </c>
      <c r="G17" s="26">
        <f t="shared" si="2"/>
        <v>0.24271150642703715</v>
      </c>
      <c r="H17" s="26">
        <f t="shared" si="2"/>
        <v>5.0995718916768545E-2</v>
      </c>
      <c r="I17" s="26">
        <f t="shared" si="2"/>
        <v>7.1150799257843848E-3</v>
      </c>
      <c r="J17" s="26">
        <f t="shared" si="2"/>
        <v>4.1253870371006501E-3</v>
      </c>
      <c r="K17" s="26">
        <f t="shared" si="2"/>
        <v>1.0336115691646438E-2</v>
      </c>
      <c r="L17" s="2"/>
      <c r="M17" s="11"/>
      <c r="N17" s="11"/>
      <c r="O17" s="11"/>
      <c r="R17" s="20"/>
    </row>
    <row r="18" spans="2:18" x14ac:dyDescent="0.2">
      <c r="B18" s="15"/>
      <c r="L18" s="2"/>
      <c r="M18" s="11"/>
      <c r="N18" s="11"/>
      <c r="O18" s="11"/>
      <c r="R18" s="20"/>
    </row>
    <row r="19" spans="2:18" x14ac:dyDescent="0.2">
      <c r="B19" s="15">
        <f>B17+1</f>
        <v>9</v>
      </c>
      <c r="C19" s="3" t="s">
        <v>153</v>
      </c>
      <c r="E19" s="27">
        <v>0</v>
      </c>
      <c r="F19" s="27">
        <v>0</v>
      </c>
      <c r="G19" s="27">
        <v>0</v>
      </c>
      <c r="H19" s="27">
        <v>1</v>
      </c>
      <c r="I19" s="27">
        <v>1</v>
      </c>
      <c r="J19" s="27">
        <v>1</v>
      </c>
      <c r="K19" s="27">
        <v>1</v>
      </c>
      <c r="L19" s="2"/>
      <c r="M19" s="11"/>
      <c r="N19" s="11"/>
      <c r="O19" s="11"/>
      <c r="R19" s="20"/>
    </row>
    <row r="20" spans="2:18" x14ac:dyDescent="0.2">
      <c r="B20" s="15">
        <f>B19+1</f>
        <v>10</v>
      </c>
      <c r="C20" s="3" t="s">
        <v>157</v>
      </c>
      <c r="D20" s="24">
        <f>SUM(E20:K20)</f>
        <v>4667619.0403526807</v>
      </c>
      <c r="E20" s="24">
        <f>E19*E10</f>
        <v>0</v>
      </c>
      <c r="F20" s="24">
        <f t="shared" ref="F20:G20" si="3">F19*F10</f>
        <v>0</v>
      </c>
      <c r="G20" s="24">
        <f t="shared" si="3"/>
        <v>0</v>
      </c>
      <c r="H20" s="24">
        <f>H19*H10</f>
        <v>4528612.9802955659</v>
      </c>
      <c r="I20" s="24">
        <f t="shared" ref="I20:K20" si="4">I19*I10</f>
        <v>102313.32307692309</v>
      </c>
      <c r="J20" s="24">
        <f t="shared" si="4"/>
        <v>36692.736980191527</v>
      </c>
      <c r="K20" s="24">
        <f t="shared" si="4"/>
        <v>0</v>
      </c>
      <c r="L20" s="2"/>
      <c r="M20" s="11"/>
      <c r="N20" s="11"/>
      <c r="O20" s="11"/>
      <c r="R20" s="20"/>
    </row>
    <row r="21" spans="2:18" x14ac:dyDescent="0.2">
      <c r="B21" s="15"/>
      <c r="L21" s="2"/>
      <c r="M21" s="11"/>
      <c r="N21" s="11"/>
      <c r="O21" s="11"/>
      <c r="R21" s="20"/>
    </row>
    <row r="22" spans="2:18" x14ac:dyDescent="0.2">
      <c r="B22" s="15">
        <f>B20+1</f>
        <v>11</v>
      </c>
      <c r="C22" s="6" t="s">
        <v>158</v>
      </c>
      <c r="D22" s="24">
        <f>SUM(E22:K22)</f>
        <v>128468443.63625586</v>
      </c>
      <c r="E22" s="24">
        <f>E16-E20</f>
        <v>91159152.188665941</v>
      </c>
      <c r="F22" s="24">
        <f t="shared" ref="F22:K22" si="5">F16-F20</f>
        <v>1265.6653561843282</v>
      </c>
      <c r="G22" s="24">
        <f t="shared" si="5"/>
        <v>32313654.332004093</v>
      </c>
      <c r="H22" s="24">
        <f>H16-H20</f>
        <v>2260756.2496460425</v>
      </c>
      <c r="I22" s="24">
        <f t="shared" si="5"/>
        <v>844960.40387138585</v>
      </c>
      <c r="J22" s="24">
        <f t="shared" si="5"/>
        <v>512545.05015650892</v>
      </c>
      <c r="K22" s="24">
        <f t="shared" si="5"/>
        <v>1376109.7465557172</v>
      </c>
      <c r="L22" s="2"/>
      <c r="M22" s="11"/>
      <c r="N22" s="11"/>
      <c r="O22" s="11"/>
      <c r="R22" s="20"/>
    </row>
    <row r="23" spans="2:18" x14ac:dyDescent="0.2">
      <c r="B23" s="15">
        <f>B22+1</f>
        <v>12</v>
      </c>
      <c r="C23" s="6" t="s">
        <v>159</v>
      </c>
      <c r="E23" s="28">
        <f>ROUND(E22/E11,5)</f>
        <v>0.14330000000000001</v>
      </c>
      <c r="F23" s="28">
        <f t="shared" ref="F23:K23" si="6">ROUND(F22/F11,5)</f>
        <v>0.14330000000000001</v>
      </c>
      <c r="G23" s="28">
        <f t="shared" si="6"/>
        <v>0.13586999999999999</v>
      </c>
      <c r="H23" s="28">
        <f t="shared" si="6"/>
        <v>3.4020000000000002E-2</v>
      </c>
      <c r="I23" s="28">
        <f t="shared" si="6"/>
        <v>7.0489999999999997E-2</v>
      </c>
      <c r="J23" s="28">
        <f t="shared" si="6"/>
        <v>8.3669999999999994E-2</v>
      </c>
      <c r="K23" s="28">
        <f t="shared" si="6"/>
        <v>7.9930000000000001E-2</v>
      </c>
      <c r="L23" s="2"/>
      <c r="M23" s="11"/>
      <c r="N23" s="11"/>
      <c r="O23" s="11"/>
      <c r="R23" s="20"/>
    </row>
    <row r="24" spans="2:18" x14ac:dyDescent="0.2">
      <c r="B24" s="15">
        <f>B23+1</f>
        <v>13</v>
      </c>
      <c r="C24" s="3" t="s">
        <v>160</v>
      </c>
      <c r="F24" s="25">
        <f>ROUND(F23*19,2)</f>
        <v>2.72</v>
      </c>
      <c r="L24" s="2"/>
      <c r="M24" s="11"/>
      <c r="N24" s="11"/>
      <c r="O24" s="11"/>
      <c r="R24" s="20"/>
    </row>
    <row r="25" spans="2:18" x14ac:dyDescent="0.2">
      <c r="B25" s="15"/>
      <c r="F25" s="25"/>
      <c r="L25" s="2"/>
      <c r="M25" s="11"/>
      <c r="N25" s="11"/>
      <c r="O25" s="11"/>
      <c r="R25" s="20"/>
    </row>
    <row r="26" spans="2:18" x14ac:dyDescent="0.2">
      <c r="B26" s="15">
        <f>B24+1</f>
        <v>14</v>
      </c>
      <c r="C26" s="3" t="s">
        <v>161</v>
      </c>
      <c r="D26" s="24">
        <f>SUM(E26:K26)</f>
        <v>133132708.20923269</v>
      </c>
      <c r="E26" s="24">
        <f>(E23*E11)+(E19*E10)</f>
        <v>91156288.761900008</v>
      </c>
      <c r="F26" s="24">
        <f t="shared" ref="F26:K26" si="7">(F23*F11)+(F19*F10)</f>
        <v>1265.6256000000001</v>
      </c>
      <c r="G26" s="24">
        <f t="shared" si="7"/>
        <v>32312916.852089997</v>
      </c>
      <c r="H26" s="24">
        <f t="shared" si="7"/>
        <v>6789574.8319755662</v>
      </c>
      <c r="I26" s="24">
        <f t="shared" si="7"/>
        <v>947283.22668692307</v>
      </c>
      <c r="J26" s="24">
        <f t="shared" si="7"/>
        <v>549232.73342019145</v>
      </c>
      <c r="K26" s="24">
        <f t="shared" si="7"/>
        <v>1376146.17756</v>
      </c>
      <c r="L26" s="2"/>
      <c r="M26" s="11"/>
      <c r="N26" s="11"/>
      <c r="O26" s="11"/>
      <c r="R26" s="20"/>
    </row>
    <row r="27" spans="2:18" x14ac:dyDescent="0.2">
      <c r="B27" s="15">
        <f>B26+1</f>
        <v>15</v>
      </c>
      <c r="C27" s="6" t="s">
        <v>195</v>
      </c>
      <c r="D27" s="17"/>
      <c r="E27" s="29">
        <f>ROUND(E23-E9,5)</f>
        <v>-6.6E-3</v>
      </c>
      <c r="F27" s="29">
        <f t="shared" ref="F27:K27" si="8">ROUND(F23-F9,5)</f>
        <v>-6.6E-3</v>
      </c>
      <c r="G27" s="29">
        <f t="shared" si="8"/>
        <v>-6.2599999999999999E-3</v>
      </c>
      <c r="H27" s="29">
        <f t="shared" si="8"/>
        <v>-3.5000000000000001E-3</v>
      </c>
      <c r="I27" s="29">
        <f t="shared" si="8"/>
        <v>-2.4299999999999999E-3</v>
      </c>
      <c r="J27" s="29">
        <f t="shared" si="8"/>
        <v>-2.0200000000000001E-3</v>
      </c>
      <c r="K27" s="29">
        <f t="shared" si="8"/>
        <v>-3.6800000000000001E-3</v>
      </c>
      <c r="L27" s="2"/>
      <c r="M27" s="11"/>
      <c r="N27" s="11"/>
      <c r="O27" s="11"/>
      <c r="R27" s="20"/>
    </row>
    <row r="28" spans="2:18" x14ac:dyDescent="0.2">
      <c r="B28" s="15">
        <f>B27+1</f>
        <v>16</v>
      </c>
      <c r="C28" s="6" t="s">
        <v>194</v>
      </c>
      <c r="D28" s="6"/>
      <c r="E28" s="30">
        <f>E27/E9</f>
        <v>-4.4029352901934618E-2</v>
      </c>
      <c r="F28" s="30">
        <f t="shared" ref="F28:K28" si="9">F27/F9</f>
        <v>-4.4029352901934618E-2</v>
      </c>
      <c r="G28" s="30">
        <f t="shared" si="9"/>
        <v>-4.4044184901146838E-2</v>
      </c>
      <c r="H28" s="30">
        <f t="shared" si="9"/>
        <v>-9.3283582089552244E-2</v>
      </c>
      <c r="I28" s="30">
        <f t="shared" si="9"/>
        <v>-3.3324190894130551E-2</v>
      </c>
      <c r="J28" s="30">
        <f t="shared" si="9"/>
        <v>-2.3573345781304704E-2</v>
      </c>
      <c r="K28" s="30">
        <f t="shared" si="9"/>
        <v>-4.4013873938524101E-2</v>
      </c>
      <c r="L28" s="2"/>
      <c r="M28" s="11"/>
      <c r="N28" s="11"/>
      <c r="O28" s="11"/>
      <c r="R28" s="20"/>
    </row>
    <row r="29" spans="2:18" x14ac:dyDescent="0.2">
      <c r="D29" s="24"/>
    </row>
    <row r="30" spans="2:18" x14ac:dyDescent="0.2">
      <c r="C30" s="31" t="s">
        <v>27</v>
      </c>
      <c r="L30" s="2"/>
      <c r="M30" s="2"/>
      <c r="N30" s="2"/>
      <c r="O30" s="2"/>
    </row>
    <row r="31" spans="2:18" x14ac:dyDescent="0.2">
      <c r="B31" s="3">
        <f>B28+1</f>
        <v>17</v>
      </c>
      <c r="C31" s="3" t="s">
        <v>47</v>
      </c>
      <c r="E31" s="18">
        <v>0.21406</v>
      </c>
      <c r="F31" s="18">
        <v>0.21406</v>
      </c>
      <c r="G31" s="18">
        <v>0.21406</v>
      </c>
      <c r="H31" s="18">
        <v>0.21406</v>
      </c>
      <c r="I31" s="18">
        <v>0.21406</v>
      </c>
      <c r="J31" s="18">
        <v>0.21406</v>
      </c>
      <c r="K31" s="18">
        <v>0.21406</v>
      </c>
      <c r="L31" s="2"/>
      <c r="M31" s="2"/>
      <c r="N31" s="2"/>
      <c r="O31" s="2"/>
    </row>
    <row r="32" spans="2:18" x14ac:dyDescent="0.2">
      <c r="B32" s="3">
        <f>B31+1</f>
        <v>18</v>
      </c>
      <c r="C32" s="3" t="str">
        <f>+C11</f>
        <v>Projected Volume Nov. 21 - Oct. 22 (therms)</v>
      </c>
      <c r="D32" s="21">
        <f>SUM(E32:K32)</f>
        <v>975742679</v>
      </c>
      <c r="E32" s="21">
        <f t="shared" ref="E32:K32" si="10">E11</f>
        <v>636122043</v>
      </c>
      <c r="F32" s="21">
        <f t="shared" si="10"/>
        <v>8832</v>
      </c>
      <c r="G32" s="21">
        <f t="shared" si="10"/>
        <v>237822307</v>
      </c>
      <c r="H32" s="21">
        <f t="shared" si="10"/>
        <v>66459784</v>
      </c>
      <c r="I32" s="21">
        <f t="shared" si="10"/>
        <v>11987089</v>
      </c>
      <c r="J32" s="21">
        <f t="shared" si="10"/>
        <v>6125732</v>
      </c>
      <c r="K32" s="21">
        <f t="shared" si="10"/>
        <v>17216892</v>
      </c>
      <c r="L32" s="2"/>
      <c r="M32" s="2"/>
      <c r="N32" s="2"/>
      <c r="O32" s="2"/>
    </row>
    <row r="33" spans="2:19" x14ac:dyDescent="0.2">
      <c r="B33" s="3">
        <f>B32+1</f>
        <v>19</v>
      </c>
      <c r="C33" s="3" t="s">
        <v>196</v>
      </c>
      <c r="D33" s="24">
        <f>SUM(E33:K33)</f>
        <v>208867477.86674005</v>
      </c>
      <c r="E33" s="24">
        <f>E31*E32</f>
        <v>136168284.52458</v>
      </c>
      <c r="F33" s="24">
        <f t="shared" ref="F33:K33" si="11">F31*F32</f>
        <v>1890.5779199999999</v>
      </c>
      <c r="G33" s="24">
        <f t="shared" si="11"/>
        <v>50908243.036420003</v>
      </c>
      <c r="H33" s="24">
        <f t="shared" si="11"/>
        <v>14226381.36304</v>
      </c>
      <c r="I33" s="24">
        <f t="shared" si="11"/>
        <v>2565956.27134</v>
      </c>
      <c r="J33" s="24">
        <f t="shared" si="11"/>
        <v>1311274.1919199999</v>
      </c>
      <c r="K33" s="24">
        <f t="shared" si="11"/>
        <v>3685447.9015199998</v>
      </c>
      <c r="L33" s="2"/>
      <c r="M33" s="2"/>
      <c r="N33" s="2"/>
      <c r="O33" s="2"/>
    </row>
    <row r="34" spans="2:19" x14ac:dyDescent="0.2">
      <c r="D34" s="24"/>
      <c r="E34" s="24"/>
      <c r="F34" s="24"/>
      <c r="G34" s="24"/>
      <c r="H34" s="24"/>
      <c r="I34" s="24"/>
      <c r="J34" s="24"/>
      <c r="K34" s="24"/>
      <c r="L34" s="2"/>
      <c r="M34" s="2"/>
      <c r="N34" s="2"/>
      <c r="O34" s="2"/>
    </row>
    <row r="35" spans="2:19" x14ac:dyDescent="0.2">
      <c r="B35" s="3">
        <f>B33+1</f>
        <v>20</v>
      </c>
      <c r="C35" s="3" t="s">
        <v>99</v>
      </c>
      <c r="D35" s="456">
        <v>291781926.08497357</v>
      </c>
      <c r="E35" s="24"/>
      <c r="F35" s="24"/>
      <c r="G35" s="24"/>
      <c r="H35" s="24"/>
      <c r="I35" s="24"/>
      <c r="J35" s="24"/>
      <c r="K35" s="24"/>
      <c r="L35" s="2"/>
      <c r="M35" s="173"/>
      <c r="N35" s="2"/>
      <c r="O35" s="2"/>
    </row>
    <row r="36" spans="2:19" x14ac:dyDescent="0.2">
      <c r="B36" s="3">
        <f>B35+1</f>
        <v>21</v>
      </c>
      <c r="C36" s="6" t="s">
        <v>197</v>
      </c>
      <c r="D36" s="32">
        <f>ROUND(D35/D32,5)</f>
        <v>0.29903999999999997</v>
      </c>
      <c r="E36" s="32">
        <f>$D$36</f>
        <v>0.29903999999999997</v>
      </c>
      <c r="F36" s="32">
        <f t="shared" ref="F36:K36" si="12">$D$36</f>
        <v>0.29903999999999997</v>
      </c>
      <c r="G36" s="32">
        <f t="shared" si="12"/>
        <v>0.29903999999999997</v>
      </c>
      <c r="H36" s="32">
        <f t="shared" si="12"/>
        <v>0.29903999999999997</v>
      </c>
      <c r="I36" s="32">
        <f t="shared" si="12"/>
        <v>0.29903999999999997</v>
      </c>
      <c r="J36" s="32">
        <f t="shared" si="12"/>
        <v>0.29903999999999997</v>
      </c>
      <c r="K36" s="32">
        <f t="shared" si="12"/>
        <v>0.29903999999999997</v>
      </c>
      <c r="L36" s="2"/>
      <c r="M36" s="2"/>
      <c r="N36" s="2"/>
      <c r="O36" s="2"/>
      <c r="R36" s="33"/>
      <c r="S36" s="34"/>
    </row>
    <row r="37" spans="2:19" x14ac:dyDescent="0.2">
      <c r="B37" s="3">
        <f>B36+1</f>
        <v>22</v>
      </c>
      <c r="C37" s="6" t="s">
        <v>198</v>
      </c>
      <c r="D37" s="35">
        <f>SUM(E37:K37)</f>
        <v>291786091</v>
      </c>
      <c r="E37" s="24">
        <f>ROUND(E32*E36,0)</f>
        <v>190225936</v>
      </c>
      <c r="F37" s="24">
        <f t="shared" ref="F37:K37" si="13">ROUND(F32*F36,0)</f>
        <v>2641</v>
      </c>
      <c r="G37" s="24">
        <f t="shared" si="13"/>
        <v>71118383</v>
      </c>
      <c r="H37" s="24">
        <f t="shared" si="13"/>
        <v>19874134</v>
      </c>
      <c r="I37" s="24">
        <f t="shared" si="13"/>
        <v>3584619</v>
      </c>
      <c r="J37" s="24">
        <f t="shared" si="13"/>
        <v>1831839</v>
      </c>
      <c r="K37" s="24">
        <f t="shared" si="13"/>
        <v>5148539</v>
      </c>
      <c r="L37" s="2"/>
      <c r="M37" s="2"/>
      <c r="N37" s="2"/>
      <c r="O37" s="2"/>
    </row>
    <row r="38" spans="2:19" x14ac:dyDescent="0.2">
      <c r="B38" s="3">
        <f>B37+1</f>
        <v>23</v>
      </c>
      <c r="C38" s="6" t="s">
        <v>199</v>
      </c>
      <c r="D38" s="6"/>
      <c r="F38" s="36">
        <f>ROUND(F36*19,2)</f>
        <v>5.68</v>
      </c>
      <c r="L38" s="2"/>
      <c r="M38" s="2"/>
      <c r="N38" s="2"/>
      <c r="O38" s="2"/>
    </row>
    <row r="39" spans="2:19" x14ac:dyDescent="0.2">
      <c r="B39" s="15">
        <f>B38+1</f>
        <v>24</v>
      </c>
      <c r="C39" s="6" t="s">
        <v>200</v>
      </c>
      <c r="D39" s="6"/>
      <c r="E39" s="33">
        <f>E36-E31</f>
        <v>8.4979999999999972E-2</v>
      </c>
      <c r="F39" s="33">
        <f>F36-F31</f>
        <v>8.4979999999999972E-2</v>
      </c>
      <c r="G39" s="33">
        <f t="shared" ref="G39:K39" si="14">G36-G31</f>
        <v>8.4979999999999972E-2</v>
      </c>
      <c r="H39" s="33">
        <f t="shared" si="14"/>
        <v>8.4979999999999972E-2</v>
      </c>
      <c r="I39" s="33">
        <f t="shared" si="14"/>
        <v>8.4979999999999972E-2</v>
      </c>
      <c r="J39" s="33">
        <f t="shared" si="14"/>
        <v>8.4979999999999972E-2</v>
      </c>
      <c r="K39" s="33">
        <f t="shared" si="14"/>
        <v>8.4979999999999972E-2</v>
      </c>
      <c r="L39" s="2"/>
      <c r="M39" s="2"/>
      <c r="N39" s="2"/>
      <c r="O39" s="2"/>
    </row>
    <row r="40" spans="2:19" x14ac:dyDescent="0.2">
      <c r="B40" s="15">
        <f>B39+1</f>
        <v>25</v>
      </c>
      <c r="C40" s="3" t="s">
        <v>42</v>
      </c>
      <c r="E40" s="26">
        <f t="shared" ref="E40:K40" si="15">E39/E31</f>
        <v>0.39699149771092201</v>
      </c>
      <c r="F40" s="26">
        <f t="shared" si="15"/>
        <v>0.39699149771092201</v>
      </c>
      <c r="G40" s="26">
        <f t="shared" si="15"/>
        <v>0.39699149771092201</v>
      </c>
      <c r="H40" s="26">
        <f t="shared" si="15"/>
        <v>0.39699149771092201</v>
      </c>
      <c r="I40" s="26">
        <f t="shared" si="15"/>
        <v>0.39699149771092201</v>
      </c>
      <c r="J40" s="26">
        <f t="shared" si="15"/>
        <v>0.39699149771092201</v>
      </c>
      <c r="K40" s="26">
        <f t="shared" si="15"/>
        <v>0.39699149771092201</v>
      </c>
      <c r="L40" s="2"/>
      <c r="M40" s="2"/>
      <c r="N40" s="2"/>
      <c r="O40" s="2"/>
    </row>
    <row r="42" spans="2:19" ht="12.75" customHeight="1" x14ac:dyDescent="0.2">
      <c r="C42" s="31" t="s">
        <v>48</v>
      </c>
      <c r="L42" s="2"/>
      <c r="M42" s="2"/>
      <c r="N42" s="2"/>
      <c r="O42" s="2"/>
      <c r="P42" s="37"/>
      <c r="Q42" s="37"/>
      <c r="R42" s="37"/>
      <c r="S42" s="37"/>
    </row>
    <row r="43" spans="2:19" ht="12.75" customHeight="1" x14ac:dyDescent="0.2">
      <c r="B43" s="3">
        <f>B40+1</f>
        <v>26</v>
      </c>
      <c r="C43" s="3" t="s">
        <v>201</v>
      </c>
      <c r="E43" s="25">
        <f t="shared" ref="E43:G43" si="16">E19</f>
        <v>0</v>
      </c>
      <c r="F43" s="25">
        <f t="shared" si="16"/>
        <v>0</v>
      </c>
      <c r="G43" s="25">
        <f t="shared" si="16"/>
        <v>0</v>
      </c>
      <c r="H43" s="25">
        <f>H19</f>
        <v>1</v>
      </c>
      <c r="I43" s="25">
        <f t="shared" ref="I43:K43" si="17">I19</f>
        <v>1</v>
      </c>
      <c r="J43" s="25">
        <f t="shared" si="17"/>
        <v>1</v>
      </c>
      <c r="K43" s="25">
        <f t="shared" si="17"/>
        <v>1</v>
      </c>
      <c r="L43" s="2"/>
      <c r="M43" s="2"/>
      <c r="N43" s="2"/>
      <c r="O43" s="2"/>
      <c r="P43" s="37"/>
      <c r="Q43" s="37"/>
      <c r="R43" s="37"/>
      <c r="S43" s="37"/>
    </row>
    <row r="44" spans="2:19" ht="12.75" customHeight="1" x14ac:dyDescent="0.2">
      <c r="B44" s="15">
        <f>B43+1</f>
        <v>27</v>
      </c>
      <c r="C44" s="3" t="s">
        <v>69</v>
      </c>
      <c r="D44" s="38">
        <f>'2019 GRC - Gas RAF'!D18-1</f>
        <v>4.7610353323130461E-2</v>
      </c>
      <c r="L44" s="2"/>
      <c r="M44" s="2"/>
      <c r="N44" s="2"/>
      <c r="O44" s="2"/>
      <c r="P44" s="37"/>
      <c r="Q44" s="37"/>
      <c r="R44" s="37"/>
      <c r="S44" s="37"/>
    </row>
    <row r="45" spans="2:19" ht="12.75" customHeight="1" x14ac:dyDescent="0.2">
      <c r="B45" s="15">
        <f>B44+1</f>
        <v>28</v>
      </c>
      <c r="C45" s="3" t="s">
        <v>202</v>
      </c>
      <c r="E45" s="25">
        <f>ROUND(E43*(1+$D$44),2)</f>
        <v>0</v>
      </c>
      <c r="F45" s="25">
        <f t="shared" ref="F45:K45" si="18">ROUND(F43*(1+$D$44),2)</f>
        <v>0</v>
      </c>
      <c r="G45" s="25">
        <f t="shared" si="18"/>
        <v>0</v>
      </c>
      <c r="H45" s="25">
        <f>ROUND(H43*(1+$D$44),2)</f>
        <v>1.05</v>
      </c>
      <c r="I45" s="25">
        <f t="shared" si="18"/>
        <v>1.05</v>
      </c>
      <c r="J45" s="25">
        <f t="shared" si="18"/>
        <v>1.05</v>
      </c>
      <c r="K45" s="25">
        <f t="shared" si="18"/>
        <v>1.05</v>
      </c>
      <c r="L45" s="2"/>
      <c r="M45" s="2"/>
      <c r="N45" s="2"/>
      <c r="O45" s="2"/>
      <c r="P45" s="37"/>
      <c r="Q45" s="37"/>
      <c r="R45" s="37"/>
      <c r="S45" s="37"/>
    </row>
    <row r="46" spans="2:19" ht="12.75" customHeight="1" x14ac:dyDescent="0.2">
      <c r="C46" s="31"/>
      <c r="L46" s="2"/>
      <c r="M46" s="2"/>
      <c r="N46" s="2"/>
      <c r="O46" s="2"/>
      <c r="P46" s="37"/>
      <c r="Q46" s="37"/>
      <c r="R46" s="37"/>
      <c r="S46" s="37"/>
    </row>
    <row r="47" spans="2:19" x14ac:dyDescent="0.2">
      <c r="B47" s="15">
        <f>B45+1</f>
        <v>29</v>
      </c>
      <c r="C47" s="3" t="s">
        <v>203</v>
      </c>
      <c r="E47" s="33">
        <f>E23</f>
        <v>0.14330000000000001</v>
      </c>
      <c r="F47" s="33">
        <f t="shared" ref="F47:K47" si="19">F23</f>
        <v>0.14330000000000001</v>
      </c>
      <c r="G47" s="33">
        <f t="shared" si="19"/>
        <v>0.13586999999999999</v>
      </c>
      <c r="H47" s="33">
        <f t="shared" si="19"/>
        <v>3.4020000000000002E-2</v>
      </c>
      <c r="I47" s="33">
        <f t="shared" si="19"/>
        <v>7.0489999999999997E-2</v>
      </c>
      <c r="J47" s="33">
        <f t="shared" si="19"/>
        <v>8.3669999999999994E-2</v>
      </c>
      <c r="K47" s="33">
        <f t="shared" si="19"/>
        <v>7.9930000000000001E-2</v>
      </c>
      <c r="L47" s="2"/>
      <c r="M47" s="2"/>
      <c r="N47" s="2"/>
      <c r="O47" s="2"/>
      <c r="P47" s="37"/>
      <c r="Q47" s="37"/>
      <c r="R47" s="37"/>
      <c r="S47" s="37"/>
    </row>
    <row r="48" spans="2:19" x14ac:dyDescent="0.2">
      <c r="B48" s="15">
        <f t="shared" ref="B48:B55" si="20">B47+1</f>
        <v>30</v>
      </c>
      <c r="C48" s="3" t="s">
        <v>204</v>
      </c>
      <c r="E48" s="33">
        <f>E36</f>
        <v>0.29903999999999997</v>
      </c>
      <c r="F48" s="33">
        <f t="shared" ref="F48:K48" si="21">F36</f>
        <v>0.29903999999999997</v>
      </c>
      <c r="G48" s="33">
        <f t="shared" si="21"/>
        <v>0.29903999999999997</v>
      </c>
      <c r="H48" s="33">
        <f t="shared" si="21"/>
        <v>0.29903999999999997</v>
      </c>
      <c r="I48" s="33">
        <f t="shared" si="21"/>
        <v>0.29903999999999997</v>
      </c>
      <c r="J48" s="33">
        <f t="shared" si="21"/>
        <v>0.29903999999999997</v>
      </c>
      <c r="K48" s="33">
        <f t="shared" si="21"/>
        <v>0.29903999999999997</v>
      </c>
      <c r="L48" s="2"/>
      <c r="M48" s="2"/>
      <c r="N48" s="2"/>
      <c r="O48" s="2"/>
      <c r="P48" s="37"/>
      <c r="Q48" s="37"/>
      <c r="R48" s="37"/>
      <c r="S48" s="37"/>
    </row>
    <row r="49" spans="2:19" x14ac:dyDescent="0.2">
      <c r="B49" s="15">
        <f t="shared" si="20"/>
        <v>31</v>
      </c>
      <c r="C49" s="3" t="s">
        <v>64</v>
      </c>
      <c r="E49" s="39">
        <f>SUM(E47:E48)</f>
        <v>0.44233999999999996</v>
      </c>
      <c r="F49" s="39">
        <f t="shared" ref="F49:K49" si="22">SUM(F47:F48)</f>
        <v>0.44233999999999996</v>
      </c>
      <c r="G49" s="39">
        <f t="shared" si="22"/>
        <v>0.43490999999999996</v>
      </c>
      <c r="H49" s="39">
        <f t="shared" si="22"/>
        <v>0.33305999999999997</v>
      </c>
      <c r="I49" s="39">
        <f t="shared" si="22"/>
        <v>0.36952999999999997</v>
      </c>
      <c r="J49" s="39">
        <f t="shared" si="22"/>
        <v>0.38270999999999999</v>
      </c>
      <c r="K49" s="39">
        <f t="shared" si="22"/>
        <v>0.37896999999999997</v>
      </c>
      <c r="L49" s="2"/>
      <c r="M49" s="2"/>
      <c r="N49" s="2"/>
      <c r="O49" s="2"/>
      <c r="P49" s="37"/>
      <c r="Q49" s="37"/>
      <c r="R49" s="37"/>
      <c r="S49" s="37"/>
    </row>
    <row r="50" spans="2:19" x14ac:dyDescent="0.2">
      <c r="B50" s="15"/>
      <c r="E50" s="33"/>
      <c r="F50" s="33"/>
      <c r="G50" s="33"/>
      <c r="H50" s="33"/>
      <c r="I50" s="33"/>
      <c r="J50" s="33"/>
      <c r="K50" s="33"/>
      <c r="L50" s="2"/>
      <c r="M50" s="2"/>
      <c r="N50" s="2"/>
      <c r="O50" s="2"/>
      <c r="P50" s="37"/>
      <c r="Q50" s="37"/>
      <c r="R50" s="37"/>
      <c r="S50" s="37"/>
    </row>
    <row r="51" spans="2:19" x14ac:dyDescent="0.2">
      <c r="B51" s="15">
        <f>B49+1</f>
        <v>32</v>
      </c>
      <c r="C51" s="3" t="s">
        <v>205</v>
      </c>
      <c r="E51" s="33">
        <f>ROUND(E49*(1+$D$44),5)</f>
        <v>0.46339999999999998</v>
      </c>
      <c r="F51" s="33">
        <f t="shared" ref="F51:K51" si="23">ROUND(F49*(1+$D$44),5)</f>
        <v>0.46339999999999998</v>
      </c>
      <c r="G51" s="33">
        <f t="shared" si="23"/>
        <v>0.45562000000000002</v>
      </c>
      <c r="H51" s="33">
        <f t="shared" si="23"/>
        <v>0.34892000000000001</v>
      </c>
      <c r="I51" s="33">
        <f t="shared" si="23"/>
        <v>0.38712000000000002</v>
      </c>
      <c r="J51" s="33">
        <f t="shared" si="23"/>
        <v>0.40093000000000001</v>
      </c>
      <c r="K51" s="33">
        <f t="shared" si="23"/>
        <v>0.39700999999999997</v>
      </c>
      <c r="L51" s="2"/>
      <c r="M51" s="2"/>
      <c r="N51" s="2"/>
      <c r="O51" s="2"/>
      <c r="P51" s="37"/>
      <c r="Q51" s="37"/>
      <c r="R51" s="37"/>
      <c r="S51" s="37"/>
    </row>
    <row r="52" spans="2:19" x14ac:dyDescent="0.2">
      <c r="B52" s="15">
        <f t="shared" si="20"/>
        <v>33</v>
      </c>
      <c r="C52" s="3" t="s">
        <v>206</v>
      </c>
      <c r="E52" s="33"/>
      <c r="F52" s="40">
        <f>ROUND(F51*19,2)</f>
        <v>8.8000000000000007</v>
      </c>
      <c r="G52" s="33"/>
      <c r="H52" s="33"/>
      <c r="I52" s="33"/>
      <c r="J52" s="33"/>
      <c r="K52" s="33"/>
      <c r="L52" s="2"/>
      <c r="M52" s="2"/>
      <c r="N52" s="2"/>
      <c r="O52" s="2"/>
      <c r="P52" s="37"/>
      <c r="Q52" s="37"/>
      <c r="R52" s="37"/>
      <c r="S52" s="37"/>
    </row>
    <row r="53" spans="2:19" x14ac:dyDescent="0.2">
      <c r="B53" s="15">
        <f t="shared" si="20"/>
        <v>34</v>
      </c>
      <c r="C53" s="3" t="s">
        <v>68</v>
      </c>
      <c r="D53" s="41"/>
      <c r="E53" s="42">
        <v>0.38129000000000002</v>
      </c>
      <c r="F53" s="42">
        <v>0.38129000000000002</v>
      </c>
      <c r="G53" s="42">
        <v>0.37314999999999998</v>
      </c>
      <c r="H53" s="42">
        <v>0.26356000000000002</v>
      </c>
      <c r="I53" s="42">
        <v>0.30064000000000002</v>
      </c>
      <c r="J53" s="42">
        <v>0.31402000000000002</v>
      </c>
      <c r="K53" s="42">
        <v>0.31184000000000001</v>
      </c>
      <c r="L53" s="2"/>
      <c r="M53" s="2"/>
      <c r="N53" s="2"/>
      <c r="O53" s="2"/>
      <c r="P53" s="37"/>
      <c r="Q53" s="37"/>
      <c r="R53" s="37"/>
      <c r="S53" s="37"/>
    </row>
    <row r="54" spans="2:19" x14ac:dyDescent="0.2">
      <c r="B54" s="15">
        <f t="shared" si="20"/>
        <v>35</v>
      </c>
      <c r="C54" s="3" t="s">
        <v>207</v>
      </c>
      <c r="E54" s="39">
        <f>E51-E53</f>
        <v>8.2109999999999961E-2</v>
      </c>
      <c r="F54" s="39">
        <f t="shared" ref="F54:K54" si="24">F51-F53</f>
        <v>8.2109999999999961E-2</v>
      </c>
      <c r="G54" s="39">
        <f t="shared" si="24"/>
        <v>8.2470000000000043E-2</v>
      </c>
      <c r="H54" s="39">
        <f t="shared" si="24"/>
        <v>8.5359999999999991E-2</v>
      </c>
      <c r="I54" s="39">
        <f t="shared" si="24"/>
        <v>8.6480000000000001E-2</v>
      </c>
      <c r="J54" s="39">
        <f t="shared" si="24"/>
        <v>8.6909999999999987E-2</v>
      </c>
      <c r="K54" s="39">
        <f t="shared" si="24"/>
        <v>8.5169999999999968E-2</v>
      </c>
      <c r="L54" s="2"/>
      <c r="M54" s="2"/>
      <c r="N54" s="2"/>
      <c r="O54" s="2"/>
      <c r="P54" s="37"/>
      <c r="Q54" s="37"/>
      <c r="R54" s="37"/>
      <c r="S54" s="37"/>
    </row>
    <row r="55" spans="2:19" x14ac:dyDescent="0.2">
      <c r="B55" s="15">
        <f t="shared" si="20"/>
        <v>36</v>
      </c>
      <c r="C55" s="3" t="s">
        <v>42</v>
      </c>
      <c r="E55" s="26">
        <f>E54/E53</f>
        <v>0.21534789792546344</v>
      </c>
      <c r="F55" s="26">
        <f t="shared" ref="F55:K55" si="25">F54/F53</f>
        <v>0.21534789792546344</v>
      </c>
      <c r="G55" s="26">
        <f t="shared" si="25"/>
        <v>0.22101031756666234</v>
      </c>
      <c r="H55" s="26">
        <f t="shared" si="25"/>
        <v>0.3238731218697829</v>
      </c>
      <c r="I55" s="26">
        <f t="shared" si="25"/>
        <v>0.28765300691857371</v>
      </c>
      <c r="J55" s="26">
        <f t="shared" si="25"/>
        <v>0.27676581109483467</v>
      </c>
      <c r="K55" s="26">
        <f t="shared" si="25"/>
        <v>0.27312083119548475</v>
      </c>
      <c r="L55" s="2"/>
      <c r="M55" s="2"/>
      <c r="N55" s="2"/>
      <c r="O55" s="2"/>
      <c r="P55" s="37"/>
      <c r="Q55" s="37"/>
      <c r="R55" s="37"/>
      <c r="S55" s="37"/>
    </row>
    <row r="56" spans="2:19" x14ac:dyDescent="0.2">
      <c r="L56" s="43"/>
      <c r="M56" s="43"/>
      <c r="N56" s="43"/>
      <c r="P56" s="37"/>
    </row>
    <row r="57" spans="2:19" x14ac:dyDescent="0.2">
      <c r="B57" s="6"/>
      <c r="C57" s="3" t="s">
        <v>301</v>
      </c>
      <c r="E57" s="33"/>
      <c r="L57" s="2"/>
      <c r="M57" s="2"/>
      <c r="N57" s="2"/>
      <c r="O57" s="2"/>
    </row>
    <row r="58" spans="2:19" x14ac:dyDescent="0.2">
      <c r="C58" s="3" t="s">
        <v>155</v>
      </c>
      <c r="E58" s="33"/>
      <c r="L58" s="2"/>
      <c r="M58" s="2"/>
      <c r="N58" s="2"/>
      <c r="O58" s="2"/>
    </row>
    <row r="59" spans="2:19" x14ac:dyDescent="0.2">
      <c r="E59" s="33"/>
      <c r="L59" s="2"/>
      <c r="M59" s="2"/>
      <c r="N59" s="2"/>
      <c r="O59" s="2"/>
    </row>
    <row r="60" spans="2:19" x14ac:dyDescent="0.2">
      <c r="E60" s="33"/>
      <c r="L60" s="2"/>
      <c r="M60" s="2"/>
      <c r="N60" s="2"/>
      <c r="O60" s="2"/>
    </row>
    <row r="61" spans="2:19" x14ac:dyDescent="0.2">
      <c r="D61" s="24"/>
      <c r="E61" s="33"/>
      <c r="F61" s="24"/>
      <c r="G61" s="24"/>
      <c r="H61" s="24"/>
      <c r="I61" s="24"/>
      <c r="J61" s="24"/>
      <c r="K61" s="24"/>
      <c r="L61" s="2"/>
      <c r="M61" s="2"/>
      <c r="N61" s="2"/>
      <c r="O61" s="2"/>
    </row>
    <row r="62" spans="2:19" x14ac:dyDescent="0.2">
      <c r="D62" s="34"/>
      <c r="L62" s="2"/>
      <c r="M62" s="2"/>
      <c r="N62" s="2"/>
      <c r="O62" s="2"/>
    </row>
    <row r="63" spans="2:19" x14ac:dyDescent="0.2">
      <c r="E63" s="33"/>
      <c r="F63" s="33"/>
      <c r="G63" s="33"/>
      <c r="H63" s="33"/>
      <c r="I63" s="33"/>
      <c r="J63" s="33"/>
      <c r="K63" s="33"/>
      <c r="L63" s="2"/>
      <c r="M63" s="2"/>
      <c r="N63" s="2"/>
      <c r="O63" s="2"/>
    </row>
    <row r="64" spans="2:19" x14ac:dyDescent="0.2">
      <c r="L64" s="2"/>
      <c r="M64" s="2"/>
      <c r="N64" s="2"/>
      <c r="O64" s="2"/>
    </row>
    <row r="65" spans="12:15" x14ac:dyDescent="0.2">
      <c r="L65" s="2"/>
      <c r="M65" s="2"/>
      <c r="N65" s="2"/>
      <c r="O65" s="2"/>
    </row>
    <row r="66" spans="12:15" x14ac:dyDescent="0.2">
      <c r="L66" s="2"/>
      <c r="M66" s="2"/>
      <c r="N66" s="2"/>
      <c r="O66" s="2"/>
    </row>
    <row r="67" spans="12:15" x14ac:dyDescent="0.2">
      <c r="L67" s="2"/>
      <c r="M67" s="2"/>
      <c r="N67" s="2"/>
      <c r="O67" s="2"/>
    </row>
  </sheetData>
  <phoneticPr fontId="4" type="noConversion"/>
  <printOptions horizontalCentered="1"/>
  <pageMargins left="0.5" right="0.5" top="1" bottom="0.6" header="0.5" footer="0.3"/>
  <pageSetup scale="77" orientation="landscape" blackAndWhite="1" r:id="rId1"/>
  <headerFooter alignWithMargins="0">
    <oddFooter>&amp;CPage# &amp;P of &amp;N&amp;R&amp;F
&amp;A</oddFooter>
  </headerFooter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43"/>
  <sheetViews>
    <sheetView workbookViewId="0">
      <pane ySplit="8" topLeftCell="A9" activePane="bottomLeft" state="frozen"/>
      <selection pane="bottomLeft" activeCell="C19" sqref="C19"/>
    </sheetView>
  </sheetViews>
  <sheetFormatPr defaultColWidth="9.140625" defaultRowHeight="11.25" x14ac:dyDescent="0.2"/>
  <cols>
    <col min="1" max="1" width="3.7109375" style="6" customWidth="1"/>
    <col min="2" max="2" width="54" style="6" bestFit="1" customWidth="1"/>
    <col min="3" max="3" width="9.140625" style="6" bestFit="1" customWidth="1"/>
    <col min="4" max="4" width="10.140625" style="6" bestFit="1" customWidth="1"/>
    <col min="5" max="6" width="10" style="6" customWidth="1"/>
    <col min="7" max="9" width="9.140625" style="6" bestFit="1" customWidth="1"/>
    <col min="10" max="10" width="9.85546875" style="6" bestFit="1" customWidth="1"/>
    <col min="11" max="16384" width="9.140625" style="6"/>
  </cols>
  <sheetData>
    <row r="1" spans="1:10" x14ac:dyDescent="0.2">
      <c r="A1" s="1" t="s">
        <v>17</v>
      </c>
      <c r="B1" s="1"/>
      <c r="C1" s="1"/>
      <c r="D1" s="1"/>
      <c r="E1" s="1"/>
      <c r="F1" s="1"/>
      <c r="G1" s="1"/>
    </row>
    <row r="2" spans="1:10" ht="11.25" customHeight="1" x14ac:dyDescent="0.2">
      <c r="A2" s="4" t="str">
        <f>"PGA Filing Proposed Effective " &amp; '(R) 2021 PGA Cost'!N3</f>
        <v>PGA Filing Proposed Effective November 1, 2021</v>
      </c>
      <c r="B2" s="1"/>
      <c r="C2" s="1"/>
      <c r="D2" s="1"/>
      <c r="E2" s="45"/>
      <c r="F2" s="1"/>
      <c r="G2" s="1"/>
    </row>
    <row r="3" spans="1:10" ht="11.25" customHeight="1" x14ac:dyDescent="0.2">
      <c r="A3" s="1" t="s">
        <v>58</v>
      </c>
      <c r="B3" s="1"/>
      <c r="C3" s="1"/>
      <c r="D3" s="1"/>
      <c r="E3" s="45"/>
      <c r="F3" s="1"/>
      <c r="G3" s="1"/>
    </row>
    <row r="4" spans="1:10" ht="11.25" customHeight="1" x14ac:dyDescent="0.2">
      <c r="D4" s="46"/>
      <c r="E4" s="47"/>
    </row>
    <row r="5" spans="1:10" x14ac:dyDescent="0.2">
      <c r="D5" s="48"/>
    </row>
    <row r="6" spans="1:10" x14ac:dyDescent="0.2">
      <c r="D6" s="49"/>
    </row>
    <row r="7" spans="1:10" x14ac:dyDescent="0.2">
      <c r="A7" s="50"/>
      <c r="C7" s="275" t="s">
        <v>20</v>
      </c>
      <c r="D7" s="276"/>
      <c r="E7" s="280" t="s">
        <v>21</v>
      </c>
      <c r="F7" s="281"/>
      <c r="G7" s="280" t="s">
        <v>117</v>
      </c>
      <c r="H7" s="282"/>
      <c r="I7" s="281"/>
    </row>
    <row r="8" spans="1:10" ht="22.5" x14ac:dyDescent="0.2">
      <c r="A8" s="52" t="s">
        <v>19</v>
      </c>
      <c r="B8" s="53" t="s">
        <v>44</v>
      </c>
      <c r="C8" s="278">
        <v>23</v>
      </c>
      <c r="D8" s="278" t="s">
        <v>31</v>
      </c>
      <c r="E8" s="278">
        <v>31</v>
      </c>
      <c r="F8" s="278">
        <v>41</v>
      </c>
      <c r="G8" s="278">
        <v>85</v>
      </c>
      <c r="H8" s="278">
        <v>86</v>
      </c>
      <c r="I8" s="278">
        <v>87</v>
      </c>
    </row>
    <row r="9" spans="1:10" ht="12.75" customHeight="1" x14ac:dyDescent="0.2">
      <c r="A9" s="54"/>
      <c r="B9" s="50"/>
      <c r="C9" s="55" t="s">
        <v>10</v>
      </c>
      <c r="D9" s="56" t="s">
        <v>11</v>
      </c>
      <c r="E9" s="56" t="s">
        <v>23</v>
      </c>
      <c r="F9" s="56" t="s">
        <v>13</v>
      </c>
      <c r="G9" s="56" t="s">
        <v>24</v>
      </c>
      <c r="H9" s="56" t="s">
        <v>30</v>
      </c>
      <c r="I9" s="14" t="s">
        <v>25</v>
      </c>
    </row>
    <row r="10" spans="1:10" s="48" customFormat="1" ht="12.75" customHeight="1" x14ac:dyDescent="0.2">
      <c r="A10" s="14">
        <v>1</v>
      </c>
      <c r="B10" s="48" t="s">
        <v>76</v>
      </c>
      <c r="C10" s="57">
        <f>'Rates Summary '!E47</f>
        <v>0.14330000000000001</v>
      </c>
      <c r="D10" s="58">
        <f>'Rates Summary '!F47*19</f>
        <v>2.7227000000000001</v>
      </c>
      <c r="E10" s="57">
        <f>'Rates Summary '!G47</f>
        <v>0.13586999999999999</v>
      </c>
      <c r="F10" s="57">
        <f>'Rates Summary '!H47</f>
        <v>3.4020000000000002E-2</v>
      </c>
      <c r="G10" s="57">
        <f>'Rates Summary '!I47</f>
        <v>7.0489999999999997E-2</v>
      </c>
      <c r="H10" s="57">
        <f>'Rates Summary '!J47</f>
        <v>8.3669999999999994E-2</v>
      </c>
      <c r="I10" s="57">
        <f>'Rates Summary '!K47</f>
        <v>7.9930000000000001E-2</v>
      </c>
    </row>
    <row r="11" spans="1:10" s="48" customFormat="1" ht="12.75" customHeight="1" x14ac:dyDescent="0.2">
      <c r="A11" s="14">
        <f>A10+1</f>
        <v>2</v>
      </c>
      <c r="B11" s="48" t="s">
        <v>43</v>
      </c>
      <c r="C11" s="59">
        <f>'Rates Summary '!E48</f>
        <v>0.29903999999999997</v>
      </c>
      <c r="D11" s="58">
        <f>'Rates Summary '!F48*19</f>
        <v>5.6817599999999997</v>
      </c>
      <c r="E11" s="57">
        <f>'Rates Summary '!G48</f>
        <v>0.29903999999999997</v>
      </c>
      <c r="F11" s="57">
        <f>'Rates Summary '!H48</f>
        <v>0.29903999999999997</v>
      </c>
      <c r="G11" s="57">
        <f>'Rates Summary '!I48</f>
        <v>0.29903999999999997</v>
      </c>
      <c r="H11" s="57">
        <f>'Rates Summary '!J48</f>
        <v>0.29903999999999997</v>
      </c>
      <c r="I11" s="57">
        <f>'Rates Summary '!K48</f>
        <v>0.29903999999999997</v>
      </c>
    </row>
    <row r="12" spans="1:10" s="48" customFormat="1" ht="12.75" customHeight="1" x14ac:dyDescent="0.2">
      <c r="A12" s="14">
        <f>A11+1</f>
        <v>3</v>
      </c>
      <c r="B12" s="48" t="s">
        <v>71</v>
      </c>
      <c r="C12" s="60">
        <f>SUM(C10:C11)</f>
        <v>0.44233999999999996</v>
      </c>
      <c r="D12" s="61">
        <f>ROUND(+D10+D11,2)</f>
        <v>8.4</v>
      </c>
      <c r="E12" s="60">
        <f>SUM(E10:E11)</f>
        <v>0.43490999999999996</v>
      </c>
      <c r="F12" s="60">
        <f>SUM(F10:F11)</f>
        <v>0.33305999999999997</v>
      </c>
      <c r="G12" s="60">
        <f>SUM(G10:G11)</f>
        <v>0.36952999999999997</v>
      </c>
      <c r="H12" s="60">
        <f>SUM(H10:H11)</f>
        <v>0.38270999999999999</v>
      </c>
      <c r="I12" s="60">
        <f>SUM(I10:I11)</f>
        <v>0.37896999999999997</v>
      </c>
      <c r="J12" s="32"/>
    </row>
    <row r="13" spans="1:10" s="48" customFormat="1" ht="12.75" customHeight="1" x14ac:dyDescent="0.2">
      <c r="A13" s="14"/>
      <c r="C13" s="32"/>
      <c r="D13" s="62"/>
      <c r="E13" s="32"/>
      <c r="F13" s="32"/>
      <c r="G13" s="32"/>
      <c r="H13" s="32"/>
      <c r="I13" s="32"/>
    </row>
    <row r="14" spans="1:10" s="48" customFormat="1" ht="12.75" customHeight="1" x14ac:dyDescent="0.2">
      <c r="A14" s="14">
        <f>A12+1</f>
        <v>4</v>
      </c>
      <c r="B14" s="48" t="s">
        <v>78</v>
      </c>
      <c r="C14" s="57">
        <f>'Rates Summary '!E51</f>
        <v>0.46339999999999998</v>
      </c>
      <c r="D14" s="63">
        <f>'Rates Summary '!F52</f>
        <v>8.8000000000000007</v>
      </c>
      <c r="E14" s="57">
        <f>'Rates Summary '!G51</f>
        <v>0.45562000000000002</v>
      </c>
      <c r="F14" s="57">
        <f>'Rates Summary '!H51</f>
        <v>0.34892000000000001</v>
      </c>
      <c r="G14" s="57">
        <f>'Rates Summary '!I51</f>
        <v>0.38712000000000002</v>
      </c>
      <c r="H14" s="57">
        <f>'Rates Summary '!J51</f>
        <v>0.40093000000000001</v>
      </c>
      <c r="I14" s="57">
        <f>'Rates Summary '!K51</f>
        <v>0.39700999999999997</v>
      </c>
    </row>
    <row r="15" spans="1:10" s="48" customFormat="1" ht="12.75" customHeight="1" x14ac:dyDescent="0.2">
      <c r="A15" s="14"/>
      <c r="C15" s="32"/>
      <c r="D15" s="64"/>
      <c r="E15" s="32"/>
      <c r="F15" s="32"/>
      <c r="G15" s="32"/>
      <c r="H15" s="32"/>
      <c r="I15" s="32"/>
    </row>
    <row r="16" spans="1:10" s="48" customFormat="1" ht="12.75" customHeight="1" x14ac:dyDescent="0.2">
      <c r="A16" s="14">
        <f>A14+1</f>
        <v>5</v>
      </c>
      <c r="B16" s="48" t="s">
        <v>73</v>
      </c>
      <c r="C16" s="64"/>
      <c r="D16" s="64"/>
      <c r="E16" s="64"/>
      <c r="F16" s="58">
        <f>'Rates Summary '!H43</f>
        <v>1</v>
      </c>
      <c r="G16" s="58">
        <f>'Rates Summary '!I43</f>
        <v>1</v>
      </c>
      <c r="H16" s="58">
        <f>'Rates Summary '!J43</f>
        <v>1</v>
      </c>
      <c r="I16" s="58">
        <f>'Rates Summary '!K43</f>
        <v>1</v>
      </c>
    </row>
    <row r="17" spans="1:9" s="48" customFormat="1" ht="12.75" customHeight="1" x14ac:dyDescent="0.2">
      <c r="A17" s="14">
        <f>A16+1</f>
        <v>6</v>
      </c>
      <c r="B17" s="48" t="s">
        <v>97</v>
      </c>
      <c r="C17" s="64"/>
      <c r="D17" s="64"/>
      <c r="E17" s="64"/>
      <c r="F17" s="58">
        <f>'Rates Summary '!H45</f>
        <v>1.05</v>
      </c>
      <c r="G17" s="58">
        <f>'Rates Summary '!I45</f>
        <v>1.05</v>
      </c>
      <c r="H17" s="58">
        <f>'Rates Summary '!J45</f>
        <v>1.05</v>
      </c>
      <c r="I17" s="58">
        <f>'Rates Summary '!K45</f>
        <v>1.05</v>
      </c>
    </row>
    <row r="18" spans="1:9" s="48" customFormat="1" ht="12.75" customHeight="1" x14ac:dyDescent="0.2">
      <c r="A18" s="14"/>
      <c r="C18" s="32"/>
      <c r="D18" s="64"/>
      <c r="E18" s="32"/>
      <c r="F18" s="32"/>
      <c r="G18" s="32"/>
      <c r="H18" s="32"/>
      <c r="I18" s="32"/>
    </row>
    <row r="19" spans="1:9" s="48" customFormat="1" ht="12.75" customHeight="1" x14ac:dyDescent="0.2">
      <c r="A19" s="14">
        <f>A17+1</f>
        <v>7</v>
      </c>
      <c r="B19" s="48" t="s">
        <v>77</v>
      </c>
      <c r="C19" s="57">
        <f>'Rates Summary '!E9</f>
        <v>0.14990000000000001</v>
      </c>
      <c r="D19" s="58">
        <f>'Rates Summary '!F9*19</f>
        <v>2.8481000000000001</v>
      </c>
      <c r="E19" s="57">
        <f>'Rates Summary '!G9</f>
        <v>0.14213000000000001</v>
      </c>
      <c r="F19" s="57">
        <f>'Rates Summary '!H9</f>
        <v>3.7519999999999998E-2</v>
      </c>
      <c r="G19" s="57">
        <f>'Rates Summary '!I9</f>
        <v>7.2919999999999999E-2</v>
      </c>
      <c r="H19" s="57">
        <f>'Rates Summary '!J9</f>
        <v>8.5690000000000002E-2</v>
      </c>
      <c r="I19" s="57">
        <f>'Rates Summary '!K9</f>
        <v>8.3610000000000004E-2</v>
      </c>
    </row>
    <row r="20" spans="1:9" s="48" customFormat="1" ht="12.75" customHeight="1" x14ac:dyDescent="0.2">
      <c r="A20" s="14">
        <f>A19+1</f>
        <v>8</v>
      </c>
      <c r="B20" s="65" t="s">
        <v>41</v>
      </c>
      <c r="C20" s="57">
        <f>'Rates Summary '!E31</f>
        <v>0.21406</v>
      </c>
      <c r="D20" s="58">
        <f>'Rates Summary '!F31*19</f>
        <v>4.0671400000000002</v>
      </c>
      <c r="E20" s="57">
        <f>'Rates Summary '!G31</f>
        <v>0.21406</v>
      </c>
      <c r="F20" s="57">
        <f>'Rates Summary '!H31</f>
        <v>0.21406</v>
      </c>
      <c r="G20" s="57">
        <f>'Rates Summary '!I31</f>
        <v>0.21406</v>
      </c>
      <c r="H20" s="57">
        <f>'Rates Summary '!J31</f>
        <v>0.21406</v>
      </c>
      <c r="I20" s="57">
        <f>'Rates Summary '!K31</f>
        <v>0.21406</v>
      </c>
    </row>
    <row r="21" spans="1:9" s="48" customFormat="1" ht="12.75" customHeight="1" x14ac:dyDescent="0.2">
      <c r="A21" s="14">
        <f>A20+1</f>
        <v>9</v>
      </c>
      <c r="B21" s="48" t="s">
        <v>72</v>
      </c>
      <c r="C21" s="60">
        <f>SUM(C19:C20)</f>
        <v>0.36396000000000001</v>
      </c>
      <c r="D21" s="61">
        <f>ROUND(+D19+D20,2)</f>
        <v>6.92</v>
      </c>
      <c r="E21" s="60">
        <f>SUM(E19:E20)</f>
        <v>0.35619000000000001</v>
      </c>
      <c r="F21" s="60">
        <f>SUM(F19:F20)</f>
        <v>0.25158000000000003</v>
      </c>
      <c r="G21" s="60">
        <f>SUM(G19:G20)</f>
        <v>0.28698000000000001</v>
      </c>
      <c r="H21" s="60">
        <f>SUM(H19:H20)</f>
        <v>0.29975000000000002</v>
      </c>
      <c r="I21" s="60">
        <f>SUM(I19:I20)</f>
        <v>0.29766999999999999</v>
      </c>
    </row>
    <row r="22" spans="1:9" s="48" customFormat="1" ht="12.75" customHeight="1" x14ac:dyDescent="0.2">
      <c r="A22" s="14"/>
      <c r="C22" s="32"/>
      <c r="D22" s="62"/>
      <c r="E22" s="32"/>
      <c r="F22" s="32"/>
      <c r="G22" s="32"/>
      <c r="H22" s="32"/>
      <c r="I22" s="32"/>
    </row>
    <row r="23" spans="1:9" s="48" customFormat="1" ht="12.75" customHeight="1" x14ac:dyDescent="0.2">
      <c r="A23" s="14">
        <f>+A21+1</f>
        <v>10</v>
      </c>
      <c r="B23" s="48" t="s">
        <v>79</v>
      </c>
      <c r="C23" s="57">
        <f>+'Rates Summary '!E53</f>
        <v>0.38129000000000002</v>
      </c>
      <c r="D23" s="63">
        <f>ROUND(+'Rates Summary '!F53*19,2)</f>
        <v>7.24</v>
      </c>
      <c r="E23" s="57">
        <f>+'Rates Summary '!G53</f>
        <v>0.37314999999999998</v>
      </c>
      <c r="F23" s="57">
        <f>+'Rates Summary '!H53</f>
        <v>0.26356000000000002</v>
      </c>
      <c r="G23" s="57">
        <f>+'Rates Summary '!I53</f>
        <v>0.30064000000000002</v>
      </c>
      <c r="H23" s="57">
        <f>+'Rates Summary '!J53</f>
        <v>0.31402000000000002</v>
      </c>
      <c r="I23" s="57">
        <f>+'Rates Summary '!K53</f>
        <v>0.31184000000000001</v>
      </c>
    </row>
    <row r="24" spans="1:9" s="48" customFormat="1" ht="12.75" customHeight="1" x14ac:dyDescent="0.2">
      <c r="A24" s="14"/>
      <c r="C24" s="32"/>
      <c r="D24" s="64"/>
      <c r="E24" s="32"/>
      <c r="F24" s="32"/>
      <c r="G24" s="32"/>
      <c r="H24" s="32"/>
      <c r="I24" s="32"/>
    </row>
    <row r="25" spans="1:9" s="48" customFormat="1" ht="12.75" customHeight="1" x14ac:dyDescent="0.2">
      <c r="A25" s="14">
        <f>A23+1</f>
        <v>11</v>
      </c>
      <c r="B25" s="48" t="s">
        <v>74</v>
      </c>
      <c r="C25" s="64"/>
      <c r="D25" s="64"/>
      <c r="E25" s="64"/>
      <c r="F25" s="58">
        <f>'Rates Summary '!H8</f>
        <v>1</v>
      </c>
      <c r="G25" s="58">
        <f>'Rates Summary '!I8</f>
        <v>1</v>
      </c>
      <c r="H25" s="58">
        <f>'Rates Summary '!J8</f>
        <v>1</v>
      </c>
      <c r="I25" s="58">
        <f>'Rates Summary '!K8</f>
        <v>1</v>
      </c>
    </row>
    <row r="26" spans="1:9" s="48" customFormat="1" ht="12.75" customHeight="1" x14ac:dyDescent="0.2">
      <c r="A26" s="14">
        <f>A25+1</f>
        <v>12</v>
      </c>
      <c r="B26" s="48" t="s">
        <v>98</v>
      </c>
      <c r="C26" s="64"/>
      <c r="D26" s="64"/>
      <c r="E26" s="64"/>
      <c r="F26" s="64">
        <f>F25*(1+$C$36)</f>
        <v>1.0476103533231305</v>
      </c>
      <c r="G26" s="64">
        <f>G25*(1+$C$36)</f>
        <v>1.0476103533231305</v>
      </c>
      <c r="H26" s="64">
        <f>H25*(1+$C$36)</f>
        <v>1.0476103533231305</v>
      </c>
      <c r="I26" s="64">
        <f>I25*(1+$C$36)</f>
        <v>1.0476103533231305</v>
      </c>
    </row>
    <row r="27" spans="1:9" ht="12.75" customHeight="1" x14ac:dyDescent="0.2">
      <c r="A27" s="50"/>
      <c r="C27" s="32"/>
      <c r="D27" s="62"/>
      <c r="E27" s="32"/>
      <c r="F27" s="32"/>
      <c r="G27" s="32"/>
      <c r="H27" s="32"/>
      <c r="I27" s="32"/>
    </row>
    <row r="28" spans="1:9" s="48" customFormat="1" ht="12.75" customHeight="1" x14ac:dyDescent="0.2">
      <c r="A28" s="14">
        <f>A26+1</f>
        <v>13</v>
      </c>
      <c r="B28" s="66" t="s">
        <v>80</v>
      </c>
      <c r="C28" s="32">
        <f>+C12-C21</f>
        <v>7.837999999999995E-2</v>
      </c>
      <c r="D28" s="64">
        <f>ROUND(+D12-D21,2)</f>
        <v>1.48</v>
      </c>
      <c r="E28" s="32">
        <f>+E12-E21</f>
        <v>7.8719999999999957E-2</v>
      </c>
      <c r="F28" s="32">
        <f>+F12-F21</f>
        <v>8.1479999999999941E-2</v>
      </c>
      <c r="G28" s="32">
        <f>+G12-G21</f>
        <v>8.2549999999999957E-2</v>
      </c>
      <c r="H28" s="32">
        <f>+H12-H21</f>
        <v>8.2959999999999978E-2</v>
      </c>
      <c r="I28" s="32">
        <f>+I12-I21</f>
        <v>8.1299999999999983E-2</v>
      </c>
    </row>
    <row r="29" spans="1:9" s="48" customFormat="1" ht="12.75" customHeight="1" x14ac:dyDescent="0.2">
      <c r="A29" s="14">
        <f>A28+1</f>
        <v>14</v>
      </c>
      <c r="B29" s="66" t="s">
        <v>81</v>
      </c>
      <c r="C29" s="32">
        <f>+C14-C23</f>
        <v>8.2109999999999961E-2</v>
      </c>
      <c r="D29" s="64">
        <f>ROUND(+D14-D23,2)</f>
        <v>1.56</v>
      </c>
      <c r="E29" s="32">
        <f>+E14-E23</f>
        <v>8.2470000000000043E-2</v>
      </c>
      <c r="F29" s="32">
        <f>+F14-F23</f>
        <v>8.5359999999999991E-2</v>
      </c>
      <c r="G29" s="32">
        <f>+G14-G23</f>
        <v>8.6480000000000001E-2</v>
      </c>
      <c r="H29" s="32">
        <f>+H14-H23</f>
        <v>8.6909999999999987E-2</v>
      </c>
      <c r="I29" s="32">
        <f>+I14-I23</f>
        <v>8.5169999999999968E-2</v>
      </c>
    </row>
    <row r="30" spans="1:9" ht="12.75" customHeight="1" x14ac:dyDescent="0.2">
      <c r="A30" s="50"/>
      <c r="B30" s="66"/>
      <c r="C30" s="32"/>
      <c r="D30" s="64"/>
      <c r="E30" s="32"/>
      <c r="F30" s="32"/>
      <c r="G30" s="32"/>
      <c r="H30" s="32"/>
      <c r="I30" s="32"/>
    </row>
    <row r="31" spans="1:9" ht="12.75" customHeight="1" x14ac:dyDescent="0.2">
      <c r="A31" s="14">
        <f>A29+1</f>
        <v>15</v>
      </c>
      <c r="B31" s="66" t="s">
        <v>82</v>
      </c>
      <c r="C31" s="32"/>
      <c r="D31" s="64"/>
      <c r="E31" s="32"/>
      <c r="F31" s="64">
        <f t="shared" ref="F31:I32" si="0">F16-F25</f>
        <v>0</v>
      </c>
      <c r="G31" s="64">
        <f t="shared" si="0"/>
        <v>0</v>
      </c>
      <c r="H31" s="64">
        <f t="shared" si="0"/>
        <v>0</v>
      </c>
      <c r="I31" s="64">
        <f t="shared" si="0"/>
        <v>0</v>
      </c>
    </row>
    <row r="32" spans="1:9" ht="12.75" customHeight="1" x14ac:dyDescent="0.2">
      <c r="A32" s="14">
        <f>A31+1</f>
        <v>16</v>
      </c>
      <c r="B32" s="66" t="s">
        <v>83</v>
      </c>
      <c r="C32" s="32"/>
      <c r="D32" s="64"/>
      <c r="E32" s="32"/>
      <c r="F32" s="64">
        <f t="shared" si="0"/>
        <v>2.3896466768695834E-3</v>
      </c>
      <c r="G32" s="64">
        <f t="shared" si="0"/>
        <v>2.3896466768695834E-3</v>
      </c>
      <c r="H32" s="64">
        <f t="shared" si="0"/>
        <v>2.3896466768695834E-3</v>
      </c>
      <c r="I32" s="64">
        <f t="shared" si="0"/>
        <v>2.3896466768695834E-3</v>
      </c>
    </row>
    <row r="33" spans="1:9" ht="12.75" customHeight="1" x14ac:dyDescent="0.2">
      <c r="A33" s="50"/>
      <c r="B33" s="66"/>
      <c r="C33" s="32"/>
      <c r="D33" s="64"/>
      <c r="E33" s="32"/>
      <c r="F33" s="64"/>
      <c r="G33" s="64"/>
      <c r="H33" s="64"/>
      <c r="I33" s="64"/>
    </row>
    <row r="34" spans="1:9" s="48" customFormat="1" ht="12.75" customHeight="1" x14ac:dyDescent="0.2">
      <c r="A34" s="14">
        <f>A32+1</f>
        <v>17</v>
      </c>
      <c r="B34" s="48" t="s">
        <v>122</v>
      </c>
      <c r="C34" s="67">
        <f>'Rates Summary '!E55</f>
        <v>0.21534789792546344</v>
      </c>
      <c r="D34" s="67">
        <f>'Rates Summary '!F55</f>
        <v>0.21534789792546344</v>
      </c>
      <c r="E34" s="67">
        <f>'Rates Summary '!G55</f>
        <v>0.22101031756666234</v>
      </c>
      <c r="F34" s="67">
        <f>'Rates Summary '!H55</f>
        <v>0.3238731218697829</v>
      </c>
      <c r="G34" s="67">
        <f>'Rates Summary '!I55</f>
        <v>0.28765300691857371</v>
      </c>
      <c r="H34" s="67">
        <f>'Rates Summary '!J55</f>
        <v>0.27676581109483467</v>
      </c>
      <c r="I34" s="67">
        <f>'Rates Summary '!K55</f>
        <v>0.27312083119548475</v>
      </c>
    </row>
    <row r="35" spans="1:9" s="48" customFormat="1" ht="12.75" customHeight="1" x14ac:dyDescent="0.2">
      <c r="A35" s="14"/>
      <c r="C35" s="68"/>
      <c r="D35" s="68"/>
      <c r="E35" s="68"/>
      <c r="F35" s="68"/>
      <c r="G35" s="68"/>
      <c r="H35" s="68"/>
      <c r="I35" s="68"/>
    </row>
    <row r="36" spans="1:9" s="48" customFormat="1" ht="12.75" customHeight="1" x14ac:dyDescent="0.2">
      <c r="A36" s="14">
        <f>A34+1</f>
        <v>18</v>
      </c>
      <c r="B36" s="3" t="s">
        <v>69</v>
      </c>
      <c r="C36" s="69">
        <f>'Rates Summary '!D44</f>
        <v>4.7610353323130461E-2</v>
      </c>
      <c r="E36" s="70"/>
      <c r="F36" s="70"/>
      <c r="G36" s="70"/>
      <c r="H36" s="70"/>
      <c r="I36" s="70"/>
    </row>
    <row r="37" spans="1:9" s="48" customFormat="1" ht="12.75" customHeight="1" x14ac:dyDescent="0.2">
      <c r="A37" s="14"/>
      <c r="B37" s="3"/>
      <c r="C37" s="71"/>
      <c r="E37" s="70"/>
      <c r="F37" s="70"/>
      <c r="G37" s="70"/>
      <c r="H37" s="70"/>
      <c r="I37" s="70"/>
    </row>
    <row r="38" spans="1:9" s="48" customFormat="1" ht="12" customHeight="1" x14ac:dyDescent="0.2">
      <c r="A38" s="72" t="s">
        <v>75</v>
      </c>
      <c r="B38" s="3"/>
      <c r="C38" s="73"/>
      <c r="E38" s="70"/>
      <c r="F38" s="70"/>
      <c r="G38" s="70"/>
      <c r="H38" s="70"/>
      <c r="I38" s="70"/>
    </row>
    <row r="39" spans="1:9" s="48" customFormat="1" ht="12.75" customHeight="1" x14ac:dyDescent="0.2">
      <c r="A39" s="72" t="s">
        <v>121</v>
      </c>
      <c r="B39" s="3"/>
      <c r="C39" s="71"/>
      <c r="E39" s="70"/>
      <c r="F39" s="70"/>
      <c r="G39" s="70"/>
      <c r="H39" s="70"/>
      <c r="I39" s="70"/>
    </row>
    <row r="40" spans="1:9" ht="113.25" customHeight="1" x14ac:dyDescent="0.2">
      <c r="D40" s="48"/>
      <c r="E40" s="48"/>
      <c r="F40" s="48"/>
      <c r="G40" s="48"/>
    </row>
    <row r="43" spans="1:9" x14ac:dyDescent="0.2">
      <c r="A43" s="6" t="s">
        <v>208</v>
      </c>
    </row>
  </sheetData>
  <phoneticPr fontId="4" type="noConversion"/>
  <printOptions horizontalCentered="1"/>
  <pageMargins left="0.75" right="0.75" top="1" bottom="1" header="0.5" footer="0.5"/>
  <pageSetup scale="75" orientation="landscape" blackAndWhite="1" r:id="rId1"/>
  <headerFooter alignWithMargins="0">
    <oddFooter>&amp;CPage# &amp;P of &amp;N&amp;R&amp;F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6"/>
  <sheetViews>
    <sheetView zoomScaleNormal="100" workbookViewId="0">
      <pane xSplit="3" ySplit="9" topLeftCell="D10" activePane="bottomRight" state="frozen"/>
      <selection activeCell="M26" sqref="M26"/>
      <selection pane="topRight" activeCell="M26" sqref="M26"/>
      <selection pane="bottomLeft" activeCell="M26" sqref="M26"/>
      <selection pane="bottomRight" activeCell="A36" sqref="A36"/>
    </sheetView>
  </sheetViews>
  <sheetFormatPr defaultColWidth="9.140625" defaultRowHeight="11.25" x14ac:dyDescent="0.2"/>
  <cols>
    <col min="1" max="1" width="29.42578125" style="171" customWidth="1"/>
    <col min="2" max="2" width="8.28515625" style="171" bestFit="1" customWidth="1"/>
    <col min="3" max="3" width="12" style="171" bestFit="1" customWidth="1"/>
    <col min="4" max="4" width="11.5703125" style="171" bestFit="1" customWidth="1"/>
    <col min="5" max="5" width="9.85546875" style="171" bestFit="1" customWidth="1"/>
    <col min="6" max="6" width="12.85546875" style="171" bestFit="1" customWidth="1"/>
    <col min="7" max="7" width="12.140625" style="171" bestFit="1" customWidth="1"/>
    <col min="8" max="8" width="11.5703125" style="171" bestFit="1" customWidth="1"/>
    <col min="9" max="10" width="10.7109375" style="171" bestFit="1" customWidth="1"/>
    <col min="11" max="11" width="9.85546875" style="171" bestFit="1" customWidth="1"/>
    <col min="12" max="12" width="10.7109375" style="171" bestFit="1" customWidth="1"/>
    <col min="13" max="13" width="11.28515625" style="171" bestFit="1" customWidth="1"/>
    <col min="14" max="16" width="10.42578125" style="171" bestFit="1" customWidth="1"/>
    <col min="17" max="17" width="10.7109375" style="171" bestFit="1" customWidth="1"/>
    <col min="18" max="18" width="14.28515625" style="171" bestFit="1" customWidth="1"/>
    <col min="19" max="19" width="11.5703125" style="171" bestFit="1" customWidth="1"/>
    <col min="20" max="20" width="11.5703125" style="171" customWidth="1"/>
    <col min="21" max="21" width="6.85546875" style="171" bestFit="1" customWidth="1"/>
    <col min="22" max="22" width="12.28515625" style="171" customWidth="1"/>
    <col min="23" max="23" width="9.140625" style="171" bestFit="1" customWidth="1"/>
    <col min="24" max="16384" width="9.140625" style="171"/>
  </cols>
  <sheetData>
    <row r="1" spans="1:23" x14ac:dyDescent="0.2">
      <c r="A1" s="457" t="str">
        <f>'Rates Summary '!B1</f>
        <v>Puget Sound Energy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</row>
    <row r="2" spans="1:23" x14ac:dyDescent="0.2">
      <c r="A2" s="457" t="str">
        <f>'Rates Summary '!B2</f>
        <v>PGA Filing Proposed Effective November 1, 2021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</row>
    <row r="3" spans="1:23" x14ac:dyDescent="0.2">
      <c r="A3" s="457" t="str">
        <f>'Rates Summary '!B3</f>
        <v>Calculation of Proposed Schedule 101 Rates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</row>
    <row r="4" spans="1:23" x14ac:dyDescent="0.2">
      <c r="A4" s="458" t="s">
        <v>220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458"/>
      <c r="T4" s="458"/>
      <c r="U4" s="458"/>
    </row>
    <row r="5" spans="1:23" x14ac:dyDescent="0.2">
      <c r="E5" s="172"/>
      <c r="M5" s="172"/>
      <c r="Q5" s="172"/>
      <c r="S5" s="394" t="s">
        <v>221</v>
      </c>
      <c r="T5" s="394" t="s">
        <v>222</v>
      </c>
      <c r="U5" s="394" t="s">
        <v>221</v>
      </c>
      <c r="V5" s="394" t="s">
        <v>222</v>
      </c>
    </row>
    <row r="6" spans="1:23" ht="36" customHeight="1" x14ac:dyDescent="0.2">
      <c r="A6" s="395"/>
      <c r="B6" s="395"/>
      <c r="C6" s="396" t="s">
        <v>324</v>
      </c>
      <c r="D6" s="396" t="s">
        <v>324</v>
      </c>
      <c r="E6" s="395"/>
      <c r="F6" s="395" t="s">
        <v>143</v>
      </c>
      <c r="G6" s="172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4" t="s">
        <v>322</v>
      </c>
      <c r="S6" s="394"/>
      <c r="T6" s="397" t="s">
        <v>256</v>
      </c>
      <c r="U6" s="394"/>
      <c r="V6" s="397" t="s">
        <v>256</v>
      </c>
      <c r="W6" s="394" t="s">
        <v>245</v>
      </c>
    </row>
    <row r="7" spans="1:23" ht="11.25" customHeight="1" x14ac:dyDescent="0.2">
      <c r="A7" s="395"/>
      <c r="B7" s="395" t="s">
        <v>1</v>
      </c>
      <c r="C7" s="395" t="s">
        <v>100</v>
      </c>
      <c r="D7" s="395" t="s">
        <v>163</v>
      </c>
      <c r="E7" s="395" t="s">
        <v>164</v>
      </c>
      <c r="F7" s="395" t="s">
        <v>144</v>
      </c>
      <c r="G7" s="172" t="s">
        <v>143</v>
      </c>
      <c r="H7" s="395" t="s">
        <v>221</v>
      </c>
      <c r="I7" s="395" t="s">
        <v>222</v>
      </c>
      <c r="J7" s="395" t="s">
        <v>223</v>
      </c>
      <c r="K7" s="395" t="s">
        <v>224</v>
      </c>
      <c r="L7" s="395" t="s">
        <v>225</v>
      </c>
      <c r="M7" s="395" t="s">
        <v>226</v>
      </c>
      <c r="N7" s="395" t="s">
        <v>227</v>
      </c>
      <c r="O7" s="395" t="s">
        <v>228</v>
      </c>
      <c r="P7" s="395" t="s">
        <v>229</v>
      </c>
      <c r="Q7" s="395" t="s">
        <v>230</v>
      </c>
      <c r="R7" s="395" t="s">
        <v>162</v>
      </c>
      <c r="S7" s="395" t="s">
        <v>46</v>
      </c>
      <c r="T7" s="395" t="s">
        <v>46</v>
      </c>
      <c r="U7" s="395" t="s">
        <v>54</v>
      </c>
      <c r="V7" s="395" t="s">
        <v>54</v>
      </c>
      <c r="W7" s="395" t="s">
        <v>54</v>
      </c>
    </row>
    <row r="8" spans="1:23" x14ac:dyDescent="0.2">
      <c r="A8" s="398" t="s">
        <v>101</v>
      </c>
      <c r="B8" s="398" t="s">
        <v>16</v>
      </c>
      <c r="C8" s="398" t="s">
        <v>231</v>
      </c>
      <c r="D8" s="398" t="s">
        <v>232</v>
      </c>
      <c r="E8" s="398" t="s">
        <v>165</v>
      </c>
      <c r="F8" s="399" t="s">
        <v>319</v>
      </c>
      <c r="G8" s="398" t="s">
        <v>166</v>
      </c>
      <c r="H8" s="398" t="s">
        <v>46</v>
      </c>
      <c r="I8" s="398" t="s">
        <v>46</v>
      </c>
      <c r="J8" s="398" t="s">
        <v>46</v>
      </c>
      <c r="K8" s="398" t="s">
        <v>46</v>
      </c>
      <c r="L8" s="398" t="s">
        <v>46</v>
      </c>
      <c r="M8" s="398" t="s">
        <v>46</v>
      </c>
      <c r="N8" s="398" t="s">
        <v>46</v>
      </c>
      <c r="O8" s="398" t="s">
        <v>46</v>
      </c>
      <c r="P8" s="398" t="s">
        <v>46</v>
      </c>
      <c r="Q8" s="398" t="s">
        <v>46</v>
      </c>
      <c r="R8" s="398" t="s">
        <v>233</v>
      </c>
      <c r="S8" s="398" t="s">
        <v>29</v>
      </c>
      <c r="T8" s="398" t="s">
        <v>29</v>
      </c>
      <c r="U8" s="398" t="s">
        <v>29</v>
      </c>
      <c r="V8" s="398" t="s">
        <v>29</v>
      </c>
      <c r="W8" s="398" t="s">
        <v>29</v>
      </c>
    </row>
    <row r="9" spans="1:23" x14ac:dyDescent="0.2">
      <c r="A9" s="395" t="s">
        <v>102</v>
      </c>
      <c r="B9" s="395" t="s">
        <v>103</v>
      </c>
      <c r="C9" s="400" t="s">
        <v>104</v>
      </c>
      <c r="D9" s="401" t="s">
        <v>167</v>
      </c>
      <c r="E9" s="395" t="s">
        <v>234</v>
      </c>
      <c r="F9" s="395" t="s">
        <v>168</v>
      </c>
      <c r="G9" s="395" t="s">
        <v>235</v>
      </c>
      <c r="H9" s="395" t="s">
        <v>105</v>
      </c>
      <c r="I9" s="395" t="s">
        <v>169</v>
      </c>
      <c r="J9" s="395" t="s">
        <v>170</v>
      </c>
      <c r="K9" s="401" t="s">
        <v>171</v>
      </c>
      <c r="L9" s="395" t="s">
        <v>172</v>
      </c>
      <c r="M9" s="401" t="s">
        <v>173</v>
      </c>
      <c r="N9" s="401" t="s">
        <v>174</v>
      </c>
      <c r="O9" s="395" t="s">
        <v>175</v>
      </c>
      <c r="P9" s="401" t="s">
        <v>176</v>
      </c>
      <c r="Q9" s="395" t="s">
        <v>177</v>
      </c>
      <c r="R9" s="401" t="s">
        <v>236</v>
      </c>
      <c r="S9" s="395" t="s">
        <v>237</v>
      </c>
      <c r="T9" s="395" t="s">
        <v>249</v>
      </c>
      <c r="U9" s="395" t="s">
        <v>246</v>
      </c>
      <c r="V9" s="395" t="s">
        <v>247</v>
      </c>
      <c r="W9" s="395" t="s">
        <v>248</v>
      </c>
    </row>
    <row r="10" spans="1:23" x14ac:dyDescent="0.2">
      <c r="A10" s="171" t="s">
        <v>20</v>
      </c>
      <c r="B10" s="402" t="s">
        <v>178</v>
      </c>
      <c r="C10" s="403">
        <v>609248315.15931809</v>
      </c>
      <c r="D10" s="403">
        <v>369409021.81868041</v>
      </c>
      <c r="E10" s="404">
        <f t="shared" ref="E10:E15" si="0">(D10)/C10</f>
        <v>0.60633572982812456</v>
      </c>
      <c r="F10" s="403">
        <v>636122043</v>
      </c>
      <c r="G10" s="405">
        <f>E10*F10</f>
        <v>385703523.20216262</v>
      </c>
      <c r="H10" s="406">
        <v>242546973.78</v>
      </c>
      <c r="I10" s="406">
        <v>30705611.02</v>
      </c>
      <c r="J10" s="406">
        <v>12843304.04817</v>
      </c>
      <c r="K10" s="406">
        <v>4459215.5214299997</v>
      </c>
      <c r="L10" s="406">
        <v>14471776.478249999</v>
      </c>
      <c r="M10" s="406">
        <v>-8829373.9568399992</v>
      </c>
      <c r="N10" s="406">
        <v>-432562.98924000002</v>
      </c>
      <c r="O10" s="406">
        <v>-871487.19890999992</v>
      </c>
      <c r="P10" s="406">
        <v>14325468.41</v>
      </c>
      <c r="Q10" s="406">
        <v>11259360.1611</v>
      </c>
      <c r="R10" s="407">
        <f>SUM(G10:Q10)</f>
        <v>706181808.4761225</v>
      </c>
      <c r="S10" s="406">
        <f>'Schedule 101 Revenue'!I10</f>
        <v>52231980.950000018</v>
      </c>
      <c r="T10" s="406">
        <v>-14051935.93</v>
      </c>
      <c r="U10" s="408">
        <f>S10/R10</f>
        <v>7.3963928726388448E-2</v>
      </c>
      <c r="V10" s="408">
        <f>T10/R10</f>
        <v>-1.9898467733575335E-2</v>
      </c>
      <c r="W10" s="408">
        <f>SUM(S10:T10)/R10</f>
        <v>5.4065460992813105E-2</v>
      </c>
    </row>
    <row r="11" spans="1:23" x14ac:dyDescent="0.2">
      <c r="A11" s="171" t="s">
        <v>179</v>
      </c>
      <c r="B11" s="402">
        <v>16</v>
      </c>
      <c r="C11" s="403">
        <v>9386</v>
      </c>
      <c r="D11" s="403">
        <v>5636.54</v>
      </c>
      <c r="E11" s="404">
        <f t="shared" si="0"/>
        <v>0.60052631578947369</v>
      </c>
      <c r="F11" s="403">
        <v>8832</v>
      </c>
      <c r="G11" s="405">
        <f t="shared" ref="G11:G22" si="1">E11*F11</f>
        <v>5303.8484210526312</v>
      </c>
      <c r="H11" s="406">
        <v>3367.55</v>
      </c>
      <c r="I11" s="406">
        <v>426.32</v>
      </c>
      <c r="J11" s="406">
        <v>178.31808000000001</v>
      </c>
      <c r="K11" s="406">
        <v>0</v>
      </c>
      <c r="L11" s="406">
        <v>200.928</v>
      </c>
      <c r="M11" s="406">
        <v>-122.58816</v>
      </c>
      <c r="N11" s="406">
        <v>-6.0057600000000004</v>
      </c>
      <c r="O11" s="406">
        <v>-12.099839999999999</v>
      </c>
      <c r="P11" s="406">
        <v>0</v>
      </c>
      <c r="Q11" s="406">
        <v>156.32640000000001</v>
      </c>
      <c r="R11" s="407">
        <f t="shared" ref="R11:R22" si="2">SUM(G11:Q11)</f>
        <v>9492.5971410526327</v>
      </c>
      <c r="S11" s="406">
        <f>'Schedule 101 Revenue'!I13</f>
        <v>725.19999999999982</v>
      </c>
      <c r="T11" s="406">
        <v>-195.1</v>
      </c>
      <c r="U11" s="408">
        <f t="shared" ref="U11:U22" si="3">S11/R11</f>
        <v>7.6396373850495303E-2</v>
      </c>
      <c r="V11" s="408">
        <f t="shared" ref="V11:V23" si="4">T11/R11</f>
        <v>-2.0552857885040868E-2</v>
      </c>
      <c r="W11" s="408">
        <f t="shared" ref="W11:W33" si="5">SUM(S11:T11)/R11</f>
        <v>5.5843515965454435E-2</v>
      </c>
    </row>
    <row r="12" spans="1:23" x14ac:dyDescent="0.2">
      <c r="A12" s="171" t="s">
        <v>36</v>
      </c>
      <c r="B12" s="402">
        <v>31</v>
      </c>
      <c r="C12" s="403">
        <v>234140158.08963937</v>
      </c>
      <c r="D12" s="403">
        <v>117941137.18000001</v>
      </c>
      <c r="E12" s="404">
        <f t="shared" si="0"/>
        <v>0.50372024236375057</v>
      </c>
      <c r="F12" s="403">
        <v>237822307</v>
      </c>
      <c r="G12" s="405">
        <f t="shared" si="1"/>
        <v>119795910.1215463</v>
      </c>
      <c r="H12" s="406">
        <v>88743393.859999999</v>
      </c>
      <c r="I12" s="406">
        <v>11444009.41</v>
      </c>
      <c r="J12" s="406">
        <v>4801632.3783299997</v>
      </c>
      <c r="K12" s="406">
        <v>1322292.0269199999</v>
      </c>
      <c r="L12" s="406">
        <v>6259483.1202400001</v>
      </c>
      <c r="M12" s="406">
        <v>-3555443.4896499999</v>
      </c>
      <c r="N12" s="406">
        <v>-171232.06104</v>
      </c>
      <c r="O12" s="406">
        <v>-349598.79128999996</v>
      </c>
      <c r="P12" s="406">
        <v>7676904.0699999994</v>
      </c>
      <c r="Q12" s="406">
        <v>4471059.3716000002</v>
      </c>
      <c r="R12" s="407">
        <f t="shared" si="2"/>
        <v>240438410.01665625</v>
      </c>
      <c r="S12" s="406">
        <f>'Schedule 101 Revenue'!I16</f>
        <v>19613205.659999996</v>
      </c>
      <c r="T12" s="406">
        <v>-5227334.3099999996</v>
      </c>
      <c r="U12" s="408">
        <f t="shared" si="3"/>
        <v>8.1572680748642865E-2</v>
      </c>
      <c r="V12" s="408">
        <f t="shared" si="4"/>
        <v>-2.1740845439952288E-2</v>
      </c>
      <c r="W12" s="408">
        <f t="shared" si="5"/>
        <v>5.9831835308690587E-2</v>
      </c>
    </row>
    <row r="13" spans="1:23" x14ac:dyDescent="0.2">
      <c r="A13" s="171" t="s">
        <v>22</v>
      </c>
      <c r="B13" s="402">
        <v>41</v>
      </c>
      <c r="C13" s="403">
        <v>65836657.463465497</v>
      </c>
      <c r="D13" s="403">
        <v>16769592.583254175</v>
      </c>
      <c r="E13" s="404">
        <f t="shared" si="0"/>
        <v>0.25471512724594297</v>
      </c>
      <c r="F13" s="403">
        <v>66459784</v>
      </c>
      <c r="G13" s="405">
        <f t="shared" si="1"/>
        <v>16928312.338297885</v>
      </c>
      <c r="H13" s="406">
        <v>22205879.23</v>
      </c>
      <c r="I13" s="406">
        <v>3156175.14</v>
      </c>
      <c r="J13" s="406">
        <v>1341823.03896</v>
      </c>
      <c r="K13" s="406">
        <v>202702.34120000002</v>
      </c>
      <c r="L13" s="406">
        <v>584181.50135999999</v>
      </c>
      <c r="M13" s="406">
        <v>-378820.76880000002</v>
      </c>
      <c r="N13" s="406">
        <v>-19273.337360000001</v>
      </c>
      <c r="O13" s="406">
        <v>-37217.479039999998</v>
      </c>
      <c r="P13" s="406">
        <v>-1328498.6000000001</v>
      </c>
      <c r="Q13" s="406">
        <v>616082.19767999998</v>
      </c>
      <c r="R13" s="407">
        <f t="shared" si="2"/>
        <v>43271345.602297887</v>
      </c>
      <c r="S13" s="406">
        <f>'Schedule 101 Revenue'!I21</f>
        <v>5673007.1599999964</v>
      </c>
      <c r="T13" s="406">
        <v>-1426226.96</v>
      </c>
      <c r="U13" s="408">
        <f t="shared" si="3"/>
        <v>0.13110309099559725</v>
      </c>
      <c r="V13" s="408">
        <f t="shared" si="4"/>
        <v>-3.2960078780731546E-2</v>
      </c>
      <c r="W13" s="408">
        <f t="shared" si="5"/>
        <v>9.8143012214865696E-2</v>
      </c>
    </row>
    <row r="14" spans="1:23" x14ac:dyDescent="0.2">
      <c r="A14" s="171" t="s">
        <v>117</v>
      </c>
      <c r="B14" s="402">
        <v>85</v>
      </c>
      <c r="C14" s="403">
        <v>16184434.068649083</v>
      </c>
      <c r="D14" s="403">
        <v>1712016.4100000001</v>
      </c>
      <c r="E14" s="404">
        <f t="shared" si="0"/>
        <v>0.10578166667664657</v>
      </c>
      <c r="F14" s="403">
        <v>11987089</v>
      </c>
      <c r="G14" s="405">
        <f t="shared" si="1"/>
        <v>1268014.2530212966</v>
      </c>
      <c r="H14" s="406">
        <v>3694531.9899999998</v>
      </c>
      <c r="I14" s="406">
        <v>563992.54</v>
      </c>
      <c r="J14" s="406">
        <v>201143.35342</v>
      </c>
      <c r="K14" s="406">
        <v>17018.899667769929</v>
      </c>
      <c r="L14" s="406">
        <v>58137.381650000003</v>
      </c>
      <c r="M14" s="406">
        <v>-32365.140300000003</v>
      </c>
      <c r="N14" s="406">
        <v>-1917.93424</v>
      </c>
      <c r="O14" s="406">
        <v>-3236.5140299999998</v>
      </c>
      <c r="P14" s="406">
        <v>0</v>
      </c>
      <c r="Q14" s="406">
        <v>59336.090550000008</v>
      </c>
      <c r="R14" s="407">
        <f t="shared" si="2"/>
        <v>5824654.9197390648</v>
      </c>
      <c r="S14" s="406">
        <f>'Schedule 101 Revenue'!I26</f>
        <v>1036643.4499999997</v>
      </c>
      <c r="T14" s="406">
        <v>-252927.58</v>
      </c>
      <c r="U14" s="408">
        <f t="shared" si="3"/>
        <v>0.17797508423837058</v>
      </c>
      <c r="V14" s="408">
        <f t="shared" si="4"/>
        <v>-4.342361624597852E-2</v>
      </c>
      <c r="W14" s="408">
        <f t="shared" si="5"/>
        <v>0.13455146799239207</v>
      </c>
    </row>
    <row r="15" spans="1:23" x14ac:dyDescent="0.2">
      <c r="A15" s="171" t="s">
        <v>140</v>
      </c>
      <c r="B15" s="402">
        <v>86</v>
      </c>
      <c r="C15" s="403">
        <v>9397200.2729263548</v>
      </c>
      <c r="D15" s="403">
        <v>1992002.78</v>
      </c>
      <c r="E15" s="404">
        <f t="shared" si="0"/>
        <v>0.21197832568696295</v>
      </c>
      <c r="F15" s="403">
        <v>6125732</v>
      </c>
      <c r="G15" s="405">
        <f t="shared" si="1"/>
        <v>1298522.4129670509</v>
      </c>
      <c r="H15" s="406">
        <v>2010123.73</v>
      </c>
      <c r="I15" s="406">
        <v>289440.84000000003</v>
      </c>
      <c r="J15" s="406">
        <v>102789.78296</v>
      </c>
      <c r="K15" s="406">
        <v>18132.166720000001</v>
      </c>
      <c r="L15" s="406">
        <v>66464.192200000005</v>
      </c>
      <c r="M15" s="406">
        <v>-20704.974160000002</v>
      </c>
      <c r="N15" s="406">
        <v>-1960.2342400000002</v>
      </c>
      <c r="O15" s="406">
        <v>-2021.4915599999999</v>
      </c>
      <c r="P15" s="406">
        <v>-106522.28</v>
      </c>
      <c r="Q15" s="406">
        <v>54028.95624</v>
      </c>
      <c r="R15" s="407">
        <f t="shared" si="2"/>
        <v>3708293.1011270508</v>
      </c>
      <c r="S15" s="406">
        <f>'Schedule 101 Revenue'!I31</f>
        <v>532387.36999999988</v>
      </c>
      <c r="T15" s="406">
        <v>-130294.32</v>
      </c>
      <c r="U15" s="408">
        <f t="shared" si="3"/>
        <v>0.14356669105745523</v>
      </c>
      <c r="V15" s="408">
        <f t="shared" si="4"/>
        <v>-3.5135928160694746E-2</v>
      </c>
      <c r="W15" s="408">
        <f t="shared" si="5"/>
        <v>0.10843076289676047</v>
      </c>
    </row>
    <row r="16" spans="1:23" x14ac:dyDescent="0.2">
      <c r="A16" s="171" t="s">
        <v>180</v>
      </c>
      <c r="B16" s="402">
        <v>87</v>
      </c>
      <c r="C16" s="403">
        <v>23337042.118500695</v>
      </c>
      <c r="D16" s="403">
        <v>1405341.91</v>
      </c>
      <c r="E16" s="404">
        <f>(D16)/C16</f>
        <v>6.0219367255882859E-2</v>
      </c>
      <c r="F16" s="403">
        <v>17216892</v>
      </c>
      <c r="G16" s="405">
        <f t="shared" si="1"/>
        <v>1036790.3423528716</v>
      </c>
      <c r="H16" s="406">
        <v>5368915.5999999996</v>
      </c>
      <c r="I16" s="406">
        <v>810571.28</v>
      </c>
      <c r="J16" s="406">
        <v>288899.44776000001</v>
      </c>
      <c r="K16" s="406">
        <v>10059.75595671299</v>
      </c>
      <c r="L16" s="406">
        <v>45452.594879999997</v>
      </c>
      <c r="M16" s="406">
        <v>-24447.986639999999</v>
      </c>
      <c r="N16" s="406">
        <v>-1377.3513600000001</v>
      </c>
      <c r="O16" s="406">
        <v>-2410.3648799999996</v>
      </c>
      <c r="P16" s="406">
        <v>0</v>
      </c>
      <c r="Q16" s="406">
        <v>49928.986799999999</v>
      </c>
      <c r="R16" s="407">
        <f t="shared" si="2"/>
        <v>7582382.3048695847</v>
      </c>
      <c r="S16" s="406">
        <f>'Schedule 101 Revenue'!I36</f>
        <v>1466362.6900000004</v>
      </c>
      <c r="T16" s="406">
        <v>-363792.93</v>
      </c>
      <c r="U16" s="408">
        <f t="shared" si="3"/>
        <v>0.19339076177394376</v>
      </c>
      <c r="V16" s="408">
        <f t="shared" si="4"/>
        <v>-4.797871109273448E-2</v>
      </c>
      <c r="W16" s="408">
        <f t="shared" si="5"/>
        <v>0.14541205068120927</v>
      </c>
    </row>
    <row r="17" spans="1:23" x14ac:dyDescent="0.2">
      <c r="A17" s="171" t="s">
        <v>181</v>
      </c>
      <c r="B17" s="402" t="s">
        <v>182</v>
      </c>
      <c r="C17" s="403">
        <v>36359.963605097219</v>
      </c>
      <c r="D17" s="403">
        <v>25456.9</v>
      </c>
      <c r="E17" s="404">
        <f>(D17)/C17</f>
        <v>0.70013546428388773</v>
      </c>
      <c r="F17" s="403">
        <v>35141</v>
      </c>
      <c r="G17" s="405">
        <f t="shared" si="1"/>
        <v>24603.460350400099</v>
      </c>
      <c r="H17" s="406">
        <v>0</v>
      </c>
      <c r="I17" s="406">
        <v>0</v>
      </c>
      <c r="J17" s="406">
        <v>0</v>
      </c>
      <c r="K17" s="406">
        <v>195.38396</v>
      </c>
      <c r="L17" s="406">
        <v>924.91111999999998</v>
      </c>
      <c r="M17" s="406">
        <v>-525.35794999999996</v>
      </c>
      <c r="N17" s="406">
        <v>-25.30152</v>
      </c>
      <c r="O17" s="406">
        <v>-51.657269999999997</v>
      </c>
      <c r="P17" s="406">
        <v>1095.3399999999999</v>
      </c>
      <c r="Q17" s="406">
        <v>660.6508</v>
      </c>
      <c r="R17" s="407">
        <f t="shared" si="2"/>
        <v>26877.429490400096</v>
      </c>
      <c r="S17" s="406"/>
      <c r="T17" s="406"/>
      <c r="U17" s="408">
        <f t="shared" si="3"/>
        <v>0</v>
      </c>
      <c r="V17" s="408">
        <f t="shared" si="4"/>
        <v>0</v>
      </c>
      <c r="W17" s="408">
        <f t="shared" si="5"/>
        <v>0</v>
      </c>
    </row>
    <row r="18" spans="1:23" x14ac:dyDescent="0.2">
      <c r="A18" s="171" t="s">
        <v>183</v>
      </c>
      <c r="B18" s="171" t="s">
        <v>138</v>
      </c>
      <c r="C18" s="403">
        <v>20492334.449073859</v>
      </c>
      <c r="D18" s="403">
        <v>4419777.9054754293</v>
      </c>
      <c r="E18" s="404">
        <f t="shared" ref="E18:E23" si="6">(D18)/C18</f>
        <v>0.21567957113227668</v>
      </c>
      <c r="F18" s="403">
        <v>24281446</v>
      </c>
      <c r="G18" s="405">
        <f>E18*F18</f>
        <v>5237011.8597515346</v>
      </c>
      <c r="H18" s="406">
        <v>0</v>
      </c>
      <c r="I18" s="406">
        <v>0</v>
      </c>
      <c r="J18" s="406">
        <v>0</v>
      </c>
      <c r="K18" s="406">
        <v>74058.410300000003</v>
      </c>
      <c r="L18" s="406">
        <v>213433.91033999997</v>
      </c>
      <c r="M18" s="406">
        <v>-138404.24220000001</v>
      </c>
      <c r="N18" s="406">
        <v>-7041.6193400000002</v>
      </c>
      <c r="O18" s="406">
        <v>-13597.609759999999</v>
      </c>
      <c r="P18" s="406">
        <v>-424057.16</v>
      </c>
      <c r="Q18" s="406">
        <v>225089.00442000001</v>
      </c>
      <c r="R18" s="407">
        <f>SUM(G18:Q18)</f>
        <v>5166492.5535115339</v>
      </c>
      <c r="S18" s="406"/>
      <c r="T18" s="406"/>
      <c r="U18" s="408">
        <f t="shared" si="3"/>
        <v>0</v>
      </c>
      <c r="V18" s="408">
        <f t="shared" si="4"/>
        <v>0</v>
      </c>
      <c r="W18" s="408">
        <f t="shared" si="5"/>
        <v>0</v>
      </c>
    </row>
    <row r="19" spans="1:23" x14ac:dyDescent="0.2">
      <c r="A19" s="171" t="s">
        <v>184</v>
      </c>
      <c r="B19" s="171" t="s">
        <v>139</v>
      </c>
      <c r="C19" s="403">
        <v>74773537.134971082</v>
      </c>
      <c r="D19" s="403">
        <v>7547127.8200000003</v>
      </c>
      <c r="E19" s="404">
        <f t="shared" si="6"/>
        <v>0.10093313903790516</v>
      </c>
      <c r="F19" s="403">
        <v>63933179</v>
      </c>
      <c r="G19" s="405">
        <f t="shared" si="1"/>
        <v>6452976.4451422784</v>
      </c>
      <c r="H19" s="406">
        <v>0</v>
      </c>
      <c r="I19" s="406">
        <v>0</v>
      </c>
      <c r="J19" s="406">
        <v>0</v>
      </c>
      <c r="K19" s="406">
        <v>83219.495174252661</v>
      </c>
      <c r="L19" s="406">
        <v>310075.91814999998</v>
      </c>
      <c r="M19" s="406">
        <v>-172619.5833</v>
      </c>
      <c r="N19" s="406">
        <v>-10229.308640000001</v>
      </c>
      <c r="O19" s="406">
        <v>-17261.958330000001</v>
      </c>
      <c r="P19" s="406">
        <v>0</v>
      </c>
      <c r="Q19" s="406">
        <v>316469.23605000001</v>
      </c>
      <c r="R19" s="407">
        <f t="shared" si="2"/>
        <v>6962630.2442465313</v>
      </c>
      <c r="S19" s="406"/>
      <c r="T19" s="406"/>
      <c r="U19" s="408">
        <f t="shared" si="3"/>
        <v>0</v>
      </c>
      <c r="V19" s="408">
        <f t="shared" si="4"/>
        <v>0</v>
      </c>
      <c r="W19" s="408">
        <f t="shared" si="5"/>
        <v>0</v>
      </c>
    </row>
    <row r="20" spans="1:23" x14ac:dyDescent="0.2">
      <c r="A20" s="171" t="s">
        <v>185</v>
      </c>
      <c r="B20" s="171" t="s">
        <v>141</v>
      </c>
      <c r="C20" s="403">
        <v>351288.14999999997</v>
      </c>
      <c r="D20" s="403">
        <v>70216.179999999993</v>
      </c>
      <c r="E20" s="404">
        <f t="shared" si="6"/>
        <v>0.19988200569817113</v>
      </c>
      <c r="F20" s="403">
        <v>505400</v>
      </c>
      <c r="G20" s="405">
        <f t="shared" si="1"/>
        <v>101020.36567985569</v>
      </c>
      <c r="H20" s="406">
        <v>0</v>
      </c>
      <c r="I20" s="406">
        <v>0</v>
      </c>
      <c r="J20" s="406">
        <v>0</v>
      </c>
      <c r="K20" s="406">
        <v>1495.9839999999999</v>
      </c>
      <c r="L20" s="406">
        <v>5483.59</v>
      </c>
      <c r="M20" s="406">
        <v>-1708.2520000000002</v>
      </c>
      <c r="N20" s="406">
        <v>-161.72800000000001</v>
      </c>
      <c r="O20" s="406">
        <v>-166.78200000000001</v>
      </c>
      <c r="P20" s="406">
        <v>-8158.8</v>
      </c>
      <c r="Q20" s="406">
        <v>4457.6279999999997</v>
      </c>
      <c r="R20" s="407">
        <f t="shared" si="2"/>
        <v>102262.00567985568</v>
      </c>
      <c r="S20" s="406"/>
      <c r="T20" s="406"/>
      <c r="U20" s="408">
        <f t="shared" si="3"/>
        <v>0</v>
      </c>
      <c r="V20" s="408">
        <f t="shared" si="4"/>
        <v>0</v>
      </c>
      <c r="W20" s="408">
        <f t="shared" si="5"/>
        <v>0</v>
      </c>
    </row>
    <row r="21" spans="1:23" x14ac:dyDescent="0.2">
      <c r="A21" s="171" t="s">
        <v>186</v>
      </c>
      <c r="B21" s="171" t="s">
        <v>142</v>
      </c>
      <c r="C21" s="403">
        <v>100441128.37470125</v>
      </c>
      <c r="D21" s="403">
        <v>4429994.87</v>
      </c>
      <c r="E21" s="404">
        <f t="shared" si="6"/>
        <v>4.4105387321751864E-2</v>
      </c>
      <c r="F21" s="403">
        <v>85254176</v>
      </c>
      <c r="G21" s="405">
        <f t="shared" si="1"/>
        <v>3760168.4532768019</v>
      </c>
      <c r="H21" s="406">
        <v>0</v>
      </c>
      <c r="I21" s="406">
        <v>0</v>
      </c>
      <c r="J21" s="406">
        <v>0</v>
      </c>
      <c r="K21" s="406">
        <v>40787.353013194763</v>
      </c>
      <c r="L21" s="406">
        <v>225071.02463999999</v>
      </c>
      <c r="M21" s="406">
        <v>-121060.92992000001</v>
      </c>
      <c r="N21" s="406">
        <v>-6820.3340800000005</v>
      </c>
      <c r="O21" s="406">
        <v>-11935.584639999999</v>
      </c>
      <c r="P21" s="406">
        <v>0</v>
      </c>
      <c r="Q21" s="406">
        <v>247237.11039999998</v>
      </c>
      <c r="R21" s="407">
        <f t="shared" si="2"/>
        <v>4133447.0926899966</v>
      </c>
      <c r="S21" s="406"/>
      <c r="T21" s="406"/>
      <c r="U21" s="408">
        <f t="shared" si="3"/>
        <v>0</v>
      </c>
      <c r="V21" s="408">
        <f t="shared" si="4"/>
        <v>0</v>
      </c>
      <c r="W21" s="408">
        <f t="shared" si="5"/>
        <v>0</v>
      </c>
    </row>
    <row r="22" spans="1:23" x14ac:dyDescent="0.2">
      <c r="A22" s="171" t="s">
        <v>187</v>
      </c>
      <c r="C22" s="409">
        <v>37056427.854413897</v>
      </c>
      <c r="D22" s="409">
        <v>1757519.5213237838</v>
      </c>
      <c r="E22" s="410">
        <f t="shared" si="6"/>
        <v>4.7428195945617584E-2</v>
      </c>
      <c r="F22" s="409">
        <v>31618458</v>
      </c>
      <c r="G22" s="405">
        <f t="shared" si="1"/>
        <v>1499606.4215222797</v>
      </c>
      <c r="H22" s="406">
        <v>0</v>
      </c>
      <c r="I22" s="406">
        <v>0</v>
      </c>
      <c r="J22" s="406">
        <v>0</v>
      </c>
      <c r="K22" s="406">
        <v>0</v>
      </c>
      <c r="L22" s="406">
        <v>41420.179980000001</v>
      </c>
      <c r="M22" s="406">
        <v>-23397.658919999998</v>
      </c>
      <c r="N22" s="406">
        <v>-3478.0303800000002</v>
      </c>
      <c r="O22" s="406">
        <v>-2213.2920599999998</v>
      </c>
      <c r="P22" s="406">
        <v>0</v>
      </c>
      <c r="Q22" s="406">
        <v>21816.73602</v>
      </c>
      <c r="R22" s="407">
        <f t="shared" si="2"/>
        <v>1533754.3561622798</v>
      </c>
      <c r="S22" s="407"/>
      <c r="T22" s="407"/>
      <c r="U22" s="408">
        <f t="shared" si="3"/>
        <v>0</v>
      </c>
      <c r="V22" s="408">
        <f t="shared" si="4"/>
        <v>0</v>
      </c>
      <c r="W22" s="408">
        <f t="shared" si="5"/>
        <v>0</v>
      </c>
    </row>
    <row r="23" spans="1:23" x14ac:dyDescent="0.2">
      <c r="A23" s="171" t="s">
        <v>15</v>
      </c>
      <c r="C23" s="411">
        <f>SUM(C10:C22)</f>
        <v>1191304269.0992641</v>
      </c>
      <c r="D23" s="412">
        <f>SUM(D10:D22)</f>
        <v>527484842.41873384</v>
      </c>
      <c r="E23" s="404">
        <f t="shared" si="6"/>
        <v>0.44277927654667182</v>
      </c>
      <c r="F23" s="411">
        <f>SUM(F10:F22)</f>
        <v>1181370479</v>
      </c>
      <c r="G23" s="412">
        <f>SUM(G10:G22)</f>
        <v>543111763.52449214</v>
      </c>
      <c r="H23" s="412">
        <f t="shared" ref="H23:Q23" si="7">SUM(H10:H22)</f>
        <v>364573185.74000007</v>
      </c>
      <c r="I23" s="412">
        <f t="shared" si="7"/>
        <v>46970226.550000004</v>
      </c>
      <c r="J23" s="412">
        <f t="shared" si="7"/>
        <v>19579770.367680002</v>
      </c>
      <c r="K23" s="412">
        <f t="shared" si="7"/>
        <v>6229177.3383419299</v>
      </c>
      <c r="L23" s="412">
        <f t="shared" si="7"/>
        <v>22282105.730810001</v>
      </c>
      <c r="M23" s="412">
        <f t="shared" si="7"/>
        <v>-13298994.92884</v>
      </c>
      <c r="N23" s="412">
        <f t="shared" si="7"/>
        <v>-656086.23519999988</v>
      </c>
      <c r="O23" s="412">
        <f t="shared" si="7"/>
        <v>-1311210.8236099996</v>
      </c>
      <c r="P23" s="412">
        <f t="shared" si="7"/>
        <v>20136230.979999997</v>
      </c>
      <c r="Q23" s="412">
        <f t="shared" si="7"/>
        <v>17325682.456059996</v>
      </c>
      <c r="R23" s="413">
        <f>SUM(R10:R22)</f>
        <v>1024941850.6997339</v>
      </c>
      <c r="S23" s="413">
        <f t="shared" ref="S23:T23" si="8">SUM(S10:S22)</f>
        <v>80554312.480000019</v>
      </c>
      <c r="T23" s="413">
        <f t="shared" si="8"/>
        <v>-21452707.129999999</v>
      </c>
      <c r="U23" s="414">
        <f>S23/R23</f>
        <v>7.8594031871178943E-2</v>
      </c>
      <c r="V23" s="414">
        <f t="shared" si="4"/>
        <v>-2.093065778839464E-2</v>
      </c>
      <c r="W23" s="414">
        <f t="shared" si="5"/>
        <v>5.7663374082784317E-2</v>
      </c>
    </row>
    <row r="24" spans="1:23" s="109" customFormat="1" x14ac:dyDescent="0.2">
      <c r="A24" s="112"/>
      <c r="B24" s="103"/>
      <c r="C24" s="403"/>
      <c r="D24" s="403"/>
      <c r="E24" s="104"/>
      <c r="F24" s="105"/>
      <c r="G24" s="415"/>
      <c r="H24" s="105"/>
      <c r="I24" s="105"/>
      <c r="J24" s="105"/>
      <c r="K24" s="104"/>
      <c r="L24" s="104"/>
      <c r="M24" s="104"/>
      <c r="N24" s="104"/>
      <c r="O24" s="105"/>
      <c r="P24" s="104"/>
      <c r="Q24" s="104"/>
      <c r="R24" s="104"/>
      <c r="S24" s="104"/>
      <c r="T24" s="104"/>
      <c r="U24" s="416"/>
      <c r="V24" s="416"/>
      <c r="W24" s="416"/>
    </row>
    <row r="25" spans="1:23" s="109" customFormat="1" x14ac:dyDescent="0.2">
      <c r="A25" s="417" t="s">
        <v>188</v>
      </c>
      <c r="B25" s="417"/>
      <c r="C25" s="103"/>
      <c r="D25" s="418"/>
      <c r="U25" s="416"/>
      <c r="V25" s="416"/>
      <c r="W25" s="416"/>
    </row>
    <row r="26" spans="1:23" s="109" customFormat="1" x14ac:dyDescent="0.2">
      <c r="A26" s="419" t="s">
        <v>150</v>
      </c>
      <c r="B26" s="419"/>
      <c r="C26" s="110">
        <f>C10+C11</f>
        <v>609257701.15931809</v>
      </c>
      <c r="D26" s="111">
        <f>D10+D11</f>
        <v>369414658.35868043</v>
      </c>
      <c r="G26" s="111">
        <f>G10+G11</f>
        <v>385708827.05058366</v>
      </c>
      <c r="K26" s="111"/>
      <c r="O26" s="111"/>
      <c r="P26" s="111"/>
      <c r="R26" s="111">
        <f>R10+R11</f>
        <v>706191301.07326353</v>
      </c>
      <c r="S26" s="405">
        <f>SUM(S10:S11)</f>
        <v>52232706.150000021</v>
      </c>
      <c r="T26" s="405">
        <f>SUM(T10:T11)</f>
        <v>-14052131.029999999</v>
      </c>
      <c r="U26" s="408">
        <f t="shared" ref="U26:U33" si="9">S26/R26</f>
        <v>7.3963961423225116E-2</v>
      </c>
      <c r="V26" s="408">
        <f t="shared" ref="V26:V33" si="10">T26/R26</f>
        <v>-1.9898476529863353E-2</v>
      </c>
      <c r="W26" s="408">
        <f t="shared" si="5"/>
        <v>5.4065484893361763E-2</v>
      </c>
    </row>
    <row r="27" spans="1:23" s="109" customFormat="1" x14ac:dyDescent="0.2">
      <c r="A27" s="112" t="s">
        <v>189</v>
      </c>
      <c r="B27" s="112"/>
      <c r="C27" s="110">
        <f>C12+C17</f>
        <v>234176518.05324447</v>
      </c>
      <c r="D27" s="111">
        <f>D12+D17</f>
        <v>117966594.08000001</v>
      </c>
      <c r="E27" s="113"/>
      <c r="G27" s="111">
        <f>G12+G17</f>
        <v>119820513.58189669</v>
      </c>
      <c r="H27" s="113"/>
      <c r="I27" s="113"/>
      <c r="J27" s="113"/>
      <c r="K27" s="111"/>
      <c r="M27" s="113"/>
      <c r="O27" s="111"/>
      <c r="P27" s="111"/>
      <c r="Q27" s="113"/>
      <c r="R27" s="111">
        <f>R12+R17</f>
        <v>240465287.44614664</v>
      </c>
      <c r="S27" s="405">
        <f t="shared" ref="S27:T31" si="11">SUM(S12,S17)</f>
        <v>19613205.659999996</v>
      </c>
      <c r="T27" s="405">
        <f t="shared" si="11"/>
        <v>-5227334.3099999996</v>
      </c>
      <c r="U27" s="408">
        <f t="shared" si="9"/>
        <v>8.1563563158330993E-2</v>
      </c>
      <c r="V27" s="408">
        <f t="shared" si="10"/>
        <v>-2.1738415409212387E-2</v>
      </c>
      <c r="W27" s="408">
        <f t="shared" si="5"/>
        <v>5.9825147749118603E-2</v>
      </c>
    </row>
    <row r="28" spans="1:23" s="109" customFormat="1" x14ac:dyDescent="0.2">
      <c r="A28" s="419" t="s">
        <v>190</v>
      </c>
      <c r="B28" s="419"/>
      <c r="C28" s="110">
        <f t="shared" ref="C28:D31" si="12">C13+C18</f>
        <v>86328991.912539363</v>
      </c>
      <c r="D28" s="111">
        <f t="shared" si="12"/>
        <v>21189370.488729604</v>
      </c>
      <c r="E28" s="113"/>
      <c r="G28" s="111">
        <f>G13+G18</f>
        <v>22165324.198049419</v>
      </c>
      <c r="H28" s="113"/>
      <c r="I28" s="113"/>
      <c r="J28" s="113"/>
      <c r="K28" s="111"/>
      <c r="M28" s="113"/>
      <c r="O28" s="111"/>
      <c r="P28" s="111"/>
      <c r="Q28" s="113"/>
      <c r="R28" s="111">
        <f>R13+R18</f>
        <v>48437838.155809417</v>
      </c>
      <c r="S28" s="405">
        <f t="shared" si="11"/>
        <v>5673007.1599999964</v>
      </c>
      <c r="T28" s="405">
        <f t="shared" si="11"/>
        <v>-1426226.96</v>
      </c>
      <c r="U28" s="408">
        <f t="shared" si="9"/>
        <v>0.11711933017637373</v>
      </c>
      <c r="V28" s="408">
        <f t="shared" si="10"/>
        <v>-2.944448006561054E-2</v>
      </c>
      <c r="W28" s="408">
        <f t="shared" si="5"/>
        <v>8.7674850110763189E-2</v>
      </c>
    </row>
    <row r="29" spans="1:23" s="109" customFormat="1" x14ac:dyDescent="0.2">
      <c r="A29" s="419" t="s">
        <v>191</v>
      </c>
      <c r="B29" s="419"/>
      <c r="C29" s="110">
        <f t="shared" si="12"/>
        <v>90957971.203620166</v>
      </c>
      <c r="D29" s="111">
        <f t="shared" si="12"/>
        <v>9259144.2300000004</v>
      </c>
      <c r="E29" s="113"/>
      <c r="G29" s="111">
        <f>G14+G19</f>
        <v>7720990.6981635746</v>
      </c>
      <c r="H29" s="113"/>
      <c r="I29" s="113"/>
      <c r="J29" s="113"/>
      <c r="K29" s="111"/>
      <c r="M29" s="113"/>
      <c r="O29" s="111"/>
      <c r="P29" s="111"/>
      <c r="Q29" s="113"/>
      <c r="R29" s="111">
        <f>R14+R19</f>
        <v>12787285.163985595</v>
      </c>
      <c r="S29" s="405">
        <f t="shared" si="11"/>
        <v>1036643.4499999997</v>
      </c>
      <c r="T29" s="405">
        <f t="shared" si="11"/>
        <v>-252927.58</v>
      </c>
      <c r="U29" s="408">
        <f t="shared" si="9"/>
        <v>8.1068298446931197E-2</v>
      </c>
      <c r="V29" s="408">
        <f t="shared" si="10"/>
        <v>-1.9779615200289039E-2</v>
      </c>
      <c r="W29" s="408">
        <f t="shared" si="5"/>
        <v>6.1288683246642155E-2</v>
      </c>
    </row>
    <row r="30" spans="1:23" s="109" customFormat="1" x14ac:dyDescent="0.2">
      <c r="A30" s="419" t="s">
        <v>192</v>
      </c>
      <c r="B30" s="419"/>
      <c r="C30" s="110">
        <f t="shared" si="12"/>
        <v>9748488.4229263552</v>
      </c>
      <c r="D30" s="111">
        <f t="shared" si="12"/>
        <v>2062218.96</v>
      </c>
      <c r="E30" s="113"/>
      <c r="G30" s="111">
        <f>G15+G20</f>
        <v>1399542.7786469066</v>
      </c>
      <c r="H30" s="113"/>
      <c r="I30" s="113"/>
      <c r="J30" s="113"/>
      <c r="K30" s="114"/>
      <c r="M30" s="113"/>
      <c r="O30" s="114"/>
      <c r="P30" s="114"/>
      <c r="Q30" s="113"/>
      <c r="R30" s="111">
        <f>R15+R20</f>
        <v>3810555.1068069064</v>
      </c>
      <c r="S30" s="405">
        <f t="shared" si="11"/>
        <v>532387.36999999988</v>
      </c>
      <c r="T30" s="405">
        <f t="shared" si="11"/>
        <v>-130294.32</v>
      </c>
      <c r="U30" s="408">
        <f t="shared" si="9"/>
        <v>0.13971386191187229</v>
      </c>
      <c r="V30" s="408">
        <f t="shared" si="10"/>
        <v>-3.4193002422993814E-2</v>
      </c>
      <c r="W30" s="408">
        <f t="shared" si="5"/>
        <v>0.10552085948887847</v>
      </c>
    </row>
    <row r="31" spans="1:23" s="109" customFormat="1" x14ac:dyDescent="0.2">
      <c r="A31" s="112" t="s">
        <v>193</v>
      </c>
      <c r="B31" s="112"/>
      <c r="C31" s="110">
        <f t="shared" si="12"/>
        <v>123778170.49320194</v>
      </c>
      <c r="D31" s="111">
        <f t="shared" si="12"/>
        <v>5835336.7800000003</v>
      </c>
      <c r="E31" s="113"/>
      <c r="G31" s="111">
        <f>G16+G21</f>
        <v>4796958.7956296736</v>
      </c>
      <c r="H31" s="113"/>
      <c r="I31" s="113"/>
      <c r="J31" s="113"/>
      <c r="K31" s="114"/>
      <c r="M31" s="113"/>
      <c r="O31" s="114"/>
      <c r="P31" s="114"/>
      <c r="Q31" s="113"/>
      <c r="R31" s="111">
        <f>R16+R21</f>
        <v>11715829.397559581</v>
      </c>
      <c r="S31" s="405">
        <f t="shared" si="11"/>
        <v>1466362.6900000004</v>
      </c>
      <c r="T31" s="405">
        <f t="shared" si="11"/>
        <v>-363792.93</v>
      </c>
      <c r="U31" s="408">
        <f t="shared" si="9"/>
        <v>0.12516080938370827</v>
      </c>
      <c r="V31" s="408">
        <f t="shared" si="10"/>
        <v>-3.1051402137673531E-2</v>
      </c>
      <c r="W31" s="408">
        <f t="shared" si="5"/>
        <v>9.410940724603474E-2</v>
      </c>
    </row>
    <row r="32" spans="1:23" s="109" customFormat="1" x14ac:dyDescent="0.2">
      <c r="A32" s="420" t="s">
        <v>187</v>
      </c>
      <c r="B32" s="112"/>
      <c r="C32" s="110">
        <f>C22</f>
        <v>37056427.854413897</v>
      </c>
      <c r="D32" s="111">
        <f>D22</f>
        <v>1757519.5213237838</v>
      </c>
      <c r="E32" s="113"/>
      <c r="G32" s="111">
        <f>G22</f>
        <v>1499606.4215222797</v>
      </c>
      <c r="H32" s="113"/>
      <c r="I32" s="113"/>
      <c r="J32" s="113"/>
      <c r="K32" s="114"/>
      <c r="M32" s="113"/>
      <c r="O32" s="114"/>
      <c r="P32" s="114"/>
      <c r="Q32" s="113"/>
      <c r="R32" s="111">
        <f>R22</f>
        <v>1533754.3561622798</v>
      </c>
      <c r="S32" s="405">
        <f>S22</f>
        <v>0</v>
      </c>
      <c r="T32" s="405">
        <f>T22</f>
        <v>0</v>
      </c>
      <c r="U32" s="408">
        <f t="shared" si="9"/>
        <v>0</v>
      </c>
      <c r="V32" s="408">
        <f t="shared" si="10"/>
        <v>0</v>
      </c>
      <c r="W32" s="408">
        <f t="shared" si="5"/>
        <v>0</v>
      </c>
    </row>
    <row r="33" spans="1:23" s="109" customFormat="1" x14ac:dyDescent="0.2">
      <c r="A33" s="421" t="s">
        <v>124</v>
      </c>
      <c r="B33" s="421"/>
      <c r="C33" s="115">
        <f>SUM(C26:C32)</f>
        <v>1191304269.0992644</v>
      </c>
      <c r="D33" s="116">
        <f>SUM(D26:D32)</f>
        <v>527484842.41873378</v>
      </c>
      <c r="G33" s="116">
        <f>SUM(G26:G32)</f>
        <v>543111763.52449214</v>
      </c>
      <c r="J33" s="113"/>
      <c r="K33" s="114"/>
      <c r="M33" s="113"/>
      <c r="O33" s="114"/>
      <c r="P33" s="114"/>
      <c r="Q33" s="113"/>
      <c r="R33" s="116">
        <f>SUM(R26:R32)</f>
        <v>1024941850.6997339</v>
      </c>
      <c r="S33" s="116">
        <f>SUM(S26:S32)</f>
        <v>80554312.480000019</v>
      </c>
      <c r="T33" s="116">
        <f>SUM(T26:T32)</f>
        <v>-21452707.129999999</v>
      </c>
      <c r="U33" s="414">
        <f t="shared" si="9"/>
        <v>7.8594031871178943E-2</v>
      </c>
      <c r="V33" s="414">
        <f t="shared" si="10"/>
        <v>-2.093065778839464E-2</v>
      </c>
      <c r="W33" s="414">
        <f t="shared" si="5"/>
        <v>5.7663374082784317E-2</v>
      </c>
    </row>
    <row r="34" spans="1:23" s="109" customFormat="1" x14ac:dyDescent="0.2">
      <c r="A34" s="112"/>
      <c r="B34" s="112"/>
      <c r="C34" s="110"/>
      <c r="D34" s="111"/>
      <c r="G34" s="111"/>
      <c r="J34" s="113"/>
      <c r="K34" s="114"/>
      <c r="M34" s="113"/>
      <c r="O34" s="114"/>
      <c r="P34" s="114"/>
      <c r="Q34" s="113"/>
      <c r="R34" s="111"/>
      <c r="S34" s="111"/>
      <c r="T34" s="111"/>
      <c r="U34" s="408"/>
      <c r="V34" s="408"/>
      <c r="W34" s="408"/>
    </row>
    <row r="35" spans="1:23" x14ac:dyDescent="0.2">
      <c r="A35" s="403" t="s">
        <v>325</v>
      </c>
      <c r="C35" s="422"/>
      <c r="D35" s="422"/>
      <c r="G35" s="423"/>
      <c r="K35" s="422"/>
      <c r="O35" s="422"/>
      <c r="P35" s="422"/>
      <c r="R35" s="422"/>
      <c r="S35" s="422"/>
      <c r="T35" s="422"/>
    </row>
    <row r="36" spans="1:23" x14ac:dyDescent="0.2">
      <c r="A36" s="403" t="s">
        <v>326</v>
      </c>
      <c r="C36" s="422"/>
      <c r="D36" s="422"/>
      <c r="K36" s="422"/>
      <c r="O36" s="422"/>
      <c r="P36" s="422"/>
      <c r="R36" s="422"/>
      <c r="S36" s="422"/>
      <c r="T36" s="422"/>
    </row>
  </sheetData>
  <mergeCells count="4">
    <mergeCell ref="A1:U1"/>
    <mergeCell ref="A2:U2"/>
    <mergeCell ref="A4:U4"/>
    <mergeCell ref="A3:U3"/>
  </mergeCells>
  <printOptions horizontalCentered="1"/>
  <pageMargins left="0.7" right="0.7" top="0.75" bottom="0.75" header="0.3" footer="0.3"/>
  <pageSetup paperSize="5" scale="58" orientation="landscape" blackAndWhite="1" r:id="rId1"/>
  <headerFooter>
    <oddFooter>&amp;CPage# &amp;P of &amp;N&amp;R&amp;F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workbookViewId="0">
      <selection activeCell="J35" sqref="J35"/>
    </sheetView>
  </sheetViews>
  <sheetFormatPr defaultColWidth="9.140625" defaultRowHeight="11.25" x14ac:dyDescent="0.2"/>
  <cols>
    <col min="1" max="1" width="4.140625" style="102" customWidth="1"/>
    <col min="2" max="2" width="12" style="102" bestFit="1" customWidth="1"/>
    <col min="3" max="3" width="6.7109375" style="102" bestFit="1" customWidth="1"/>
    <col min="4" max="4" width="12.85546875" style="102" bestFit="1" customWidth="1"/>
    <col min="5" max="6" width="8.42578125" style="102" bestFit="1" customWidth="1"/>
    <col min="7" max="7" width="11.5703125" style="102" bestFit="1" customWidth="1"/>
    <col min="8" max="8" width="12" style="102" bestFit="1" customWidth="1"/>
    <col min="9" max="9" width="10.7109375" style="102" bestFit="1" customWidth="1"/>
    <col min="10" max="10" width="6.28515625" style="3" bestFit="1" customWidth="1"/>
    <col min="11" max="11" width="14.42578125" style="3" customWidth="1"/>
    <col min="12" max="12" width="7.85546875" style="3" bestFit="1" customWidth="1"/>
    <col min="13" max="16384" width="9.140625" style="102"/>
  </cols>
  <sheetData>
    <row r="1" spans="1:12" x14ac:dyDescent="0.2">
      <c r="A1" s="459" t="str">
        <f>'Rates Summary '!B1</f>
        <v>Puget Sound Energy</v>
      </c>
      <c r="B1" s="459"/>
      <c r="C1" s="459"/>
      <c r="D1" s="459"/>
      <c r="E1" s="459"/>
      <c r="F1" s="459"/>
      <c r="G1" s="459"/>
      <c r="H1" s="459"/>
      <c r="J1" s="102"/>
      <c r="K1" s="102"/>
      <c r="L1" s="102"/>
    </row>
    <row r="2" spans="1:12" x14ac:dyDescent="0.2">
      <c r="A2" s="459" t="str">
        <f>'Rates Summary '!B2</f>
        <v>PGA Filing Proposed Effective November 1, 2021</v>
      </c>
      <c r="B2" s="459"/>
      <c r="C2" s="459"/>
      <c r="D2" s="459"/>
      <c r="E2" s="459"/>
      <c r="F2" s="459"/>
      <c r="G2" s="459"/>
      <c r="H2" s="459"/>
      <c r="J2" s="102"/>
      <c r="K2" s="102"/>
      <c r="L2" s="102"/>
    </row>
    <row r="3" spans="1:12" x14ac:dyDescent="0.2">
      <c r="A3" s="459" t="str">
        <f>'Rates Summary '!B3</f>
        <v>Calculation of Proposed Schedule 101 Rates</v>
      </c>
      <c r="B3" s="459"/>
      <c r="C3" s="459"/>
      <c r="D3" s="459"/>
      <c r="E3" s="459"/>
      <c r="F3" s="459"/>
      <c r="G3" s="459"/>
      <c r="H3" s="459"/>
      <c r="J3" s="102"/>
      <c r="K3" s="102"/>
      <c r="L3" s="102"/>
    </row>
    <row r="4" spans="1:12" x14ac:dyDescent="0.2">
      <c r="A4" s="460" t="s">
        <v>244</v>
      </c>
      <c r="B4" s="460"/>
      <c r="C4" s="460"/>
      <c r="D4" s="460"/>
      <c r="E4" s="460"/>
      <c r="F4" s="460"/>
      <c r="G4" s="460"/>
      <c r="H4" s="460"/>
      <c r="J4" s="102"/>
      <c r="K4" s="102"/>
      <c r="L4" s="102"/>
    </row>
    <row r="5" spans="1:12" s="171" customFormat="1" ht="11.25" customHeight="1" x14ac:dyDescent="0.2">
      <c r="A5" s="3"/>
      <c r="B5" s="3"/>
      <c r="C5" s="3"/>
      <c r="D5" s="3"/>
      <c r="E5" s="148"/>
      <c r="F5" s="148"/>
      <c r="G5" s="3"/>
      <c r="H5" s="3"/>
      <c r="I5" s="3"/>
      <c r="J5" s="3"/>
    </row>
    <row r="6" spans="1:12" s="171" customFormat="1" ht="11.25" customHeight="1" x14ac:dyDescent="0.2">
      <c r="A6" s="3"/>
      <c r="B6" s="324"/>
      <c r="C6" s="324"/>
      <c r="D6" s="14" t="s">
        <v>143</v>
      </c>
      <c r="E6" s="324" t="s">
        <v>52</v>
      </c>
      <c r="F6" s="324" t="s">
        <v>53</v>
      </c>
      <c r="G6" s="324" t="s">
        <v>143</v>
      </c>
      <c r="H6" s="324" t="s">
        <v>143</v>
      </c>
      <c r="I6" s="324" t="s">
        <v>303</v>
      </c>
      <c r="J6" s="324"/>
    </row>
    <row r="7" spans="1:12" x14ac:dyDescent="0.2">
      <c r="A7" s="3"/>
      <c r="B7" s="324"/>
      <c r="C7" s="324"/>
      <c r="D7" s="14" t="s">
        <v>144</v>
      </c>
      <c r="E7" s="324" t="s">
        <v>303</v>
      </c>
      <c r="F7" s="324" t="s">
        <v>303</v>
      </c>
      <c r="G7" s="324" t="s">
        <v>46</v>
      </c>
      <c r="H7" s="324" t="s">
        <v>46</v>
      </c>
      <c r="I7" s="324" t="s">
        <v>46</v>
      </c>
      <c r="J7" s="324" t="s">
        <v>54</v>
      </c>
      <c r="K7" s="102"/>
      <c r="L7" s="102"/>
    </row>
    <row r="8" spans="1:12" x14ac:dyDescent="0.2">
      <c r="A8" s="325"/>
      <c r="B8" s="326" t="s">
        <v>44</v>
      </c>
      <c r="C8" s="326" t="s">
        <v>267</v>
      </c>
      <c r="D8" s="391" t="s">
        <v>327</v>
      </c>
      <c r="E8" s="9" t="s">
        <v>28</v>
      </c>
      <c r="F8" s="9" t="s">
        <v>28</v>
      </c>
      <c r="G8" s="9" t="s">
        <v>127</v>
      </c>
      <c r="H8" s="9" t="s">
        <v>304</v>
      </c>
      <c r="I8" s="9" t="s">
        <v>29</v>
      </c>
      <c r="J8" s="9" t="s">
        <v>29</v>
      </c>
      <c r="K8" s="102"/>
      <c r="L8" s="102"/>
    </row>
    <row r="9" spans="1:12" x14ac:dyDescent="0.2">
      <c r="A9" s="327" t="s">
        <v>305</v>
      </c>
      <c r="B9" s="328"/>
      <c r="C9" s="327"/>
      <c r="D9" s="14"/>
      <c r="E9" s="324"/>
      <c r="F9" s="324"/>
      <c r="G9" s="329"/>
      <c r="H9" s="329"/>
      <c r="I9" s="324"/>
      <c r="J9" s="324"/>
      <c r="K9" s="102"/>
      <c r="L9" s="102"/>
    </row>
    <row r="10" spans="1:12" x14ac:dyDescent="0.2">
      <c r="A10" s="328"/>
      <c r="B10" s="330" t="s">
        <v>306</v>
      </c>
      <c r="C10" s="330" t="s">
        <v>307</v>
      </c>
      <c r="D10" s="392">
        <v>636122043</v>
      </c>
      <c r="E10" s="331">
        <v>0.38129000000000002</v>
      </c>
      <c r="F10" s="331">
        <f>'Rates Summary '!$E$51</f>
        <v>0.46339999999999998</v>
      </c>
      <c r="G10" s="332">
        <f>ROUND(E10*D10,2)</f>
        <v>242546973.78</v>
      </c>
      <c r="H10" s="332">
        <f>ROUND(F10*D10,2)</f>
        <v>294778954.73000002</v>
      </c>
      <c r="I10" s="24">
        <f>H10-G10</f>
        <v>52231980.950000018</v>
      </c>
      <c r="J10" s="26">
        <f>I10/G10</f>
        <v>0.2153478979184319</v>
      </c>
      <c r="K10" s="102"/>
      <c r="L10" s="102"/>
    </row>
    <row r="11" spans="1:12" x14ac:dyDescent="0.2">
      <c r="A11" s="328"/>
      <c r="B11" s="333"/>
      <c r="C11" s="333"/>
      <c r="D11" s="392"/>
      <c r="E11" s="334"/>
      <c r="F11" s="334"/>
      <c r="G11" s="332"/>
      <c r="H11" s="332"/>
      <c r="I11" s="24"/>
      <c r="J11" s="26"/>
      <c r="K11" s="102"/>
      <c r="L11" s="102"/>
    </row>
    <row r="12" spans="1:12" x14ac:dyDescent="0.2">
      <c r="A12" s="335" t="s">
        <v>308</v>
      </c>
      <c r="B12" s="328"/>
      <c r="C12" s="327"/>
      <c r="D12" s="392"/>
      <c r="E12" s="334"/>
      <c r="F12" s="334"/>
      <c r="G12" s="332"/>
      <c r="H12" s="332"/>
      <c r="I12" s="24"/>
      <c r="J12" s="26"/>
      <c r="K12" s="102"/>
      <c r="L12" s="102"/>
    </row>
    <row r="13" spans="1:12" x14ac:dyDescent="0.2">
      <c r="A13" s="328"/>
      <c r="B13" s="330" t="s">
        <v>306</v>
      </c>
      <c r="C13" s="336" t="s">
        <v>307</v>
      </c>
      <c r="D13" s="392">
        <v>8832</v>
      </c>
      <c r="E13" s="331">
        <v>0.38129000000000002</v>
      </c>
      <c r="F13" s="334">
        <f>'Rates Summary '!$F$51</f>
        <v>0.46339999999999998</v>
      </c>
      <c r="G13" s="332">
        <f>ROUND(E13*D13,2)</f>
        <v>3367.55</v>
      </c>
      <c r="H13" s="332">
        <f>ROUND(F13*D13,2)</f>
        <v>4092.75</v>
      </c>
      <c r="I13" s="24">
        <f>H13-G13</f>
        <v>725.19999999999982</v>
      </c>
      <c r="J13" s="26">
        <f>I13/G13</f>
        <v>0.2153494380187376</v>
      </c>
      <c r="K13" s="102"/>
      <c r="L13" s="102"/>
    </row>
    <row r="14" spans="1:12" x14ac:dyDescent="0.2">
      <c r="A14" s="328"/>
      <c r="B14" s="330"/>
      <c r="C14" s="330"/>
      <c r="D14" s="342"/>
      <c r="E14" s="334"/>
      <c r="F14" s="334"/>
      <c r="G14" s="332"/>
      <c r="H14" s="332"/>
      <c r="I14" s="24"/>
      <c r="J14" s="26"/>
      <c r="K14" s="102"/>
      <c r="L14" s="102"/>
    </row>
    <row r="15" spans="1:12" x14ac:dyDescent="0.2">
      <c r="A15" s="327" t="s">
        <v>309</v>
      </c>
      <c r="B15" s="328"/>
      <c r="C15" s="333"/>
      <c r="D15" s="342"/>
      <c r="E15" s="334"/>
      <c r="F15" s="334"/>
      <c r="G15" s="332"/>
      <c r="H15" s="332"/>
      <c r="I15" s="24"/>
      <c r="J15" s="26"/>
      <c r="K15" s="102"/>
      <c r="L15" s="102"/>
    </row>
    <row r="16" spans="1:12" x14ac:dyDescent="0.2">
      <c r="A16" s="328"/>
      <c r="B16" s="330" t="s">
        <v>306</v>
      </c>
      <c r="C16" s="330" t="s">
        <v>307</v>
      </c>
      <c r="D16" s="392">
        <v>237822307</v>
      </c>
      <c r="E16" s="331">
        <v>0.37314999999999998</v>
      </c>
      <c r="F16" s="331">
        <f>'Rates Summary '!$G$51</f>
        <v>0.45562000000000002</v>
      </c>
      <c r="G16" s="332">
        <f>ROUND(E16*D16,2)</f>
        <v>88743393.859999999</v>
      </c>
      <c r="H16" s="332">
        <f>ROUND(F16*D16,2)</f>
        <v>108356599.52</v>
      </c>
      <c r="I16" s="24">
        <f>H16-G16</f>
        <v>19613205.659999996</v>
      </c>
      <c r="J16" s="26">
        <f>I16/G16</f>
        <v>0.22101031757858439</v>
      </c>
      <c r="K16" s="102"/>
      <c r="L16" s="102"/>
    </row>
    <row r="17" spans="1:12" x14ac:dyDescent="0.2">
      <c r="A17" s="328"/>
      <c r="B17" s="330"/>
      <c r="C17" s="330"/>
      <c r="D17" s="342"/>
      <c r="E17" s="334"/>
      <c r="F17" s="334"/>
      <c r="G17" s="332"/>
      <c r="H17" s="332"/>
      <c r="I17" s="24"/>
      <c r="J17" s="26"/>
      <c r="K17" s="102"/>
      <c r="L17" s="102"/>
    </row>
    <row r="18" spans="1:12" x14ac:dyDescent="0.2">
      <c r="A18" s="335" t="s">
        <v>310</v>
      </c>
      <c r="B18" s="328"/>
      <c r="C18" s="333"/>
      <c r="D18" s="342"/>
      <c r="E18" s="334"/>
      <c r="F18" s="334"/>
      <c r="G18" s="332"/>
      <c r="H18" s="332"/>
      <c r="I18" s="24"/>
      <c r="J18" s="26"/>
      <c r="K18" s="102"/>
      <c r="L18" s="102"/>
    </row>
    <row r="19" spans="1:12" x14ac:dyDescent="0.2">
      <c r="A19" s="328"/>
      <c r="B19" s="338" t="s">
        <v>311</v>
      </c>
      <c r="C19" s="330" t="s">
        <v>307</v>
      </c>
      <c r="D19" s="392">
        <v>66459784</v>
      </c>
      <c r="E19" s="331">
        <v>0.26356000000000002</v>
      </c>
      <c r="F19" s="331">
        <f>'Rates Summary '!$H$51</f>
        <v>0.34892000000000001</v>
      </c>
      <c r="G19" s="332">
        <f t="shared" ref="G19:G20" si="0">ROUND(E19*D19,2)</f>
        <v>17516140.670000002</v>
      </c>
      <c r="H19" s="332">
        <f t="shared" ref="H19:H20" si="1">ROUND(F19*D19,2)</f>
        <v>23189147.829999998</v>
      </c>
      <c r="I19" s="24">
        <f t="shared" ref="I19:I20" si="2">H19-G19</f>
        <v>5673007.1599999964</v>
      </c>
      <c r="J19" s="26">
        <f t="shared" ref="J19:J20" si="3">I19/G19</f>
        <v>0.32387312176113026</v>
      </c>
      <c r="K19" s="102"/>
      <c r="L19" s="102"/>
    </row>
    <row r="20" spans="1:12" x14ac:dyDescent="0.2">
      <c r="A20" s="328"/>
      <c r="B20" s="338" t="s">
        <v>312</v>
      </c>
      <c r="C20" s="330" t="s">
        <v>6</v>
      </c>
      <c r="D20" s="392">
        <v>4466417.6739999996</v>
      </c>
      <c r="E20" s="339">
        <v>1.05</v>
      </c>
      <c r="F20" s="339">
        <f>'Rates Summary '!$H$45</f>
        <v>1.05</v>
      </c>
      <c r="G20" s="332">
        <f t="shared" si="0"/>
        <v>4689738.5599999996</v>
      </c>
      <c r="H20" s="332">
        <f t="shared" si="1"/>
        <v>4689738.5599999996</v>
      </c>
      <c r="I20" s="24">
        <f t="shared" si="2"/>
        <v>0</v>
      </c>
      <c r="J20" s="26">
        <f t="shared" si="3"/>
        <v>0</v>
      </c>
      <c r="K20" s="102"/>
      <c r="L20" s="102"/>
    </row>
    <row r="21" spans="1:12" x14ac:dyDescent="0.2">
      <c r="A21" s="328"/>
      <c r="B21" s="338" t="s">
        <v>15</v>
      </c>
      <c r="C21" s="330"/>
      <c r="D21" s="342"/>
      <c r="E21" s="334"/>
      <c r="F21" s="334"/>
      <c r="G21" s="340">
        <f>SUM(G19:G20)</f>
        <v>22205879.23</v>
      </c>
      <c r="H21" s="340">
        <f t="shared" ref="H21:I21" si="4">SUM(H19:H20)</f>
        <v>27878886.389999997</v>
      </c>
      <c r="I21" s="340">
        <f t="shared" si="4"/>
        <v>5673007.1599999964</v>
      </c>
      <c r="J21" s="341">
        <f>I21/G21</f>
        <v>0.25547320604787405</v>
      </c>
      <c r="K21" s="102"/>
      <c r="L21" s="102"/>
    </row>
    <row r="22" spans="1:12" x14ac:dyDescent="0.2">
      <c r="A22" s="328"/>
      <c r="B22" s="338"/>
      <c r="C22" s="330"/>
      <c r="D22" s="342"/>
      <c r="E22" s="334"/>
      <c r="F22" s="334"/>
      <c r="G22" s="332"/>
      <c r="H22" s="332"/>
      <c r="I22" s="24"/>
      <c r="J22" s="26"/>
      <c r="K22" s="102"/>
      <c r="L22" s="102"/>
    </row>
    <row r="23" spans="1:12" x14ac:dyDescent="0.2">
      <c r="A23" s="327" t="s">
        <v>313</v>
      </c>
      <c r="B23" s="328"/>
      <c r="C23" s="333"/>
      <c r="D23" s="342"/>
      <c r="E23" s="334"/>
      <c r="F23" s="334"/>
      <c r="G23" s="332"/>
      <c r="H23" s="332"/>
      <c r="I23" s="24"/>
      <c r="J23" s="283"/>
      <c r="K23" s="102"/>
      <c r="L23" s="102"/>
    </row>
    <row r="24" spans="1:12" x14ac:dyDescent="0.2">
      <c r="A24" s="328"/>
      <c r="B24" s="338" t="s">
        <v>311</v>
      </c>
      <c r="C24" s="330" t="s">
        <v>307</v>
      </c>
      <c r="D24" s="392">
        <v>11987089</v>
      </c>
      <c r="E24" s="331">
        <v>0.30064000000000002</v>
      </c>
      <c r="F24" s="331">
        <f>'Rates Summary '!$I$51</f>
        <v>0.38712000000000002</v>
      </c>
      <c r="G24" s="332">
        <f t="shared" ref="G24:G25" si="5">ROUND(E24*D24,2)</f>
        <v>3603798.44</v>
      </c>
      <c r="H24" s="332">
        <f t="shared" ref="H24:H25" si="6">ROUND(F24*D24,2)</f>
        <v>4640441.8899999997</v>
      </c>
      <c r="I24" s="24">
        <f t="shared" ref="I24:I25" si="7">H24-G24</f>
        <v>1036643.4499999997</v>
      </c>
      <c r="J24" s="26">
        <f t="shared" ref="J24:J25" si="8">I24/G24</f>
        <v>0.28765300481122352</v>
      </c>
      <c r="K24" s="102"/>
      <c r="L24" s="102"/>
    </row>
    <row r="25" spans="1:12" x14ac:dyDescent="0.2">
      <c r="A25" s="328"/>
      <c r="B25" s="338" t="s">
        <v>312</v>
      </c>
      <c r="C25" s="330" t="s">
        <v>6</v>
      </c>
      <c r="D25" s="392">
        <v>86412.906999999992</v>
      </c>
      <c r="E25" s="339">
        <v>1.05</v>
      </c>
      <c r="F25" s="339">
        <f>'Rates Summary '!$I$45</f>
        <v>1.05</v>
      </c>
      <c r="G25" s="332">
        <f t="shared" si="5"/>
        <v>90733.55</v>
      </c>
      <c r="H25" s="332">
        <f t="shared" si="6"/>
        <v>90733.55</v>
      </c>
      <c r="I25" s="24">
        <f t="shared" si="7"/>
        <v>0</v>
      </c>
      <c r="J25" s="26">
        <f t="shared" si="8"/>
        <v>0</v>
      </c>
      <c r="K25" s="102"/>
      <c r="L25" s="102"/>
    </row>
    <row r="26" spans="1:12" x14ac:dyDescent="0.2">
      <c r="A26" s="328"/>
      <c r="B26" s="333" t="s">
        <v>15</v>
      </c>
      <c r="C26" s="333"/>
      <c r="D26" s="342"/>
      <c r="E26" s="342"/>
      <c r="F26" s="342"/>
      <c r="G26" s="340">
        <f>SUM(G24:G25)</f>
        <v>3694531.9899999998</v>
      </c>
      <c r="H26" s="340">
        <f t="shared" ref="H26:I26" si="9">SUM(H24:H25)</f>
        <v>4731175.4399999995</v>
      </c>
      <c r="I26" s="340">
        <f t="shared" si="9"/>
        <v>1036643.4499999997</v>
      </c>
      <c r="J26" s="341">
        <f>I26/G26</f>
        <v>0.28058857057020631</v>
      </c>
      <c r="K26" s="102"/>
      <c r="L26" s="102"/>
    </row>
    <row r="27" spans="1:12" x14ac:dyDescent="0.2">
      <c r="A27" s="328"/>
      <c r="B27" s="333"/>
      <c r="C27" s="333"/>
      <c r="D27" s="342"/>
      <c r="E27" s="342"/>
      <c r="F27" s="342"/>
      <c r="G27" s="332"/>
      <c r="H27" s="332"/>
      <c r="I27" s="24"/>
      <c r="J27" s="26"/>
      <c r="K27" s="102"/>
      <c r="L27" s="102"/>
    </row>
    <row r="28" spans="1:12" x14ac:dyDescent="0.2">
      <c r="A28" s="327" t="s">
        <v>314</v>
      </c>
      <c r="B28" s="328"/>
      <c r="C28" s="333"/>
      <c r="D28" s="342"/>
      <c r="E28" s="337"/>
      <c r="F28" s="337"/>
      <c r="G28" s="343"/>
      <c r="H28" s="343"/>
      <c r="I28" s="24"/>
      <c r="K28" s="102"/>
      <c r="L28" s="102"/>
    </row>
    <row r="29" spans="1:12" x14ac:dyDescent="0.2">
      <c r="A29" s="328"/>
      <c r="B29" s="338" t="s">
        <v>311</v>
      </c>
      <c r="C29" s="330" t="s">
        <v>307</v>
      </c>
      <c r="D29" s="392">
        <v>6125732</v>
      </c>
      <c r="E29" s="331">
        <v>0.31402000000000002</v>
      </c>
      <c r="F29" s="331">
        <f>'Rates Summary '!$J$51</f>
        <v>0.40093000000000001</v>
      </c>
      <c r="G29" s="332">
        <f t="shared" ref="G29:G30" si="10">ROUND(E29*D29,2)</f>
        <v>1923602.36</v>
      </c>
      <c r="H29" s="332">
        <f t="shared" ref="H29:H30" si="11">ROUND(F29*D29,2)</f>
        <v>2455989.73</v>
      </c>
      <c r="I29" s="24">
        <f t="shared" ref="I29:I30" si="12">H29-G29</f>
        <v>532387.36999999988</v>
      </c>
      <c r="J29" s="26">
        <f t="shared" ref="J29:J30" si="13">I29/G29</f>
        <v>0.27676581245200793</v>
      </c>
      <c r="K29" s="102"/>
      <c r="L29" s="102"/>
    </row>
    <row r="30" spans="1:12" x14ac:dyDescent="0.2">
      <c r="A30" s="328"/>
      <c r="B30" s="338" t="s">
        <v>312</v>
      </c>
      <c r="C30" s="330" t="s">
        <v>6</v>
      </c>
      <c r="D30" s="392">
        <v>82401.308999999994</v>
      </c>
      <c r="E30" s="339">
        <v>1.05</v>
      </c>
      <c r="F30" s="339">
        <f>'Rates Summary '!$J$45</f>
        <v>1.05</v>
      </c>
      <c r="G30" s="332">
        <f t="shared" si="10"/>
        <v>86521.37</v>
      </c>
      <c r="H30" s="332">
        <f t="shared" si="11"/>
        <v>86521.37</v>
      </c>
      <c r="I30" s="24">
        <f t="shared" si="12"/>
        <v>0</v>
      </c>
      <c r="J30" s="26">
        <f t="shared" si="13"/>
        <v>0</v>
      </c>
      <c r="K30" s="102"/>
      <c r="L30" s="102"/>
    </row>
    <row r="31" spans="1:12" x14ac:dyDescent="0.2">
      <c r="A31" s="330"/>
      <c r="B31" s="333" t="s">
        <v>15</v>
      </c>
      <c r="C31" s="333"/>
      <c r="D31" s="342"/>
      <c r="E31" s="337"/>
      <c r="F31" s="337"/>
      <c r="G31" s="340">
        <f>SUM(G29:G30)</f>
        <v>2010123.73</v>
      </c>
      <c r="H31" s="340">
        <f t="shared" ref="H31:I31" si="14">SUM(H29:H30)</f>
        <v>2542511.1</v>
      </c>
      <c r="I31" s="340">
        <f t="shared" si="14"/>
        <v>532387.36999999988</v>
      </c>
      <c r="J31" s="341">
        <f>I31/G31</f>
        <v>0.26485303469354093</v>
      </c>
      <c r="K31" s="102"/>
      <c r="L31" s="102"/>
    </row>
    <row r="32" spans="1:12" x14ac:dyDescent="0.2">
      <c r="A32" s="330"/>
      <c r="B32" s="333"/>
      <c r="C32" s="333"/>
      <c r="D32" s="342"/>
      <c r="E32" s="337"/>
      <c r="F32" s="337"/>
      <c r="G32" s="332"/>
      <c r="H32" s="332"/>
      <c r="I32" s="24"/>
      <c r="J32" s="26"/>
      <c r="K32" s="102"/>
      <c r="L32" s="102"/>
    </row>
    <row r="33" spans="1:12" x14ac:dyDescent="0.2">
      <c r="A33" s="327" t="s">
        <v>315</v>
      </c>
      <c r="B33" s="328"/>
      <c r="C33" s="333"/>
      <c r="D33" s="342"/>
      <c r="E33" s="337"/>
      <c r="F33" s="337"/>
      <c r="G33" s="17"/>
      <c r="H33" s="17"/>
      <c r="I33" s="24"/>
      <c r="K33" s="102"/>
      <c r="L33" s="102"/>
    </row>
    <row r="34" spans="1:12" x14ac:dyDescent="0.2">
      <c r="A34" s="328"/>
      <c r="B34" s="338" t="s">
        <v>311</v>
      </c>
      <c r="C34" s="330" t="s">
        <v>307</v>
      </c>
      <c r="D34" s="392">
        <v>17216892</v>
      </c>
      <c r="E34" s="331">
        <v>0.31184000000000001</v>
      </c>
      <c r="F34" s="331">
        <f>'Rates Summary '!$K$51</f>
        <v>0.39700999999999997</v>
      </c>
      <c r="G34" s="332">
        <f t="shared" ref="G34:G35" si="15">ROUND(E34*D34,2)</f>
        <v>5368915.5999999996</v>
      </c>
      <c r="H34" s="332">
        <f t="shared" ref="H34:H35" si="16">ROUND(F34*D34,2)</f>
        <v>6835278.29</v>
      </c>
      <c r="I34" s="24">
        <f t="shared" ref="I34:I35" si="17">H34-G34</f>
        <v>1466362.6900000004</v>
      </c>
      <c r="J34" s="26">
        <f t="shared" ref="J34:J35" si="18">I34/G34</f>
        <v>0.27312083095513751</v>
      </c>
      <c r="K34" s="102"/>
      <c r="L34" s="102"/>
    </row>
    <row r="35" spans="1:12" x14ac:dyDescent="0.2">
      <c r="A35" s="328"/>
      <c r="B35" s="338" t="s">
        <v>312</v>
      </c>
      <c r="C35" s="330" t="s">
        <v>6</v>
      </c>
      <c r="D35" s="392">
        <v>0</v>
      </c>
      <c r="E35" s="339">
        <v>1.05</v>
      </c>
      <c r="F35" s="339">
        <f>'Rates Summary '!$K$45</f>
        <v>1.05</v>
      </c>
      <c r="G35" s="332">
        <f t="shared" si="15"/>
        <v>0</v>
      </c>
      <c r="H35" s="332">
        <f t="shared" si="16"/>
        <v>0</v>
      </c>
      <c r="I35" s="24">
        <f t="shared" si="17"/>
        <v>0</v>
      </c>
      <c r="J35" s="26" t="e">
        <f t="shared" si="18"/>
        <v>#DIV/0!</v>
      </c>
      <c r="K35" s="102"/>
      <c r="L35" s="102"/>
    </row>
    <row r="36" spans="1:12" x14ac:dyDescent="0.2">
      <c r="A36" s="3"/>
      <c r="B36" s="338" t="s">
        <v>15</v>
      </c>
      <c r="C36" s="3"/>
      <c r="D36" s="342"/>
      <c r="E36" s="3"/>
      <c r="F36" s="3"/>
      <c r="G36" s="340">
        <f>SUM(G34:G35)</f>
        <v>5368915.5999999996</v>
      </c>
      <c r="H36" s="340">
        <f t="shared" ref="H36:I36" si="19">SUM(H34:H35)</f>
        <v>6835278.29</v>
      </c>
      <c r="I36" s="340">
        <f t="shared" si="19"/>
        <v>1466362.6900000004</v>
      </c>
      <c r="J36" s="341">
        <f>I36/G36</f>
        <v>0.27312083095513751</v>
      </c>
      <c r="K36" s="102"/>
      <c r="L36" s="102"/>
    </row>
    <row r="37" spans="1:12" x14ac:dyDescent="0.2">
      <c r="A37" s="3"/>
      <c r="B37" s="3"/>
      <c r="C37" s="3"/>
      <c r="D37" s="342"/>
      <c r="E37" s="3"/>
      <c r="F37" s="3"/>
      <c r="G37" s="332"/>
      <c r="H37" s="332"/>
      <c r="I37" s="24"/>
      <c r="J37" s="26"/>
      <c r="K37" s="102"/>
      <c r="L37" s="102"/>
    </row>
    <row r="38" spans="1:12" x14ac:dyDescent="0.2">
      <c r="A38" s="344" t="s">
        <v>15</v>
      </c>
      <c r="B38" s="3"/>
      <c r="C38" s="3"/>
      <c r="D38" s="6"/>
      <c r="E38" s="3"/>
      <c r="F38" s="3"/>
      <c r="G38" s="345">
        <f>G10+G13+G16+G21+G26+G31+G36</f>
        <v>364573185.74000007</v>
      </c>
      <c r="H38" s="345">
        <f t="shared" ref="H38:I38" si="20">H10+H13+H16+H21+H26+H31+H36</f>
        <v>445127498.22000003</v>
      </c>
      <c r="I38" s="345">
        <f t="shared" si="20"/>
        <v>80554312.480000019</v>
      </c>
      <c r="J38" s="341">
        <f>I38/G38</f>
        <v>0.22095512130573514</v>
      </c>
      <c r="K38" s="102"/>
      <c r="L38" s="102"/>
    </row>
    <row r="39" spans="1:12" x14ac:dyDescent="0.2">
      <c r="A39" s="3"/>
      <c r="B39" s="3" t="s">
        <v>307</v>
      </c>
      <c r="C39" s="3"/>
      <c r="D39" s="393">
        <f>SUM(D10,D13,D16,D19,D24,D29,D34)</f>
        <v>975742679</v>
      </c>
      <c r="E39" s="3"/>
      <c r="F39" s="3"/>
      <c r="G39" s="3"/>
      <c r="H39" s="3"/>
      <c r="I39" s="347">
        <f>I38-'Rate Impact'!S23</f>
        <v>0</v>
      </c>
      <c r="K39" s="102"/>
      <c r="L39" s="102"/>
    </row>
    <row r="40" spans="1:12" x14ac:dyDescent="0.2">
      <c r="A40" s="3"/>
      <c r="B40" s="3" t="s">
        <v>6</v>
      </c>
      <c r="C40" s="3"/>
      <c r="D40" s="393">
        <f>SUM(D20,D25,D30,D35)</f>
        <v>4635231.8899999997</v>
      </c>
      <c r="E40" s="3"/>
      <c r="F40" s="3"/>
      <c r="G40" s="3"/>
      <c r="H40" s="3"/>
      <c r="I40" s="347" t="s">
        <v>250</v>
      </c>
      <c r="K40" s="102"/>
      <c r="L40" s="102"/>
    </row>
    <row r="41" spans="1:12" x14ac:dyDescent="0.2">
      <c r="A41" s="3"/>
      <c r="B41" s="3"/>
      <c r="C41" s="3"/>
      <c r="D41" s="6"/>
      <c r="E41" s="3"/>
      <c r="F41" s="3"/>
      <c r="G41" s="3"/>
      <c r="H41" s="3"/>
      <c r="I41" s="24"/>
      <c r="K41" s="102"/>
      <c r="L41" s="102"/>
    </row>
    <row r="42" spans="1:12" x14ac:dyDescent="0.2">
      <c r="A42" s="3"/>
      <c r="B42" s="3"/>
      <c r="C42" s="3"/>
      <c r="D42" s="3"/>
      <c r="E42" s="3"/>
      <c r="F42" s="3"/>
      <c r="G42" s="346"/>
      <c r="H42" s="346"/>
      <c r="I42" s="3"/>
      <c r="K42" s="102"/>
      <c r="L42" s="102"/>
    </row>
    <row r="43" spans="1:12" x14ac:dyDescent="0.2">
      <c r="A43" s="3"/>
      <c r="B43" s="3"/>
      <c r="C43" s="3"/>
      <c r="D43" s="3"/>
      <c r="E43" s="3"/>
      <c r="F43" s="3"/>
      <c r="G43" s="3"/>
      <c r="H43" s="3"/>
      <c r="I43" s="3"/>
      <c r="K43" s="102"/>
      <c r="L43" s="102"/>
    </row>
    <row r="44" spans="1:12" x14ac:dyDescent="0.2">
      <c r="A44" s="3"/>
      <c r="B44" s="3"/>
      <c r="C44" s="3"/>
      <c r="D44" s="3"/>
      <c r="E44" s="3"/>
      <c r="F44" s="3"/>
      <c r="G44" s="3"/>
      <c r="H44" s="3"/>
      <c r="I44" s="3"/>
      <c r="K44" s="102"/>
      <c r="L44" s="102"/>
    </row>
    <row r="45" spans="1:12" x14ac:dyDescent="0.2">
      <c r="A45" s="3"/>
      <c r="B45" s="3"/>
      <c r="C45" s="3"/>
      <c r="D45" s="3"/>
      <c r="E45" s="3"/>
      <c r="F45" s="3"/>
      <c r="G45" s="3"/>
      <c r="H45" s="3"/>
      <c r="I45" s="3"/>
      <c r="K45" s="102"/>
      <c r="L45" s="102"/>
    </row>
    <row r="46" spans="1:12" x14ac:dyDescent="0.2">
      <c r="A46" s="3"/>
      <c r="B46" s="3"/>
      <c r="C46" s="3"/>
      <c r="D46" s="3"/>
      <c r="E46" s="3"/>
      <c r="F46" s="3"/>
      <c r="G46" s="3"/>
      <c r="H46" s="3"/>
      <c r="I46" s="3"/>
      <c r="K46" s="102"/>
      <c r="L46" s="102"/>
    </row>
    <row r="47" spans="1:12" x14ac:dyDescent="0.2">
      <c r="A47" s="3"/>
      <c r="B47" s="3"/>
      <c r="C47" s="3"/>
      <c r="D47" s="3"/>
      <c r="E47" s="3"/>
      <c r="F47" s="3"/>
      <c r="G47" s="3"/>
      <c r="H47" s="3"/>
      <c r="I47" s="3"/>
      <c r="K47" s="102"/>
      <c r="L47" s="102"/>
    </row>
    <row r="48" spans="1:12" x14ac:dyDescent="0.2">
      <c r="A48" s="3"/>
      <c r="B48" s="3"/>
      <c r="C48" s="3"/>
      <c r="D48" s="3"/>
      <c r="E48" s="3"/>
      <c r="F48" s="3"/>
      <c r="G48" s="3"/>
      <c r="H48" s="3"/>
      <c r="I48" s="3"/>
      <c r="K48" s="102"/>
      <c r="L48" s="102"/>
    </row>
    <row r="49" spans="1:12" x14ac:dyDescent="0.2">
      <c r="A49" s="3"/>
      <c r="B49" s="3"/>
      <c r="C49" s="3"/>
      <c r="D49" s="3"/>
      <c r="E49" s="3"/>
      <c r="F49" s="3"/>
      <c r="G49" s="3"/>
      <c r="H49" s="3"/>
      <c r="I49" s="3"/>
      <c r="K49" s="102"/>
      <c r="L49" s="102"/>
    </row>
    <row r="50" spans="1:12" x14ac:dyDescent="0.2">
      <c r="A50" s="3"/>
      <c r="B50" s="3"/>
      <c r="C50" s="3"/>
      <c r="D50" s="3"/>
      <c r="E50" s="3"/>
      <c r="F50" s="3"/>
      <c r="G50" s="3"/>
      <c r="H50" s="3"/>
      <c r="I50" s="3"/>
      <c r="K50" s="102"/>
      <c r="L50" s="102"/>
    </row>
    <row r="51" spans="1:12" x14ac:dyDescent="0.2">
      <c r="A51" s="3"/>
      <c r="B51" s="3"/>
      <c r="C51" s="3"/>
      <c r="D51" s="3"/>
      <c r="E51" s="3"/>
      <c r="F51" s="3"/>
      <c r="G51" s="3"/>
      <c r="H51" s="3"/>
      <c r="I51" s="3"/>
      <c r="K51" s="102"/>
      <c r="L51" s="102"/>
    </row>
    <row r="52" spans="1:12" x14ac:dyDescent="0.2">
      <c r="A52" s="3"/>
      <c r="B52" s="3"/>
      <c r="C52" s="3"/>
      <c r="D52" s="3"/>
      <c r="E52" s="3"/>
      <c r="F52" s="3"/>
      <c r="G52" s="3"/>
      <c r="H52" s="3"/>
      <c r="I52" s="3"/>
      <c r="K52" s="102"/>
      <c r="L52" s="102"/>
    </row>
    <row r="53" spans="1:12" x14ac:dyDescent="0.2">
      <c r="A53" s="3"/>
      <c r="B53" s="3"/>
      <c r="C53" s="3"/>
      <c r="D53" s="3"/>
      <c r="E53" s="3"/>
      <c r="F53" s="3"/>
      <c r="G53" s="3"/>
      <c r="H53" s="3"/>
      <c r="I53" s="3"/>
      <c r="K53" s="102"/>
      <c r="L53" s="102"/>
    </row>
    <row r="54" spans="1:12" x14ac:dyDescent="0.2">
      <c r="A54" s="3"/>
      <c r="B54" s="3"/>
      <c r="C54" s="3"/>
      <c r="D54" s="3"/>
      <c r="E54" s="3"/>
      <c r="F54" s="3"/>
      <c r="G54" s="3"/>
      <c r="H54" s="3"/>
      <c r="I54" s="3"/>
      <c r="K54" s="102"/>
      <c r="L54" s="102"/>
    </row>
    <row r="55" spans="1:12" x14ac:dyDescent="0.2">
      <c r="A55" s="3"/>
      <c r="B55" s="3"/>
      <c r="C55" s="3"/>
      <c r="D55" s="3"/>
      <c r="E55" s="3"/>
      <c r="F55" s="3"/>
      <c r="G55" s="3"/>
      <c r="H55" s="3"/>
      <c r="I55" s="3"/>
      <c r="K55" s="102"/>
      <c r="L55" s="102"/>
    </row>
    <row r="56" spans="1:12" x14ac:dyDescent="0.2">
      <c r="A56" s="3"/>
      <c r="B56" s="3"/>
      <c r="C56" s="3"/>
      <c r="D56" s="3"/>
      <c r="E56" s="3"/>
      <c r="F56" s="3"/>
      <c r="G56" s="3"/>
      <c r="H56" s="3"/>
      <c r="I56" s="3"/>
      <c r="K56" s="102"/>
      <c r="L56" s="102"/>
    </row>
    <row r="57" spans="1:12" x14ac:dyDescent="0.2">
      <c r="A57" s="3"/>
      <c r="B57" s="3"/>
      <c r="C57" s="3"/>
      <c r="D57" s="3"/>
      <c r="E57" s="3"/>
      <c r="F57" s="3"/>
      <c r="G57" s="3"/>
      <c r="H57" s="3"/>
      <c r="I57" s="3"/>
      <c r="K57" s="102"/>
      <c r="L57" s="102"/>
    </row>
    <row r="58" spans="1:12" x14ac:dyDescent="0.2">
      <c r="A58" s="3"/>
      <c r="B58" s="3"/>
      <c r="C58" s="3"/>
      <c r="D58" s="3"/>
      <c r="E58" s="3"/>
      <c r="F58" s="3"/>
      <c r="G58" s="3"/>
      <c r="H58" s="3"/>
      <c r="I58" s="3"/>
      <c r="K58" s="102"/>
      <c r="L58" s="102"/>
    </row>
    <row r="59" spans="1:12" x14ac:dyDescent="0.2">
      <c r="A59" s="3"/>
      <c r="B59" s="3"/>
      <c r="C59" s="3"/>
      <c r="D59" s="3"/>
      <c r="E59" s="3"/>
      <c r="F59" s="3"/>
      <c r="G59" s="3"/>
      <c r="H59" s="3"/>
      <c r="I59" s="3"/>
      <c r="K59" s="102"/>
      <c r="L59" s="102"/>
    </row>
    <row r="60" spans="1:12" x14ac:dyDescent="0.2">
      <c r="A60" s="3"/>
      <c r="B60" s="3"/>
      <c r="C60" s="3"/>
      <c r="D60" s="3"/>
      <c r="E60" s="3"/>
      <c r="F60" s="3"/>
      <c r="G60" s="3"/>
      <c r="H60" s="3"/>
      <c r="I60" s="3"/>
      <c r="K60" s="102"/>
      <c r="L60" s="102"/>
    </row>
    <row r="61" spans="1:12" x14ac:dyDescent="0.2">
      <c r="A61" s="3"/>
      <c r="B61" s="3"/>
      <c r="C61" s="3"/>
      <c r="D61" s="3"/>
      <c r="E61" s="3"/>
      <c r="F61" s="3"/>
      <c r="G61" s="3"/>
      <c r="H61" s="3"/>
      <c r="I61" s="3"/>
      <c r="K61" s="102"/>
      <c r="L61" s="102"/>
    </row>
    <row r="62" spans="1:12" x14ac:dyDescent="0.2">
      <c r="A62" s="3"/>
      <c r="B62" s="3"/>
      <c r="C62" s="3"/>
      <c r="D62" s="3"/>
      <c r="E62" s="3"/>
      <c r="F62" s="3"/>
      <c r="G62" s="3"/>
      <c r="H62" s="3"/>
      <c r="I62" s="3"/>
      <c r="K62" s="102"/>
      <c r="L62" s="102"/>
    </row>
    <row r="63" spans="1:12" x14ac:dyDescent="0.2">
      <c r="A63" s="3"/>
      <c r="B63" s="3"/>
      <c r="C63" s="3"/>
      <c r="D63" s="3"/>
      <c r="E63" s="3"/>
      <c r="F63" s="3"/>
      <c r="G63" s="3"/>
      <c r="H63" s="3"/>
      <c r="I63" s="3"/>
      <c r="K63" s="102"/>
      <c r="L63" s="102"/>
    </row>
  </sheetData>
  <mergeCells count="4">
    <mergeCell ref="A1:H1"/>
    <mergeCell ref="A2:H2"/>
    <mergeCell ref="A4:H4"/>
    <mergeCell ref="A3:H3"/>
  </mergeCells>
  <pageMargins left="0.7" right="0.7" top="0.75" bottom="0.75" header="0.3" footer="0.3"/>
  <pageSetup orientation="landscape" horizontalDpi="90" verticalDpi="90" r:id="rId1"/>
  <headerFooter>
    <oddFooter>&amp;CPage# &amp;P of &amp;N&amp;R&amp;F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workbookViewId="0">
      <selection activeCell="J35" sqref="J35"/>
    </sheetView>
  </sheetViews>
  <sheetFormatPr defaultColWidth="9.140625" defaultRowHeight="11.25" x14ac:dyDescent="0.2"/>
  <cols>
    <col min="1" max="1" width="2.140625" style="6" customWidth="1"/>
    <col min="2" max="2" width="2.42578125" style="6" customWidth="1"/>
    <col min="3" max="3" width="37" style="6" customWidth="1"/>
    <col min="4" max="4" width="10.5703125" style="6" bestFit="1" customWidth="1"/>
    <col min="5" max="5" width="7.85546875" style="6" bestFit="1" customWidth="1"/>
    <col min="6" max="6" width="1.7109375" style="48" customWidth="1"/>
    <col min="7" max="7" width="10.5703125" style="6" bestFit="1" customWidth="1"/>
    <col min="8" max="8" width="7.85546875" style="6" bestFit="1" customWidth="1"/>
    <col min="9" max="9" width="1.85546875" style="6" customWidth="1"/>
    <col min="10" max="10" width="10.5703125" style="48" customWidth="1"/>
    <col min="11" max="11" width="7.85546875" style="48" bestFit="1" customWidth="1"/>
    <col min="12" max="12" width="1.85546875" style="6" customWidth="1"/>
    <col min="13" max="13" width="11.42578125" style="6" customWidth="1"/>
    <col min="14" max="14" width="8.7109375" style="6" customWidth="1"/>
    <col min="15" max="16384" width="9.140625" style="3"/>
  </cols>
  <sheetData>
    <row r="1" spans="2:16" s="3" customFormat="1" x14ac:dyDescent="0.2">
      <c r="B1" s="1" t="s">
        <v>17</v>
      </c>
      <c r="C1" s="1"/>
      <c r="D1" s="1"/>
      <c r="E1" s="1"/>
      <c r="F1" s="118"/>
      <c r="G1" s="1"/>
      <c r="H1" s="45"/>
      <c r="I1" s="45"/>
      <c r="J1" s="119"/>
      <c r="K1" s="119"/>
      <c r="L1" s="45"/>
      <c r="M1" s="45"/>
    </row>
    <row r="2" spans="2:16" s="3" customFormat="1" ht="11.25" customHeight="1" x14ac:dyDescent="0.2">
      <c r="B2" s="4" t="str">
        <f>"PGA &amp; Tracker Filing Proposed Effective " &amp; '(R) 2021 PGA Cost'!N3</f>
        <v>PGA &amp; Tracker Filing Proposed Effective November 1, 2021</v>
      </c>
      <c r="C2" s="5"/>
      <c r="D2" s="5"/>
      <c r="E2" s="5"/>
      <c r="F2" s="120"/>
      <c r="G2" s="5"/>
      <c r="H2" s="121"/>
      <c r="I2" s="121"/>
      <c r="J2" s="122"/>
      <c r="K2" s="122"/>
      <c r="L2" s="121"/>
      <c r="M2" s="121"/>
    </row>
    <row r="3" spans="2:16" s="3" customFormat="1" ht="11.25" customHeight="1" x14ac:dyDescent="0.2">
      <c r="B3" s="1" t="s">
        <v>257</v>
      </c>
      <c r="C3" s="1"/>
      <c r="D3" s="1"/>
      <c r="E3" s="1"/>
      <c r="F3" s="118"/>
      <c r="G3" s="1"/>
      <c r="H3" s="45"/>
      <c r="I3" s="45"/>
      <c r="J3" s="119"/>
      <c r="K3" s="119"/>
      <c r="L3" s="45"/>
      <c r="M3" s="45"/>
    </row>
    <row r="4" spans="2:16" s="3" customFormat="1" x14ac:dyDescent="0.2">
      <c r="B4" s="6"/>
      <c r="C4" s="6"/>
      <c r="D4" s="6"/>
      <c r="E4" s="6"/>
      <c r="F4" s="48"/>
      <c r="G4" s="6"/>
      <c r="H4" s="6"/>
      <c r="I4" s="6"/>
      <c r="J4" s="48"/>
      <c r="K4" s="48"/>
      <c r="L4" s="6"/>
      <c r="M4" s="6"/>
      <c r="N4" s="6"/>
    </row>
    <row r="5" spans="2:16" s="3" customFormat="1" ht="12.75" x14ac:dyDescent="0.2">
      <c r="B5" s="6"/>
      <c r="C5" s="6"/>
      <c r="D5" s="6"/>
      <c r="E5" s="6"/>
      <c r="F5" s="48"/>
      <c r="G5" s="6"/>
      <c r="H5" s="6"/>
      <c r="I5" s="6"/>
      <c r="J5" s="48"/>
      <c r="K5" s="48"/>
      <c r="L5" s="6"/>
      <c r="M5" s="461" t="s">
        <v>239</v>
      </c>
      <c r="N5" s="462"/>
    </row>
    <row r="6" spans="2:16" s="3" customFormat="1" ht="38.25" customHeight="1" x14ac:dyDescent="0.2">
      <c r="B6" s="6"/>
      <c r="C6" s="6"/>
      <c r="D6" s="51" t="s">
        <v>127</v>
      </c>
      <c r="E6" s="51"/>
      <c r="F6" s="123"/>
      <c r="G6" s="51" t="s">
        <v>128</v>
      </c>
      <c r="H6" s="51"/>
      <c r="I6" s="6"/>
      <c r="J6" s="463" t="s">
        <v>253</v>
      </c>
      <c r="K6" s="464"/>
      <c r="L6" s="6"/>
      <c r="M6" s="463" t="s">
        <v>255</v>
      </c>
      <c r="N6" s="464"/>
    </row>
    <row r="7" spans="2:16" s="3" customFormat="1" x14ac:dyDescent="0.2">
      <c r="B7" s="6"/>
      <c r="C7" s="6"/>
      <c r="D7" s="53" t="s">
        <v>129</v>
      </c>
      <c r="E7" s="53" t="s">
        <v>123</v>
      </c>
      <c r="F7" s="14"/>
      <c r="G7" s="53" t="s">
        <v>28</v>
      </c>
      <c r="H7" s="53" t="s">
        <v>123</v>
      </c>
      <c r="I7" s="6"/>
      <c r="J7" s="53" t="s">
        <v>28</v>
      </c>
      <c r="K7" s="53" t="s">
        <v>123</v>
      </c>
      <c r="L7" s="6"/>
      <c r="M7" s="53" t="s">
        <v>28</v>
      </c>
      <c r="N7" s="53" t="s">
        <v>123</v>
      </c>
    </row>
    <row r="8" spans="2:16" s="3" customFormat="1" x14ac:dyDescent="0.2">
      <c r="B8" s="108" t="s">
        <v>55</v>
      </c>
      <c r="C8" s="108"/>
      <c r="D8" s="134">
        <v>64</v>
      </c>
      <c r="E8" s="135"/>
      <c r="F8" s="126"/>
      <c r="G8" s="124">
        <v>64</v>
      </c>
      <c r="H8" s="125"/>
      <c r="I8" s="6"/>
      <c r="J8" s="124">
        <v>64</v>
      </c>
      <c r="K8" s="125"/>
      <c r="L8" s="6"/>
      <c r="M8" s="124">
        <v>64</v>
      </c>
      <c r="N8" s="125"/>
      <c r="P8" s="127"/>
    </row>
    <row r="9" spans="2:16" s="3" customFormat="1" x14ac:dyDescent="0.2">
      <c r="B9" s="108"/>
      <c r="C9" s="108"/>
      <c r="D9" s="134"/>
      <c r="E9" s="135"/>
      <c r="F9" s="126"/>
      <c r="G9" s="124"/>
      <c r="H9" s="125"/>
      <c r="I9" s="6"/>
      <c r="J9" s="124"/>
      <c r="K9" s="125"/>
      <c r="L9" s="6"/>
      <c r="M9" s="124"/>
      <c r="N9" s="125"/>
    </row>
    <row r="10" spans="2:16" s="3" customFormat="1" x14ac:dyDescent="0.2">
      <c r="B10" s="108" t="s">
        <v>93</v>
      </c>
      <c r="C10" s="108"/>
      <c r="D10" s="134"/>
      <c r="E10" s="135"/>
      <c r="F10" s="126"/>
      <c r="G10" s="124"/>
      <c r="H10" s="125"/>
      <c r="I10" s="6"/>
      <c r="J10" s="124"/>
      <c r="K10" s="125"/>
      <c r="L10" s="6"/>
      <c r="M10" s="124"/>
      <c r="N10" s="125"/>
    </row>
    <row r="11" spans="2:16" s="3" customFormat="1" x14ac:dyDescent="0.2">
      <c r="B11" s="108"/>
      <c r="C11" s="108" t="s">
        <v>131</v>
      </c>
      <c r="D11" s="168">
        <v>11.52</v>
      </c>
      <c r="E11" s="135">
        <f>D11</f>
        <v>11.52</v>
      </c>
      <c r="F11" s="128"/>
      <c r="G11" s="117">
        <f>D11</f>
        <v>11.52</v>
      </c>
      <c r="H11" s="135">
        <f>G11</f>
        <v>11.52</v>
      </c>
      <c r="I11" s="6"/>
      <c r="J11" s="117">
        <f>D11</f>
        <v>11.52</v>
      </c>
      <c r="K11" s="135">
        <f>J11</f>
        <v>11.52</v>
      </c>
      <c r="L11" s="6"/>
      <c r="M11" s="117">
        <f>D11</f>
        <v>11.52</v>
      </c>
      <c r="N11" s="135">
        <f>M11</f>
        <v>11.52</v>
      </c>
    </row>
    <row r="12" spans="2:16" s="3" customFormat="1" x14ac:dyDescent="0.2">
      <c r="B12" s="108"/>
      <c r="C12" s="108" t="s">
        <v>238</v>
      </c>
      <c r="D12" s="348">
        <v>0</v>
      </c>
      <c r="E12" s="137">
        <f>D12</f>
        <v>0</v>
      </c>
      <c r="F12" s="128"/>
      <c r="G12" s="142">
        <f t="shared" ref="G12:G13" si="0">D12</f>
        <v>0</v>
      </c>
      <c r="H12" s="137">
        <f>G12</f>
        <v>0</v>
      </c>
      <c r="I12" s="6"/>
      <c r="J12" s="142">
        <f t="shared" ref="J12:J13" si="1">D12</f>
        <v>0</v>
      </c>
      <c r="K12" s="137">
        <f>J12</f>
        <v>0</v>
      </c>
      <c r="L12" s="6"/>
      <c r="M12" s="142">
        <f>D12</f>
        <v>0</v>
      </c>
      <c r="N12" s="137">
        <f>M12</f>
        <v>0</v>
      </c>
    </row>
    <row r="13" spans="2:16" s="3" customFormat="1" x14ac:dyDescent="0.2">
      <c r="B13" s="108"/>
      <c r="C13" s="108" t="s">
        <v>240</v>
      </c>
      <c r="D13" s="348">
        <v>0</v>
      </c>
      <c r="E13" s="137">
        <f>D13</f>
        <v>0</v>
      </c>
      <c r="F13" s="128"/>
      <c r="G13" s="142">
        <f t="shared" si="0"/>
        <v>0</v>
      </c>
      <c r="H13" s="137">
        <f>G13</f>
        <v>0</v>
      </c>
      <c r="I13" s="6"/>
      <c r="J13" s="142">
        <f t="shared" si="1"/>
        <v>0</v>
      </c>
      <c r="K13" s="137">
        <f>J13</f>
        <v>0</v>
      </c>
      <c r="L13" s="6"/>
      <c r="M13" s="142">
        <f>D13</f>
        <v>0</v>
      </c>
      <c r="N13" s="137">
        <f>M13</f>
        <v>0</v>
      </c>
    </row>
    <row r="14" spans="2:16" s="3" customFormat="1" x14ac:dyDescent="0.2">
      <c r="B14" s="108"/>
      <c r="C14" s="108" t="s">
        <v>124</v>
      </c>
      <c r="D14" s="138">
        <f>SUM(D11:D13)</f>
        <v>11.52</v>
      </c>
      <c r="E14" s="138">
        <f>SUM(E11:E13)</f>
        <v>11.52</v>
      </c>
      <c r="F14" s="128"/>
      <c r="G14" s="138">
        <f>SUM(G11:G13)</f>
        <v>11.52</v>
      </c>
      <c r="H14" s="138">
        <f>SUM(H11:H13)</f>
        <v>11.52</v>
      </c>
      <c r="I14" s="6"/>
      <c r="J14" s="138">
        <f>SUM(J11:J13)</f>
        <v>11.52</v>
      </c>
      <c r="K14" s="138">
        <f>SUM(K11:K13)</f>
        <v>11.52</v>
      </c>
      <c r="L14" s="6"/>
      <c r="M14" s="138">
        <f>SUM(M11:M13)</f>
        <v>11.52</v>
      </c>
      <c r="N14" s="138">
        <f>SUM(N11:N13)</f>
        <v>11.52</v>
      </c>
    </row>
    <row r="15" spans="2:16" s="3" customFormat="1" x14ac:dyDescent="0.2">
      <c r="B15" s="108"/>
      <c r="C15" s="108"/>
      <c r="D15" s="136"/>
      <c r="E15" s="135"/>
      <c r="F15" s="48"/>
      <c r="G15" s="117"/>
      <c r="H15" s="135"/>
      <c r="I15" s="6"/>
      <c r="J15" s="117"/>
      <c r="K15" s="135"/>
      <c r="L15" s="6"/>
      <c r="M15" s="117"/>
      <c r="N15" s="135"/>
    </row>
    <row r="16" spans="2:16" s="3" customFormat="1" x14ac:dyDescent="0.2">
      <c r="B16" s="108" t="s">
        <v>94</v>
      </c>
      <c r="C16" s="108"/>
      <c r="D16" s="108"/>
      <c r="E16" s="135"/>
      <c r="F16" s="130"/>
      <c r="G16" s="108"/>
      <c r="H16" s="135"/>
      <c r="I16" s="6"/>
      <c r="J16" s="108"/>
      <c r="K16" s="135"/>
      <c r="L16" s="6"/>
      <c r="M16" s="108"/>
      <c r="N16" s="135"/>
    </row>
    <row r="17" spans="1:14" x14ac:dyDescent="0.2">
      <c r="A17" s="3"/>
      <c r="B17" s="108"/>
      <c r="C17" s="108" t="s">
        <v>89</v>
      </c>
      <c r="D17" s="349">
        <v>0.42857000000000001</v>
      </c>
      <c r="E17" s="135"/>
      <c r="F17" s="130"/>
      <c r="G17" s="140">
        <f t="shared" ref="G17:G25" si="2">D17</f>
        <v>0.42857000000000001</v>
      </c>
      <c r="H17" s="135"/>
      <c r="J17" s="140">
        <f t="shared" ref="J17:J25" si="3">D17</f>
        <v>0.42857000000000001</v>
      </c>
      <c r="K17" s="135"/>
      <c r="M17" s="140">
        <f t="shared" ref="M17:M25" si="4">D17</f>
        <v>0.42857000000000001</v>
      </c>
      <c r="N17" s="135"/>
    </row>
    <row r="18" spans="1:14" x14ac:dyDescent="0.2">
      <c r="A18" s="3"/>
      <c r="B18" s="108"/>
      <c r="C18" s="108" t="s">
        <v>84</v>
      </c>
      <c r="D18" s="350">
        <v>7.0099999999999997E-3</v>
      </c>
      <c r="E18" s="135"/>
      <c r="F18" s="130"/>
      <c r="G18" s="105">
        <f t="shared" si="2"/>
        <v>7.0099999999999997E-3</v>
      </c>
      <c r="H18" s="135"/>
      <c r="J18" s="105">
        <f t="shared" si="3"/>
        <v>7.0099999999999997E-3</v>
      </c>
      <c r="K18" s="135"/>
      <c r="M18" s="105">
        <f t="shared" si="4"/>
        <v>7.0099999999999997E-3</v>
      </c>
      <c r="N18" s="135"/>
    </row>
    <row r="19" spans="1:14" x14ac:dyDescent="0.2">
      <c r="A19" s="3"/>
      <c r="B19" s="108"/>
      <c r="C19" s="108" t="s">
        <v>132</v>
      </c>
      <c r="D19" s="349">
        <v>2.2749999999999999E-2</v>
      </c>
      <c r="E19" s="135"/>
      <c r="F19" s="130"/>
      <c r="G19" s="140">
        <f t="shared" si="2"/>
        <v>2.2749999999999999E-2</v>
      </c>
      <c r="H19" s="135"/>
      <c r="J19" s="140">
        <f t="shared" si="3"/>
        <v>2.2749999999999999E-2</v>
      </c>
      <c r="K19" s="135"/>
      <c r="M19" s="140">
        <f t="shared" si="4"/>
        <v>2.2749999999999999E-2</v>
      </c>
      <c r="N19" s="135"/>
    </row>
    <row r="20" spans="1:14" x14ac:dyDescent="0.2">
      <c r="A20" s="3"/>
      <c r="B20" s="108"/>
      <c r="C20" s="108" t="s">
        <v>238</v>
      </c>
      <c r="D20" s="349">
        <v>0</v>
      </c>
      <c r="E20" s="135"/>
      <c r="F20" s="130"/>
      <c r="G20" s="140">
        <f t="shared" si="2"/>
        <v>0</v>
      </c>
      <c r="H20" s="135"/>
      <c r="J20" s="140">
        <f t="shared" si="3"/>
        <v>0</v>
      </c>
      <c r="K20" s="135"/>
      <c r="M20" s="140">
        <f t="shared" si="4"/>
        <v>0</v>
      </c>
      <c r="N20" s="135"/>
    </row>
    <row r="21" spans="1:14" x14ac:dyDescent="0.2">
      <c r="A21" s="3"/>
      <c r="B21" s="108"/>
      <c r="C21" s="108" t="s">
        <v>240</v>
      </c>
      <c r="D21" s="349">
        <v>-1.388E-2</v>
      </c>
      <c r="E21" s="135"/>
      <c r="F21" s="130"/>
      <c r="G21" s="140">
        <f t="shared" si="2"/>
        <v>-1.388E-2</v>
      </c>
      <c r="H21" s="135"/>
      <c r="J21" s="140">
        <f t="shared" si="3"/>
        <v>-1.388E-2</v>
      </c>
      <c r="K21" s="135"/>
      <c r="M21" s="140">
        <f t="shared" si="4"/>
        <v>-1.388E-2</v>
      </c>
      <c r="N21" s="135"/>
    </row>
    <row r="22" spans="1:14" x14ac:dyDescent="0.2">
      <c r="A22" s="3"/>
      <c r="B22" s="108"/>
      <c r="C22" s="108" t="s">
        <v>241</v>
      </c>
      <c r="D22" s="349">
        <v>-6.8000000000000005E-4</v>
      </c>
      <c r="E22" s="135"/>
      <c r="F22" s="130"/>
      <c r="G22" s="140">
        <f t="shared" si="2"/>
        <v>-6.8000000000000005E-4</v>
      </c>
      <c r="H22" s="135"/>
      <c r="J22" s="140">
        <f t="shared" si="3"/>
        <v>-6.8000000000000005E-4</v>
      </c>
      <c r="K22" s="135"/>
      <c r="M22" s="140">
        <f t="shared" si="4"/>
        <v>-6.8000000000000005E-4</v>
      </c>
      <c r="N22" s="135"/>
    </row>
    <row r="23" spans="1:14" x14ac:dyDescent="0.2">
      <c r="A23" s="3"/>
      <c r="B23" s="108"/>
      <c r="C23" s="108" t="s">
        <v>316</v>
      </c>
      <c r="D23" s="349">
        <v>-1.3699999999999999E-3</v>
      </c>
      <c r="E23" s="135"/>
      <c r="F23" s="130"/>
      <c r="G23" s="140">
        <f t="shared" si="2"/>
        <v>-1.3699999999999999E-3</v>
      </c>
      <c r="H23" s="135"/>
      <c r="J23" s="140">
        <f t="shared" si="3"/>
        <v>-1.3699999999999999E-3</v>
      </c>
      <c r="K23" s="135"/>
      <c r="M23" s="140">
        <f t="shared" si="4"/>
        <v>-1.3699999999999999E-3</v>
      </c>
      <c r="N23" s="135"/>
    </row>
    <row r="24" spans="1:14" x14ac:dyDescent="0.2">
      <c r="A24" s="3"/>
      <c r="B24" s="108"/>
      <c r="C24" s="108" t="s">
        <v>133</v>
      </c>
      <c r="D24" s="349">
        <v>2.2519999999999998E-2</v>
      </c>
      <c r="E24" s="135"/>
      <c r="F24" s="130"/>
      <c r="G24" s="140">
        <f t="shared" si="2"/>
        <v>2.2519999999999998E-2</v>
      </c>
      <c r="H24" s="135"/>
      <c r="J24" s="140">
        <f t="shared" si="3"/>
        <v>2.2519999999999998E-2</v>
      </c>
      <c r="K24" s="135"/>
      <c r="M24" s="140">
        <f t="shared" si="4"/>
        <v>2.2519999999999998E-2</v>
      </c>
      <c r="N24" s="135"/>
    </row>
    <row r="25" spans="1:14" x14ac:dyDescent="0.2">
      <c r="A25" s="3"/>
      <c r="B25" s="108"/>
      <c r="C25" s="108" t="s">
        <v>145</v>
      </c>
      <c r="D25" s="350">
        <v>1.77E-2</v>
      </c>
      <c r="E25" s="135"/>
      <c r="F25" s="130"/>
      <c r="G25" s="105">
        <f t="shared" si="2"/>
        <v>1.77E-2</v>
      </c>
      <c r="H25" s="135"/>
      <c r="J25" s="105">
        <f t="shared" si="3"/>
        <v>1.77E-2</v>
      </c>
      <c r="K25" s="135"/>
      <c r="M25" s="105">
        <f t="shared" si="4"/>
        <v>1.77E-2</v>
      </c>
      <c r="N25" s="135"/>
    </row>
    <row r="26" spans="1:14" x14ac:dyDescent="0.2">
      <c r="A26" s="3"/>
      <c r="B26" s="108"/>
      <c r="C26" s="108" t="s">
        <v>124</v>
      </c>
      <c r="D26" s="139">
        <f>SUM(D17:D25)</f>
        <v>0.48261999999999999</v>
      </c>
      <c r="E26" s="135">
        <f>ROUND(D26*D$8,2)</f>
        <v>30.89</v>
      </c>
      <c r="F26" s="130"/>
      <c r="G26" s="139">
        <f>SUM(G17:G25)</f>
        <v>0.48261999999999999</v>
      </c>
      <c r="H26" s="135">
        <f>ROUND(G26*G$8,2)</f>
        <v>30.89</v>
      </c>
      <c r="J26" s="139">
        <f>SUM(J17:J25)</f>
        <v>0.48261999999999999</v>
      </c>
      <c r="K26" s="135">
        <f>ROUND(J26*J$8,2)</f>
        <v>30.89</v>
      </c>
      <c r="M26" s="139">
        <f>SUM(M17:M25)</f>
        <v>0.48261999999999999</v>
      </c>
      <c r="N26" s="135">
        <f>ROUND(M26*M$8,2)</f>
        <v>30.89</v>
      </c>
    </row>
    <row r="27" spans="1:14" x14ac:dyDescent="0.2">
      <c r="A27" s="3"/>
      <c r="B27" s="108"/>
      <c r="C27" s="108"/>
      <c r="D27" s="108"/>
      <c r="E27" s="108"/>
      <c r="F27" s="130"/>
      <c r="G27" s="108"/>
      <c r="H27" s="108"/>
      <c r="J27" s="108"/>
      <c r="K27" s="108"/>
      <c r="M27" s="108"/>
      <c r="N27" s="108"/>
    </row>
    <row r="28" spans="1:14" x14ac:dyDescent="0.2">
      <c r="A28" s="3"/>
      <c r="B28" s="108"/>
      <c r="C28" s="108" t="s">
        <v>85</v>
      </c>
      <c r="D28" s="349">
        <v>2.019E-2</v>
      </c>
      <c r="E28" s="135">
        <f>ROUND(D28*D$8,2)</f>
        <v>1.29</v>
      </c>
      <c r="F28" s="130"/>
      <c r="G28" s="140">
        <f>D28</f>
        <v>2.019E-2</v>
      </c>
      <c r="H28" s="135">
        <f>ROUND(G28*G$8,2)</f>
        <v>1.29</v>
      </c>
      <c r="J28" s="140">
        <f>D28</f>
        <v>2.019E-2</v>
      </c>
      <c r="K28" s="135">
        <f>ROUND(J28*J$8,2)</f>
        <v>1.29</v>
      </c>
      <c r="M28" s="140">
        <f>D28</f>
        <v>2.019E-2</v>
      </c>
      <c r="N28" s="135">
        <f>ROUND(M28*M$8,2)</f>
        <v>1.29</v>
      </c>
    </row>
    <row r="29" spans="1:14" x14ac:dyDescent="0.2">
      <c r="A29" s="3"/>
      <c r="B29" s="108"/>
      <c r="C29" s="108"/>
      <c r="D29" s="165"/>
      <c r="E29" s="135"/>
      <c r="F29" s="130"/>
      <c r="G29" s="140"/>
      <c r="H29" s="135"/>
      <c r="I29" s="129"/>
      <c r="J29" s="140"/>
      <c r="K29" s="135"/>
      <c r="M29" s="140"/>
      <c r="N29" s="135"/>
    </row>
    <row r="30" spans="1:14" x14ac:dyDescent="0.2">
      <c r="A30" s="3"/>
      <c r="B30" s="108"/>
      <c r="C30" s="108" t="s">
        <v>125</v>
      </c>
      <c r="D30" s="349">
        <v>0</v>
      </c>
      <c r="E30" s="135">
        <f>ROUND(D30*D$8,2)</f>
        <v>0</v>
      </c>
      <c r="F30" s="130"/>
      <c r="G30" s="105">
        <f>D30</f>
        <v>0</v>
      </c>
      <c r="H30" s="425">
        <f>ROUND(G30*G$8,2)</f>
        <v>0</v>
      </c>
      <c r="I30" s="129"/>
      <c r="J30" s="105">
        <f>D30</f>
        <v>0</v>
      </c>
      <c r="K30" s="135">
        <f>ROUND(J30*J$8,2)</f>
        <v>0</v>
      </c>
      <c r="M30" s="140">
        <f>D30</f>
        <v>0</v>
      </c>
      <c r="N30" s="135">
        <f>ROUND(M30*M$8,2)</f>
        <v>0</v>
      </c>
    </row>
    <row r="31" spans="1:14" x14ac:dyDescent="0.2">
      <c r="A31" s="3"/>
      <c r="B31" s="108"/>
      <c r="C31" s="108"/>
      <c r="D31" s="165"/>
      <c r="E31" s="135"/>
      <c r="F31" s="130"/>
      <c r="G31" s="105"/>
      <c r="H31" s="425"/>
      <c r="I31" s="132"/>
      <c r="J31" s="105"/>
      <c r="K31" s="135"/>
      <c r="M31" s="140"/>
      <c r="N31" s="135"/>
    </row>
    <row r="32" spans="1:14" x14ac:dyDescent="0.2">
      <c r="A32" s="3"/>
      <c r="B32" s="108"/>
      <c r="C32" s="108" t="s">
        <v>87</v>
      </c>
      <c r="D32" s="349">
        <v>0.38129000000000002</v>
      </c>
      <c r="E32" s="135"/>
      <c r="F32" s="130"/>
      <c r="G32" s="424">
        <f>'Rates Summary '!E51</f>
        <v>0.46339999999999998</v>
      </c>
      <c r="H32" s="425"/>
      <c r="I32" s="132"/>
      <c r="J32" s="105">
        <f t="shared" ref="J32" si="5">D32</f>
        <v>0.38129000000000002</v>
      </c>
      <c r="K32" s="135"/>
      <c r="M32" s="140">
        <f>G32</f>
        <v>0.46339999999999998</v>
      </c>
      <c r="N32" s="135"/>
    </row>
    <row r="33" spans="1:14" x14ac:dyDescent="0.2">
      <c r="A33" s="3"/>
      <c r="B33" s="108"/>
      <c r="C33" s="108" t="s">
        <v>86</v>
      </c>
      <c r="D33" s="350">
        <v>2.332E-2</v>
      </c>
      <c r="E33" s="135"/>
      <c r="F33" s="32"/>
      <c r="G33" s="104">
        <f t="shared" ref="G33:G35" si="6">D33</f>
        <v>2.332E-2</v>
      </c>
      <c r="H33" s="425"/>
      <c r="J33" s="424">
        <v>1.23E-3</v>
      </c>
      <c r="K33" s="135"/>
      <c r="M33" s="140">
        <f>J33</f>
        <v>1.23E-3</v>
      </c>
      <c r="N33" s="135"/>
    </row>
    <row r="34" spans="1:14" x14ac:dyDescent="0.2">
      <c r="A34" s="3"/>
      <c r="B34" s="108"/>
      <c r="C34" s="108" t="s">
        <v>242</v>
      </c>
      <c r="D34" s="350">
        <v>0</v>
      </c>
      <c r="E34" s="135"/>
      <c r="G34" s="104">
        <f t="shared" si="6"/>
        <v>0</v>
      </c>
      <c r="H34" s="425"/>
      <c r="J34" s="424">
        <v>0</v>
      </c>
      <c r="K34" s="135"/>
      <c r="M34" s="140">
        <f>J34</f>
        <v>0</v>
      </c>
      <c r="N34" s="135"/>
    </row>
    <row r="35" spans="1:14" x14ac:dyDescent="0.2">
      <c r="A35" s="3"/>
      <c r="B35" s="108"/>
      <c r="C35" s="109" t="s">
        <v>243</v>
      </c>
      <c r="D35" s="350">
        <v>2.495E-2</v>
      </c>
      <c r="E35" s="135"/>
      <c r="G35" s="426">
        <f t="shared" si="6"/>
        <v>2.495E-2</v>
      </c>
      <c r="H35" s="425"/>
      <c r="J35" s="424">
        <v>2.495E-2</v>
      </c>
      <c r="K35" s="135"/>
      <c r="M35" s="140">
        <f>J35</f>
        <v>2.495E-2</v>
      </c>
      <c r="N35" s="135"/>
    </row>
    <row r="36" spans="1:14" x14ac:dyDescent="0.2">
      <c r="A36" s="3"/>
      <c r="B36" s="108"/>
      <c r="C36" s="108" t="s">
        <v>124</v>
      </c>
      <c r="D36" s="139">
        <f>SUM(D32:D35)</f>
        <v>0.42956000000000005</v>
      </c>
      <c r="E36" s="135">
        <f>ROUND(D36*D$8,2)</f>
        <v>27.49</v>
      </c>
      <c r="F36" s="64"/>
      <c r="G36" s="427">
        <f>SUM(G32:G35)</f>
        <v>0.51166999999999996</v>
      </c>
      <c r="H36" s="425">
        <f>ROUND(G36*G$8,2)</f>
        <v>32.75</v>
      </c>
      <c r="J36" s="427">
        <f>SUM(J32:J35)</f>
        <v>0.40747</v>
      </c>
      <c r="K36" s="135">
        <f>ROUND(J36*J$8,2)</f>
        <v>26.08</v>
      </c>
      <c r="M36" s="139">
        <f>SUM(M32:M35)</f>
        <v>0.48958000000000002</v>
      </c>
      <c r="N36" s="135">
        <f>ROUND(M36*M$8,2)</f>
        <v>31.33</v>
      </c>
    </row>
    <row r="37" spans="1:14" x14ac:dyDescent="0.2">
      <c r="A37" s="3"/>
      <c r="B37" s="108"/>
      <c r="C37" s="108" t="s">
        <v>88</v>
      </c>
      <c r="D37" s="139">
        <f>D26+D28+D30+D36</f>
        <v>0.93237000000000003</v>
      </c>
      <c r="E37" s="141">
        <f>SUM(E26,E28,E30,E36)</f>
        <v>59.67</v>
      </c>
      <c r="F37" s="64"/>
      <c r="G37" s="427">
        <f>G26+G28+G30+G36</f>
        <v>1.0144799999999998</v>
      </c>
      <c r="H37" s="428">
        <f>SUM(H26,H28,H30,H36)</f>
        <v>64.930000000000007</v>
      </c>
      <c r="J37" s="427">
        <f>J26+J28+J30+J36</f>
        <v>0.91027999999999998</v>
      </c>
      <c r="K37" s="141">
        <f>SUM(K26,K28,K30,K36)</f>
        <v>58.26</v>
      </c>
      <c r="M37" s="139">
        <f>M26+M28+M30+M36</f>
        <v>0.99238999999999999</v>
      </c>
      <c r="N37" s="141">
        <f>SUM(N26,N28,N30,N36)</f>
        <v>63.51</v>
      </c>
    </row>
    <row r="38" spans="1:14" x14ac:dyDescent="0.2">
      <c r="A38" s="3"/>
      <c r="B38" s="108"/>
      <c r="C38" s="108"/>
      <c r="D38" s="108"/>
      <c r="E38" s="135"/>
      <c r="F38" s="68"/>
      <c r="G38" s="108"/>
      <c r="H38" s="135"/>
      <c r="J38" s="108"/>
      <c r="K38" s="135"/>
      <c r="M38" s="108"/>
      <c r="N38" s="135"/>
    </row>
    <row r="39" spans="1:14" x14ac:dyDescent="0.2">
      <c r="A39" s="3"/>
      <c r="B39" s="108" t="s">
        <v>90</v>
      </c>
      <c r="C39" s="108"/>
      <c r="D39" s="117"/>
      <c r="E39" s="135">
        <f>E14+E37</f>
        <v>71.19</v>
      </c>
      <c r="G39" s="117"/>
      <c r="H39" s="135">
        <f>H14+H37</f>
        <v>76.45</v>
      </c>
      <c r="J39" s="117"/>
      <c r="K39" s="135">
        <f>K14+K37</f>
        <v>69.78</v>
      </c>
      <c r="M39" s="117"/>
      <c r="N39" s="135">
        <f>N14+N37</f>
        <v>75.03</v>
      </c>
    </row>
    <row r="40" spans="1:14" x14ac:dyDescent="0.2">
      <c r="A40" s="3"/>
      <c r="B40" s="108" t="s">
        <v>91</v>
      </c>
      <c r="C40" s="108"/>
      <c r="D40" s="117"/>
      <c r="E40" s="135"/>
      <c r="F40" s="32"/>
      <c r="G40" s="117"/>
      <c r="H40" s="135">
        <f>H39-$E39</f>
        <v>5.2600000000000051</v>
      </c>
      <c r="J40" s="117"/>
      <c r="K40" s="135">
        <f>K39-$E39</f>
        <v>-1.4099999999999966</v>
      </c>
      <c r="M40" s="117"/>
      <c r="N40" s="135">
        <f>N39-$E39</f>
        <v>3.8400000000000034</v>
      </c>
    </row>
    <row r="41" spans="1:14" x14ac:dyDescent="0.2">
      <c r="A41" s="3"/>
      <c r="B41" s="108" t="s">
        <v>92</v>
      </c>
      <c r="C41" s="108"/>
      <c r="D41" s="106"/>
      <c r="E41" s="106"/>
      <c r="G41" s="106"/>
      <c r="H41" s="107">
        <f>H40/$E39</f>
        <v>7.3886781851383698E-2</v>
      </c>
      <c r="J41" s="106"/>
      <c r="K41" s="107">
        <f>K40/$E39</f>
        <v>-1.9806152549515333E-2</v>
      </c>
      <c r="M41" s="106"/>
      <c r="N41" s="107">
        <f>N40/$E39</f>
        <v>5.3940160134850451E-2</v>
      </c>
    </row>
    <row r="42" spans="1:14" x14ac:dyDescent="0.2">
      <c r="A42" s="3"/>
      <c r="B42" s="108"/>
      <c r="C42" s="108"/>
      <c r="D42" s="108"/>
      <c r="E42" s="135"/>
      <c r="G42" s="108"/>
      <c r="H42" s="108"/>
      <c r="J42" s="108"/>
      <c r="K42" s="108"/>
      <c r="M42" s="108"/>
      <c r="N42" s="108"/>
    </row>
    <row r="43" spans="1:14" x14ac:dyDescent="0.2">
      <c r="B43" s="108" t="s">
        <v>126</v>
      </c>
      <c r="C43" s="108"/>
      <c r="D43" s="140">
        <f>D26+D28+D30</f>
        <v>0.50280999999999998</v>
      </c>
      <c r="E43" s="135"/>
      <c r="G43" s="140">
        <f>G26+G28+G30</f>
        <v>0.50280999999999998</v>
      </c>
      <c r="H43" s="108"/>
      <c r="J43" s="140">
        <f>J26+J28+J30</f>
        <v>0.50280999999999998</v>
      </c>
      <c r="K43" s="108"/>
      <c r="M43" s="140">
        <f>M26+M28+M30</f>
        <v>0.50280999999999998</v>
      </c>
      <c r="N43" s="108"/>
    </row>
    <row r="44" spans="1:14" x14ac:dyDescent="0.2">
      <c r="B44" s="108"/>
      <c r="C44" s="108"/>
      <c r="D44" s="108"/>
      <c r="E44" s="108"/>
    </row>
    <row r="45" spans="1:14" x14ac:dyDescent="0.2">
      <c r="B45" s="133" t="s">
        <v>323</v>
      </c>
      <c r="C45" s="108"/>
      <c r="D45" s="108"/>
      <c r="E45" s="108"/>
    </row>
    <row r="47" spans="1:14" ht="14.25" customHeight="1" x14ac:dyDescent="0.2">
      <c r="A47" s="3"/>
    </row>
  </sheetData>
  <mergeCells count="3">
    <mergeCell ref="M5:N5"/>
    <mergeCell ref="J6:K6"/>
    <mergeCell ref="M6:N6"/>
  </mergeCells>
  <phoneticPr fontId="4" type="noConversion"/>
  <printOptions horizontalCentered="1"/>
  <pageMargins left="0.75" right="0.75" top="1" bottom="1" header="0.5" footer="0.5"/>
  <pageSetup scale="97" orientation="landscape" blackAndWhite="1" r:id="rId1"/>
  <headerFooter alignWithMargins="0">
    <oddFooter>&amp;CPage# &amp;P of &amp;N&amp;R&amp;F  
&amp;A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U27"/>
  <sheetViews>
    <sheetView workbookViewId="0">
      <selection activeCell="O10" sqref="O10"/>
    </sheetView>
  </sheetViews>
  <sheetFormatPr defaultColWidth="9.140625" defaultRowHeight="11.25" x14ac:dyDescent="0.2"/>
  <cols>
    <col min="1" max="1" width="4.42578125" style="3" customWidth="1"/>
    <col min="2" max="2" width="25" style="3" bestFit="1" customWidth="1"/>
    <col min="3" max="3" width="1.5703125" style="3" customWidth="1"/>
    <col min="4" max="4" width="9.85546875" style="3" bestFit="1" customWidth="1"/>
    <col min="5" max="5" width="8.5703125" style="3" bestFit="1" customWidth="1"/>
    <col min="6" max="6" width="1.28515625" style="3" customWidth="1"/>
    <col min="7" max="7" width="10.5703125" style="3" bestFit="1" customWidth="1"/>
    <col min="8" max="8" width="9.140625" style="3" bestFit="1" customWidth="1"/>
    <col min="9" max="9" width="1.140625" style="3" customWidth="1"/>
    <col min="10" max="10" width="9.140625" style="3" bestFit="1" customWidth="1"/>
    <col min="11" max="11" width="1.140625" style="3" customWidth="1"/>
    <col min="12" max="12" width="12.42578125" style="3" bestFit="1" customWidth="1"/>
    <col min="13" max="13" width="10.85546875" style="3" customWidth="1"/>
    <col min="14" max="14" width="1" style="3" customWidth="1"/>
    <col min="15" max="15" width="12.5703125" style="3" bestFit="1" customWidth="1"/>
    <col min="16" max="16" width="10.85546875" style="3" customWidth="1"/>
    <col min="17" max="17" width="11.5703125" style="3" bestFit="1" customWidth="1"/>
    <col min="18" max="18" width="10.7109375" style="3" bestFit="1" customWidth="1"/>
    <col min="19" max="19" width="8.140625" style="3" customWidth="1"/>
    <col min="20" max="20" width="10.7109375" style="3" bestFit="1" customWidth="1"/>
    <col min="21" max="21" width="9.85546875" style="3" bestFit="1" customWidth="1"/>
    <col min="22" max="16384" width="9.140625" style="3"/>
  </cols>
  <sheetData>
    <row r="1" spans="1:21" s="37" customFormat="1" x14ac:dyDescent="0.2">
      <c r="A1" s="143" t="s">
        <v>17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</row>
    <row r="2" spans="1:21" s="37" customFormat="1" ht="11.25" customHeight="1" x14ac:dyDescent="0.2">
      <c r="A2" s="144" t="str">
        <f>"Schedule 101 and 106 Rates Proposed Effective " &amp; '(R) 2021 PGA Cost'!N3</f>
        <v>Schedule 101 and 106 Rates Proposed Effective November 1, 2021</v>
      </c>
      <c r="B2" s="145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</row>
    <row r="3" spans="1:21" s="37" customFormat="1" ht="11.25" customHeight="1" x14ac:dyDescent="0.2">
      <c r="A3" s="143" t="s">
        <v>59</v>
      </c>
      <c r="B3" s="145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</row>
    <row r="4" spans="1:21" s="37" customFormat="1" x14ac:dyDescent="0.2">
      <c r="R4" s="146"/>
      <c r="S4" s="146"/>
      <c r="T4" s="147"/>
      <c r="U4" s="147"/>
    </row>
    <row r="5" spans="1:21" s="37" customFormat="1" ht="56.25" x14ac:dyDescent="0.2">
      <c r="D5" s="463" t="s">
        <v>70</v>
      </c>
      <c r="E5" s="465"/>
      <c r="F5" s="429"/>
      <c r="G5" s="463" t="s">
        <v>254</v>
      </c>
      <c r="H5" s="465"/>
      <c r="I5" s="430"/>
      <c r="J5" s="430"/>
      <c r="K5" s="430"/>
      <c r="L5" s="463" t="s">
        <v>32</v>
      </c>
      <c r="M5" s="465"/>
      <c r="N5" s="431"/>
      <c r="O5" s="394" t="s">
        <v>322</v>
      </c>
      <c r="P5" s="394" t="s">
        <v>221</v>
      </c>
      <c r="Q5" s="397" t="s">
        <v>258</v>
      </c>
      <c r="R5" s="461" t="s">
        <v>259</v>
      </c>
      <c r="S5" s="466"/>
      <c r="T5" s="432"/>
      <c r="U5" s="149"/>
    </row>
    <row r="6" spans="1:21" x14ac:dyDescent="0.2">
      <c r="A6" s="17"/>
      <c r="B6" s="12" t="s">
        <v>1</v>
      </c>
      <c r="C6" s="148"/>
      <c r="D6" s="119"/>
      <c r="E6" s="119"/>
      <c r="F6" s="6"/>
      <c r="G6" s="6"/>
      <c r="H6" s="6"/>
      <c r="I6" s="6"/>
      <c r="J6" s="50" t="s">
        <v>15</v>
      </c>
      <c r="K6" s="6"/>
      <c r="L6" s="433" t="s">
        <v>15</v>
      </c>
      <c r="M6" s="434" t="s">
        <v>37</v>
      </c>
      <c r="N6" s="434"/>
      <c r="O6" s="395" t="s">
        <v>162</v>
      </c>
      <c r="P6" s="395" t="s">
        <v>46</v>
      </c>
      <c r="Q6" s="395" t="s">
        <v>46</v>
      </c>
      <c r="R6" s="432" t="s">
        <v>46</v>
      </c>
      <c r="S6" s="432" t="s">
        <v>46</v>
      </c>
      <c r="T6" s="435" t="s">
        <v>33</v>
      </c>
      <c r="U6" s="150"/>
    </row>
    <row r="7" spans="1:21" x14ac:dyDescent="0.2">
      <c r="A7" s="9" t="s">
        <v>19</v>
      </c>
      <c r="B7" s="9" t="s">
        <v>16</v>
      </c>
      <c r="C7" s="148"/>
      <c r="D7" s="53" t="s">
        <v>52</v>
      </c>
      <c r="E7" s="53" t="s">
        <v>53</v>
      </c>
      <c r="F7" s="14"/>
      <c r="G7" s="53" t="s">
        <v>52</v>
      </c>
      <c r="H7" s="53" t="s">
        <v>53</v>
      </c>
      <c r="I7" s="6"/>
      <c r="J7" s="53" t="s">
        <v>29</v>
      </c>
      <c r="K7" s="6"/>
      <c r="L7" s="436" t="s">
        <v>55</v>
      </c>
      <c r="M7" s="436" t="s">
        <v>119</v>
      </c>
      <c r="N7" s="436"/>
      <c r="O7" s="398" t="s">
        <v>252</v>
      </c>
      <c r="P7" s="398" t="s">
        <v>29</v>
      </c>
      <c r="Q7" s="398" t="s">
        <v>29</v>
      </c>
      <c r="R7" s="437" t="s">
        <v>29</v>
      </c>
      <c r="S7" s="437" t="s">
        <v>251</v>
      </c>
      <c r="T7" s="438" t="s">
        <v>34</v>
      </c>
      <c r="U7" s="151" t="s">
        <v>35</v>
      </c>
    </row>
    <row r="8" spans="1:21" x14ac:dyDescent="0.2">
      <c r="D8" s="50"/>
      <c r="E8" s="50"/>
      <c r="F8" s="50"/>
      <c r="G8" s="50"/>
      <c r="H8" s="50"/>
      <c r="I8" s="50"/>
      <c r="J8" s="50"/>
      <c r="K8" s="50"/>
      <c r="L8" s="433"/>
      <c r="M8" s="434"/>
      <c r="N8" s="434"/>
      <c r="O8" s="434"/>
      <c r="P8" s="434"/>
      <c r="Q8" s="434"/>
      <c r="R8" s="439"/>
      <c r="S8" s="50"/>
      <c r="T8" s="440"/>
      <c r="U8" s="152"/>
    </row>
    <row r="9" spans="1:21" x14ac:dyDescent="0.2">
      <c r="A9" s="148"/>
      <c r="B9" s="153" t="s">
        <v>20</v>
      </c>
      <c r="C9" s="2"/>
      <c r="D9" s="154"/>
      <c r="E9" s="154"/>
      <c r="F9" s="154"/>
      <c r="G9" s="154"/>
      <c r="H9" s="154"/>
      <c r="I9" s="50"/>
      <c r="J9" s="154"/>
      <c r="K9" s="50"/>
      <c r="L9" s="159"/>
      <c r="M9" s="159"/>
      <c r="N9" s="159"/>
      <c r="O9" s="159"/>
      <c r="P9" s="159"/>
      <c r="Q9" s="159"/>
      <c r="R9" s="441"/>
      <c r="S9" s="154"/>
      <c r="T9" s="442"/>
      <c r="U9" s="155"/>
    </row>
    <row r="10" spans="1:21" x14ac:dyDescent="0.2">
      <c r="A10" s="50">
        <v>1</v>
      </c>
      <c r="B10" s="50">
        <v>23</v>
      </c>
      <c r="C10" s="50"/>
      <c r="D10" s="156">
        <f>'Rates Summary '!E53</f>
        <v>0.38129000000000002</v>
      </c>
      <c r="E10" s="156">
        <f>'Rates Summary '!E51</f>
        <v>0.46339999999999998</v>
      </c>
      <c r="F10" s="156"/>
      <c r="G10" s="131">
        <v>4.827E-2</v>
      </c>
      <c r="H10" s="131">
        <v>2.6179999999999998E-2</v>
      </c>
      <c r="I10" s="93"/>
      <c r="J10" s="93">
        <f>E10-D10+H10-G10</f>
        <v>6.0019999999999955E-2</v>
      </c>
      <c r="K10" s="93"/>
      <c r="L10" s="443">
        <f>'F2021 Forecast '!N8</f>
        <v>636122043</v>
      </c>
      <c r="M10" s="443">
        <f>ROUND('F2021 Forecast '!N23,0)</f>
        <v>809229</v>
      </c>
      <c r="N10" s="443"/>
      <c r="O10" s="443">
        <f>'Rate Impact'!R10</f>
        <v>706181808.4761225</v>
      </c>
      <c r="P10" s="443">
        <f>'Rate Impact'!S10</f>
        <v>52231980.950000018</v>
      </c>
      <c r="Q10" s="443">
        <f>'Rate Impact'!T10</f>
        <v>-14051935.93</v>
      </c>
      <c r="R10" s="444">
        <f>+L10*J10</f>
        <v>38180045.020859972</v>
      </c>
      <c r="S10" s="445">
        <f>R10/O10</f>
        <v>5.406546099403086E-2</v>
      </c>
      <c r="T10" s="442">
        <f>+R10/M10</f>
        <v>47.18076715102891</v>
      </c>
      <c r="U10" s="155">
        <f>+T10/12</f>
        <v>3.9317305959190758</v>
      </c>
    </row>
    <row r="11" spans="1:21" x14ac:dyDescent="0.2">
      <c r="A11" s="50">
        <f>A10+1</f>
        <v>2</v>
      </c>
      <c r="B11" s="50">
        <v>16</v>
      </c>
      <c r="C11" s="50"/>
      <c r="D11" s="156">
        <f>'Rates Summary '!F53</f>
        <v>0.38129000000000002</v>
      </c>
      <c r="E11" s="156">
        <f>'Rates Summary '!F51</f>
        <v>0.46339999999999998</v>
      </c>
      <c r="F11" s="156"/>
      <c r="G11" s="131">
        <v>4.827E-2</v>
      </c>
      <c r="H11" s="131">
        <v>2.6179999999999998E-2</v>
      </c>
      <c r="I11" s="93"/>
      <c r="J11" s="93">
        <f>E11-D11+H11-G11</f>
        <v>6.0019999999999955E-2</v>
      </c>
      <c r="K11" s="93"/>
      <c r="L11" s="443">
        <f>'F2021 Forecast '!N9</f>
        <v>8832</v>
      </c>
      <c r="M11" s="443">
        <f>ROUND('F2021 Forecast '!N24,0)</f>
        <v>39</v>
      </c>
      <c r="N11" s="443"/>
      <c r="O11" s="443">
        <f>'Rate Impact'!R11</f>
        <v>9492.5971410526327</v>
      </c>
      <c r="P11" s="443">
        <f>'Rate Impact'!S11</f>
        <v>725.19999999999982</v>
      </c>
      <c r="Q11" s="443">
        <f>'Rate Impact'!T11</f>
        <v>-195.1</v>
      </c>
      <c r="R11" s="444">
        <f>+L11*J11</f>
        <v>530.09663999999964</v>
      </c>
      <c r="S11" s="445">
        <f>R11/O11</f>
        <v>5.5843162005421131E-2</v>
      </c>
      <c r="T11" s="442">
        <f>+R11/M11</f>
        <v>13.59222153846153</v>
      </c>
      <c r="U11" s="155">
        <f>+T11/12</f>
        <v>1.1326851282051276</v>
      </c>
    </row>
    <row r="12" spans="1:21" x14ac:dyDescent="0.2">
      <c r="A12" s="50">
        <f>A11+1</f>
        <v>3</v>
      </c>
      <c r="B12" s="2" t="s">
        <v>50</v>
      </c>
      <c r="C12" s="50"/>
      <c r="D12" s="157"/>
      <c r="E12" s="157"/>
      <c r="F12" s="93"/>
      <c r="G12" s="131"/>
      <c r="H12" s="131"/>
      <c r="I12" s="93"/>
      <c r="J12" s="93"/>
      <c r="K12" s="93"/>
      <c r="L12" s="161">
        <f>SUM(L10:L11)</f>
        <v>636130875</v>
      </c>
      <c r="M12" s="161">
        <f>SUM(M10:M11)</f>
        <v>809268</v>
      </c>
      <c r="N12" s="160"/>
      <c r="O12" s="446">
        <f t="shared" ref="O12:Q12" si="0">SUM(O10:O11)</f>
        <v>706191301.07326353</v>
      </c>
      <c r="P12" s="446">
        <f t="shared" si="0"/>
        <v>52232706.150000021</v>
      </c>
      <c r="Q12" s="446">
        <f t="shared" si="0"/>
        <v>-14052131.029999999</v>
      </c>
      <c r="R12" s="446">
        <f>SUM(R10:R11)</f>
        <v>38180575.11749997</v>
      </c>
      <c r="S12" s="447"/>
      <c r="T12" s="448">
        <f>+R12/M12</f>
        <v>47.179148461943349</v>
      </c>
      <c r="U12" s="158">
        <f>+T12/12</f>
        <v>3.9315957051619459</v>
      </c>
    </row>
    <row r="13" spans="1:21" x14ac:dyDescent="0.2">
      <c r="A13" s="148"/>
      <c r="D13" s="157"/>
      <c r="E13" s="157"/>
      <c r="F13" s="93"/>
      <c r="G13" s="131"/>
      <c r="H13" s="131"/>
      <c r="I13" s="93"/>
      <c r="J13" s="93"/>
      <c r="K13" s="93"/>
      <c r="L13" s="159"/>
      <c r="M13" s="159"/>
      <c r="N13" s="159"/>
      <c r="O13" s="159"/>
      <c r="P13" s="159"/>
      <c r="Q13" s="159"/>
      <c r="R13" s="444"/>
      <c r="S13" s="447"/>
      <c r="T13" s="442"/>
      <c r="U13" s="155"/>
    </row>
    <row r="14" spans="1:21" x14ac:dyDescent="0.2">
      <c r="A14" s="148"/>
      <c r="B14" s="153" t="s">
        <v>36</v>
      </c>
      <c r="C14" s="148"/>
      <c r="D14" s="157"/>
      <c r="E14" s="157"/>
      <c r="F14" s="93"/>
      <c r="G14" s="131"/>
      <c r="H14" s="131"/>
      <c r="I14" s="93"/>
      <c r="J14" s="93"/>
      <c r="K14" s="93"/>
      <c r="L14" s="159"/>
      <c r="M14" s="159"/>
      <c r="N14" s="159"/>
      <c r="O14" s="159"/>
      <c r="P14" s="159"/>
      <c r="Q14" s="159"/>
      <c r="R14" s="444"/>
      <c r="S14" s="447"/>
      <c r="T14" s="442"/>
      <c r="U14" s="155"/>
    </row>
    <row r="15" spans="1:21" x14ac:dyDescent="0.2">
      <c r="A15" s="50">
        <f>A12+1</f>
        <v>4</v>
      </c>
      <c r="B15" s="148">
        <v>31</v>
      </c>
      <c r="C15" s="50"/>
      <c r="D15" s="156">
        <f>'Rates Summary '!G53</f>
        <v>0.37314999999999998</v>
      </c>
      <c r="E15" s="156">
        <f>'Rates Summary '!G51</f>
        <v>0.45562000000000002</v>
      </c>
      <c r="F15" s="156"/>
      <c r="G15" s="131">
        <v>4.8119999999999996E-2</v>
      </c>
      <c r="H15" s="131">
        <v>2.614E-2</v>
      </c>
      <c r="I15" s="93"/>
      <c r="J15" s="93">
        <f>E15-D15+H15-G15</f>
        <v>6.0490000000000044E-2</v>
      </c>
      <c r="K15" s="93"/>
      <c r="L15" s="443">
        <f>'F2021 Forecast '!N10</f>
        <v>237822307</v>
      </c>
      <c r="M15" s="443">
        <f>ROUND('F2021 Forecast '!N25,)</f>
        <v>57926</v>
      </c>
      <c r="N15" s="443"/>
      <c r="O15" s="443">
        <f>'Rate Impact'!R12</f>
        <v>240438410.01665625</v>
      </c>
      <c r="P15" s="443">
        <f>'Rate Impact'!S12</f>
        <v>19613205.659999996</v>
      </c>
      <c r="Q15" s="443">
        <f>'Rate Impact'!T12</f>
        <v>-5227334.3099999996</v>
      </c>
      <c r="R15" s="444">
        <f>+L15*J15</f>
        <v>14385871.35043001</v>
      </c>
      <c r="S15" s="445">
        <f>R15/O15</f>
        <v>5.9831835310479038E-2</v>
      </c>
      <c r="T15" s="442">
        <f>+R15/M15</f>
        <v>248.34912388961797</v>
      </c>
      <c r="U15" s="155">
        <f>+T15/12</f>
        <v>20.695760324134831</v>
      </c>
    </row>
    <row r="16" spans="1:21" x14ac:dyDescent="0.2">
      <c r="A16" s="50">
        <f>A15+1</f>
        <v>5</v>
      </c>
      <c r="B16" s="50">
        <v>41</v>
      </c>
      <c r="C16" s="50"/>
      <c r="D16" s="156">
        <f>'Rates Summary '!H53</f>
        <v>0.26356000000000002</v>
      </c>
      <c r="E16" s="156">
        <f>'Rates Summary '!H51</f>
        <v>0.34892000000000001</v>
      </c>
      <c r="F16" s="156"/>
      <c r="G16" s="131">
        <v>4.7490000000000004E-2</v>
      </c>
      <c r="H16" s="131">
        <v>2.6030000000000001E-2</v>
      </c>
      <c r="I16" s="93"/>
      <c r="J16" s="93">
        <f>E16-D16+H16-G16</f>
        <v>6.3899999999999985E-2</v>
      </c>
      <c r="K16" s="93"/>
      <c r="L16" s="443">
        <f>'F2021 Forecast '!N11</f>
        <v>66459784</v>
      </c>
      <c r="M16" s="443">
        <f>ROUND('F2021 Forecast '!N26,0)</f>
        <v>1302</v>
      </c>
      <c r="N16" s="443"/>
      <c r="O16" s="443">
        <f>'Rate Impact'!R13</f>
        <v>43271345.602297887</v>
      </c>
      <c r="P16" s="443">
        <f>'Rate Impact'!S13</f>
        <v>5673007.1599999964</v>
      </c>
      <c r="Q16" s="443">
        <f>'Rate Impact'!T13</f>
        <v>-1426226.96</v>
      </c>
      <c r="R16" s="444">
        <f>+L16*J16</f>
        <v>4246780.1975999987</v>
      </c>
      <c r="S16" s="445">
        <f>R16/O16</f>
        <v>9.8143012159401785E-2</v>
      </c>
      <c r="T16" s="442">
        <f>+R16/M16</f>
        <v>3261.7359428571417</v>
      </c>
      <c r="U16" s="155">
        <f>+T16/12</f>
        <v>271.81132857142848</v>
      </c>
    </row>
    <row r="17" spans="1:21" x14ac:dyDescent="0.2">
      <c r="A17" s="50">
        <f>A16+1</f>
        <v>6</v>
      </c>
      <c r="B17" s="2" t="s">
        <v>51</v>
      </c>
      <c r="C17" s="50"/>
      <c r="D17" s="157"/>
      <c r="E17" s="157"/>
      <c r="F17" s="93"/>
      <c r="G17" s="131"/>
      <c r="H17" s="131"/>
      <c r="I17" s="93"/>
      <c r="J17" s="93"/>
      <c r="K17" s="93"/>
      <c r="L17" s="161">
        <f>SUM(L15:L16)</f>
        <v>304282091</v>
      </c>
      <c r="M17" s="161">
        <f>SUM(M15:M16)</f>
        <v>59228</v>
      </c>
      <c r="N17" s="160"/>
      <c r="O17" s="446">
        <f t="shared" ref="O17:Q17" si="1">SUM(O15:O16)</f>
        <v>283709755.61895412</v>
      </c>
      <c r="P17" s="446">
        <f t="shared" si="1"/>
        <v>25286212.819999993</v>
      </c>
      <c r="Q17" s="446">
        <f t="shared" si="1"/>
        <v>-6653561.2699999996</v>
      </c>
      <c r="R17" s="446">
        <f>SUM(R15:R16)</f>
        <v>18632651.548030008</v>
      </c>
      <c r="S17" s="447"/>
      <c r="T17" s="448">
        <f>R17/M17</f>
        <v>314.59194212247598</v>
      </c>
      <c r="U17" s="158">
        <f>T17/12</f>
        <v>26.215995176872998</v>
      </c>
    </row>
    <row r="18" spans="1:21" x14ac:dyDescent="0.2">
      <c r="A18" s="148"/>
      <c r="B18" s="148"/>
      <c r="C18" s="50"/>
      <c r="D18" s="157"/>
      <c r="E18" s="157"/>
      <c r="F18" s="93"/>
      <c r="G18" s="131"/>
      <c r="H18" s="131"/>
      <c r="I18" s="93"/>
      <c r="J18" s="93"/>
      <c r="K18" s="93"/>
      <c r="L18" s="160"/>
      <c r="M18" s="160"/>
      <c r="N18" s="160"/>
      <c r="O18" s="160"/>
      <c r="P18" s="160"/>
      <c r="Q18" s="160"/>
      <c r="R18" s="449"/>
      <c r="S18" s="447"/>
      <c r="T18" s="450"/>
      <c r="U18" s="162"/>
    </row>
    <row r="19" spans="1:21" x14ac:dyDescent="0.2">
      <c r="A19" s="148"/>
      <c r="B19" s="153" t="s">
        <v>117</v>
      </c>
      <c r="C19" s="50"/>
      <c r="D19" s="157"/>
      <c r="E19" s="157"/>
      <c r="F19" s="93"/>
      <c r="G19" s="131"/>
      <c r="H19" s="131"/>
      <c r="I19" s="93"/>
      <c r="J19" s="93"/>
      <c r="K19" s="93"/>
      <c r="L19" s="159"/>
      <c r="M19" s="159"/>
      <c r="N19" s="159"/>
      <c r="O19" s="159"/>
      <c r="P19" s="159"/>
      <c r="Q19" s="159"/>
      <c r="R19" s="444"/>
      <c r="S19" s="447"/>
      <c r="T19" s="442"/>
      <c r="U19" s="155"/>
    </row>
    <row r="20" spans="1:21" x14ac:dyDescent="0.2">
      <c r="A20" s="50">
        <f>A17+1</f>
        <v>7</v>
      </c>
      <c r="B20" s="50">
        <v>85</v>
      </c>
      <c r="C20" s="50"/>
      <c r="D20" s="156">
        <f>'Rates Summary '!I53</f>
        <v>0.30064000000000002</v>
      </c>
      <c r="E20" s="156">
        <f>'Rates Summary '!I51</f>
        <v>0.38712000000000002</v>
      </c>
      <c r="F20" s="156"/>
      <c r="G20" s="131">
        <v>4.7050000000000002E-2</v>
      </c>
      <c r="H20" s="131">
        <v>2.5950000000000001E-2</v>
      </c>
      <c r="I20" s="93"/>
      <c r="J20" s="93">
        <f>E20-D20+H20-G20</f>
        <v>6.5379999999999994E-2</v>
      </c>
      <c r="K20" s="93"/>
      <c r="L20" s="443">
        <f>'F2021 Forecast '!N12</f>
        <v>11987089</v>
      </c>
      <c r="M20" s="443">
        <f>ROUND('F2021 Forecast '!N27,0)</f>
        <v>31</v>
      </c>
      <c r="N20" s="443"/>
      <c r="O20" s="443">
        <f>'Rate Impact'!R14</f>
        <v>5824654.9197390648</v>
      </c>
      <c r="P20" s="443">
        <f>'Rate Impact'!S14</f>
        <v>1036643.4499999997</v>
      </c>
      <c r="Q20" s="443">
        <f>'Rate Impact'!T14</f>
        <v>-252927.58</v>
      </c>
      <c r="R20" s="444">
        <f>+L20*J20</f>
        <v>783715.87881999987</v>
      </c>
      <c r="S20" s="445">
        <f>R20/O20</f>
        <v>0.13455146950664487</v>
      </c>
      <c r="T20" s="442">
        <f>+R20/M20</f>
        <v>25281.157381290319</v>
      </c>
      <c r="U20" s="155">
        <f>+T20/12</f>
        <v>2106.7631151075266</v>
      </c>
    </row>
    <row r="21" spans="1:21" x14ac:dyDescent="0.2">
      <c r="A21" s="50">
        <f>A20+1</f>
        <v>8</v>
      </c>
      <c r="B21" s="50">
        <v>86</v>
      </c>
      <c r="C21" s="50"/>
      <c r="D21" s="156">
        <f>'Rates Summary '!J53</f>
        <v>0.31402000000000002</v>
      </c>
      <c r="E21" s="156">
        <f>'Rates Summary '!J51</f>
        <v>0.40093000000000001</v>
      </c>
      <c r="F21" s="156"/>
      <c r="G21" s="131">
        <v>4.725E-2</v>
      </c>
      <c r="H21" s="131">
        <v>2.598E-2</v>
      </c>
      <c r="I21" s="93"/>
      <c r="J21" s="93">
        <f>E21-D21+H21-G21</f>
        <v>6.563999999999999E-2</v>
      </c>
      <c r="K21" s="93"/>
      <c r="L21" s="443">
        <f>'F2021 Forecast '!N13</f>
        <v>6125732</v>
      </c>
      <c r="M21" s="443">
        <f>ROUND('F2021 Forecast '!N28,0)</f>
        <v>111</v>
      </c>
      <c r="N21" s="443"/>
      <c r="O21" s="443">
        <f>'Rate Impact'!R15</f>
        <v>3708293.1011270508</v>
      </c>
      <c r="P21" s="443">
        <f>'Rate Impact'!S15</f>
        <v>532387.36999999988</v>
      </c>
      <c r="Q21" s="443">
        <f>'Rate Impact'!T15</f>
        <v>-130294.32</v>
      </c>
      <c r="R21" s="444">
        <f>+L21*J21</f>
        <v>402093.04847999994</v>
      </c>
      <c r="S21" s="445">
        <f>R21/O21</f>
        <v>0.10843076248686841</v>
      </c>
      <c r="T21" s="442">
        <f>+R21/M21</f>
        <v>3622.4598962162158</v>
      </c>
      <c r="U21" s="155">
        <f>+T21/12</f>
        <v>301.87165801801797</v>
      </c>
    </row>
    <row r="22" spans="1:21" x14ac:dyDescent="0.2">
      <c r="A22" s="50">
        <f>A21+1</f>
        <v>9</v>
      </c>
      <c r="B22" s="50">
        <v>87</v>
      </c>
      <c r="C22" s="50"/>
      <c r="D22" s="156">
        <f>'Rates Summary '!K53</f>
        <v>0.31184000000000001</v>
      </c>
      <c r="E22" s="156">
        <f>'Rates Summary '!K51</f>
        <v>0.39700999999999997</v>
      </c>
      <c r="F22" s="156"/>
      <c r="G22" s="131">
        <v>4.7079999999999997E-2</v>
      </c>
      <c r="H22" s="131">
        <v>2.5950000000000001E-2</v>
      </c>
      <c r="I22" s="93"/>
      <c r="J22" s="93">
        <f>E22-D22+H22-G22</f>
        <v>6.4039999999999972E-2</v>
      </c>
      <c r="K22" s="93"/>
      <c r="L22" s="443">
        <f>'F2021 Forecast '!N14</f>
        <v>17216892</v>
      </c>
      <c r="M22" s="443">
        <f>ROUND('F2021 Forecast '!N29,0)</f>
        <v>5</v>
      </c>
      <c r="N22" s="443"/>
      <c r="O22" s="443">
        <f>'Rate Impact'!R16</f>
        <v>7582382.3048695847</v>
      </c>
      <c r="P22" s="443">
        <f>'Rate Impact'!S16</f>
        <v>1466362.6900000004</v>
      </c>
      <c r="Q22" s="443">
        <f>'Rate Impact'!T16</f>
        <v>-363792.93</v>
      </c>
      <c r="R22" s="444">
        <f>+L22*J22</f>
        <v>1102569.7636799996</v>
      </c>
      <c r="S22" s="445">
        <f>R22/O22</f>
        <v>0.14541205116654476</v>
      </c>
      <c r="T22" s="442">
        <f>+R22/M22</f>
        <v>220513.95273599992</v>
      </c>
      <c r="U22" s="155">
        <f>+T22/12</f>
        <v>18376.162727999992</v>
      </c>
    </row>
    <row r="23" spans="1:21" x14ac:dyDescent="0.2">
      <c r="A23" s="50">
        <f>A22+1</f>
        <v>10</v>
      </c>
      <c r="B23" s="2" t="s">
        <v>118</v>
      </c>
      <c r="C23" s="148"/>
      <c r="D23" s="163"/>
      <c r="E23" s="163"/>
      <c r="F23" s="163"/>
      <c r="G23" s="163"/>
      <c r="H23" s="163"/>
      <c r="I23" s="163"/>
      <c r="J23" s="163"/>
      <c r="K23" s="163"/>
      <c r="L23" s="161">
        <f>SUM(L20:L22)</f>
        <v>35329713</v>
      </c>
      <c r="M23" s="161">
        <f>SUM(M20:M22)</f>
        <v>147</v>
      </c>
      <c r="N23" s="160"/>
      <c r="O23" s="446">
        <f t="shared" ref="O23:Q23" si="2">SUM(O20:O22)</f>
        <v>17115330.325735699</v>
      </c>
      <c r="P23" s="446">
        <f t="shared" si="2"/>
        <v>3035393.51</v>
      </c>
      <c r="Q23" s="446">
        <f t="shared" si="2"/>
        <v>-747014.83000000007</v>
      </c>
      <c r="R23" s="446">
        <f>SUM(R20:R22)</f>
        <v>2288378.6909799995</v>
      </c>
      <c r="S23" s="445"/>
      <c r="T23" s="448">
        <f>R23/M23</f>
        <v>15567.201979455778</v>
      </c>
      <c r="U23" s="158">
        <f>T23/12</f>
        <v>1297.2668316213149</v>
      </c>
    </row>
    <row r="24" spans="1:21" x14ac:dyDescent="0.2">
      <c r="A24" s="50">
        <f>A23+1</f>
        <v>11</v>
      </c>
      <c r="B24" s="2" t="s">
        <v>15</v>
      </c>
      <c r="C24" s="148"/>
      <c r="D24" s="163"/>
      <c r="E24" s="163"/>
      <c r="F24" s="163"/>
      <c r="G24" s="163"/>
      <c r="H24" s="163"/>
      <c r="I24" s="163"/>
      <c r="J24" s="163"/>
      <c r="K24" s="163"/>
      <c r="L24" s="161">
        <f>SUM(L12,L17,L23)</f>
        <v>975742679</v>
      </c>
      <c r="M24" s="161">
        <f>SUM(M12,M17,M23)</f>
        <v>868643</v>
      </c>
      <c r="N24" s="446">
        <f t="shared" ref="N24:Q24" si="3">SUM(N12,N17,N23)</f>
        <v>0</v>
      </c>
      <c r="O24" s="446">
        <f t="shared" si="3"/>
        <v>1007016387.0179533</v>
      </c>
      <c r="P24" s="446">
        <f t="shared" si="3"/>
        <v>80554312.480000019</v>
      </c>
      <c r="Q24" s="446">
        <f t="shared" si="3"/>
        <v>-21452707.129999995</v>
      </c>
      <c r="R24" s="446">
        <f>SUM(R12,R17,R23)</f>
        <v>59101605.356509984</v>
      </c>
      <c r="S24" s="445"/>
      <c r="T24" s="451"/>
      <c r="U24" s="155"/>
    </row>
    <row r="25" spans="1:21" s="6" customFormat="1" x14ac:dyDescent="0.2">
      <c r="F25" s="163"/>
      <c r="G25" s="163"/>
      <c r="H25" s="159"/>
      <c r="J25" s="164"/>
      <c r="L25" s="452">
        <f>'Schedule 101 Revenue'!D39-L24</f>
        <v>0</v>
      </c>
      <c r="O25" s="452">
        <f>O24-SUM('Rate Impact'!R10:R16)</f>
        <v>0</v>
      </c>
      <c r="P25" s="452">
        <f>P24-SUM('Rate Impact'!S10:S16)</f>
        <v>0</v>
      </c>
      <c r="Q25" s="452">
        <f>Q24-SUM('Rate Impact'!T10:T16)</f>
        <v>0</v>
      </c>
      <c r="R25" s="452">
        <f>R24-'Rate Impact'!S23-'Rate Impact'!T23</f>
        <v>6.5099634230136871E-3</v>
      </c>
      <c r="S25" s="174" t="s">
        <v>250</v>
      </c>
      <c r="T25" s="174"/>
    </row>
    <row r="26" spans="1:21" x14ac:dyDescent="0.2">
      <c r="A26" s="3" t="s">
        <v>120</v>
      </c>
      <c r="B26" s="2"/>
      <c r="C26" s="148"/>
      <c r="D26" s="163"/>
      <c r="E26" s="163"/>
      <c r="F26" s="163"/>
      <c r="G26" s="163"/>
      <c r="H26" s="163"/>
      <c r="I26" s="163"/>
      <c r="J26" s="163"/>
      <c r="K26" s="163"/>
      <c r="L26" s="160"/>
      <c r="M26" s="160"/>
      <c r="N26" s="160"/>
      <c r="O26" s="160"/>
      <c r="P26" s="160"/>
      <c r="Q26" s="160"/>
      <c r="R26" s="449"/>
      <c r="S26" s="164"/>
      <c r="T26" s="451"/>
      <c r="U26" s="155"/>
    </row>
    <row r="27" spans="1:21" x14ac:dyDescent="0.2"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63"/>
      <c r="T27" s="6"/>
    </row>
  </sheetData>
  <mergeCells count="4">
    <mergeCell ref="G5:H5"/>
    <mergeCell ref="D5:E5"/>
    <mergeCell ref="L5:M5"/>
    <mergeCell ref="R5:S5"/>
  </mergeCells>
  <phoneticPr fontId="4" type="noConversion"/>
  <printOptions horizontalCentered="1"/>
  <pageMargins left="0.5" right="0.5" top="1" bottom="1" header="0.5" footer="0.5"/>
  <pageSetup scale="87" orientation="landscape" blackAndWhite="1" r:id="rId1"/>
  <headerFooter alignWithMargins="0">
    <oddFooter>&amp;CPage# &amp;P of &amp;N&amp;R&amp;F 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pane ySplit="8" topLeftCell="A9" activePane="bottomLeft" state="frozen"/>
      <selection activeCell="G30" sqref="G30:J37"/>
      <selection pane="bottomLeft" activeCell="B1" sqref="B1:G1"/>
    </sheetView>
  </sheetViews>
  <sheetFormatPr defaultColWidth="9.140625" defaultRowHeight="11.25" x14ac:dyDescent="0.2"/>
  <cols>
    <col min="1" max="1" width="3.85546875" style="3" customWidth="1"/>
    <col min="2" max="2" width="3" style="3" bestFit="1" customWidth="1"/>
    <col min="3" max="3" width="42.5703125" style="3" bestFit="1" customWidth="1"/>
    <col min="4" max="4" width="11.42578125" style="3" bestFit="1" customWidth="1"/>
    <col min="5" max="5" width="10.140625" style="3" bestFit="1" customWidth="1"/>
    <col min="6" max="6" width="9.85546875" style="3" bestFit="1" customWidth="1"/>
    <col min="7" max="7" width="10.140625" style="3" bestFit="1" customWidth="1"/>
    <col min="8" max="16384" width="9.140625" style="3"/>
  </cols>
  <sheetData>
    <row r="1" spans="1:7" ht="12.75" x14ac:dyDescent="0.2">
      <c r="A1" s="143"/>
      <c r="B1" s="467" t="s">
        <v>17</v>
      </c>
      <c r="C1" s="468"/>
      <c r="D1" s="468"/>
      <c r="E1" s="468"/>
      <c r="F1" s="468"/>
      <c r="G1" s="468"/>
    </row>
    <row r="2" spans="1:7" ht="12.75" x14ac:dyDescent="0.2">
      <c r="B2" s="469" t="str">
        <f>"PGA Filing Proposed Effective " &amp; '(R) 2021 PGA Cost'!N3</f>
        <v>PGA Filing Proposed Effective November 1, 2021</v>
      </c>
      <c r="C2" s="462"/>
      <c r="D2" s="462"/>
      <c r="E2" s="462"/>
      <c r="F2" s="462"/>
      <c r="G2" s="462"/>
    </row>
    <row r="3" spans="1:7" ht="11.25" customHeight="1" x14ac:dyDescent="0.2">
      <c r="B3" s="467" t="s">
        <v>106</v>
      </c>
      <c r="C3" s="468"/>
      <c r="D3" s="468"/>
      <c r="E3" s="468"/>
      <c r="F3" s="468"/>
      <c r="G3" s="468"/>
    </row>
    <row r="4" spans="1:7" ht="11.25" customHeight="1" x14ac:dyDescent="0.2">
      <c r="B4" s="467" t="s">
        <v>107</v>
      </c>
      <c r="C4" s="468"/>
      <c r="D4" s="468"/>
      <c r="E4" s="468"/>
      <c r="F4" s="468"/>
      <c r="G4" s="468"/>
    </row>
    <row r="7" spans="1:7" x14ac:dyDescent="0.2">
      <c r="D7" s="8" t="s">
        <v>108</v>
      </c>
      <c r="E7" s="8"/>
      <c r="F7" s="8"/>
      <c r="G7" s="8"/>
    </row>
    <row r="8" spans="1:7" x14ac:dyDescent="0.2">
      <c r="D8" s="9">
        <v>41</v>
      </c>
      <c r="E8" s="9">
        <v>85</v>
      </c>
      <c r="F8" s="9">
        <v>86</v>
      </c>
      <c r="G8" s="9">
        <v>87</v>
      </c>
    </row>
    <row r="9" spans="1:7" x14ac:dyDescent="0.2">
      <c r="C9" s="31" t="s">
        <v>109</v>
      </c>
      <c r="D9" s="12"/>
      <c r="E9" s="12"/>
      <c r="F9" s="12"/>
      <c r="G9" s="12"/>
    </row>
    <row r="10" spans="1:7" x14ac:dyDescent="0.2">
      <c r="B10" s="3">
        <v>1</v>
      </c>
      <c r="C10" s="3" t="s">
        <v>67</v>
      </c>
      <c r="D10" s="390">
        <f>'Rates Summary '!H10</f>
        <v>4528612.9802955659</v>
      </c>
      <c r="E10" s="390">
        <f>'Rates Summary '!I10</f>
        <v>102313.32307692309</v>
      </c>
      <c r="F10" s="390">
        <f>'Rates Summary '!J10</f>
        <v>36692.736980191527</v>
      </c>
      <c r="G10" s="390">
        <f>'Rates Summary '!K10</f>
        <v>0</v>
      </c>
    </row>
    <row r="11" spans="1:7" x14ac:dyDescent="0.2">
      <c r="B11" s="3">
        <f>B10+1</f>
        <v>2</v>
      </c>
      <c r="C11" s="3" t="s">
        <v>317</v>
      </c>
      <c r="D11" s="389">
        <f>'Rates Summary '!H11</f>
        <v>66459784</v>
      </c>
      <c r="E11" s="390">
        <f>'Rates Summary '!I11</f>
        <v>11987089</v>
      </c>
      <c r="F11" s="390">
        <f>'Rates Summary '!J11</f>
        <v>6125732</v>
      </c>
      <c r="G11" s="390">
        <f>'Rates Summary '!K11</f>
        <v>17216892</v>
      </c>
    </row>
    <row r="12" spans="1:7" x14ac:dyDescent="0.2">
      <c r="D12" s="21"/>
      <c r="E12" s="21"/>
      <c r="F12" s="21"/>
      <c r="G12" s="21"/>
    </row>
    <row r="13" spans="1:7" x14ac:dyDescent="0.2">
      <c r="C13" s="31" t="s">
        <v>45</v>
      </c>
      <c r="D13" s="21"/>
      <c r="E13" s="21"/>
      <c r="F13" s="21"/>
      <c r="G13" s="21"/>
    </row>
    <row r="14" spans="1:7" x14ac:dyDescent="0.2">
      <c r="B14" s="3">
        <f>B11+1</f>
        <v>3</v>
      </c>
      <c r="C14" s="3" t="s">
        <v>110</v>
      </c>
      <c r="D14" s="166">
        <f>'Rates Summary '!H45</f>
        <v>1.05</v>
      </c>
      <c r="E14" s="166">
        <f>'Rates Summary '!I45</f>
        <v>1.05</v>
      </c>
      <c r="F14" s="166">
        <f>'Rates Summary '!J45</f>
        <v>1.05</v>
      </c>
      <c r="G14" s="167">
        <f>'Rates Summary '!K45</f>
        <v>1.05</v>
      </c>
    </row>
    <row r="15" spans="1:7" x14ac:dyDescent="0.2">
      <c r="B15" s="3">
        <f>B14+1</f>
        <v>4</v>
      </c>
      <c r="C15" s="3" t="s">
        <v>111</v>
      </c>
      <c r="D15" s="24">
        <f>D10*D14</f>
        <v>4755043.6293103443</v>
      </c>
      <c r="E15" s="24">
        <f>E10*E14</f>
        <v>107428.98923076925</v>
      </c>
      <c r="F15" s="24">
        <f>F10*F14</f>
        <v>38527.373829201104</v>
      </c>
      <c r="G15" s="24">
        <f>G10*G14</f>
        <v>0</v>
      </c>
    </row>
    <row r="16" spans="1:7" x14ac:dyDescent="0.2">
      <c r="B16" s="3">
        <f>B15+1</f>
        <v>5</v>
      </c>
      <c r="C16" s="3" t="s">
        <v>112</v>
      </c>
      <c r="D16" s="28">
        <f>ROUND(D15/D11,5)</f>
        <v>7.1550000000000002E-2</v>
      </c>
      <c r="E16" s="28">
        <f>ROUND(E15/E11,5)</f>
        <v>8.9599999999999992E-3</v>
      </c>
      <c r="F16" s="28">
        <f>ROUND(F15/F11,5)</f>
        <v>6.2899999999999996E-3</v>
      </c>
      <c r="G16" s="28">
        <f>ROUND(G15/G11,5)</f>
        <v>0</v>
      </c>
    </row>
    <row r="18" spans="2:7" x14ac:dyDescent="0.2">
      <c r="C18" s="31" t="s">
        <v>113</v>
      </c>
      <c r="D18" s="21"/>
      <c r="E18" s="21"/>
      <c r="F18" s="21"/>
      <c r="G18" s="21"/>
    </row>
    <row r="19" spans="2:7" x14ac:dyDescent="0.2">
      <c r="B19" s="3">
        <f>B16+1</f>
        <v>6</v>
      </c>
      <c r="C19" s="3" t="s">
        <v>114</v>
      </c>
      <c r="D19" s="168">
        <v>1.05</v>
      </c>
      <c r="E19" s="25">
        <f>$D19</f>
        <v>1.05</v>
      </c>
      <c r="F19" s="25">
        <f>$D19</f>
        <v>1.05</v>
      </c>
      <c r="G19" s="25">
        <f>$D19</f>
        <v>1.05</v>
      </c>
    </row>
    <row r="20" spans="2:7" x14ac:dyDescent="0.2">
      <c r="B20" s="3">
        <f>B19+1</f>
        <v>7</v>
      </c>
      <c r="C20" s="3" t="s">
        <v>115</v>
      </c>
      <c r="D20" s="24">
        <f>D10*D19</f>
        <v>4755043.6293103443</v>
      </c>
      <c r="E20" s="24">
        <f>E10*E19</f>
        <v>107428.98923076925</v>
      </c>
      <c r="F20" s="24">
        <f>F10*F19</f>
        <v>38527.373829201104</v>
      </c>
      <c r="G20" s="24">
        <f>G10*G19</f>
        <v>0</v>
      </c>
    </row>
    <row r="21" spans="2:7" x14ac:dyDescent="0.2">
      <c r="B21" s="3">
        <f>B20+1</f>
        <v>8</v>
      </c>
      <c r="C21" s="3" t="s">
        <v>116</v>
      </c>
      <c r="D21" s="28">
        <f>ROUND(D20/D11,5)</f>
        <v>7.1550000000000002E-2</v>
      </c>
      <c r="E21" s="28">
        <f>ROUND(E20/E11,5)</f>
        <v>8.9599999999999992E-3</v>
      </c>
      <c r="F21" s="28">
        <f>ROUND(F20/F11,5)</f>
        <v>6.2899999999999996E-3</v>
      </c>
      <c r="G21" s="28">
        <f>ROUND(G20/G11,5)</f>
        <v>0</v>
      </c>
    </row>
    <row r="23" spans="2:7" x14ac:dyDescent="0.2">
      <c r="B23" s="3">
        <f>B21+1</f>
        <v>9</v>
      </c>
      <c r="C23" s="3" t="s">
        <v>107</v>
      </c>
      <c r="D23" s="28">
        <f>ROUND(D16-D21,5)</f>
        <v>0</v>
      </c>
      <c r="E23" s="28">
        <f>ROUND(E16-E21,5)</f>
        <v>0</v>
      </c>
      <c r="F23" s="28">
        <f>ROUND(F16-F21,5)</f>
        <v>0</v>
      </c>
      <c r="G23" s="28">
        <f>ROUND(G16-G21,5)</f>
        <v>0</v>
      </c>
    </row>
    <row r="24" spans="2:7" x14ac:dyDescent="0.2">
      <c r="B24" s="3">
        <f>B23+1</f>
        <v>10</v>
      </c>
      <c r="C24" s="3" t="s">
        <v>42</v>
      </c>
      <c r="D24" s="169">
        <f>D23/D21</f>
        <v>0</v>
      </c>
      <c r="E24" s="169">
        <f>E23/E21</f>
        <v>0</v>
      </c>
      <c r="F24" s="169">
        <f>F23/F21</f>
        <v>0</v>
      </c>
      <c r="G24" s="169">
        <f>IFERROR(G23/G21,0)</f>
        <v>0</v>
      </c>
    </row>
  </sheetData>
  <mergeCells count="4">
    <mergeCell ref="B1:G1"/>
    <mergeCell ref="B2:G2"/>
    <mergeCell ref="B3:G3"/>
    <mergeCell ref="B4:G4"/>
  </mergeCells>
  <phoneticPr fontId="4" type="noConversion"/>
  <printOptions horizontalCentered="1"/>
  <pageMargins left="0.75" right="0.75" top="1" bottom="1" header="0.5" footer="0.5"/>
  <pageSetup orientation="landscape" blackAndWhite="1" r:id="rId1"/>
  <headerFooter alignWithMargins="0">
    <oddFooter>&amp;CPage#&amp;P of &amp;N&amp;R&amp;F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19893269381D42A56AEEC9F4C1252E" ma:contentTypeVersion="36" ma:contentTypeDescription="" ma:contentTypeScope="" ma:versionID="29d6e2e84f1bdecf611c0ed89ca1fa9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2021-09-17T07:00:00+00:00</OpenedDate>
    <SignificantOrder xmlns="dc463f71-b30c-4ab2-9473-d307f9d35888">false</SignificantOrder>
    <Date1 xmlns="dc463f71-b30c-4ab2-9473-d307f9d35888">2021-09-17T07:00:00+00:00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210721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61F2AF1-1A01-4ED5-ACB6-4EFD96938960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6FE4EA09-0442-4C9E-A009-4F4F32241BB3}"/>
</file>

<file path=customXml/itemProps3.xml><?xml version="1.0" encoding="utf-8"?>
<ds:datastoreItem xmlns:ds="http://schemas.openxmlformats.org/officeDocument/2006/customXml" ds:itemID="{B4733BE1-F7C2-404D-AAA5-0D64B1A7A2DD}"/>
</file>

<file path=customXml/itemProps4.xml><?xml version="1.0" encoding="utf-8"?>
<ds:datastoreItem xmlns:ds="http://schemas.openxmlformats.org/officeDocument/2006/customXml" ds:itemID="{8873CED0-28F9-4B88-8B85-E62EB2EF8B1C}"/>
</file>

<file path=customXml/itemProps5.xml><?xml version="1.0" encoding="utf-8"?>
<ds:datastoreItem xmlns:ds="http://schemas.openxmlformats.org/officeDocument/2006/customXml" ds:itemID="{3504FA16-3FB1-4D71-B75F-DEC7434963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REDACTED VERSION</vt:lpstr>
      <vt:lpstr>Rates Summary </vt:lpstr>
      <vt:lpstr>Rate Change </vt:lpstr>
      <vt:lpstr>Rate Impacts-&gt;</vt:lpstr>
      <vt:lpstr>Rate Impact</vt:lpstr>
      <vt:lpstr>Schedule 101 Revenue</vt:lpstr>
      <vt:lpstr>Res Bill Impact</vt:lpstr>
      <vt:lpstr>Combined Cust Impact</vt:lpstr>
      <vt:lpstr>Gas Supply Demand</vt:lpstr>
      <vt:lpstr>Work Papers --&gt;</vt:lpstr>
      <vt:lpstr>F2021 Forecast </vt:lpstr>
      <vt:lpstr>(R) 2021 PGA Cost</vt:lpstr>
      <vt:lpstr>(R) 2020 PGA Cost</vt:lpstr>
      <vt:lpstr>2019 GRC Gas Cost Allocation</vt:lpstr>
      <vt:lpstr>2019 GRC - Gas RAF</vt:lpstr>
      <vt:lpstr>'(R) 2020 PGA Cost'!Print_Area</vt:lpstr>
      <vt:lpstr>'2019 GRC - Gas RAF'!Print_Area</vt:lpstr>
      <vt:lpstr>'Res Bill Impact'!Print_Area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Lori Traore</cp:lastModifiedBy>
  <cp:lastPrinted>2019-09-10T22:11:02Z</cp:lastPrinted>
  <dcterms:created xsi:type="dcterms:W3CDTF">2003-08-13T16:19:50Z</dcterms:created>
  <dcterms:modified xsi:type="dcterms:W3CDTF">2021-09-17T21:47:02Z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0x0101006E56B4D1795A2E4DB2F0B01679ED314A008A19893269381D42A56AEEC9F4C1252E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