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ariffs\1. Open Advices\2025-XX Gas Schedule 141LNG - Liquified Natural Gas Adjustment (UX-25XXXX) (Eff. 11-01-25)\Workpapers\"/>
    </mc:Choice>
  </mc:AlternateContent>
  <xr:revisionPtr revIDLastSave="0" documentId="8_{C2A4E5F5-C2ED-4AFC-86A5-FDDDE4ED8272}" xr6:coauthVersionLast="47" xr6:coauthVersionMax="47" xr10:uidLastSave="{00000000-0000-0000-0000-000000000000}"/>
  <bookViews>
    <workbookView xWindow="-10935" yWindow="0" windowWidth="10875" windowHeight="15225" tabRatio="850" xr2:uid="{00000000-000D-0000-FFFF-FFFF00000000}"/>
  </bookViews>
  <sheets>
    <sheet name="Rate Summary" sheetId="69" r:id="rId1"/>
    <sheet name="Rate Design" sheetId="85" r:id="rId2"/>
    <sheet name="Rate Spread (Blocks)" sheetId="75" r:id="rId3"/>
    <sheet name="Rate Spread" sheetId="1" r:id="rId4"/>
    <sheet name="Rate Impacts--&gt;" sheetId="93" r:id="rId5"/>
    <sheet name="Rate Impacts Sch 141LNG" sheetId="94" r:id="rId6"/>
    <sheet name="Typical Res Bill Sch 141LNG" sheetId="95" r:id="rId7"/>
    <sheet name="Sch. 141LNG" sheetId="96" r:id="rId8"/>
    <sheet name="Workpapers--&gt;" sheetId="33" r:id="rId9"/>
    <sheet name="Forecast Therms" sheetId="92" r:id="rId10"/>
    <sheet name="Exh JDT-5 (Rate Design)" sheetId="91" r:id="rId11"/>
    <sheet name="C-COS Allocation Factors (PSE)" sheetId="90" r:id="rId12"/>
  </sheets>
  <definedNames>
    <definedName name="_xlnm.Print_Area" localSheetId="10">'Exh JDT-5 (Rate Design)'!$A$1:$T$183</definedName>
    <definedName name="_xlnm.Print_Area" localSheetId="9">'Forecast Therms'!$A$1:$N$25</definedName>
    <definedName name="_xlnm.Print_Area" localSheetId="1">'Rate Design'!$A$1:$G$36</definedName>
    <definedName name="_xlnm.Print_Area" localSheetId="5">'Rate Impacts Sch 141LNG'!$A$1:$X$39</definedName>
    <definedName name="_xlnm.Print_Area" localSheetId="3">'Rate Spread'!$A$1:$E$22</definedName>
    <definedName name="_xlnm.Print_Area" localSheetId="2">'Rate Spread (Blocks)'!$A$1:$K$39</definedName>
    <definedName name="_xlnm.Print_Area" localSheetId="0">'Rate Summary'!$A$1:$D$30</definedName>
    <definedName name="_xlnm.Print_Area" localSheetId="7">'Sch. 141LNG'!$A$1:$I$39</definedName>
    <definedName name="_xlnm.Print_Area" localSheetId="6">'Typical Res Bill Sch 141LNG'!$B$1:$H$43</definedName>
    <definedName name="_xlnm.Print_Titles" localSheetId="11">'C-COS Allocation Factors (PSE)'!$A:$D,'C-COS Allocation Factors (PSE)'!$1:$4</definedName>
    <definedName name="_xlnm.Print_Titles" localSheetId="10">'Exh JDT-5 (Rate Design)'!$1:$7</definedName>
    <definedName name="_xlnm.Print_Titles" localSheetId="0">'Rate Summary'!$A:$C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94" l="1"/>
  <c r="H39" i="96"/>
  <c r="G39" i="96"/>
  <c r="F39" i="96"/>
  <c r="C39" i="96"/>
  <c r="C11" i="96"/>
  <c r="C10" i="96"/>
  <c r="C9" i="96"/>
  <c r="G9" i="96" s="1"/>
  <c r="E36" i="96"/>
  <c r="C36" i="96"/>
  <c r="G36" i="96" s="1"/>
  <c r="E35" i="96"/>
  <c r="C35" i="96"/>
  <c r="E34" i="96"/>
  <c r="C34" i="96"/>
  <c r="G34" i="96" s="1"/>
  <c r="E33" i="96"/>
  <c r="C33" i="96"/>
  <c r="F33" i="96" s="1"/>
  <c r="E32" i="96"/>
  <c r="C32" i="96"/>
  <c r="E31" i="96"/>
  <c r="C31" i="96"/>
  <c r="F31" i="96" s="1"/>
  <c r="E27" i="96"/>
  <c r="C27" i="96"/>
  <c r="G27" i="96" s="1"/>
  <c r="G26" i="96"/>
  <c r="G28" i="96" s="1"/>
  <c r="E26" i="96"/>
  <c r="C26" i="96"/>
  <c r="F26" i="96" s="1"/>
  <c r="E22" i="96"/>
  <c r="C22" i="96"/>
  <c r="F22" i="96" s="1"/>
  <c r="E21" i="96"/>
  <c r="C21" i="96"/>
  <c r="G20" i="96"/>
  <c r="E20" i="96"/>
  <c r="C20" i="96"/>
  <c r="F20" i="96" s="1"/>
  <c r="E16" i="96"/>
  <c r="C16" i="96"/>
  <c r="F16" i="96" s="1"/>
  <c r="E15" i="96"/>
  <c r="C15" i="96"/>
  <c r="G15" i="96" s="1"/>
  <c r="F14" i="96"/>
  <c r="E14" i="96"/>
  <c r="C14" i="96"/>
  <c r="E11" i="96"/>
  <c r="G11" i="96" s="1"/>
  <c r="F10" i="96"/>
  <c r="E10" i="96"/>
  <c r="G10" i="96" s="1"/>
  <c r="H10" i="96" s="1"/>
  <c r="V12" i="94" s="1"/>
  <c r="E9" i="96"/>
  <c r="G24" i="95" s="1"/>
  <c r="G33" i="95"/>
  <c r="G32" i="95"/>
  <c r="G34" i="95" s="1"/>
  <c r="H34" i="95" s="1"/>
  <c r="G30" i="95"/>
  <c r="H30" i="95" s="1"/>
  <c r="G27" i="95"/>
  <c r="G26" i="95"/>
  <c r="G25" i="95"/>
  <c r="D24" i="95"/>
  <c r="G23" i="95"/>
  <c r="G22" i="95"/>
  <c r="G20" i="95"/>
  <c r="G19" i="95"/>
  <c r="G18" i="95"/>
  <c r="E15" i="95"/>
  <c r="D13" i="95"/>
  <c r="B4" i="95"/>
  <c r="B2" i="95"/>
  <c r="V35" i="94"/>
  <c r="T35" i="94"/>
  <c r="Q35" i="94"/>
  <c r="P35" i="94"/>
  <c r="N35" i="94"/>
  <c r="M35" i="94"/>
  <c r="L35" i="94"/>
  <c r="K35" i="94"/>
  <c r="J35" i="94"/>
  <c r="I35" i="94"/>
  <c r="V34" i="94"/>
  <c r="T34" i="94"/>
  <c r="R34" i="94"/>
  <c r="Q34" i="94"/>
  <c r="L34" i="94"/>
  <c r="J34" i="94"/>
  <c r="I34" i="94"/>
  <c r="G34" i="94"/>
  <c r="T33" i="94"/>
  <c r="P33" i="94"/>
  <c r="T32" i="94"/>
  <c r="R32" i="94"/>
  <c r="P32" i="94"/>
  <c r="O32" i="94"/>
  <c r="N32" i="94"/>
  <c r="T31" i="94"/>
  <c r="L31" i="94"/>
  <c r="M30" i="94"/>
  <c r="L30" i="94"/>
  <c r="K30" i="94"/>
  <c r="J30" i="94"/>
  <c r="J29" i="94"/>
  <c r="R28" i="94"/>
  <c r="S35" i="94"/>
  <c r="R35" i="94"/>
  <c r="O35" i="94"/>
  <c r="G35" i="94"/>
  <c r="D35" i="94"/>
  <c r="S34" i="94"/>
  <c r="P34" i="94"/>
  <c r="O34" i="94"/>
  <c r="N34" i="94"/>
  <c r="M34" i="94"/>
  <c r="K34" i="94"/>
  <c r="E34" i="94"/>
  <c r="D34" i="94"/>
  <c r="D33" i="94"/>
  <c r="G32" i="94"/>
  <c r="D32" i="94"/>
  <c r="R31" i="94"/>
  <c r="N30" i="94"/>
  <c r="N33" i="94"/>
  <c r="M33" i="94"/>
  <c r="L33" i="94"/>
  <c r="K33" i="94"/>
  <c r="J33" i="94"/>
  <c r="I33" i="94"/>
  <c r="G33" i="94"/>
  <c r="E33" i="94"/>
  <c r="F33" i="94" s="1"/>
  <c r="S32" i="94"/>
  <c r="M32" i="94"/>
  <c r="L32" i="94"/>
  <c r="J32" i="94"/>
  <c r="I32" i="94"/>
  <c r="P31" i="94"/>
  <c r="O31" i="94"/>
  <c r="N31" i="94"/>
  <c r="M31" i="94"/>
  <c r="J31" i="94"/>
  <c r="I31" i="94"/>
  <c r="G31" i="94"/>
  <c r="F15" i="94"/>
  <c r="H15" i="94" s="1"/>
  <c r="D31" i="94"/>
  <c r="T30" i="94"/>
  <c r="P30" i="94"/>
  <c r="I30" i="94"/>
  <c r="S29" i="94"/>
  <c r="R29" i="94"/>
  <c r="P29" i="94"/>
  <c r="N29" i="94"/>
  <c r="M29" i="94"/>
  <c r="L29" i="94"/>
  <c r="K29" i="94"/>
  <c r="I29" i="94"/>
  <c r="G29" i="94"/>
  <c r="E29" i="94"/>
  <c r="D29" i="94"/>
  <c r="A13" i="94"/>
  <c r="A14" i="94" s="1"/>
  <c r="A15" i="94" s="1"/>
  <c r="A16" i="94" s="1"/>
  <c r="A17" i="94" s="1"/>
  <c r="A18" i="94" s="1"/>
  <c r="A19" i="94" s="1"/>
  <c r="A20" i="94" s="1"/>
  <c r="A21" i="94" s="1"/>
  <c r="A22" i="94" s="1"/>
  <c r="A23" i="94" s="1"/>
  <c r="A24" i="94" s="1"/>
  <c r="A25" i="94" s="1"/>
  <c r="A28" i="94" s="1"/>
  <c r="A29" i="94" s="1"/>
  <c r="A30" i="94" s="1"/>
  <c r="A31" i="94" s="1"/>
  <c r="A32" i="94" s="1"/>
  <c r="A33" i="94" s="1"/>
  <c r="A34" i="94" s="1"/>
  <c r="A35" i="94" s="1"/>
  <c r="A36" i="94" s="1"/>
  <c r="F12" i="94"/>
  <c r="H12" i="94" s="1"/>
  <c r="A12" i="94"/>
  <c r="T28" i="94"/>
  <c r="S28" i="94"/>
  <c r="P28" i="94"/>
  <c r="L28" i="94"/>
  <c r="I28" i="94"/>
  <c r="G28" i="94"/>
  <c r="E7" i="94"/>
  <c r="W6" i="94"/>
  <c r="F29" i="85"/>
  <c r="K12" i="75"/>
  <c r="F22" i="94" l="1"/>
  <c r="H22" i="94" s="1"/>
  <c r="U22" i="94" s="1"/>
  <c r="P25" i="94"/>
  <c r="M25" i="94"/>
  <c r="G25" i="94"/>
  <c r="S31" i="94"/>
  <c r="O33" i="94"/>
  <c r="F20" i="94"/>
  <c r="H20" i="94" s="1"/>
  <c r="U20" i="94" s="1"/>
  <c r="W20" i="94" s="1"/>
  <c r="S25" i="94"/>
  <c r="N25" i="94"/>
  <c r="F19" i="94"/>
  <c r="H19" i="94" s="1"/>
  <c r="U19" i="94" s="1"/>
  <c r="X19" i="94" s="1"/>
  <c r="S33" i="94"/>
  <c r="F24" i="94"/>
  <c r="H24" i="94" s="1"/>
  <c r="E31" i="94"/>
  <c r="F31" i="94" s="1"/>
  <c r="D30" i="94"/>
  <c r="R33" i="94"/>
  <c r="P36" i="94"/>
  <c r="F17" i="94"/>
  <c r="H17" i="94" s="1"/>
  <c r="J25" i="94"/>
  <c r="K25" i="94"/>
  <c r="F21" i="94"/>
  <c r="H21" i="94" s="1"/>
  <c r="U21" i="94" s="1"/>
  <c r="O25" i="94"/>
  <c r="D28" i="94"/>
  <c r="D36" i="94" s="1"/>
  <c r="O29" i="94"/>
  <c r="K31" i="94"/>
  <c r="O30" i="94"/>
  <c r="R25" i="94"/>
  <c r="E25" i="94"/>
  <c r="T29" i="94"/>
  <c r="T36" i="94" s="1"/>
  <c r="F16" i="94"/>
  <c r="H16" i="94" s="1"/>
  <c r="H32" i="94" s="1"/>
  <c r="E28" i="94"/>
  <c r="K32" i="94"/>
  <c r="G22" i="96"/>
  <c r="H22" i="96" s="1"/>
  <c r="I22" i="96" s="1"/>
  <c r="G16" i="96"/>
  <c r="H16" i="96" s="1"/>
  <c r="D28" i="95"/>
  <c r="E28" i="95" s="1"/>
  <c r="G35" i="96"/>
  <c r="C23" i="96"/>
  <c r="G14" i="96"/>
  <c r="G17" i="96" s="1"/>
  <c r="G32" i="96"/>
  <c r="H33" i="94"/>
  <c r="F34" i="94"/>
  <c r="H35" i="94"/>
  <c r="U24" i="94"/>
  <c r="U12" i="94"/>
  <c r="W12" i="94" s="1"/>
  <c r="H14" i="96"/>
  <c r="I14" i="96" s="1"/>
  <c r="I10" i="96"/>
  <c r="I36" i="94"/>
  <c r="W22" i="94"/>
  <c r="X22" i="94"/>
  <c r="F29" i="94"/>
  <c r="X21" i="94"/>
  <c r="W21" i="94"/>
  <c r="L36" i="94"/>
  <c r="X20" i="94"/>
  <c r="I16" i="96"/>
  <c r="H35" i="96"/>
  <c r="D25" i="94"/>
  <c r="F25" i="94" s="1"/>
  <c r="G21" i="95"/>
  <c r="G28" i="95" s="1"/>
  <c r="E32" i="94"/>
  <c r="F32" i="94" s="1"/>
  <c r="G15" i="95"/>
  <c r="H15" i="95" s="1"/>
  <c r="F35" i="96"/>
  <c r="I25" i="94"/>
  <c r="K28" i="94"/>
  <c r="C17" i="96"/>
  <c r="F23" i="96"/>
  <c r="F27" i="96"/>
  <c r="H27" i="96" s="1"/>
  <c r="G31" i="96"/>
  <c r="G33" i="96"/>
  <c r="H33" i="96" s="1"/>
  <c r="I33" i="96" s="1"/>
  <c r="H26" i="96"/>
  <c r="I26" i="96" s="1"/>
  <c r="Q12" i="94"/>
  <c r="F21" i="96"/>
  <c r="M28" i="94"/>
  <c r="M36" i="94" s="1"/>
  <c r="E30" i="94"/>
  <c r="F30" i="94" s="1"/>
  <c r="E12" i="95"/>
  <c r="E13" i="95" s="1"/>
  <c r="E30" i="95"/>
  <c r="F9" i="96"/>
  <c r="H9" i="96" s="1"/>
  <c r="F11" i="96"/>
  <c r="F15" i="96"/>
  <c r="F17" i="96" s="1"/>
  <c r="G21" i="96"/>
  <c r="G23" i="96" s="1"/>
  <c r="D34" i="95"/>
  <c r="E34" i="95" s="1"/>
  <c r="F13" i="94"/>
  <c r="T25" i="94"/>
  <c r="J28" i="94"/>
  <c r="J36" i="94" s="1"/>
  <c r="L25" i="94"/>
  <c r="N28" i="94"/>
  <c r="N36" i="94" s="1"/>
  <c r="R30" i="94"/>
  <c r="R36" i="94" s="1"/>
  <c r="G12" i="95"/>
  <c r="H20" i="96"/>
  <c r="I20" i="96" s="1"/>
  <c r="C37" i="96"/>
  <c r="F23" i="94"/>
  <c r="H23" i="94" s="1"/>
  <c r="O28" i="94"/>
  <c r="G30" i="94"/>
  <c r="G36" i="94" s="1"/>
  <c r="S30" i="94"/>
  <c r="S36" i="94" s="1"/>
  <c r="E35" i="94"/>
  <c r="F35" i="94" s="1"/>
  <c r="C28" i="96"/>
  <c r="F11" i="94"/>
  <c r="H11" i="94" s="1"/>
  <c r="F32" i="96"/>
  <c r="F34" i="96"/>
  <c r="F36" i="96"/>
  <c r="H36" i="96" s="1"/>
  <c r="F14" i="94"/>
  <c r="H14" i="94" s="1"/>
  <c r="E34" i="85"/>
  <c r="E33" i="85"/>
  <c r="E32" i="85"/>
  <c r="E31" i="85"/>
  <c r="E30" i="85"/>
  <c r="E29" i="85"/>
  <c r="E26" i="85"/>
  <c r="E25" i="85"/>
  <c r="E22" i="85"/>
  <c r="E21" i="85"/>
  <c r="E20" i="85"/>
  <c r="E17" i="85"/>
  <c r="E36" i="85" s="1"/>
  <c r="E16" i="85"/>
  <c r="E15" i="85"/>
  <c r="E12" i="85"/>
  <c r="E11" i="85"/>
  <c r="A4" i="1"/>
  <c r="A4" i="75"/>
  <c r="A2" i="92"/>
  <c r="A2" i="1"/>
  <c r="A2" i="75"/>
  <c r="A4" i="85"/>
  <c r="A2" i="85"/>
  <c r="H35" i="75"/>
  <c r="H34" i="75"/>
  <c r="H33" i="75"/>
  <c r="H32" i="75"/>
  <c r="H31" i="75"/>
  <c r="H30" i="75"/>
  <c r="H25" i="75"/>
  <c r="H24" i="75"/>
  <c r="H20" i="75"/>
  <c r="H19" i="75"/>
  <c r="H18" i="75"/>
  <c r="H14" i="75"/>
  <c r="H13" i="75"/>
  <c r="H12" i="75"/>
  <c r="F31" i="75"/>
  <c r="F32" i="75"/>
  <c r="F33" i="75"/>
  <c r="F34" i="75"/>
  <c r="F35" i="75"/>
  <c r="F30" i="75"/>
  <c r="F25" i="75"/>
  <c r="F24" i="75"/>
  <c r="F13" i="75"/>
  <c r="F14" i="75"/>
  <c r="F12" i="75"/>
  <c r="F19" i="75"/>
  <c r="F20" i="75"/>
  <c r="F18" i="75"/>
  <c r="F36" i="75"/>
  <c r="F26" i="75"/>
  <c r="F21" i="75"/>
  <c r="F15" i="75"/>
  <c r="W19" i="94" l="1"/>
  <c r="F28" i="94"/>
  <c r="D41" i="95"/>
  <c r="H31" i="94"/>
  <c r="O36" i="94"/>
  <c r="E36" i="94"/>
  <c r="F36" i="94" s="1"/>
  <c r="K36" i="94"/>
  <c r="X12" i="94"/>
  <c r="H15" i="96"/>
  <c r="G41" i="95"/>
  <c r="G35" i="95"/>
  <c r="H28" i="95"/>
  <c r="H35" i="95" s="1"/>
  <c r="V11" i="94"/>
  <c r="Q13" i="94"/>
  <c r="Q29" i="94" s="1"/>
  <c r="G13" i="95"/>
  <c r="H12" i="95"/>
  <c r="H13" i="95" s="1"/>
  <c r="H28" i="94"/>
  <c r="Q14" i="94"/>
  <c r="Q30" i="94" s="1"/>
  <c r="I27" i="96"/>
  <c r="Q15" i="94"/>
  <c r="H11" i="96"/>
  <c r="V13" i="94" s="1"/>
  <c r="F18" i="94"/>
  <c r="H18" i="94" s="1"/>
  <c r="U18" i="94" s="1"/>
  <c r="W18" i="94" s="1"/>
  <c r="H13" i="94"/>
  <c r="H25" i="94" s="1"/>
  <c r="F28" i="96"/>
  <c r="I36" i="96"/>
  <c r="I9" i="96"/>
  <c r="Q11" i="94"/>
  <c r="U11" i="94" s="1"/>
  <c r="H34" i="96"/>
  <c r="I34" i="96" s="1"/>
  <c r="F37" i="96"/>
  <c r="H28" i="96"/>
  <c r="V16" i="94" s="1"/>
  <c r="I35" i="96"/>
  <c r="H21" i="96"/>
  <c r="H23" i="96" s="1"/>
  <c r="D35" i="95"/>
  <c r="X24" i="94"/>
  <c r="U35" i="94"/>
  <c r="X35" i="94" s="1"/>
  <c r="W24" i="94"/>
  <c r="W35" i="94" s="1"/>
  <c r="G37" i="96"/>
  <c r="H31" i="96"/>
  <c r="H32" i="96"/>
  <c r="I32" i="96" s="1"/>
  <c r="U23" i="94"/>
  <c r="H34" i="94"/>
  <c r="E35" i="95"/>
  <c r="E37" i="95" s="1"/>
  <c r="H30" i="94"/>
  <c r="I15" i="96"/>
  <c r="H17" i="96"/>
  <c r="V14" i="94" s="1"/>
  <c r="M23" i="92"/>
  <c r="L23" i="92"/>
  <c r="K23" i="92"/>
  <c r="J23" i="92"/>
  <c r="I23" i="92"/>
  <c r="H23" i="92"/>
  <c r="G23" i="92"/>
  <c r="F23" i="92"/>
  <c r="E23" i="92"/>
  <c r="D23" i="92"/>
  <c r="C23" i="92"/>
  <c r="B23" i="92"/>
  <c r="N22" i="92"/>
  <c r="N21" i="92"/>
  <c r="N20" i="92"/>
  <c r="N19" i="92"/>
  <c r="N18" i="92"/>
  <c r="N17" i="92"/>
  <c r="N16" i="92"/>
  <c r="N15" i="92"/>
  <c r="N14" i="92"/>
  <c r="N13" i="92"/>
  <c r="N12" i="92"/>
  <c r="N11" i="92"/>
  <c r="N10" i="92"/>
  <c r="N9" i="92"/>
  <c r="N8" i="92"/>
  <c r="A4" i="92"/>
  <c r="E36" i="75"/>
  <c r="E26" i="75"/>
  <c r="E21" i="75"/>
  <c r="E15" i="75"/>
  <c r="E31" i="75"/>
  <c r="E32" i="75"/>
  <c r="E33" i="75"/>
  <c r="E34" i="75"/>
  <c r="E35" i="75"/>
  <c r="E30" i="75"/>
  <c r="E25" i="75"/>
  <c r="E24" i="75"/>
  <c r="E19" i="75"/>
  <c r="E20" i="75"/>
  <c r="E18" i="75"/>
  <c r="E13" i="75"/>
  <c r="E14" i="75"/>
  <c r="E12" i="75"/>
  <c r="G31" i="75"/>
  <c r="G32" i="75"/>
  <c r="G33" i="75"/>
  <c r="G34" i="75"/>
  <c r="G35" i="75"/>
  <c r="G30" i="75"/>
  <c r="G25" i="75"/>
  <c r="G24" i="75"/>
  <c r="G19" i="75"/>
  <c r="G20" i="75"/>
  <c r="G18" i="75"/>
  <c r="G13" i="75"/>
  <c r="G14" i="75"/>
  <c r="G12" i="75"/>
  <c r="H37" i="95" l="1"/>
  <c r="H38" i="95" s="1"/>
  <c r="H39" i="95" s="1"/>
  <c r="U14" i="94"/>
  <c r="V15" i="94"/>
  <c r="I23" i="96"/>
  <c r="W11" i="94"/>
  <c r="U28" i="94"/>
  <c r="V32" i="94"/>
  <c r="V29" i="94"/>
  <c r="I21" i="96"/>
  <c r="H37" i="96"/>
  <c r="V17" i="94" s="1"/>
  <c r="I31" i="96"/>
  <c r="Q28" i="94"/>
  <c r="V28" i="94"/>
  <c r="X11" i="94"/>
  <c r="I39" i="96"/>
  <c r="V30" i="94"/>
  <c r="X14" i="94"/>
  <c r="U30" i="94"/>
  <c r="W14" i="94"/>
  <c r="W30" i="94" s="1"/>
  <c r="U13" i="94"/>
  <c r="X13" i="94" s="1"/>
  <c r="H29" i="94"/>
  <c r="H36" i="94" s="1"/>
  <c r="Q17" i="94"/>
  <c r="U34" i="94"/>
  <c r="X34" i="94" s="1"/>
  <c r="X23" i="94"/>
  <c r="W23" i="94"/>
  <c r="W34" i="94" s="1"/>
  <c r="I11" i="96"/>
  <c r="Q31" i="94"/>
  <c r="U15" i="94"/>
  <c r="I17" i="96"/>
  <c r="Q16" i="94"/>
  <c r="I28" i="96"/>
  <c r="N23" i="92"/>
  <c r="Q25" i="94" l="1"/>
  <c r="V25" i="94"/>
  <c r="Q33" i="94"/>
  <c r="U17" i="94"/>
  <c r="X17" i="94" s="1"/>
  <c r="X28" i="94"/>
  <c r="I37" i="96"/>
  <c r="W28" i="94"/>
  <c r="X30" i="94"/>
  <c r="U31" i="94"/>
  <c r="W15" i="94"/>
  <c r="W31" i="94" s="1"/>
  <c r="W13" i="94"/>
  <c r="W29" i="94" s="1"/>
  <c r="U29" i="94"/>
  <c r="X29" i="94" s="1"/>
  <c r="Q32" i="94"/>
  <c r="U16" i="94"/>
  <c r="V33" i="94"/>
  <c r="V31" i="94"/>
  <c r="X15" i="94"/>
  <c r="D31" i="75"/>
  <c r="D32" i="75"/>
  <c r="D33" i="75"/>
  <c r="D34" i="75"/>
  <c r="D35" i="75"/>
  <c r="D30" i="75"/>
  <c r="D25" i="75"/>
  <c r="D24" i="75"/>
  <c r="D19" i="75"/>
  <c r="D20" i="75"/>
  <c r="D18" i="75"/>
  <c r="D13" i="75"/>
  <c r="D14" i="75"/>
  <c r="D12" i="75"/>
  <c r="F188" i="91"/>
  <c r="E188" i="91"/>
  <c r="D188" i="91"/>
  <c r="F186" i="91"/>
  <c r="E186" i="91"/>
  <c r="D186" i="91"/>
  <c r="R183" i="91"/>
  <c r="S181" i="91"/>
  <c r="T181" i="91" s="1"/>
  <c r="N173" i="91"/>
  <c r="M173" i="91"/>
  <c r="F173" i="91"/>
  <c r="E173" i="91"/>
  <c r="D173" i="91"/>
  <c r="N172" i="91"/>
  <c r="M172" i="91"/>
  <c r="L172" i="91"/>
  <c r="L173" i="91" s="1"/>
  <c r="N171" i="91"/>
  <c r="M171" i="91"/>
  <c r="L171" i="91"/>
  <c r="N170" i="91"/>
  <c r="M170" i="91"/>
  <c r="L170" i="91"/>
  <c r="N169" i="91"/>
  <c r="M169" i="91"/>
  <c r="L169" i="91"/>
  <c r="N168" i="91"/>
  <c r="M168" i="91"/>
  <c r="L168" i="91"/>
  <c r="N167" i="91"/>
  <c r="M167" i="91"/>
  <c r="L167" i="91"/>
  <c r="Q164" i="91"/>
  <c r="P164" i="91"/>
  <c r="T163" i="91"/>
  <c r="P163" i="91"/>
  <c r="N163" i="91"/>
  <c r="M163" i="91"/>
  <c r="L163" i="91"/>
  <c r="I163" i="91"/>
  <c r="N162" i="91"/>
  <c r="M162" i="91"/>
  <c r="L162" i="91"/>
  <c r="I162" i="91"/>
  <c r="P162" i="91" s="1"/>
  <c r="W155" i="91"/>
  <c r="V155" i="91"/>
  <c r="N155" i="91"/>
  <c r="F153" i="91"/>
  <c r="E153" i="91"/>
  <c r="D153" i="91"/>
  <c r="N152" i="91"/>
  <c r="M152" i="91"/>
  <c r="L152" i="91"/>
  <c r="N151" i="91"/>
  <c r="M151" i="91"/>
  <c r="L151" i="91"/>
  <c r="N150" i="91"/>
  <c r="M150" i="91"/>
  <c r="L150" i="91"/>
  <c r="N149" i="91"/>
  <c r="M149" i="91"/>
  <c r="L149" i="91"/>
  <c r="N148" i="91"/>
  <c r="N153" i="91" s="1"/>
  <c r="M148" i="91"/>
  <c r="L148" i="91"/>
  <c r="N147" i="91"/>
  <c r="M147" i="91"/>
  <c r="L147" i="91"/>
  <c r="Q144" i="91"/>
  <c r="P144" i="91"/>
  <c r="N143" i="91"/>
  <c r="M143" i="91"/>
  <c r="L143" i="91"/>
  <c r="J143" i="91"/>
  <c r="Q143" i="91" s="1"/>
  <c r="T142" i="91"/>
  <c r="N142" i="91"/>
  <c r="M142" i="91"/>
  <c r="L142" i="91"/>
  <c r="I142" i="91"/>
  <c r="P142" i="91" s="1"/>
  <c r="F138" i="91"/>
  <c r="E138" i="91"/>
  <c r="D138" i="91"/>
  <c r="N137" i="91"/>
  <c r="M137" i="91"/>
  <c r="L137" i="91"/>
  <c r="N136" i="91"/>
  <c r="M136" i="91"/>
  <c r="L136" i="91"/>
  <c r="N135" i="91"/>
  <c r="M135" i="91"/>
  <c r="L135" i="91"/>
  <c r="N134" i="91"/>
  <c r="M134" i="91"/>
  <c r="L134" i="91"/>
  <c r="N133" i="91"/>
  <c r="M133" i="91"/>
  <c r="L133" i="91"/>
  <c r="N132" i="91"/>
  <c r="M132" i="91"/>
  <c r="L132" i="91"/>
  <c r="Q129" i="91"/>
  <c r="P129" i="91"/>
  <c r="N128" i="91"/>
  <c r="M128" i="91"/>
  <c r="L128" i="91"/>
  <c r="Q127" i="91"/>
  <c r="N127" i="91"/>
  <c r="M127" i="91"/>
  <c r="L127" i="91"/>
  <c r="J127" i="91"/>
  <c r="I127" i="91"/>
  <c r="T126" i="91"/>
  <c r="P126" i="91"/>
  <c r="N126" i="91"/>
  <c r="M126" i="91"/>
  <c r="L126" i="91"/>
  <c r="J126" i="91"/>
  <c r="Q126" i="91" s="1"/>
  <c r="I126" i="91"/>
  <c r="N119" i="91"/>
  <c r="L117" i="91"/>
  <c r="F117" i="91"/>
  <c r="E117" i="91"/>
  <c r="D117" i="91"/>
  <c r="N116" i="91"/>
  <c r="M116" i="91"/>
  <c r="L116" i="91"/>
  <c r="N115" i="91"/>
  <c r="N117" i="91" s="1"/>
  <c r="M115" i="91"/>
  <c r="M117" i="91" s="1"/>
  <c r="L115" i="91"/>
  <c r="Q112" i="91"/>
  <c r="P112" i="91"/>
  <c r="T111" i="91"/>
  <c r="S111" i="91"/>
  <c r="I111" i="91" s="1"/>
  <c r="J111" i="91" s="1"/>
  <c r="Q111" i="91"/>
  <c r="P111" i="91"/>
  <c r="N111" i="91"/>
  <c r="M111" i="91"/>
  <c r="L111" i="91"/>
  <c r="N110" i="91"/>
  <c r="M110" i="91"/>
  <c r="L110" i="91"/>
  <c r="I110" i="91"/>
  <c r="P110" i="91" s="1"/>
  <c r="M106" i="91"/>
  <c r="L106" i="91"/>
  <c r="F106" i="91"/>
  <c r="E106" i="91"/>
  <c r="D106" i="91"/>
  <c r="N105" i="91"/>
  <c r="M105" i="91"/>
  <c r="L105" i="91"/>
  <c r="N104" i="91"/>
  <c r="N106" i="91" s="1"/>
  <c r="M104" i="91"/>
  <c r="L104" i="91"/>
  <c r="Q101" i="91"/>
  <c r="P101" i="91"/>
  <c r="N100" i="91"/>
  <c r="M100" i="91"/>
  <c r="L100" i="91"/>
  <c r="T99" i="91"/>
  <c r="P99" i="91"/>
  <c r="N99" i="91"/>
  <c r="M99" i="91"/>
  <c r="L99" i="91"/>
  <c r="I99" i="91"/>
  <c r="J99" i="91" s="1"/>
  <c r="Q99" i="91" s="1"/>
  <c r="T98" i="91"/>
  <c r="P98" i="91"/>
  <c r="N98" i="91"/>
  <c r="M98" i="91"/>
  <c r="L98" i="91"/>
  <c r="J98" i="91"/>
  <c r="Q98" i="91" s="1"/>
  <c r="I98" i="91"/>
  <c r="F89" i="91"/>
  <c r="E89" i="91"/>
  <c r="D89" i="91"/>
  <c r="N88" i="91"/>
  <c r="M88" i="91"/>
  <c r="L88" i="91"/>
  <c r="N87" i="91"/>
  <c r="M87" i="91"/>
  <c r="L87" i="91"/>
  <c r="N86" i="91"/>
  <c r="N89" i="91" s="1"/>
  <c r="M86" i="91"/>
  <c r="L86" i="91"/>
  <c r="T83" i="91"/>
  <c r="S83" i="91"/>
  <c r="Q83" i="91"/>
  <c r="P83" i="91"/>
  <c r="T82" i="91"/>
  <c r="S82" i="91"/>
  <c r="I82" i="91" s="1"/>
  <c r="N82" i="91"/>
  <c r="M82" i="91"/>
  <c r="L82" i="91"/>
  <c r="T81" i="91"/>
  <c r="P81" i="91"/>
  <c r="N81" i="91"/>
  <c r="N91" i="91" s="1"/>
  <c r="M81" i="91"/>
  <c r="L81" i="91"/>
  <c r="J81" i="91"/>
  <c r="Q81" i="91" s="1"/>
  <c r="I81" i="91"/>
  <c r="M77" i="91"/>
  <c r="M79" i="91" s="1"/>
  <c r="L77" i="91"/>
  <c r="F77" i="91"/>
  <c r="E77" i="91"/>
  <c r="D77" i="91"/>
  <c r="N76" i="91"/>
  <c r="M76" i="91"/>
  <c r="L76" i="91"/>
  <c r="N75" i="91"/>
  <c r="M75" i="91"/>
  <c r="L75" i="91"/>
  <c r="N74" i="91"/>
  <c r="N77" i="91" s="1"/>
  <c r="M74" i="91"/>
  <c r="L74" i="91"/>
  <c r="Q71" i="91"/>
  <c r="P71" i="91"/>
  <c r="N70" i="91"/>
  <c r="M70" i="91"/>
  <c r="L70" i="91"/>
  <c r="L79" i="91" s="1"/>
  <c r="T69" i="91"/>
  <c r="N69" i="91"/>
  <c r="M69" i="91"/>
  <c r="L69" i="91"/>
  <c r="I69" i="91"/>
  <c r="T68" i="91"/>
  <c r="N68" i="91"/>
  <c r="M68" i="91"/>
  <c r="L68" i="91"/>
  <c r="I68" i="91"/>
  <c r="P68" i="91" s="1"/>
  <c r="F59" i="91"/>
  <c r="E59" i="91"/>
  <c r="D59" i="91"/>
  <c r="D190" i="91" s="1"/>
  <c r="N58" i="91"/>
  <c r="M58" i="91"/>
  <c r="L58" i="91"/>
  <c r="N57" i="91"/>
  <c r="N59" i="91" s="1"/>
  <c r="M57" i="91"/>
  <c r="M59" i="91" s="1"/>
  <c r="L57" i="91"/>
  <c r="L59" i="91" s="1"/>
  <c r="N53" i="91"/>
  <c r="M53" i="91"/>
  <c r="L53" i="91"/>
  <c r="S52" i="91"/>
  <c r="I52" i="91" s="1"/>
  <c r="P52" i="91"/>
  <c r="N52" i="91"/>
  <c r="M52" i="91"/>
  <c r="L52" i="91"/>
  <c r="N51" i="91"/>
  <c r="M51" i="91"/>
  <c r="M61" i="91" s="1"/>
  <c r="L51" i="91"/>
  <c r="L61" i="91" s="1"/>
  <c r="I51" i="91"/>
  <c r="J51" i="91" s="1"/>
  <c r="Q51" i="91" s="1"/>
  <c r="N49" i="91"/>
  <c r="F47" i="91"/>
  <c r="E47" i="91"/>
  <c r="D47" i="91"/>
  <c r="N46" i="91"/>
  <c r="N47" i="91" s="1"/>
  <c r="M46" i="91"/>
  <c r="L46" i="91"/>
  <c r="N45" i="91"/>
  <c r="M45" i="91"/>
  <c r="M47" i="91" s="1"/>
  <c r="L45" i="91"/>
  <c r="L47" i="91" s="1"/>
  <c r="N41" i="91"/>
  <c r="M41" i="91"/>
  <c r="L41" i="91"/>
  <c r="N40" i="91"/>
  <c r="M40" i="91"/>
  <c r="L40" i="91"/>
  <c r="T39" i="91"/>
  <c r="P39" i="91"/>
  <c r="N39" i="91"/>
  <c r="M39" i="91"/>
  <c r="L39" i="91"/>
  <c r="I39" i="91"/>
  <c r="T38" i="91"/>
  <c r="J38" i="91" s="1"/>
  <c r="Q38" i="91" s="1"/>
  <c r="P38" i="91"/>
  <c r="N38" i="91"/>
  <c r="M38" i="91"/>
  <c r="L38" i="91"/>
  <c r="L49" i="91" s="1"/>
  <c r="L63" i="91" s="1"/>
  <c r="I38" i="91"/>
  <c r="N30" i="91"/>
  <c r="M30" i="91"/>
  <c r="L30" i="91"/>
  <c r="Q29" i="91"/>
  <c r="P29" i="91"/>
  <c r="N29" i="91"/>
  <c r="M29" i="91"/>
  <c r="M31" i="91" s="1"/>
  <c r="L29" i="91"/>
  <c r="L31" i="91" s="1"/>
  <c r="I29" i="91"/>
  <c r="J29" i="91" s="1"/>
  <c r="N26" i="91"/>
  <c r="M26" i="91"/>
  <c r="L26" i="91"/>
  <c r="N25" i="91"/>
  <c r="M25" i="91"/>
  <c r="L25" i="91"/>
  <c r="L27" i="91" s="1"/>
  <c r="L33" i="91" s="1"/>
  <c r="T24" i="91"/>
  <c r="P24" i="91"/>
  <c r="N24" i="91"/>
  <c r="M24" i="91"/>
  <c r="L24" i="91"/>
  <c r="I24" i="91"/>
  <c r="J24" i="91" s="1"/>
  <c r="Q24" i="91" s="1"/>
  <c r="B17" i="91"/>
  <c r="N16" i="91"/>
  <c r="M16" i="91"/>
  <c r="L16" i="91"/>
  <c r="B16" i="91"/>
  <c r="T15" i="91"/>
  <c r="N15" i="91"/>
  <c r="M15" i="91"/>
  <c r="L15" i="91"/>
  <c r="N13" i="91"/>
  <c r="M13" i="91"/>
  <c r="L13" i="91"/>
  <c r="L11" i="91"/>
  <c r="A11" i="91"/>
  <c r="A12" i="91" s="1"/>
  <c r="A13" i="91" s="1"/>
  <c r="A14" i="91" s="1"/>
  <c r="A15" i="91" s="1"/>
  <c r="A16" i="91" s="1"/>
  <c r="A17" i="91" s="1"/>
  <c r="A18" i="91" s="1"/>
  <c r="A19" i="91" s="1"/>
  <c r="A20" i="91" s="1"/>
  <c r="A21" i="91" s="1"/>
  <c r="A22" i="91" s="1"/>
  <c r="A23" i="91" s="1"/>
  <c r="A24" i="91" s="1"/>
  <c r="A25" i="91" s="1"/>
  <c r="A26" i="91" s="1"/>
  <c r="A27" i="91" s="1"/>
  <c r="A28" i="91" s="1"/>
  <c r="A29" i="91" s="1"/>
  <c r="A30" i="91" s="1"/>
  <c r="A31" i="91" s="1"/>
  <c r="A32" i="91" s="1"/>
  <c r="A33" i="91" s="1"/>
  <c r="A34" i="91" s="1"/>
  <c r="A35" i="91" s="1"/>
  <c r="A36" i="91" s="1"/>
  <c r="A37" i="91" s="1"/>
  <c r="A38" i="91" s="1"/>
  <c r="A39" i="91" s="1"/>
  <c r="A40" i="91" s="1"/>
  <c r="A41" i="91" s="1"/>
  <c r="A42" i="91" s="1"/>
  <c r="A43" i="91" s="1"/>
  <c r="A44" i="91" s="1"/>
  <c r="A45" i="91" s="1"/>
  <c r="A46" i="91" s="1"/>
  <c r="A47" i="91" s="1"/>
  <c r="A48" i="91" s="1"/>
  <c r="A49" i="91" s="1"/>
  <c r="A50" i="91" s="1"/>
  <c r="A51" i="91" s="1"/>
  <c r="A52" i="91" s="1"/>
  <c r="A53" i="91" s="1"/>
  <c r="A54" i="91" s="1"/>
  <c r="A55" i="91" s="1"/>
  <c r="A56" i="91" s="1"/>
  <c r="A57" i="91" s="1"/>
  <c r="A58" i="91" s="1"/>
  <c r="A59" i="91" s="1"/>
  <c r="A60" i="91" s="1"/>
  <c r="A61" i="91" s="1"/>
  <c r="A62" i="91" s="1"/>
  <c r="A63" i="91" s="1"/>
  <c r="A64" i="91" s="1"/>
  <c r="A65" i="91" s="1"/>
  <c r="A66" i="91" s="1"/>
  <c r="A67" i="91" s="1"/>
  <c r="A68" i="91" s="1"/>
  <c r="A69" i="91" s="1"/>
  <c r="A70" i="91" s="1"/>
  <c r="A71" i="91" s="1"/>
  <c r="A72" i="91" s="1"/>
  <c r="A73" i="91" s="1"/>
  <c r="A74" i="91" s="1"/>
  <c r="A75" i="91" s="1"/>
  <c r="A76" i="91" s="1"/>
  <c r="A77" i="91" s="1"/>
  <c r="A78" i="91" s="1"/>
  <c r="A79" i="91" s="1"/>
  <c r="A80" i="91" s="1"/>
  <c r="A81" i="91" s="1"/>
  <c r="A82" i="91" s="1"/>
  <c r="A83" i="91" s="1"/>
  <c r="A84" i="91" s="1"/>
  <c r="A85" i="91" s="1"/>
  <c r="A86" i="91" s="1"/>
  <c r="A87" i="91" s="1"/>
  <c r="A88" i="91" s="1"/>
  <c r="A89" i="91" s="1"/>
  <c r="A90" i="91" s="1"/>
  <c r="A91" i="91" s="1"/>
  <c r="A92" i="91" s="1"/>
  <c r="A93" i="91" s="1"/>
  <c r="A94" i="91" s="1"/>
  <c r="A95" i="91" s="1"/>
  <c r="A96" i="91" s="1"/>
  <c r="A97" i="91" s="1"/>
  <c r="A98" i="91" s="1"/>
  <c r="A99" i="91" s="1"/>
  <c r="A100" i="91" s="1"/>
  <c r="A101" i="91" s="1"/>
  <c r="A102" i="91" s="1"/>
  <c r="A103" i="91" s="1"/>
  <c r="A104" i="91" s="1"/>
  <c r="A105" i="91" s="1"/>
  <c r="A106" i="91" s="1"/>
  <c r="A107" i="91" s="1"/>
  <c r="A108" i="91" s="1"/>
  <c r="A109" i="91" s="1"/>
  <c r="A110" i="91" s="1"/>
  <c r="A111" i="91" s="1"/>
  <c r="A112" i="91" s="1"/>
  <c r="A113" i="91" s="1"/>
  <c r="A114" i="91" s="1"/>
  <c r="A115" i="91" s="1"/>
  <c r="A116" i="91" s="1"/>
  <c r="A117" i="91" s="1"/>
  <c r="A118" i="91" s="1"/>
  <c r="A119" i="91" s="1"/>
  <c r="A120" i="91" s="1"/>
  <c r="A121" i="91" s="1"/>
  <c r="A122" i="91" s="1"/>
  <c r="A123" i="91" s="1"/>
  <c r="A124" i="91" s="1"/>
  <c r="A125" i="91" s="1"/>
  <c r="A126" i="91" s="1"/>
  <c r="A127" i="91" s="1"/>
  <c r="A128" i="91" s="1"/>
  <c r="A129" i="91" s="1"/>
  <c r="A130" i="91" s="1"/>
  <c r="A131" i="91" s="1"/>
  <c r="A132" i="91" s="1"/>
  <c r="A133" i="91" s="1"/>
  <c r="A134" i="91" s="1"/>
  <c r="A135" i="91" s="1"/>
  <c r="A136" i="91" s="1"/>
  <c r="A137" i="91" s="1"/>
  <c r="A138" i="91" s="1"/>
  <c r="A139" i="91" s="1"/>
  <c r="A140" i="91" s="1"/>
  <c r="A141" i="91" s="1"/>
  <c r="A142" i="91" s="1"/>
  <c r="A143" i="91" s="1"/>
  <c r="A144" i="91" s="1"/>
  <c r="A145" i="91" s="1"/>
  <c r="A146" i="91" s="1"/>
  <c r="A147" i="91" s="1"/>
  <c r="A148" i="91" s="1"/>
  <c r="A149" i="91" s="1"/>
  <c r="A150" i="91" s="1"/>
  <c r="A151" i="91" s="1"/>
  <c r="A152" i="91" s="1"/>
  <c r="A153" i="91" s="1"/>
  <c r="A154" i="91" s="1"/>
  <c r="A155" i="91" s="1"/>
  <c r="A156" i="91" s="1"/>
  <c r="A157" i="91" s="1"/>
  <c r="A158" i="91" s="1"/>
  <c r="A159" i="91" s="1"/>
  <c r="A160" i="91" s="1"/>
  <c r="A161" i="91" s="1"/>
  <c r="A162" i="91" s="1"/>
  <c r="A163" i="91" s="1"/>
  <c r="A164" i="91" s="1"/>
  <c r="A165" i="91" s="1"/>
  <c r="A166" i="91" s="1"/>
  <c r="A167" i="91" s="1"/>
  <c r="A168" i="91" s="1"/>
  <c r="A169" i="91" s="1"/>
  <c r="A170" i="91" s="1"/>
  <c r="A171" i="91" s="1"/>
  <c r="A172" i="91" s="1"/>
  <c r="A173" i="91" s="1"/>
  <c r="A174" i="91" s="1"/>
  <c r="A175" i="91" s="1"/>
  <c r="A176" i="91" s="1"/>
  <c r="A177" i="91" s="1"/>
  <c r="A178" i="91" s="1"/>
  <c r="A179" i="91" s="1"/>
  <c r="A180" i="91" s="1"/>
  <c r="A181" i="91" s="1"/>
  <c r="A182" i="91" s="1"/>
  <c r="A183" i="91" s="1"/>
  <c r="A184" i="91" s="1"/>
  <c r="A185" i="91" s="1"/>
  <c r="A186" i="91" s="1"/>
  <c r="A187" i="91" s="1"/>
  <c r="A188" i="91" s="1"/>
  <c r="A189" i="91" s="1"/>
  <c r="A190" i="91" s="1"/>
  <c r="A191" i="91" s="1"/>
  <c r="N10" i="91"/>
  <c r="M10" i="91"/>
  <c r="L10" i="91"/>
  <c r="B10" i="91"/>
  <c r="B11" i="91" s="1"/>
  <c r="A10" i="91"/>
  <c r="S9" i="91"/>
  <c r="S15" i="91" s="1"/>
  <c r="I15" i="91" s="1"/>
  <c r="N9" i="91"/>
  <c r="N11" i="91" s="1"/>
  <c r="M9" i="91"/>
  <c r="M11" i="91" s="1"/>
  <c r="L9" i="91"/>
  <c r="X31" i="94" l="1"/>
  <c r="Q36" i="94"/>
  <c r="W16" i="94"/>
  <c r="U32" i="94"/>
  <c r="X32" i="94" s="1"/>
  <c r="X16" i="94"/>
  <c r="W17" i="94"/>
  <c r="W33" i="94" s="1"/>
  <c r="U33" i="94"/>
  <c r="X33" i="94" s="1"/>
  <c r="V36" i="94"/>
  <c r="U25" i="94"/>
  <c r="M183" i="91"/>
  <c r="M49" i="91"/>
  <c r="M63" i="91" s="1"/>
  <c r="P15" i="91"/>
  <c r="J15" i="91"/>
  <c r="Q15" i="91" s="1"/>
  <c r="P127" i="91"/>
  <c r="I143" i="91"/>
  <c r="P143" i="91" s="1"/>
  <c r="T127" i="91"/>
  <c r="T143" i="91" s="1"/>
  <c r="S127" i="91"/>
  <c r="S143" i="91" s="1"/>
  <c r="M27" i="91"/>
  <c r="M33" i="91" s="1"/>
  <c r="N61" i="91"/>
  <c r="N63" i="91" s="1"/>
  <c r="J69" i="91"/>
  <c r="Q69" i="91" s="1"/>
  <c r="P69" i="91"/>
  <c r="J52" i="91"/>
  <c r="Q52" i="91" s="1"/>
  <c r="P82" i="91"/>
  <c r="J82" i="91"/>
  <c r="Q82" i="91" s="1"/>
  <c r="J39" i="91"/>
  <c r="Q39" i="91" s="1"/>
  <c r="T52" i="91"/>
  <c r="M140" i="91"/>
  <c r="M157" i="91" s="1"/>
  <c r="N140" i="91"/>
  <c r="N157" i="91" s="1"/>
  <c r="M108" i="91"/>
  <c r="M17" i="91"/>
  <c r="M19" i="91" s="1"/>
  <c r="N108" i="91"/>
  <c r="N121" i="91" s="1"/>
  <c r="M138" i="91"/>
  <c r="L175" i="91"/>
  <c r="L177" i="91" s="1"/>
  <c r="N17" i="91"/>
  <c r="N183" i="91" s="1"/>
  <c r="P51" i="91"/>
  <c r="J110" i="91"/>
  <c r="Q110" i="91" s="1"/>
  <c r="L140" i="91"/>
  <c r="N138" i="91"/>
  <c r="M175" i="91"/>
  <c r="M177" i="91" s="1"/>
  <c r="E190" i="91"/>
  <c r="S64" i="91"/>
  <c r="J68" i="91"/>
  <c r="Q68" i="91" s="1"/>
  <c r="N79" i="91"/>
  <c r="N93" i="91" s="1"/>
  <c r="L89" i="91"/>
  <c r="L91" i="91" s="1"/>
  <c r="L93" i="91" s="1"/>
  <c r="L119" i="91"/>
  <c r="L155" i="91"/>
  <c r="L17" i="91"/>
  <c r="L19" i="91" s="1"/>
  <c r="F190" i="91"/>
  <c r="L138" i="91"/>
  <c r="J162" i="91"/>
  <c r="Q162" i="91" s="1"/>
  <c r="I9" i="91"/>
  <c r="N27" i="91"/>
  <c r="M89" i="91"/>
  <c r="M91" i="91" s="1"/>
  <c r="M93" i="91" s="1"/>
  <c r="L108" i="91"/>
  <c r="M119" i="91"/>
  <c r="L153" i="91"/>
  <c r="L183" i="91"/>
  <c r="M153" i="91"/>
  <c r="M155" i="91" s="1"/>
  <c r="N175" i="91"/>
  <c r="N177" i="91" s="1"/>
  <c r="J142" i="91"/>
  <c r="Q142" i="91" s="1"/>
  <c r="N31" i="91"/>
  <c r="J163" i="91"/>
  <c r="Q163" i="91" s="1"/>
  <c r="X25" i="94" l="1"/>
  <c r="U36" i="94"/>
  <c r="W32" i="94"/>
  <c r="W36" i="94" s="1"/>
  <c r="W25" i="94"/>
  <c r="X36" i="94"/>
  <c r="T64" i="91"/>
  <c r="S20" i="91"/>
  <c r="S94" i="91"/>
  <c r="L157" i="91"/>
  <c r="L121" i="91"/>
  <c r="T94" i="91"/>
  <c r="N33" i="91"/>
  <c r="S158" i="91"/>
  <c r="J9" i="91"/>
  <c r="Q9" i="91" s="1"/>
  <c r="P9" i="91"/>
  <c r="I40" i="91"/>
  <c r="T178" i="91"/>
  <c r="N19" i="91"/>
  <c r="S178" i="91"/>
  <c r="S167" i="91" s="1"/>
  <c r="S34" i="91"/>
  <c r="M121" i="91"/>
  <c r="V161" i="91" l="1"/>
  <c r="P40" i="91"/>
  <c r="S122" i="91"/>
  <c r="I26" i="91"/>
  <c r="S183" i="91"/>
  <c r="S13" i="91"/>
  <c r="I13" i="91" s="1"/>
  <c r="T158" i="91"/>
  <c r="W161" i="91" s="1"/>
  <c r="I167" i="91"/>
  <c r="S168" i="91"/>
  <c r="J40" i="91"/>
  <c r="Q40" i="91" s="1"/>
  <c r="T20" i="91"/>
  <c r="T34" i="91"/>
  <c r="T13" i="91" l="1"/>
  <c r="J13" i="91" s="1"/>
  <c r="Q13" i="91" s="1"/>
  <c r="I168" i="91"/>
  <c r="S169" i="91"/>
  <c r="S45" i="91"/>
  <c r="I128" i="91"/>
  <c r="P13" i="91"/>
  <c r="S10" i="91" s="1"/>
  <c r="J26" i="91"/>
  <c r="Q26" i="91" s="1"/>
  <c r="P26" i="91"/>
  <c r="S25" i="91" s="1"/>
  <c r="T183" i="91"/>
  <c r="T122" i="91"/>
  <c r="P167" i="91"/>
  <c r="I70" i="91"/>
  <c r="I100" i="91" l="1"/>
  <c r="P168" i="91"/>
  <c r="S30" i="91"/>
  <c r="I30" i="91" s="1"/>
  <c r="I25" i="91"/>
  <c r="I10" i="91"/>
  <c r="S16" i="91"/>
  <c r="I16" i="91" s="1"/>
  <c r="P70" i="91"/>
  <c r="J70" i="91"/>
  <c r="Q70" i="91" s="1"/>
  <c r="J128" i="91"/>
  <c r="Q128" i="91" s="1"/>
  <c r="P128" i="91"/>
  <c r="I45" i="91"/>
  <c r="S46" i="91"/>
  <c r="S41" i="91"/>
  <c r="S44" i="91"/>
  <c r="S57" i="91"/>
  <c r="I57" i="91" s="1"/>
  <c r="I169" i="91"/>
  <c r="S170" i="91"/>
  <c r="S74" i="91" l="1"/>
  <c r="P169" i="91"/>
  <c r="P16" i="91"/>
  <c r="P17" i="91" s="1"/>
  <c r="J16" i="91"/>
  <c r="Q16" i="91" s="1"/>
  <c r="Q17" i="91" s="1"/>
  <c r="P57" i="91"/>
  <c r="P10" i="91"/>
  <c r="P11" i="91" s="1"/>
  <c r="J10" i="91"/>
  <c r="Q10" i="91" s="1"/>
  <c r="Q11" i="91" s="1"/>
  <c r="T10" i="91"/>
  <c r="T16" i="91" s="1"/>
  <c r="S56" i="91"/>
  <c r="I56" i="91" s="1"/>
  <c r="I44" i="91"/>
  <c r="P25" i="91"/>
  <c r="P27" i="91" s="1"/>
  <c r="T25" i="91"/>
  <c r="T30" i="91" s="1"/>
  <c r="I41" i="91"/>
  <c r="S53" i="91"/>
  <c r="I53" i="91" s="1"/>
  <c r="J30" i="91"/>
  <c r="Q30" i="91" s="1"/>
  <c r="Q31" i="91" s="1"/>
  <c r="P30" i="91"/>
  <c r="P31" i="91" s="1"/>
  <c r="S58" i="91"/>
  <c r="I58" i="91" s="1"/>
  <c r="I46" i="91"/>
  <c r="P45" i="91"/>
  <c r="S171" i="91"/>
  <c r="I170" i="91"/>
  <c r="S132" i="91"/>
  <c r="P100" i="91"/>
  <c r="J100" i="91"/>
  <c r="Q100" i="91" s="1"/>
  <c r="P46" i="91" l="1"/>
  <c r="P58" i="91"/>
  <c r="S147" i="91"/>
  <c r="I147" i="91" s="1"/>
  <c r="I132" i="91"/>
  <c r="S133" i="91"/>
  <c r="P170" i="91"/>
  <c r="T167" i="91"/>
  <c r="S172" i="91"/>
  <c r="I172" i="91" s="1"/>
  <c r="I171" i="91"/>
  <c r="Q19" i="91"/>
  <c r="P19" i="91"/>
  <c r="P59" i="91"/>
  <c r="S104" i="91"/>
  <c r="P53" i="91"/>
  <c r="P61" i="91" s="1"/>
  <c r="P41" i="91"/>
  <c r="T45" i="91"/>
  <c r="J25" i="91"/>
  <c r="Q25" i="91" s="1"/>
  <c r="Q27" i="91" s="1"/>
  <c r="Q33" i="91" s="1"/>
  <c r="P33" i="91"/>
  <c r="S75" i="91"/>
  <c r="I74" i="91"/>
  <c r="S86" i="91"/>
  <c r="I86" i="91" s="1"/>
  <c r="I65" i="91"/>
  <c r="I184" i="91" s="1"/>
  <c r="P47" i="91"/>
  <c r="T168" i="91" l="1"/>
  <c r="J167" i="91"/>
  <c r="Q167" i="91" s="1"/>
  <c r="S148" i="91"/>
  <c r="I148" i="91" s="1"/>
  <c r="I133" i="91"/>
  <c r="S134" i="91"/>
  <c r="S87" i="91"/>
  <c r="I87" i="91" s="1"/>
  <c r="I75" i="91"/>
  <c r="S76" i="91"/>
  <c r="Q21" i="91"/>
  <c r="T21" i="91"/>
  <c r="P86" i="91"/>
  <c r="P132" i="91"/>
  <c r="P147" i="91"/>
  <c r="P21" i="91"/>
  <c r="S21" i="91"/>
  <c r="T44" i="91"/>
  <c r="T41" i="91"/>
  <c r="T57" i="91"/>
  <c r="J57" i="91" s="1"/>
  <c r="Q57" i="91" s="1"/>
  <c r="T46" i="91"/>
  <c r="J45" i="91"/>
  <c r="Q45" i="91" s="1"/>
  <c r="P171" i="91"/>
  <c r="S115" i="91"/>
  <c r="I115" i="91" s="1"/>
  <c r="S105" i="91"/>
  <c r="I104" i="91"/>
  <c r="P74" i="91"/>
  <c r="P35" i="91"/>
  <c r="S35" i="91"/>
  <c r="Q35" i="91"/>
  <c r="T35" i="91"/>
  <c r="P49" i="91"/>
  <c r="P172" i="91"/>
  <c r="P173" i="91" s="1"/>
  <c r="P175" i="91" s="1"/>
  <c r="P177" i="91" s="1"/>
  <c r="T56" i="91" l="1"/>
  <c r="J56" i="91" s="1"/>
  <c r="J44" i="91"/>
  <c r="P87" i="91"/>
  <c r="P148" i="91"/>
  <c r="T58" i="91"/>
  <c r="J58" i="91" s="1"/>
  <c r="Q58" i="91" s="1"/>
  <c r="Q59" i="91" s="1"/>
  <c r="J46" i="91"/>
  <c r="Q46" i="91" s="1"/>
  <c r="Q47" i="91" s="1"/>
  <c r="P104" i="91"/>
  <c r="P179" i="91"/>
  <c r="S179" i="91"/>
  <c r="T53" i="91"/>
  <c r="J53" i="91" s="1"/>
  <c r="Q53" i="91" s="1"/>
  <c r="J41" i="91"/>
  <c r="Q41" i="91" s="1"/>
  <c r="I76" i="91"/>
  <c r="S88" i="91"/>
  <c r="I88" i="91" s="1"/>
  <c r="P75" i="91"/>
  <c r="S149" i="91"/>
  <c r="I149" i="91" s="1"/>
  <c r="S135" i="91"/>
  <c r="I134" i="91"/>
  <c r="I105" i="91"/>
  <c r="T104" i="91" s="1"/>
  <c r="S116" i="91"/>
  <c r="I116" i="91" s="1"/>
  <c r="P133" i="91"/>
  <c r="P115" i="91"/>
  <c r="P63" i="91"/>
  <c r="T169" i="91"/>
  <c r="J168" i="91"/>
  <c r="Q168" i="91" s="1"/>
  <c r="T105" i="91" l="1"/>
  <c r="T116" i="91" s="1"/>
  <c r="T115" i="91"/>
  <c r="J115" i="91" s="1"/>
  <c r="Q115" i="91" s="1"/>
  <c r="J104" i="91"/>
  <c r="Q104" i="91" s="1"/>
  <c r="P76" i="91"/>
  <c r="P77" i="91" s="1"/>
  <c r="P79" i="91" s="1"/>
  <c r="T74" i="91"/>
  <c r="S65" i="91"/>
  <c r="P65" i="91"/>
  <c r="Q61" i="91"/>
  <c r="J116" i="91"/>
  <c r="Q116" i="91" s="1"/>
  <c r="P116" i="91"/>
  <c r="P134" i="91"/>
  <c r="S150" i="91"/>
  <c r="I150" i="91" s="1"/>
  <c r="S136" i="91"/>
  <c r="I135" i="91"/>
  <c r="T170" i="91"/>
  <c r="J169" i="91"/>
  <c r="Q169" i="91" s="1"/>
  <c r="P149" i="91"/>
  <c r="P106" i="91"/>
  <c r="P108" i="91" s="1"/>
  <c r="P121" i="91" s="1"/>
  <c r="J65" i="91"/>
  <c r="J184" i="91" s="1"/>
  <c r="P88" i="91"/>
  <c r="P89" i="91" s="1"/>
  <c r="P91" i="91" s="1"/>
  <c r="P117" i="91"/>
  <c r="P119" i="91" s="1"/>
  <c r="Q49" i="91"/>
  <c r="P105" i="91"/>
  <c r="J105" i="91"/>
  <c r="Q105" i="91" s="1"/>
  <c r="P123" i="91" l="1"/>
  <c r="S123" i="91"/>
  <c r="T86" i="91"/>
  <c r="J86" i="91" s="1"/>
  <c r="Q86" i="91" s="1"/>
  <c r="T75" i="91"/>
  <c r="J74" i="91"/>
  <c r="Q74" i="91" s="1"/>
  <c r="T171" i="91"/>
  <c r="J170" i="91"/>
  <c r="Q170" i="91" s="1"/>
  <c r="P135" i="91"/>
  <c r="P93" i="91"/>
  <c r="Q63" i="91"/>
  <c r="S137" i="91"/>
  <c r="S151" i="91"/>
  <c r="I151" i="91" s="1"/>
  <c r="I136" i="91"/>
  <c r="P150" i="91"/>
  <c r="Q106" i="91"/>
  <c r="Q108" i="91" s="1"/>
  <c r="Q117" i="91"/>
  <c r="Q119" i="91" s="1"/>
  <c r="T172" i="91" l="1"/>
  <c r="J172" i="91" s="1"/>
  <c r="Q172" i="91" s="1"/>
  <c r="Q173" i="91" s="1"/>
  <c r="Q175" i="91" s="1"/>
  <c r="Q177" i="91" s="1"/>
  <c r="J171" i="91"/>
  <c r="Q171" i="91" s="1"/>
  <c r="P136" i="91"/>
  <c r="T76" i="91"/>
  <c r="T87" i="91"/>
  <c r="J87" i="91" s="1"/>
  <c r="Q87" i="91" s="1"/>
  <c r="J75" i="91"/>
  <c r="Q75" i="91" s="1"/>
  <c r="P151" i="91"/>
  <c r="I137" i="91"/>
  <c r="S152" i="91"/>
  <c r="I152" i="91" s="1"/>
  <c r="Q65" i="91"/>
  <c r="T65" i="91"/>
  <c r="Q121" i="91"/>
  <c r="P95" i="91"/>
  <c r="S95" i="91"/>
  <c r="Q179" i="91" l="1"/>
  <c r="T179" i="91"/>
  <c r="P137" i="91"/>
  <c r="P138" i="91" s="1"/>
  <c r="P140" i="91" s="1"/>
  <c r="T132" i="91"/>
  <c r="Q123" i="91"/>
  <c r="T123" i="91"/>
  <c r="P152" i="91"/>
  <c r="P153" i="91" s="1"/>
  <c r="P155" i="91" s="1"/>
  <c r="T88" i="91"/>
  <c r="J88" i="91" s="1"/>
  <c r="Q88" i="91" s="1"/>
  <c r="Q89" i="91" s="1"/>
  <c r="Q91" i="91" s="1"/>
  <c r="J76" i="91"/>
  <c r="Q76" i="91" s="1"/>
  <c r="Q77" i="91" s="1"/>
  <c r="Q79" i="91" s="1"/>
  <c r="Q93" i="91" l="1"/>
  <c r="P157" i="91"/>
  <c r="P183" i="91"/>
  <c r="T147" i="91"/>
  <c r="J147" i="91" s="1"/>
  <c r="Q147" i="91" s="1"/>
  <c r="T133" i="91"/>
  <c r="J132" i="91"/>
  <c r="Q132" i="91" s="1"/>
  <c r="T134" i="91" l="1"/>
  <c r="T148" i="91"/>
  <c r="J148" i="91" s="1"/>
  <c r="Q148" i="91" s="1"/>
  <c r="J133" i="91"/>
  <c r="Q133" i="91" s="1"/>
  <c r="P159" i="91"/>
  <c r="S159" i="91"/>
  <c r="Q95" i="91"/>
  <c r="T95" i="91"/>
  <c r="T149" i="91" l="1"/>
  <c r="J149" i="91" s="1"/>
  <c r="Q149" i="91" s="1"/>
  <c r="T135" i="91"/>
  <c r="J134" i="91"/>
  <c r="Q134" i="91" s="1"/>
  <c r="T150" i="91" l="1"/>
  <c r="J150" i="91" s="1"/>
  <c r="Q150" i="91" s="1"/>
  <c r="T136" i="91"/>
  <c r="J135" i="91"/>
  <c r="Q135" i="91" s="1"/>
  <c r="T137" i="91" l="1"/>
  <c r="T151" i="91"/>
  <c r="J151" i="91" s="1"/>
  <c r="Q151" i="91" s="1"/>
  <c r="J136" i="91"/>
  <c r="Q136" i="91" s="1"/>
  <c r="T152" i="91" l="1"/>
  <c r="J152" i="91" s="1"/>
  <c r="Q152" i="91" s="1"/>
  <c r="Q153" i="91" s="1"/>
  <c r="Q155" i="91" s="1"/>
  <c r="J137" i="91"/>
  <c r="Q137" i="91" s="1"/>
  <c r="Q138" i="91" s="1"/>
  <c r="Q140" i="91" s="1"/>
  <c r="Q157" i="91" l="1"/>
  <c r="Q183" i="91"/>
  <c r="Q159" i="91" l="1"/>
  <c r="T159" i="91"/>
  <c r="D17" i="1" l="1"/>
  <c r="D16" i="1"/>
  <c r="D15" i="1"/>
  <c r="D14" i="1"/>
  <c r="D13" i="1"/>
  <c r="D12" i="1"/>
  <c r="D11" i="1"/>
  <c r="P54" i="90"/>
  <c r="P53" i="90"/>
  <c r="P52" i="90"/>
  <c r="P51" i="90"/>
  <c r="P50" i="90"/>
  <c r="P49" i="90"/>
  <c r="P48" i="90"/>
  <c r="P47" i="90"/>
  <c r="P46" i="90"/>
  <c r="P45" i="90"/>
  <c r="P44" i="90"/>
  <c r="P43" i="90"/>
  <c r="P42" i="90"/>
  <c r="P41" i="90"/>
  <c r="P40" i="90"/>
  <c r="P39" i="90"/>
  <c r="P38" i="90"/>
  <c r="P37" i="90"/>
  <c r="P36" i="90"/>
  <c r="P35" i="90"/>
  <c r="P34" i="90"/>
  <c r="P33" i="90"/>
  <c r="P32" i="90"/>
  <c r="P31" i="90"/>
  <c r="P30" i="90"/>
  <c r="P29" i="90"/>
  <c r="P28" i="90"/>
  <c r="P27" i="90"/>
  <c r="P26" i="90"/>
  <c r="P25" i="90"/>
  <c r="P24" i="90"/>
  <c r="P23" i="90"/>
  <c r="P22" i="90"/>
  <c r="P21" i="90"/>
  <c r="P20" i="90"/>
  <c r="P19" i="90"/>
  <c r="P18" i="90"/>
  <c r="P17" i="90"/>
  <c r="P16" i="90"/>
  <c r="P15" i="90"/>
  <c r="P14" i="90"/>
  <c r="P13" i="90"/>
  <c r="P12" i="90"/>
  <c r="P11" i="90"/>
  <c r="P10" i="90"/>
  <c r="P9" i="90"/>
  <c r="P8" i="90"/>
  <c r="P7" i="90"/>
  <c r="A7" i="90"/>
  <c r="A8" i="90" s="1"/>
  <c r="A9" i="90" s="1"/>
  <c r="A10" i="90" s="1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A22" i="90" s="1"/>
  <c r="A23" i="90" s="1"/>
  <c r="A24" i="90" s="1"/>
  <c r="A25" i="90" s="1"/>
  <c r="A26" i="90" s="1"/>
  <c r="A27" i="90" s="1"/>
  <c r="A28" i="90" s="1"/>
  <c r="A29" i="90" s="1"/>
  <c r="A30" i="90" s="1"/>
  <c r="A31" i="90" s="1"/>
  <c r="A32" i="90" s="1"/>
  <c r="A33" i="90" s="1"/>
  <c r="A34" i="90" s="1"/>
  <c r="A35" i="90" s="1"/>
  <c r="A36" i="90" s="1"/>
  <c r="A37" i="90" s="1"/>
  <c r="A38" i="90" s="1"/>
  <c r="A39" i="90" s="1"/>
  <c r="A40" i="90" s="1"/>
  <c r="A41" i="90" s="1"/>
  <c r="A42" i="90" s="1"/>
  <c r="A43" i="90" s="1"/>
  <c r="A44" i="90" s="1"/>
  <c r="A45" i="90" s="1"/>
  <c r="A46" i="90" s="1"/>
  <c r="A47" i="90" s="1"/>
  <c r="A48" i="90" s="1"/>
  <c r="A49" i="90" s="1"/>
  <c r="A50" i="90" s="1"/>
  <c r="A51" i="90" s="1"/>
  <c r="A52" i="90" s="1"/>
  <c r="A53" i="90" s="1"/>
  <c r="A54" i="90" s="1"/>
  <c r="P6" i="90"/>
  <c r="A6" i="90"/>
  <c r="P5" i="90"/>
  <c r="A12" i="85" l="1"/>
  <c r="A13" i="85" s="1"/>
  <c r="A14" i="85" s="1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28" i="85" s="1"/>
  <c r="A29" i="85" s="1"/>
  <c r="A30" i="85" s="1"/>
  <c r="A31" i="85" s="1"/>
  <c r="A32" i="85" s="1"/>
  <c r="A33" i="85" s="1"/>
  <c r="A34" i="85" s="1"/>
  <c r="A35" i="85" s="1"/>
  <c r="A36" i="85" s="1"/>
  <c r="D21" i="75" l="1"/>
  <c r="D36" i="75"/>
  <c r="D26" i="75"/>
  <c r="D15" i="75" l="1"/>
  <c r="A12" i="75" l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H15" i="75" l="1"/>
  <c r="H26" i="75" l="1"/>
  <c r="H21" i="75"/>
  <c r="H36" i="75"/>
  <c r="E15" i="1" l="1"/>
  <c r="I26" i="75" s="1"/>
  <c r="J25" i="75" s="1"/>
  <c r="J26" i="75" l="1"/>
  <c r="J24" i="75"/>
  <c r="K24" i="75" s="1"/>
  <c r="D25" i="85" s="1"/>
  <c r="F25" i="85" s="1"/>
  <c r="D22" i="69" s="1"/>
  <c r="K25" i="75"/>
  <c r="E14" i="1"/>
  <c r="I21" i="75" s="1"/>
  <c r="J21" i="75" s="1"/>
  <c r="E11" i="1"/>
  <c r="E13" i="1"/>
  <c r="I15" i="75" s="1"/>
  <c r="E16" i="1"/>
  <c r="I36" i="75" s="1"/>
  <c r="E12" i="1"/>
  <c r="D12" i="85" s="1"/>
  <c r="F12" i="85" s="1"/>
  <c r="D12" i="69" s="1"/>
  <c r="J31" i="75" l="1"/>
  <c r="J32" i="75"/>
  <c r="J33" i="75"/>
  <c r="J34" i="75"/>
  <c r="J35" i="75"/>
  <c r="J36" i="75"/>
  <c r="J30" i="75"/>
  <c r="J15" i="75"/>
  <c r="J12" i="75"/>
  <c r="D15" i="85" s="1"/>
  <c r="D11" i="85"/>
  <c r="F11" i="85" s="1"/>
  <c r="E17" i="1"/>
  <c r="D26" i="85"/>
  <c r="F26" i="85" s="1"/>
  <c r="D23" i="69" s="1"/>
  <c r="J19" i="75"/>
  <c r="K19" i="75" s="1"/>
  <c r="J20" i="75"/>
  <c r="K20" i="75" s="1"/>
  <c r="J18" i="75"/>
  <c r="K18" i="75" s="1"/>
  <c r="D20" i="85" s="1"/>
  <c r="F20" i="85" s="1"/>
  <c r="D18" i="69" s="1"/>
  <c r="J13" i="75"/>
  <c r="K13" i="75" s="1"/>
  <c r="J14" i="75"/>
  <c r="K14" i="75" s="1"/>
  <c r="K26" i="75"/>
  <c r="K35" i="75"/>
  <c r="K31" i="75" s="1"/>
  <c r="G11" i="85" l="1"/>
  <c r="D10" i="69" s="1"/>
  <c r="D9" i="69"/>
  <c r="D8" i="69"/>
  <c r="D21" i="85"/>
  <c r="F21" i="85" s="1"/>
  <c r="D19" i="69" s="1"/>
  <c r="F15" i="85"/>
  <c r="D14" i="69" s="1"/>
  <c r="D22" i="85"/>
  <c r="F22" i="85" s="1"/>
  <c r="D20" i="69" s="1"/>
  <c r="D17" i="85"/>
  <c r="F17" i="85" s="1"/>
  <c r="D16" i="69" s="1"/>
  <c r="D16" i="85"/>
  <c r="F16" i="85" s="1"/>
  <c r="D15" i="69" s="1"/>
  <c r="D30" i="85"/>
  <c r="F30" i="85" s="1"/>
  <c r="D26" i="69" s="1"/>
  <c r="D34" i="85"/>
  <c r="F34" i="85" s="1"/>
  <c r="D30" i="69" s="1"/>
  <c r="K32" i="75"/>
  <c r="K30" i="75"/>
  <c r="D29" i="85" s="1"/>
  <c r="D25" i="69" s="1"/>
  <c r="K21" i="75"/>
  <c r="K33" i="75"/>
  <c r="K34" i="75"/>
  <c r="K15" i="75"/>
  <c r="D31" i="85" l="1"/>
  <c r="F31" i="85" s="1"/>
  <c r="D27" i="69" s="1"/>
  <c r="D33" i="85"/>
  <c r="F33" i="85" s="1"/>
  <c r="D29" i="69" s="1"/>
  <c r="D32" i="85"/>
  <c r="F32" i="85" s="1"/>
  <c r="D28" i="69" s="1"/>
  <c r="K36" i="75"/>
  <c r="D36" i="85" l="1"/>
  <c r="A12" i="1" l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<sst xmlns="http://schemas.openxmlformats.org/spreadsheetml/2006/main" count="996" uniqueCount="420">
  <si>
    <t>Puget Sound Energy</t>
  </si>
  <si>
    <t>Proposed</t>
  </si>
  <si>
    <t>Revenue</t>
  </si>
  <si>
    <t>Rate per</t>
  </si>
  <si>
    <t>Rate Class</t>
  </si>
  <si>
    <t>Schedules</t>
  </si>
  <si>
    <t>Requirement</t>
  </si>
  <si>
    <t>Therm</t>
  </si>
  <si>
    <t>Residential</t>
  </si>
  <si>
    <t>16, 23, 53</t>
  </si>
  <si>
    <t>Commercial &amp; Industrial</t>
  </si>
  <si>
    <t>Large Volume</t>
  </si>
  <si>
    <t>Interruptible</t>
  </si>
  <si>
    <t>Limited Interruptible</t>
  </si>
  <si>
    <t>Non-exclusive Interruptible</t>
  </si>
  <si>
    <t>Contracts</t>
  </si>
  <si>
    <t>Total</t>
  </si>
  <si>
    <t>(a)</t>
  </si>
  <si>
    <t>(b)</t>
  </si>
  <si>
    <t>(c)</t>
  </si>
  <si>
    <t>(d)</t>
  </si>
  <si>
    <t>Line</t>
  </si>
  <si>
    <t>No.</t>
  </si>
  <si>
    <t>TOTAL</t>
  </si>
  <si>
    <t>Allocation</t>
  </si>
  <si>
    <t>A</t>
  </si>
  <si>
    <t>B</t>
  </si>
  <si>
    <t>C</t>
  </si>
  <si>
    <t>D</t>
  </si>
  <si>
    <t>H</t>
  </si>
  <si>
    <t>I</t>
  </si>
  <si>
    <t>J</t>
  </si>
  <si>
    <t>K</t>
  </si>
  <si>
    <t>L</t>
  </si>
  <si>
    <t>M</t>
  </si>
  <si>
    <t>N</t>
  </si>
  <si>
    <t>O</t>
  </si>
  <si>
    <t>Line No.</t>
  </si>
  <si>
    <t>Description</t>
  </si>
  <si>
    <t>Residential (16,23,53)</t>
  </si>
  <si>
    <t>Comm. &amp; Indus. (31,31T)</t>
  </si>
  <si>
    <t>Large Volume (41,41T)</t>
  </si>
  <si>
    <t>Interruptible (85, 85T)</t>
  </si>
  <si>
    <t>Limited Interruptible (86, 86T)</t>
  </si>
  <si>
    <t>Non-Exclusive Interruptible (87, 87T)</t>
  </si>
  <si>
    <t>Check</t>
  </si>
  <si>
    <t>Intangible Plant</t>
  </si>
  <si>
    <t>Total Rate Base</t>
  </si>
  <si>
    <t>Tab C - Cost of Service Allocation Factors</t>
  </si>
  <si>
    <t>E</t>
  </si>
  <si>
    <t>F</t>
  </si>
  <si>
    <t>G</t>
  </si>
  <si>
    <t>Costs</t>
  </si>
  <si>
    <t>Acronym</t>
  </si>
  <si>
    <t>Functionalization</t>
  </si>
  <si>
    <t>Classification</t>
  </si>
  <si>
    <t>Customer Expenses</t>
  </si>
  <si>
    <t>Allocation of Account 903</t>
  </si>
  <si>
    <t>ACT_903</t>
  </si>
  <si>
    <t>Customer</t>
  </si>
  <si>
    <t>External Alloc</t>
  </si>
  <si>
    <t>All Mains Expenses</t>
  </si>
  <si>
    <t>Results of All Mains</t>
  </si>
  <si>
    <t>ALL_MAINS</t>
  </si>
  <si>
    <t>Various</t>
  </si>
  <si>
    <t>Internal Alloc</t>
  </si>
  <si>
    <t>Sales Revenue</t>
  </si>
  <si>
    <t>Commercial &amp; Industrial Sales Revenue</t>
  </si>
  <si>
    <t>C&amp;I_REV</t>
  </si>
  <si>
    <t>Common Expenses</t>
  </si>
  <si>
    <t>Weather Normalized Volumes</t>
  </si>
  <si>
    <t>COM_1</t>
  </si>
  <si>
    <t>Common</t>
  </si>
  <si>
    <t>Commodity</t>
  </si>
  <si>
    <t>Weather Normalized Volumes (excl. Transportation)</t>
  </si>
  <si>
    <t>COM1XT</t>
  </si>
  <si>
    <t>Distribution Plant</t>
  </si>
  <si>
    <t>Direct Assignment for Contracts</t>
  </si>
  <si>
    <t>CONTRACTS</t>
  </si>
  <si>
    <t>Demand</t>
  </si>
  <si>
    <t>Intangible Plant, Customer Expenses</t>
  </si>
  <si>
    <t>Average Customers</t>
  </si>
  <si>
    <t>CUST</t>
  </si>
  <si>
    <t>Other Rate Base</t>
  </si>
  <si>
    <t>Customer Deposit</t>
  </si>
  <si>
    <t>Cust_Deposit</t>
  </si>
  <si>
    <t>Customer Accounts</t>
  </si>
  <si>
    <t>CUSTACC</t>
  </si>
  <si>
    <t>Customers (excl. transport)</t>
  </si>
  <si>
    <t>CUSTXT</t>
  </si>
  <si>
    <t>Cust. Adv. in Aid of Construction (# cust)</t>
  </si>
  <si>
    <t>DIR_252</t>
  </si>
  <si>
    <t>Distr. Plant - Services</t>
  </si>
  <si>
    <t>DIR_380</t>
  </si>
  <si>
    <t>Distribution Expenses</t>
  </si>
  <si>
    <t>Distribution Maintenance Expenses Labor</t>
  </si>
  <si>
    <t>DIST_ML</t>
  </si>
  <si>
    <t>Distribution Operation Expenses Labor</t>
  </si>
  <si>
    <t>DIST_OL</t>
  </si>
  <si>
    <t>DISTPT</t>
  </si>
  <si>
    <t>Varous</t>
  </si>
  <si>
    <t>Mains &amp; Services</t>
  </si>
  <si>
    <t>DMAINS_SERV</t>
  </si>
  <si>
    <t>General Plant, Common Expenses</t>
  </si>
  <si>
    <t>General Plant</t>
  </si>
  <si>
    <t>GENPLT</t>
  </si>
  <si>
    <t>Production Plant, Natural Gas Storage &amp; Processing Plant, LNG Plant, Other Rate Base, Natural Gas Storage &amp; Processing Expenses</t>
  </si>
  <si>
    <t>Incremental Winter Sales Throughput</t>
  </si>
  <si>
    <t>INCR_WNTR</t>
  </si>
  <si>
    <t>INTGPLT</t>
  </si>
  <si>
    <t>Peak Day (excl. transport)</t>
  </si>
  <si>
    <t>LNGMAINS</t>
  </si>
  <si>
    <t>LNG Expenses</t>
  </si>
  <si>
    <t>LNG Plant</t>
  </si>
  <si>
    <t>LNGPLT</t>
  </si>
  <si>
    <t>Distribution Plant, Distribution Expenses</t>
  </si>
  <si>
    <t>Peak and Average for Mains</t>
  </si>
  <si>
    <t>MAINS</t>
  </si>
  <si>
    <t>Mains Plant</t>
  </si>
  <si>
    <t>MAINSPLT</t>
  </si>
  <si>
    <t>Meters &amp; House Regulators</t>
  </si>
  <si>
    <t>MRHREG</t>
  </si>
  <si>
    <t>Regulators - Acc 385</t>
  </si>
  <si>
    <t>MTRS_385</t>
  </si>
  <si>
    <t>Customer Meters - Acc 381</t>
  </si>
  <si>
    <t>MTRS_CUS</t>
  </si>
  <si>
    <t>Meters Installation - Acc 382</t>
  </si>
  <si>
    <t>MTRS_INST</t>
  </si>
  <si>
    <t>Other Rate Base, Common Expenses</t>
  </si>
  <si>
    <t>O&amp;M</t>
  </si>
  <si>
    <t>OM</t>
  </si>
  <si>
    <t>O&amp;M Labor</t>
  </si>
  <si>
    <t>OML</t>
  </si>
  <si>
    <t>Non-Firm Revenue</t>
  </si>
  <si>
    <t>Other Revenues</t>
  </si>
  <si>
    <t>OTHREV</t>
  </si>
  <si>
    <t>Intangible Plant, General Plant, Other Rate Base</t>
  </si>
  <si>
    <t>Total Plant w/o General Plant and Intangible Plant</t>
  </si>
  <si>
    <t>PLTxGN_INT</t>
  </si>
  <si>
    <t>Total Plant w/o Intangible Plant</t>
  </si>
  <si>
    <t>PLTxINT</t>
  </si>
  <si>
    <t>Production Plant</t>
  </si>
  <si>
    <t>PRODPT</t>
  </si>
  <si>
    <t>RATEBASE</t>
  </si>
  <si>
    <t>Residential Sales Revenue</t>
  </si>
  <si>
    <t>RES_REV</t>
  </si>
  <si>
    <t>All Plant, All Expenses</t>
  </si>
  <si>
    <t>Total Revenue Requirement w/ Gross-Up Items</t>
  </si>
  <si>
    <t>REVREQxGRSUP</t>
  </si>
  <si>
    <t>Services</t>
  </si>
  <si>
    <t>SERV</t>
  </si>
  <si>
    <t>Production Expenses, Natural Gas Storage &amp; Processing Expenses</t>
  </si>
  <si>
    <t>Storage Plant</t>
  </si>
  <si>
    <t>STORPT</t>
  </si>
  <si>
    <t>Sales Revenue, Common Expenses</t>
  </si>
  <si>
    <t>Sales &amp; Transportation Margin Revenue</t>
  </si>
  <si>
    <t>STREV</t>
  </si>
  <si>
    <t>Intangible Plant, Production Plant, Natural Gas Storage &amp; Processing Plant, Distribution Plant, General Plant, LNG Plant, Common Expenses</t>
  </si>
  <si>
    <t>Total Plant</t>
  </si>
  <si>
    <t>TOTPLT</t>
  </si>
  <si>
    <t>Transportation Revenue</t>
  </si>
  <si>
    <t>TRANSREV</t>
  </si>
  <si>
    <t xml:space="preserve">Uncollectibles </t>
  </si>
  <si>
    <t>UNCOLLECT</t>
  </si>
  <si>
    <t>Natural Gas Storage &amp; Processing Plant, Natural Gas Storage &amp; Processing Expenses</t>
  </si>
  <si>
    <t>Winter Throughput</t>
  </si>
  <si>
    <t>WNTR_COM</t>
  </si>
  <si>
    <t>COM</t>
  </si>
  <si>
    <t>Allocated</t>
  </si>
  <si>
    <t>Schedule 23</t>
  </si>
  <si>
    <t>Schedule 53</t>
  </si>
  <si>
    <t>Schedule 16</t>
  </si>
  <si>
    <t>Schedule 31 - Sales</t>
  </si>
  <si>
    <t>Schedule 41 - Sales</t>
  </si>
  <si>
    <t>Schedule 85 - Sales</t>
  </si>
  <si>
    <t>First 25,000 Therms</t>
  </si>
  <si>
    <t>Next 25,000 Therms</t>
  </si>
  <si>
    <t>Next 50,000 Therms</t>
  </si>
  <si>
    <t>Schedule 86 - Sales</t>
  </si>
  <si>
    <t>Schedule 87 - Sales</t>
  </si>
  <si>
    <t>Next 100,000 therms</t>
  </si>
  <si>
    <t>Next 300,000 therms</t>
  </si>
  <si>
    <t>All over 500,000 therms</t>
  </si>
  <si>
    <t>Sch. 141LNG Rates</t>
  </si>
  <si>
    <t>(e)</t>
  </si>
  <si>
    <t>Customer Class</t>
  </si>
  <si>
    <t>Rate Schedule</t>
  </si>
  <si>
    <t>Per therm</t>
  </si>
  <si>
    <t>Per Mantel</t>
  </si>
  <si>
    <t>Non-Exclusive Interruptible</t>
  </si>
  <si>
    <t>Summary of Rates</t>
  </si>
  <si>
    <t>Most Current Version as of:</t>
  </si>
  <si>
    <t>Therms</t>
  </si>
  <si>
    <t>Sch. 141LNG</t>
  </si>
  <si>
    <t>Change</t>
  </si>
  <si>
    <t>Rates</t>
  </si>
  <si>
    <t>Proposed Revenue Requirement</t>
  </si>
  <si>
    <t>Incremental</t>
  </si>
  <si>
    <t>Winter Sales</t>
  </si>
  <si>
    <t>First 900 therms</t>
  </si>
  <si>
    <t>Next 4,100 therms</t>
  </si>
  <si>
    <t>First 25,000 therms</t>
  </si>
  <si>
    <t>Next 25,000 therms</t>
  </si>
  <si>
    <t>Next 50,000 therms</t>
  </si>
  <si>
    <t>Over 500,000 therms</t>
  </si>
  <si>
    <t>% of Margin</t>
  </si>
  <si>
    <t>First 10,000 therms</t>
  </si>
  <si>
    <t>Over 10,000 therms</t>
  </si>
  <si>
    <t>Over 50,000 therms</t>
  </si>
  <si>
    <t>Over 5,000 therms</t>
  </si>
  <si>
    <t>(f)</t>
  </si>
  <si>
    <t>(g)</t>
  </si>
  <si>
    <t>Calculation of Schedule 141LNG Rates</t>
  </si>
  <si>
    <t>Allocation of Revenue Requirement</t>
  </si>
  <si>
    <t>Schedule 41 - Large Volume</t>
  </si>
  <si>
    <t>Schedule 85 - Interruptible</t>
  </si>
  <si>
    <t>Schedule 86 - Limited Interruptible</t>
  </si>
  <si>
    <t>Schedule 87 - Non-Exclusive Interruptible</t>
  </si>
  <si>
    <t>Base Rate</t>
  </si>
  <si>
    <t>Basic Charge</t>
  </si>
  <si>
    <t>Delivery Charge</t>
  </si>
  <si>
    <t>Procurement Charge</t>
  </si>
  <si>
    <t>Total Delivery Charges</t>
  </si>
  <si>
    <t>Total Base Revenues</t>
  </si>
  <si>
    <t>Minimum Bill</t>
  </si>
  <si>
    <t>Demand Charge</t>
  </si>
  <si>
    <t>Delivery Charge:</t>
  </si>
  <si>
    <t>All over 5,000 therms</t>
  </si>
  <si>
    <t>Minimum Bills</t>
  </si>
  <si>
    <t>All over 50,000 Therms</t>
  </si>
  <si>
    <t>First 1,000 therms</t>
  </si>
  <si>
    <t>All over 1,000 therms</t>
  </si>
  <si>
    <t>Sch. 16</t>
  </si>
  <si>
    <t>Mantle</t>
  </si>
  <si>
    <t>(e) = (c) / (d)</t>
  </si>
  <si>
    <t>(f) = (e) * 19</t>
  </si>
  <si>
    <t>Allocation of Revenue Requirement to Rate Blocks</t>
  </si>
  <si>
    <t>2025 Gas Schedule 141LNG LNG Tracker Filing</t>
  </si>
  <si>
    <t>Proposed Rates Effective November 1, 2025</t>
  </si>
  <si>
    <t>P</t>
  </si>
  <si>
    <t>Exclusive Interruptible (88T)</t>
  </si>
  <si>
    <t>Peak Day (Design Day)</t>
  </si>
  <si>
    <t>PDAY</t>
  </si>
  <si>
    <t>Decarbonization Rider Allocator</t>
  </si>
  <si>
    <t>50% Margin Revenue / 50% Customer</t>
  </si>
  <si>
    <t>DECARB_ALLOC</t>
  </si>
  <si>
    <t>Distribution and General Plant</t>
  </si>
  <si>
    <t>Direct Assignment for Sch. 88T</t>
  </si>
  <si>
    <t>DIR_SCH_88T</t>
  </si>
  <si>
    <t>Mains Plant (Excl. Schedule 88T)</t>
  </si>
  <si>
    <t>MAINSPLTx88T</t>
  </si>
  <si>
    <t>Total Plant (Excl. Schedule 88T)</t>
  </si>
  <si>
    <t>TOTPLTx88T</t>
  </si>
  <si>
    <t>Distribution Plant (Excl. Schedule 88T)</t>
  </si>
  <si>
    <t>DISTPTx88T</t>
  </si>
  <si>
    <t>General Plant (Excl. Schedule 88T)</t>
  </si>
  <si>
    <t>GENPLTx88T</t>
  </si>
  <si>
    <t>January 2024</t>
  </si>
  <si>
    <t>Base Rate Design</t>
  </si>
  <si>
    <t>Bill Determinants</t>
  </si>
  <si>
    <t>Revenues (Current Rates)</t>
  </si>
  <si>
    <t>Revenues (Proposed Rates)</t>
  </si>
  <si>
    <t>Targets</t>
  </si>
  <si>
    <t>Line No</t>
  </si>
  <si>
    <t>Tariff</t>
  </si>
  <si>
    <t xml:space="preserve"> Class Components</t>
  </si>
  <si>
    <t>Test Year</t>
  </si>
  <si>
    <t>RY1 (2025)</t>
  </si>
  <si>
    <t>RY2 (2026)</t>
  </si>
  <si>
    <t>(h)</t>
  </si>
  <si>
    <t>(i)</t>
  </si>
  <si>
    <t>(j)</t>
  </si>
  <si>
    <t>(k)</t>
  </si>
  <si>
    <t>(l)</t>
  </si>
  <si>
    <t>(m)</t>
  </si>
  <si>
    <t>(n)</t>
  </si>
  <si>
    <t>(o)</t>
  </si>
  <si>
    <t>Total Sch. 16/23/53 Revenue</t>
  </si>
  <si>
    <t>Revenue Target</t>
  </si>
  <si>
    <t>31T</t>
  </si>
  <si>
    <t>Total Sch. 31/31T Revenue</t>
  </si>
  <si>
    <t>In Minimum Bills</t>
  </si>
  <si>
    <t>41T</t>
  </si>
  <si>
    <t>Total Sch. 41/41T Revenue</t>
  </si>
  <si>
    <t>85T</t>
  </si>
  <si>
    <t>Total Sch. 85/85T Revenue</t>
  </si>
  <si>
    <t>86T</t>
  </si>
  <si>
    <t>Total Sch. 86/86T Revenue</t>
  </si>
  <si>
    <t>PSE Rebuttal Rates</t>
  </si>
  <si>
    <t>87T</t>
  </si>
  <si>
    <t>Reb. Dem. &amp; Del $</t>
  </si>
  <si>
    <t>Comp. Dem. &amp; Del $</t>
  </si>
  <si>
    <t>% Adj. Factor</t>
  </si>
  <si>
    <t>PSE Rebuttal Filing Revenue Target Increase:</t>
  </si>
  <si>
    <t>Total Sch. 87/87T Revenue</t>
  </si>
  <si>
    <t>% Change in Revenue Target Increase:</t>
  </si>
  <si>
    <t>88T</t>
  </si>
  <si>
    <t>Total Sch. 88T Revenue</t>
  </si>
  <si>
    <t>Total Revenues</t>
  </si>
  <si>
    <t>Total Bills</t>
  </si>
  <si>
    <t>Total Demand</t>
  </si>
  <si>
    <t>Total Therms</t>
  </si>
  <si>
    <t>% of Total</t>
  </si>
  <si>
    <t>Forecasted</t>
  </si>
  <si>
    <t>Forecasted Therm Volumes</t>
  </si>
  <si>
    <t>Rate</t>
  </si>
  <si>
    <t>Schedule</t>
  </si>
  <si>
    <t xml:space="preserve">Source: F2025 Load Forecast Calendar Month Therms (6-17-2025)  </t>
  </si>
  <si>
    <t>Oct. 2026</t>
  </si>
  <si>
    <t>(1)</t>
  </si>
  <si>
    <r>
      <t xml:space="preserve">Allocator </t>
    </r>
    <r>
      <rPr>
        <b/>
        <vertAlign val="superscript"/>
        <sz val="10"/>
        <color theme="1"/>
        <rFont val="Arial"/>
        <family val="2"/>
      </rPr>
      <t>(1)</t>
    </r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</si>
  <si>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Incremental Winter Sales allocator from most recent approved cost of service study (UG-240005).</t>
    </r>
  </si>
  <si>
    <t>Nov. 2025 -</t>
  </si>
  <si>
    <r>
      <t xml:space="preserve">Therms </t>
    </r>
    <r>
      <rPr>
        <b/>
        <vertAlign val="superscript"/>
        <sz val="10"/>
        <rFont val="Arial"/>
        <family val="2"/>
      </rPr>
      <t>(1)</t>
    </r>
  </si>
  <si>
    <t>Therms for the 12 months ending December 2025 from 2024 General Rate Case (Docket UG-240005).</t>
  </si>
  <si>
    <t>Base rates effective January 29, 2025 from 2024 General Rate Case (Docket UG-240005)</t>
  </si>
  <si>
    <r>
      <t xml:space="preserve">Base Rates </t>
    </r>
    <r>
      <rPr>
        <b/>
        <vertAlign val="superscript"/>
        <sz val="10"/>
        <rFont val="Arial"/>
        <family val="2"/>
      </rPr>
      <t>(2)</t>
    </r>
  </si>
  <si>
    <t>(2)</t>
  </si>
  <si>
    <t>Key</t>
  </si>
  <si>
    <t>Input</t>
  </si>
  <si>
    <t>Link</t>
  </si>
  <si>
    <t xml:space="preserve">Formulas </t>
  </si>
  <si>
    <t>Formulas (not used)</t>
  </si>
  <si>
    <t>2024 Gas General Rate Case (Dockets UE-240004 &amp; UG-240005)</t>
  </si>
  <si>
    <t>Gas Rate Spread &amp; Design</t>
  </si>
  <si>
    <t>2025 Gas Schedule 141LNG Liquefied Natural Gas Rate Adjustment</t>
  </si>
  <si>
    <t>Rate Change Impacts by Rate Schedule</t>
  </si>
  <si>
    <t>12ME Oct. 2026</t>
  </si>
  <si>
    <t>UG-240005</t>
  </si>
  <si>
    <t>Base Sch.</t>
  </si>
  <si>
    <t>Total Forecasted</t>
  </si>
  <si>
    <t>Volume</t>
  </si>
  <si>
    <t>Base Schedule</t>
  </si>
  <si>
    <t>Sch. 101</t>
  </si>
  <si>
    <t>Sch. 106</t>
  </si>
  <si>
    <t>Sch. 111</t>
  </si>
  <si>
    <t>Sch. 120</t>
  </si>
  <si>
    <t>Sch. 129</t>
  </si>
  <si>
    <t>Sch. 129D</t>
  </si>
  <si>
    <t>Sch. 140</t>
  </si>
  <si>
    <t>Sch. 141D</t>
  </si>
  <si>
    <t>Sch. 141R</t>
  </si>
  <si>
    <t>Sch. 141TEX</t>
  </si>
  <si>
    <t>Sch. 142</t>
  </si>
  <si>
    <t xml:space="preserve">Revenue at </t>
  </si>
  <si>
    <t>Percent</t>
  </si>
  <si>
    <r>
      <t>(Therms)</t>
    </r>
    <r>
      <rPr>
        <vertAlign val="superscript"/>
        <sz val="11"/>
        <color theme="1"/>
        <rFont val="Calibri"/>
        <family val="2"/>
      </rPr>
      <t xml:space="preserve"> (1)</t>
    </r>
  </si>
  <si>
    <r>
      <t>Revenue</t>
    </r>
    <r>
      <rPr>
        <vertAlign val="superscript"/>
        <sz val="11"/>
        <color theme="1"/>
        <rFont val="Calibri"/>
        <family val="2"/>
      </rPr>
      <t xml:space="preserve"> (1)</t>
    </r>
  </si>
  <si>
    <t>$/Therm</t>
  </si>
  <si>
    <r>
      <t>Current Rates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</si>
  <si>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t>Proposed Rates</t>
  </si>
  <si>
    <t>E=D/C</t>
  </si>
  <si>
    <t xml:space="preserve">F </t>
  </si>
  <si>
    <t xml:space="preserve">G=E*F </t>
  </si>
  <si>
    <t>Q</t>
  </si>
  <si>
    <t>R</t>
  </si>
  <si>
    <t>S</t>
  </si>
  <si>
    <t>T=sum(G:S)</t>
  </si>
  <si>
    <t>U</t>
  </si>
  <si>
    <t>V=T+U</t>
  </si>
  <si>
    <t>W=U/T</t>
  </si>
  <si>
    <t>23,53</t>
  </si>
  <si>
    <t>Residential Gas Lights</t>
  </si>
  <si>
    <t>Commercial &amp; Industrial Transportation</t>
  </si>
  <si>
    <t>Large Volume Transportation</t>
  </si>
  <si>
    <t>Interruptible Transportation</t>
  </si>
  <si>
    <t>Limited Interruptible Transportation</t>
  </si>
  <si>
    <t>Non-exclusive Interruptible Transportation</t>
  </si>
  <si>
    <t>Exclusive Interruptible Transportation</t>
  </si>
  <si>
    <t>By Customer Class:</t>
  </si>
  <si>
    <t>16,23,53</t>
  </si>
  <si>
    <t>Commercial &amp; industrial</t>
  </si>
  <si>
    <t>31,31T</t>
  </si>
  <si>
    <t>Large volume</t>
  </si>
  <si>
    <t>41,41T</t>
  </si>
  <si>
    <t>85,85T</t>
  </si>
  <si>
    <t>Limited interruptible</t>
  </si>
  <si>
    <t>86,86T</t>
  </si>
  <si>
    <t>Non-exclusive interruptible</t>
  </si>
  <si>
    <t>87,87T</t>
  </si>
  <si>
    <t>Exclusive interruptible</t>
  </si>
  <si>
    <r>
      <rPr>
        <vertAlign val="superscript"/>
        <sz val="11"/>
        <color theme="1"/>
        <rFont val="Calibri"/>
        <family val="2"/>
      </rPr>
      <t xml:space="preserve">(1) </t>
    </r>
    <r>
      <rPr>
        <sz val="11"/>
        <color theme="1"/>
        <rFont val="Calibri"/>
        <family val="2"/>
      </rPr>
      <t>Forecasted</t>
    </r>
    <r>
      <rPr>
        <sz val="11"/>
        <color theme="1"/>
        <rFont val="Calibri"/>
        <family val="2"/>
        <scheme val="minor"/>
      </rPr>
      <t xml:space="preserve"> volume and base schedule revenue for the 12 months ending January 28, 2026 from the UG-240005 GRC compliance filing.</t>
    </r>
  </si>
  <si>
    <r>
      <rPr>
        <vertAlign val="superscript"/>
        <sz val="11"/>
        <color theme="1"/>
        <rFont val="Calibri"/>
        <family val="2"/>
      </rPr>
      <t xml:space="preserve">(2) </t>
    </r>
    <r>
      <rPr>
        <sz val="11"/>
        <color theme="1"/>
        <rFont val="Calibri"/>
        <family val="2"/>
        <scheme val="minor"/>
      </rPr>
      <t>Forecasted revenues at current rates effective May 1, 2025.</t>
    </r>
  </si>
  <si>
    <t>Typical Residential Bill Impacts</t>
  </si>
  <si>
    <t>Schedule 141LNG</t>
  </si>
  <si>
    <t>Current Rates</t>
  </si>
  <si>
    <t>Rate Change</t>
  </si>
  <si>
    <r>
      <t>Rates</t>
    </r>
    <r>
      <rPr>
        <vertAlign val="superscript"/>
        <sz val="11"/>
        <rFont val="Calibri"/>
        <family val="2"/>
        <scheme val="minor"/>
      </rPr>
      <t xml:space="preserve"> (1)</t>
    </r>
  </si>
  <si>
    <t>Charges</t>
  </si>
  <si>
    <t>Volume (therms)</t>
  </si>
  <si>
    <t>Customer charge ($/month)</t>
  </si>
  <si>
    <t>Basic charge (Sch. 23)</t>
  </si>
  <si>
    <t>Subtotal</t>
  </si>
  <si>
    <t>Cap &amp; Invest Non-Vol Credit (Sch. 111)</t>
  </si>
  <si>
    <t>Volumetric charges ($/therm)</t>
  </si>
  <si>
    <t>Delivery charge (Sch. 23)</t>
  </si>
  <si>
    <t>Conservation charge (Sch. 120)</t>
  </si>
  <si>
    <t>Low Income charge (Sch. 129)</t>
  </si>
  <si>
    <t>Low Income Discount charge (Sch. 129D)</t>
  </si>
  <si>
    <t>Property Tax charge (Sch. 140)</t>
  </si>
  <si>
    <t>Dist. Pipeline Provisional (Sch. 141D)</t>
  </si>
  <si>
    <t>LNG charge (Sch. 141LNG)</t>
  </si>
  <si>
    <t>Rates Subject to Refund (Sch. 141R)</t>
  </si>
  <si>
    <t>Targeted Exception (Sch. 141TEX)</t>
  </si>
  <si>
    <t>Decoupling charge (Sch. 142)</t>
  </si>
  <si>
    <t>Cap &amp; Invest charge (Sch. 111)</t>
  </si>
  <si>
    <t>Gas cost charge (Sch. 101)</t>
  </si>
  <si>
    <t>Gas cost amort. charge (Sch. 106)</t>
  </si>
  <si>
    <t>Total volumetric charges</t>
  </si>
  <si>
    <t>Total monthly bill</t>
  </si>
  <si>
    <t>Change from bill under current rates</t>
  </si>
  <si>
    <t>Percent change from bill under current rates</t>
  </si>
  <si>
    <t>Total volumetric rates less gas costs</t>
  </si>
  <si>
    <r>
      <rPr>
        <vertAlign val="superscript"/>
        <sz val="11"/>
        <rFont val="Calibri"/>
        <family val="2"/>
        <scheme val="minor"/>
      </rPr>
      <t xml:space="preserve">(1) </t>
    </r>
    <r>
      <rPr>
        <sz val="11"/>
        <rFont val="Calibri"/>
        <family val="2"/>
        <scheme val="minor"/>
      </rPr>
      <t>Rates for Schedule 23 customers in effect May 1, 2025.</t>
    </r>
  </si>
  <si>
    <t>Gas Schedule 141LNG</t>
  </si>
  <si>
    <t>LNG Tracker</t>
  </si>
  <si>
    <t>Current</t>
  </si>
  <si>
    <t>Sched 141LNG</t>
  </si>
  <si>
    <t>Volume (Therms)</t>
  </si>
  <si>
    <t>LNG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</si>
</sst>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0000_);_(&quot;$&quot;* \(#,##0.00000\);_(&quot;$&quot;* &quot;-&quot;?????_);_(@_)"/>
    <numFmt numFmtId="169" formatCode="0.000%"/>
    <numFmt numFmtId="170" formatCode="&quot;$&quot;#,##0"/>
    <numFmt numFmtId="171" formatCode="0.0000%"/>
    <numFmt numFmtId="172" formatCode="_(&quot;$&quot;* #,##0.000000_);_(&quot;$&quot;* \(#,##0.000000\);_(&quot;$&quot;* &quot;-&quot;??_);_(@_)"/>
    <numFmt numFmtId="173" formatCode="0.00000000"/>
    <numFmt numFmtId="174" formatCode="&quot;$&quot;#,##0.00"/>
    <numFmt numFmtId="175" formatCode="&quot;$&quot;#,##0.0000"/>
    <numFmt numFmtId="176" formatCode="&quot;$&quot;#,##0.000000"/>
    <numFmt numFmtId="177" formatCode="0.000000000000000%"/>
    <numFmt numFmtId="178" formatCode="m/d/yy;@"/>
    <numFmt numFmtId="179" formatCode="_(&quot;$&quot;* #,##0.00_);_(&quot;$&quot;* \(#,##0.00\);_(&quot;$&quot;* &quot;-&quot;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8080"/>
      <name val="Arial"/>
      <family val="2"/>
    </font>
    <font>
      <sz val="10"/>
      <color rgb="FF0000FF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scheme val="minor"/>
    </font>
    <font>
      <b/>
      <sz val="10"/>
      <color rgb="FF0033CC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sz val="10"/>
      <color rgb="FF0033CC"/>
      <name val="Arial"/>
      <family val="2"/>
    </font>
    <font>
      <sz val="10"/>
      <color theme="0" tint="-0.499984740745262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8080"/>
      <name val="Calibri"/>
      <family val="2"/>
      <scheme val="minor"/>
    </font>
    <font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49" fontId="3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37" fontId="2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43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0" xfId="0" applyFont="1"/>
    <xf numFmtId="0" fontId="4" fillId="0" borderId="0" xfId="0" quotePrefix="1" applyFont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/>
    <xf numFmtId="0" fontId="4" fillId="0" borderId="8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168" fontId="4" fillId="0" borderId="0" xfId="0" applyNumberFormat="1" applyFont="1"/>
    <xf numFmtId="167" fontId="4" fillId="0" borderId="0" xfId="0" applyNumberFormat="1" applyFont="1"/>
    <xf numFmtId="167" fontId="4" fillId="0" borderId="2" xfId="0" applyNumberFormat="1" applyFont="1" applyBorder="1"/>
    <xf numFmtId="3" fontId="6" fillId="0" borderId="2" xfId="0" applyNumberFormat="1" applyFont="1" applyBorder="1"/>
    <xf numFmtId="167" fontId="10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/>
    <xf numFmtId="168" fontId="11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3" fontId="10" fillId="0" borderId="0" xfId="0" applyNumberFormat="1" applyFont="1"/>
    <xf numFmtId="0" fontId="4" fillId="0" borderId="2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6" fillId="0" borderId="0" xfId="0" applyNumberFormat="1" applyFont="1"/>
    <xf numFmtId="10" fontId="6" fillId="0" borderId="2" xfId="0" applyNumberFormat="1" applyFont="1" applyBorder="1" applyAlignment="1">
      <alignment horizontal="center"/>
    </xf>
    <xf numFmtId="167" fontId="6" fillId="0" borderId="2" xfId="0" applyNumberFormat="1" applyFont="1" applyBorder="1"/>
    <xf numFmtId="10" fontId="10" fillId="0" borderId="0" xfId="0" applyNumberFormat="1" applyFont="1" applyAlignment="1">
      <alignment horizontal="center"/>
    </xf>
    <xf numFmtId="0" fontId="4" fillId="0" borderId="3" xfId="0" applyFont="1" applyBorder="1"/>
    <xf numFmtId="0" fontId="4" fillId="0" borderId="0" xfId="0" applyFont="1" applyProtection="1">
      <protection locked="0"/>
    </xf>
    <xf numFmtId="166" fontId="4" fillId="0" borderId="0" xfId="0" applyNumberFormat="1" applyFont="1"/>
    <xf numFmtId="168" fontId="10" fillId="0" borderId="0" xfId="0" applyNumberFormat="1" applyFont="1"/>
    <xf numFmtId="165" fontId="6" fillId="0" borderId="0" xfId="0" applyNumberFormat="1" applyFont="1"/>
    <xf numFmtId="44" fontId="6" fillId="0" borderId="0" xfId="0" applyNumberFormat="1" applyFont="1"/>
    <xf numFmtId="3" fontId="10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10" fontId="15" fillId="0" borderId="0" xfId="0" applyNumberFormat="1" applyFont="1"/>
    <xf numFmtId="43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9" fillId="0" borderId="1" xfId="0" applyFont="1" applyBorder="1" applyAlignment="1">
      <alignment horizontal="center" wrapText="1"/>
    </xf>
    <xf numFmtId="17" fontId="5" fillId="0" borderId="1" xfId="0" quotePrefix="1" applyNumberFormat="1" applyFont="1" applyBorder="1" applyAlignment="1">
      <alignment horizontal="center" wrapText="1"/>
    </xf>
    <xf numFmtId="17" fontId="5" fillId="0" borderId="0" xfId="0" quotePrefix="1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7" fontId="4" fillId="0" borderId="0" xfId="0" quotePrefix="1" applyNumberFormat="1" applyFont="1" applyAlignment="1">
      <alignment horizontal="center" wrapText="1"/>
    </xf>
    <xf numFmtId="8" fontId="10" fillId="0" borderId="0" xfId="0" applyNumberFormat="1" applyFont="1"/>
    <xf numFmtId="44" fontId="4" fillId="0" borderId="0" xfId="0" applyNumberFormat="1" applyFont="1"/>
    <xf numFmtId="10" fontId="11" fillId="0" borderId="0" xfId="0" applyNumberFormat="1" applyFont="1"/>
    <xf numFmtId="165" fontId="10" fillId="0" borderId="0" xfId="0" applyNumberFormat="1" applyFont="1"/>
    <xf numFmtId="165" fontId="4" fillId="0" borderId="0" xfId="0" applyNumberFormat="1" applyFont="1"/>
    <xf numFmtId="10" fontId="6" fillId="0" borderId="0" xfId="0" applyNumberFormat="1" applyFont="1"/>
    <xf numFmtId="166" fontId="10" fillId="0" borderId="0" xfId="0" applyNumberFormat="1" applyFont="1"/>
    <xf numFmtId="0" fontId="10" fillId="0" borderId="0" xfId="0" applyFont="1"/>
    <xf numFmtId="3" fontId="6" fillId="0" borderId="0" xfId="0" applyNumberFormat="1" applyFont="1"/>
    <xf numFmtId="44" fontId="10" fillId="0" borderId="0" xfId="0" applyNumberFormat="1" applyFont="1"/>
    <xf numFmtId="172" fontId="10" fillId="0" borderId="0" xfId="0" applyNumberFormat="1" applyFont="1"/>
    <xf numFmtId="172" fontId="4" fillId="0" borderId="0" xfId="0" applyNumberFormat="1" applyFont="1"/>
    <xf numFmtId="9" fontId="6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166" fontId="14" fillId="0" borderId="0" xfId="0" applyNumberFormat="1" applyFont="1"/>
    <xf numFmtId="10" fontId="14" fillId="0" borderId="0" xfId="0" applyNumberFormat="1" applyFont="1"/>
    <xf numFmtId="171" fontId="14" fillId="0" borderId="0" xfId="0" applyNumberFormat="1" applyFont="1"/>
    <xf numFmtId="167" fontId="14" fillId="0" borderId="0" xfId="0" applyNumberFormat="1" applyFont="1"/>
    <xf numFmtId="171" fontId="10" fillId="0" borderId="0" xfId="0" applyNumberFormat="1" applyFont="1"/>
    <xf numFmtId="171" fontId="4" fillId="0" borderId="0" xfId="0" applyNumberFormat="1" applyFont="1"/>
    <xf numFmtId="167" fontId="4" fillId="0" borderId="0" xfId="0" applyNumberFormat="1" applyFont="1" applyAlignment="1">
      <alignment horizontal="centerContinuous"/>
    </xf>
    <xf numFmtId="166" fontId="6" fillId="0" borderId="2" xfId="0" applyNumberFormat="1" applyFont="1" applyBorder="1"/>
    <xf numFmtId="44" fontId="14" fillId="0" borderId="0" xfId="0" applyNumberFormat="1" applyFont="1"/>
    <xf numFmtId="0" fontId="6" fillId="0" borderId="13" xfId="0" applyFont="1" applyBorder="1"/>
    <xf numFmtId="0" fontId="6" fillId="0" borderId="14" xfId="0" applyFont="1" applyBorder="1"/>
    <xf numFmtId="173" fontId="6" fillId="0" borderId="13" xfId="0" applyNumberFormat="1" applyFont="1" applyBorder="1"/>
    <xf numFmtId="44" fontId="4" fillId="2" borderId="0" xfId="0" applyNumberFormat="1" applyFont="1" applyFill="1"/>
    <xf numFmtId="10" fontId="11" fillId="2" borderId="0" xfId="0" applyNumberFormat="1" applyFont="1" applyFill="1"/>
    <xf numFmtId="164" fontId="11" fillId="2" borderId="0" xfId="0" applyNumberFormat="1" applyFont="1" applyFill="1"/>
    <xf numFmtId="174" fontId="6" fillId="0" borderId="13" xfId="0" applyNumberFormat="1" applyFont="1" applyBorder="1"/>
    <xf numFmtId="174" fontId="6" fillId="0" borderId="14" xfId="0" applyNumberFormat="1" applyFont="1" applyBorder="1"/>
    <xf numFmtId="169" fontId="6" fillId="0" borderId="0" xfId="0" applyNumberFormat="1" applyFont="1"/>
    <xf numFmtId="175" fontId="6" fillId="0" borderId="13" xfId="0" applyNumberFormat="1" applyFont="1" applyBorder="1"/>
    <xf numFmtId="175" fontId="6" fillId="0" borderId="14" xfId="0" applyNumberFormat="1" applyFont="1" applyBorder="1"/>
    <xf numFmtId="165" fontId="4" fillId="2" borderId="0" xfId="0" applyNumberFormat="1" applyFont="1" applyFill="1"/>
    <xf numFmtId="176" fontId="6" fillId="0" borderId="13" xfId="0" applyNumberFormat="1" applyFont="1" applyBorder="1"/>
    <xf numFmtId="176" fontId="6" fillId="0" borderId="14" xfId="0" applyNumberFormat="1" applyFont="1" applyBorder="1"/>
    <xf numFmtId="173" fontId="6" fillId="0" borderId="0" xfId="0" applyNumberFormat="1" applyFont="1"/>
    <xf numFmtId="166" fontId="6" fillId="0" borderId="0" xfId="0" applyNumberFormat="1" applyFont="1"/>
    <xf numFmtId="42" fontId="10" fillId="0" borderId="0" xfId="0" applyNumberFormat="1" applyFont="1"/>
    <xf numFmtId="176" fontId="6" fillId="0" borderId="11" xfId="0" applyNumberFormat="1" applyFont="1" applyBorder="1"/>
    <xf numFmtId="176" fontId="6" fillId="0" borderId="12" xfId="0" applyNumberFormat="1" applyFont="1" applyBorder="1"/>
    <xf numFmtId="0" fontId="6" fillId="0" borderId="10" xfId="0" applyFont="1" applyBorder="1"/>
    <xf numFmtId="170" fontId="6" fillId="0" borderId="2" xfId="0" applyNumberFormat="1" applyFont="1" applyBorder="1"/>
    <xf numFmtId="170" fontId="6" fillId="0" borderId="15" xfId="0" applyNumberFormat="1" applyFont="1" applyBorder="1"/>
    <xf numFmtId="170" fontId="6" fillId="0" borderId="0" xfId="0" applyNumberFormat="1" applyFont="1"/>
    <xf numFmtId="170" fontId="6" fillId="0" borderId="14" xfId="0" applyNumberFormat="1" applyFont="1" applyBorder="1"/>
    <xf numFmtId="177" fontId="6" fillId="0" borderId="0" xfId="0" applyNumberFormat="1" applyFont="1"/>
    <xf numFmtId="0" fontId="6" fillId="0" borderId="11" xfId="0" applyFont="1" applyBorder="1"/>
    <xf numFmtId="10" fontId="6" fillId="0" borderId="1" xfId="0" applyNumberFormat="1" applyFont="1" applyBorder="1"/>
    <xf numFmtId="0" fontId="9" fillId="2" borderId="0" xfId="0" applyFont="1" applyFill="1"/>
    <xf numFmtId="0" fontId="6" fillId="2" borderId="0" xfId="0" applyFont="1" applyFill="1"/>
    <xf numFmtId="167" fontId="6" fillId="2" borderId="0" xfId="0" applyNumberFormat="1" applyFont="1" applyFill="1"/>
    <xf numFmtId="167" fontId="11" fillId="2" borderId="0" xfId="0" applyNumberFormat="1" applyFont="1" applyFill="1"/>
    <xf numFmtId="0" fontId="14" fillId="2" borderId="0" xfId="0" applyFont="1" applyFill="1"/>
    <xf numFmtId="164" fontId="9" fillId="2" borderId="0" xfId="0" applyNumberFormat="1" applyFont="1" applyFill="1"/>
    <xf numFmtId="164" fontId="6" fillId="2" borderId="0" xfId="0" applyNumberFormat="1" applyFont="1" applyFill="1"/>
    <xf numFmtId="42" fontId="6" fillId="0" borderId="0" xfId="0" applyNumberFormat="1" applyFont="1"/>
    <xf numFmtId="0" fontId="6" fillId="0" borderId="3" xfId="0" applyFont="1" applyBorder="1"/>
    <xf numFmtId="167" fontId="6" fillId="0" borderId="3" xfId="0" applyNumberFormat="1" applyFont="1" applyBorder="1"/>
    <xf numFmtId="43" fontId="14" fillId="0" borderId="0" xfId="0" applyNumberFormat="1" applyFont="1"/>
    <xf numFmtId="9" fontId="4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2" xfId="0" applyNumberFormat="1" applyFont="1" applyBorder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6" fillId="0" borderId="1" xfId="0" applyFont="1" applyBorder="1"/>
    <xf numFmtId="17" fontId="4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11" fillId="0" borderId="0" xfId="0" applyNumberFormat="1" applyFont="1"/>
    <xf numFmtId="0" fontId="6" fillId="0" borderId="1" xfId="0" applyFont="1" applyBorder="1" applyAlignment="1">
      <alignment horizontal="left"/>
    </xf>
    <xf numFmtId="17" fontId="6" fillId="0" borderId="0" xfId="0" applyNumberFormat="1" applyFont="1"/>
    <xf numFmtId="3" fontId="10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18" fillId="0" borderId="0" xfId="0" quotePrefix="1" applyFont="1" applyAlignment="1">
      <alignment horizontal="center"/>
    </xf>
    <xf numFmtId="0" fontId="6" fillId="0" borderId="2" xfId="0" applyFont="1" applyBorder="1" applyAlignment="1">
      <alignment horizontal="center"/>
    </xf>
    <xf numFmtId="167" fontId="11" fillId="0" borderId="0" xfId="0" applyNumberFormat="1" applyFont="1"/>
    <xf numFmtId="165" fontId="10" fillId="0" borderId="9" xfId="0" applyNumberFormat="1" applyFont="1" applyBorder="1"/>
    <xf numFmtId="44" fontId="10" fillId="0" borderId="9" xfId="0" applyNumberFormat="1" applyFont="1" applyBorder="1"/>
    <xf numFmtId="0" fontId="10" fillId="0" borderId="9" xfId="0" applyFont="1" applyBorder="1"/>
    <xf numFmtId="165" fontId="10" fillId="0" borderId="8" xfId="0" applyNumberFormat="1" applyFont="1" applyBorder="1"/>
    <xf numFmtId="178" fontId="4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5" fillId="0" borderId="1" xfId="0" quotePrefix="1" applyFont="1" applyBorder="1" applyAlignment="1">
      <alignment horizontal="center"/>
    </xf>
    <xf numFmtId="3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3" fontId="28" fillId="0" borderId="0" xfId="0" applyNumberFormat="1" applyFont="1"/>
    <xf numFmtId="42" fontId="28" fillId="0" borderId="0" xfId="0" applyNumberFormat="1" applyFont="1"/>
    <xf numFmtId="165" fontId="0" fillId="0" borderId="0" xfId="0" applyNumberFormat="1"/>
    <xf numFmtId="42" fontId="0" fillId="0" borderId="0" xfId="0" applyNumberFormat="1"/>
    <xf numFmtId="42" fontId="24" fillId="0" borderId="0" xfId="0" applyNumberFormat="1" applyFont="1"/>
    <xf numFmtId="10" fontId="0" fillId="0" borderId="0" xfId="0" applyNumberFormat="1"/>
    <xf numFmtId="42" fontId="25" fillId="0" borderId="0" xfId="0" applyNumberFormat="1" applyFont="1"/>
    <xf numFmtId="165" fontId="0" fillId="0" borderId="1" xfId="0" applyNumberFormat="1" applyBorder="1"/>
    <xf numFmtId="3" fontId="0" fillId="0" borderId="2" xfId="0" applyNumberFormat="1" applyBorder="1"/>
    <xf numFmtId="42" fontId="0" fillId="0" borderId="2" xfId="0" applyNumberFormat="1" applyBorder="1"/>
    <xf numFmtId="42" fontId="24" fillId="0" borderId="2" xfId="0" applyNumberFormat="1" applyFont="1" applyBorder="1"/>
    <xf numFmtId="10" fontId="0" fillId="0" borderId="2" xfId="0" applyNumberFormat="1" applyBorder="1"/>
    <xf numFmtId="3" fontId="0" fillId="0" borderId="0" xfId="0" applyNumberForma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3" fontId="31" fillId="0" borderId="0" xfId="0" applyNumberFormat="1" applyFont="1"/>
    <xf numFmtId="42" fontId="31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6" fontId="31" fillId="0" borderId="0" xfId="0" applyNumberFormat="1" applyFont="1"/>
    <xf numFmtId="167" fontId="31" fillId="0" borderId="0" xfId="0" applyNumberFormat="1" applyFont="1"/>
    <xf numFmtId="166" fontId="31" fillId="0" borderId="2" xfId="0" applyNumberFormat="1" applyFont="1" applyBorder="1"/>
    <xf numFmtId="167" fontId="31" fillId="0" borderId="2" xfId="0" applyNumberFormat="1" applyFont="1" applyBorder="1"/>
    <xf numFmtId="165" fontId="0" fillId="0" borderId="2" xfId="0" applyNumberFormat="1" applyBorder="1"/>
    <xf numFmtId="44" fontId="31" fillId="0" borderId="0" xfId="0" applyNumberFormat="1" applyFont="1"/>
    <xf numFmtId="0" fontId="22" fillId="0" borderId="0" xfId="0" applyFont="1"/>
    <xf numFmtId="166" fontId="22" fillId="0" borderId="0" xfId="0" applyNumberFormat="1" applyFont="1"/>
    <xf numFmtId="0" fontId="24" fillId="0" borderId="0" xfId="0" applyFont="1"/>
    <xf numFmtId="0" fontId="24" fillId="0" borderId="1" xfId="0" applyFont="1" applyBorder="1" applyAlignment="1">
      <alignment horizontal="centerContinuous"/>
    </xf>
    <xf numFmtId="0" fontId="24" fillId="0" borderId="0" xfId="0" applyFont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/>
    <xf numFmtId="179" fontId="24" fillId="0" borderId="0" xfId="0" applyNumberFormat="1" applyFont="1"/>
    <xf numFmtId="44" fontId="33" fillId="0" borderId="0" xfId="0" applyNumberFormat="1" applyFont="1"/>
    <xf numFmtId="44" fontId="24" fillId="0" borderId="0" xfId="0" applyNumberFormat="1" applyFont="1"/>
    <xf numFmtId="44" fontId="24" fillId="0" borderId="2" xfId="0" applyNumberFormat="1" applyFont="1" applyBorder="1"/>
    <xf numFmtId="44" fontId="0" fillId="0" borderId="0" xfId="0" applyNumberFormat="1"/>
    <xf numFmtId="168" fontId="28" fillId="0" borderId="0" xfId="0" applyNumberFormat="1" applyFont="1"/>
    <xf numFmtId="168" fontId="33" fillId="0" borderId="0" xfId="0" applyNumberFormat="1" applyFont="1"/>
    <xf numFmtId="168" fontId="24" fillId="0" borderId="0" xfId="0" applyNumberFormat="1" applyFont="1"/>
    <xf numFmtId="168" fontId="0" fillId="0" borderId="0" xfId="0" applyNumberFormat="1"/>
    <xf numFmtId="168" fontId="24" fillId="0" borderId="2" xfId="0" applyNumberFormat="1" applyFont="1" applyBorder="1"/>
    <xf numFmtId="179" fontId="24" fillId="0" borderId="2" xfId="0" applyNumberFormat="1" applyFont="1" applyBorder="1"/>
    <xf numFmtId="164" fontId="24" fillId="0" borderId="0" xfId="0" applyNumberFormat="1" applyFont="1"/>
    <xf numFmtId="10" fontId="24" fillId="0" borderId="0" xfId="0" applyNumberFormat="1" applyFont="1"/>
    <xf numFmtId="0" fontId="28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5" fontId="25" fillId="0" borderId="0" xfId="0" applyNumberFormat="1" applyFont="1"/>
    <xf numFmtId="165" fontId="28" fillId="0" borderId="0" xfId="0" applyNumberFormat="1" applyFont="1"/>
    <xf numFmtId="164" fontId="0" fillId="0" borderId="0" xfId="0" applyNumberFormat="1"/>
    <xf numFmtId="3" fontId="34" fillId="0" borderId="0" xfId="0" applyNumberFormat="1" applyFont="1"/>
    <xf numFmtId="0" fontId="25" fillId="0" borderId="0" xfId="0" applyFont="1"/>
    <xf numFmtId="0" fontId="28" fillId="0" borderId="0" xfId="0" applyFont="1"/>
    <xf numFmtId="167" fontId="0" fillId="0" borderId="2" xfId="0" applyNumberFormat="1" applyBorder="1"/>
    <xf numFmtId="164" fontId="0" fillId="0" borderId="2" xfId="0" applyNumberFormat="1" applyBorder="1"/>
    <xf numFmtId="0" fontId="0" fillId="0" borderId="0" xfId="0" quotePrefix="1"/>
    <xf numFmtId="3" fontId="25" fillId="0" borderId="0" xfId="0" applyNumberFormat="1" applyFont="1"/>
    <xf numFmtId="44" fontId="25" fillId="0" borderId="0" xfId="0" applyNumberFormat="1" applyFont="1"/>
    <xf numFmtId="168" fontId="25" fillId="0" borderId="0" xfId="0" applyNumberFormat="1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Light16"/>
  <colors>
    <mruColors>
      <color rgb="FF0000FF"/>
      <color rgb="FF008080"/>
      <color rgb="FF84FCB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3E0BC6-3FFF-4AF6-9836-A2E931783F0A}" name="Table134" displayName="Table134" ref="B4:P54" totalsRowShown="0" headerRowDxfId="16" dataDxfId="15">
  <autoFilter ref="B4:P54" xr:uid="{00000000-0009-0000-0100-000003000000}"/>
  <tableColumns count="15">
    <tableColumn id="1" xr3:uid="{D63F0052-385C-428D-AABB-DC88131F17C9}" name="Costs" dataDxfId="14"/>
    <tableColumn id="13" xr3:uid="{50916AB3-13F4-491A-85D9-9B0B5DE06919}" name="Description" dataDxfId="13"/>
    <tableColumn id="11" xr3:uid="{810424C0-0B7D-4640-BB96-C27BBBB61AC3}" name="Acronym" dataDxfId="12"/>
    <tableColumn id="6" xr3:uid="{EA14797A-7A70-4580-9932-9A61755779AE}" name="Functionalization" dataDxfId="11"/>
    <tableColumn id="7" xr3:uid="{E4C9C2C9-2820-4F35-A993-FD17EB3D7FFB}" name="Classification" dataDxfId="10"/>
    <tableColumn id="8" xr3:uid="{120CBA0B-C356-4948-B5A7-A53A31AC38B6}" name="Allocation" dataDxfId="9"/>
    <tableColumn id="2" xr3:uid="{4CEFB2A4-4E0F-4643-A4C0-9E1AE15AA721}" name="Residential (16,23,53)" dataDxfId="8"/>
    <tableColumn id="3" xr3:uid="{61A01F70-EDF7-44C5-BCF7-B6D35D2C6D52}" name="Comm. &amp; Indus. (31,31T)" dataDxfId="7"/>
    <tableColumn id="4" xr3:uid="{2DA6DF60-3AD7-417F-B246-AAF134756272}" name="Large Volume (41,41T)" dataDxfId="6"/>
    <tableColumn id="5" xr3:uid="{AA00B919-671B-4A74-BBE8-C52AFDE4F9ED}" name="Interruptible (85, 85T)" dataDxfId="5"/>
    <tableColumn id="14" xr3:uid="{B6F23C84-C0EA-4B1D-AFE0-292837A3EC32}" name="Limited Interruptible (86, 86T)" dataDxfId="4"/>
    <tableColumn id="10" xr3:uid="{9AA92626-FAAD-4715-848D-32A5BCA38C14}" name="Non-Exclusive Interruptible (87, 87T)" dataDxfId="3"/>
    <tableColumn id="15" xr3:uid="{D4314EAF-CF60-49CE-8E79-D3BF9E9FED57}" name="Exclusive Interruptible (88T)" dataDxfId="2"/>
    <tableColumn id="9" xr3:uid="{A9D33098-9AA0-42D9-A7FE-8E191ED9CF6F}" name="Contracts" dataDxfId="1"/>
    <tableColumn id="12" xr3:uid="{D3FA18C2-C035-4BBE-83E9-9CF8AA6D1E73}" name="TOTAL" dataDxfId="0">
      <calculatedColumnFormula>SUM(Table134[[#This Row],[Residential (16,23,53)]:[Contracts]])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tabSelected="1" zoomScale="90" zoomScaleNormal="90" workbookViewId="0">
      <selection activeCell="C34" sqref="C34"/>
    </sheetView>
  </sheetViews>
  <sheetFormatPr defaultColWidth="42.26953125" defaultRowHeight="12.5" x14ac:dyDescent="0.25"/>
  <cols>
    <col min="1" max="1" width="26.54296875" style="23" customWidth="1"/>
    <col min="2" max="2" width="26.7265625" style="5" bestFit="1" customWidth="1"/>
    <col min="3" max="3" width="22.1796875" style="5" bestFit="1" customWidth="1"/>
    <col min="4" max="4" width="20.54296875" style="5" customWidth="1"/>
    <col min="5" max="5" width="5.26953125" style="5" customWidth="1"/>
    <col min="6" max="6" width="19.7265625" style="5" bestFit="1" customWidth="1"/>
    <col min="7" max="101" width="9.26953125" style="5" customWidth="1"/>
    <col min="102" max="16384" width="42.26953125" style="5"/>
  </cols>
  <sheetData>
    <row r="1" spans="1:6" ht="13" x14ac:dyDescent="0.3">
      <c r="A1" s="15" t="s">
        <v>0</v>
      </c>
      <c r="F1" s="154" t="s">
        <v>318</v>
      </c>
    </row>
    <row r="2" spans="1:6" ht="13" x14ac:dyDescent="0.3">
      <c r="A2" s="44" t="s">
        <v>237</v>
      </c>
      <c r="F2" s="155" t="s">
        <v>319</v>
      </c>
    </row>
    <row r="3" spans="1:6" ht="13" x14ac:dyDescent="0.3">
      <c r="A3" s="15" t="s">
        <v>190</v>
      </c>
      <c r="B3" s="18"/>
      <c r="C3" s="18"/>
      <c r="F3" s="78" t="s">
        <v>320</v>
      </c>
    </row>
    <row r="4" spans="1:6" ht="13" x14ac:dyDescent="0.3">
      <c r="A4" s="44" t="s">
        <v>238</v>
      </c>
      <c r="B4" s="18"/>
      <c r="C4" s="18"/>
      <c r="F4" s="5" t="s">
        <v>321</v>
      </c>
    </row>
    <row r="5" spans="1:6" x14ac:dyDescent="0.25">
      <c r="F5" s="156" t="s">
        <v>322</v>
      </c>
    </row>
    <row r="6" spans="1:6" s="19" customFormat="1" ht="27" customHeight="1" x14ac:dyDescent="0.35">
      <c r="A6" s="20" t="s">
        <v>185</v>
      </c>
      <c r="B6" s="225" t="s">
        <v>186</v>
      </c>
      <c r="C6" s="226"/>
      <c r="D6" s="20" t="s">
        <v>183</v>
      </c>
    </row>
    <row r="7" spans="1:6" s="19" customFormat="1" ht="13" x14ac:dyDescent="0.35">
      <c r="A7" s="21"/>
      <c r="B7" s="21"/>
      <c r="C7" s="21"/>
      <c r="D7" s="28"/>
    </row>
    <row r="8" spans="1:6" x14ac:dyDescent="0.25">
      <c r="A8" s="24" t="s">
        <v>8</v>
      </c>
      <c r="B8" s="24" t="s">
        <v>169</v>
      </c>
      <c r="C8" s="24" t="s">
        <v>187</v>
      </c>
      <c r="D8" s="150">
        <f>'Rate Design'!F11</f>
        <v>7.1940000000000004E-2</v>
      </c>
    </row>
    <row r="9" spans="1:6" x14ac:dyDescent="0.25">
      <c r="A9" s="24" t="s">
        <v>8</v>
      </c>
      <c r="B9" s="24" t="s">
        <v>170</v>
      </c>
      <c r="C9" s="24" t="s">
        <v>187</v>
      </c>
      <c r="D9" s="150">
        <f>'Rate Design'!F11</f>
        <v>7.1940000000000004E-2</v>
      </c>
    </row>
    <row r="10" spans="1:6" x14ac:dyDescent="0.25">
      <c r="A10" s="24" t="s">
        <v>8</v>
      </c>
      <c r="B10" s="24" t="s">
        <v>171</v>
      </c>
      <c r="C10" s="24" t="s">
        <v>188</v>
      </c>
      <c r="D10" s="151">
        <f>'Rate Design'!G11</f>
        <v>1.37</v>
      </c>
    </row>
    <row r="11" spans="1:6" x14ac:dyDescent="0.25">
      <c r="A11" s="24"/>
      <c r="B11" s="24"/>
      <c r="C11" s="24"/>
      <c r="D11" s="152"/>
    </row>
    <row r="12" spans="1:6" x14ac:dyDescent="0.25">
      <c r="A12" s="24" t="s">
        <v>10</v>
      </c>
      <c r="B12" s="24" t="s">
        <v>172</v>
      </c>
      <c r="C12" s="26" t="s">
        <v>187</v>
      </c>
      <c r="D12" s="150">
        <f>'Rate Design'!F12</f>
        <v>5.6689999999999997E-2</v>
      </c>
    </row>
    <row r="13" spans="1:6" x14ac:dyDescent="0.25">
      <c r="A13" s="24"/>
      <c r="B13" s="24"/>
      <c r="C13" s="26"/>
      <c r="D13" s="150"/>
    </row>
    <row r="14" spans="1:6" x14ac:dyDescent="0.25">
      <c r="A14" s="24" t="s">
        <v>11</v>
      </c>
      <c r="B14" s="24" t="s">
        <v>173</v>
      </c>
      <c r="C14" s="5" t="s">
        <v>199</v>
      </c>
      <c r="D14" s="150">
        <f>'Rate Design'!F15</f>
        <v>4.6980000000000001E-2</v>
      </c>
    </row>
    <row r="15" spans="1:6" x14ac:dyDescent="0.25">
      <c r="A15" s="24" t="s">
        <v>11</v>
      </c>
      <c r="B15" s="24" t="s">
        <v>173</v>
      </c>
      <c r="C15" s="5" t="s">
        <v>200</v>
      </c>
      <c r="D15" s="150">
        <f>'Rate Design'!F16</f>
        <v>4.6980000000000001E-2</v>
      </c>
    </row>
    <row r="16" spans="1:6" x14ac:dyDescent="0.25">
      <c r="A16" s="24" t="s">
        <v>11</v>
      </c>
      <c r="B16" s="24" t="s">
        <v>173</v>
      </c>
      <c r="C16" s="5" t="s">
        <v>209</v>
      </c>
      <c r="D16" s="150">
        <f>'Rate Design'!F17</f>
        <v>4.0620000000000003E-2</v>
      </c>
    </row>
    <row r="17" spans="1:4" x14ac:dyDescent="0.25">
      <c r="A17" s="24"/>
      <c r="B17" s="24"/>
      <c r="C17" s="26"/>
      <c r="D17" s="150"/>
    </row>
    <row r="18" spans="1:4" x14ac:dyDescent="0.25">
      <c r="A18" s="24" t="s">
        <v>12</v>
      </c>
      <c r="B18" s="24" t="s">
        <v>174</v>
      </c>
      <c r="C18" s="5" t="s">
        <v>201</v>
      </c>
      <c r="D18" s="150">
        <f>'Rate Design'!F20</f>
        <v>5.4109999999999998E-2</v>
      </c>
    </row>
    <row r="19" spans="1:4" x14ac:dyDescent="0.25">
      <c r="A19" s="24" t="s">
        <v>12</v>
      </c>
      <c r="B19" s="24" t="s">
        <v>174</v>
      </c>
      <c r="C19" s="5" t="s">
        <v>202</v>
      </c>
      <c r="D19" s="150">
        <f>'Rate Design'!F21</f>
        <v>2.571E-2</v>
      </c>
    </row>
    <row r="20" spans="1:4" x14ac:dyDescent="0.25">
      <c r="A20" s="24" t="s">
        <v>12</v>
      </c>
      <c r="B20" s="24" t="s">
        <v>174</v>
      </c>
      <c r="C20" s="5" t="s">
        <v>208</v>
      </c>
      <c r="D20" s="150">
        <f>'Rate Design'!F22</f>
        <v>2.46E-2</v>
      </c>
    </row>
    <row r="21" spans="1:4" x14ac:dyDescent="0.25">
      <c r="A21" s="24"/>
      <c r="B21" s="24"/>
      <c r="C21" s="26"/>
      <c r="D21" s="150"/>
    </row>
    <row r="22" spans="1:4" x14ac:dyDescent="0.25">
      <c r="A22" s="24" t="s">
        <v>13</v>
      </c>
      <c r="B22" s="24" t="s">
        <v>178</v>
      </c>
      <c r="C22" s="5" t="s">
        <v>206</v>
      </c>
      <c r="D22" s="150">
        <f>'Rate Design'!F25</f>
        <v>0.12931999999999999</v>
      </c>
    </row>
    <row r="23" spans="1:4" x14ac:dyDescent="0.25">
      <c r="A23" s="24" t="s">
        <v>13</v>
      </c>
      <c r="B23" s="24" t="s">
        <v>178</v>
      </c>
      <c r="C23" s="5" t="s">
        <v>207</v>
      </c>
      <c r="D23" s="150">
        <f>'Rate Design'!F26</f>
        <v>9.1679999999999998E-2</v>
      </c>
    </row>
    <row r="24" spans="1:4" x14ac:dyDescent="0.25">
      <c r="A24" s="24"/>
      <c r="B24" s="24"/>
      <c r="C24" s="26"/>
      <c r="D24" s="150"/>
    </row>
    <row r="25" spans="1:4" x14ac:dyDescent="0.25">
      <c r="A25" s="24" t="s">
        <v>189</v>
      </c>
      <c r="B25" s="24" t="s">
        <v>179</v>
      </c>
      <c r="C25" s="26" t="s">
        <v>175</v>
      </c>
      <c r="D25" s="150">
        <f>'Rate Design'!F29</f>
        <v>0.15667</v>
      </c>
    </row>
    <row r="26" spans="1:4" x14ac:dyDescent="0.25">
      <c r="A26" s="24" t="s">
        <v>189</v>
      </c>
      <c r="B26" s="24" t="s">
        <v>179</v>
      </c>
      <c r="C26" s="26" t="s">
        <v>176</v>
      </c>
      <c r="D26" s="150">
        <f>'Rate Design'!F30</f>
        <v>9.4670000000000004E-2</v>
      </c>
    </row>
    <row r="27" spans="1:4" x14ac:dyDescent="0.25">
      <c r="A27" s="24" t="s">
        <v>189</v>
      </c>
      <c r="B27" s="24" t="s">
        <v>179</v>
      </c>
      <c r="C27" s="26" t="s">
        <v>177</v>
      </c>
      <c r="D27" s="150">
        <f>'Rate Design'!F31</f>
        <v>6.0249999999999998E-2</v>
      </c>
    </row>
    <row r="28" spans="1:4" x14ac:dyDescent="0.25">
      <c r="A28" s="24" t="s">
        <v>189</v>
      </c>
      <c r="B28" s="24" t="s">
        <v>179</v>
      </c>
      <c r="C28" s="26" t="s">
        <v>180</v>
      </c>
      <c r="D28" s="150">
        <f>'Rate Design'!F32</f>
        <v>3.8629999999999998E-2</v>
      </c>
    </row>
    <row r="29" spans="1:4" x14ac:dyDescent="0.25">
      <c r="A29" s="24" t="s">
        <v>189</v>
      </c>
      <c r="B29" s="24" t="s">
        <v>179</v>
      </c>
      <c r="C29" s="26" t="s">
        <v>181</v>
      </c>
      <c r="D29" s="150">
        <f>'Rate Design'!F33</f>
        <v>2.7799999999999998E-2</v>
      </c>
    </row>
    <row r="30" spans="1:4" x14ac:dyDescent="0.25">
      <c r="A30" s="25" t="s">
        <v>189</v>
      </c>
      <c r="B30" s="25" t="s">
        <v>179</v>
      </c>
      <c r="C30" s="27" t="s">
        <v>182</v>
      </c>
      <c r="D30" s="153">
        <f>'Rate Design'!F34</f>
        <v>1.874E-2</v>
      </c>
    </row>
    <row r="31" spans="1:4" x14ac:dyDescent="0.25">
      <c r="A31" s="22"/>
      <c r="B31" s="22"/>
    </row>
    <row r="33" spans="1:1" ht="13" x14ac:dyDescent="0.3">
      <c r="A33" s="16"/>
    </row>
  </sheetData>
  <mergeCells count="1">
    <mergeCell ref="B6:C6"/>
  </mergeCells>
  <printOptions horizontalCentered="1"/>
  <pageMargins left="0.45" right="0.45" top="0.75" bottom="0.83" header="0.3" footer="0.3"/>
  <pageSetup orientation="landscape" r:id="rId1"/>
  <headerFooter alignWithMargins="0">
    <oddFooter>&amp;L&amp;F
&amp;A&amp;R 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E595-0AEC-4A2D-8823-EE4C77B65644}">
  <sheetPr>
    <pageSetUpPr fitToPage="1"/>
  </sheetPr>
  <dimension ref="A1:N25"/>
  <sheetViews>
    <sheetView zoomScale="90" zoomScaleNormal="90" workbookViewId="0">
      <selection activeCell="M27" sqref="M27"/>
    </sheetView>
  </sheetViews>
  <sheetFormatPr defaultColWidth="9.1796875" defaultRowHeight="12.5" x14ac:dyDescent="0.25"/>
  <cols>
    <col min="1" max="1" width="10.7265625" style="39" customWidth="1"/>
    <col min="2" max="2" width="12.1796875" style="39" bestFit="1" customWidth="1"/>
    <col min="3" max="7" width="12.453125" style="39" bestFit="1" customWidth="1"/>
    <col min="8" max="12" width="12.54296875" style="39" bestFit="1" customWidth="1"/>
    <col min="13" max="13" width="12.1796875" style="39" bestFit="1" customWidth="1"/>
    <col min="14" max="14" width="13.81640625" style="39" customWidth="1"/>
    <col min="15" max="16384" width="9.1796875" style="39"/>
  </cols>
  <sheetData>
    <row r="1" spans="1:14" x14ac:dyDescent="0.25">
      <c r="A1" s="39" t="s">
        <v>0</v>
      </c>
    </row>
    <row r="2" spans="1:14" x14ac:dyDescent="0.25">
      <c r="A2" s="39" t="str">
        <f>'Rate Summary'!$A$2</f>
        <v>2025 Gas Schedule 141LNG LNG Tracker Filing</v>
      </c>
    </row>
    <row r="3" spans="1:14" x14ac:dyDescent="0.25">
      <c r="A3" s="39" t="s">
        <v>304</v>
      </c>
    </row>
    <row r="4" spans="1:14" x14ac:dyDescent="0.25">
      <c r="A4" s="144" t="str">
        <f>TEXT(B7,"Mmmm YYYY - ")&amp;TEXT(M7,"Mmmm YYYY")</f>
        <v>November 2025 - October 2026</v>
      </c>
    </row>
    <row r="5" spans="1:14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4" x14ac:dyDescent="0.25">
      <c r="A6" s="137" t="s">
        <v>305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4" x14ac:dyDescent="0.25">
      <c r="A7" s="138" t="s">
        <v>306</v>
      </c>
      <c r="B7" s="139">
        <v>45962</v>
      </c>
      <c r="C7" s="140">
        <v>45962</v>
      </c>
      <c r="D7" s="140">
        <v>45992</v>
      </c>
      <c r="E7" s="140">
        <v>46023</v>
      </c>
      <c r="F7" s="140">
        <v>46054</v>
      </c>
      <c r="G7" s="140">
        <v>46082</v>
      </c>
      <c r="H7" s="140">
        <v>46113</v>
      </c>
      <c r="I7" s="140">
        <v>46143</v>
      </c>
      <c r="J7" s="140">
        <v>46174</v>
      </c>
      <c r="K7" s="140">
        <v>46204</v>
      </c>
      <c r="L7" s="140">
        <v>46235</v>
      </c>
      <c r="M7" s="140">
        <v>46296</v>
      </c>
      <c r="N7" s="141" t="s">
        <v>16</v>
      </c>
    </row>
    <row r="8" spans="1:14" x14ac:dyDescent="0.25">
      <c r="A8" s="137">
        <v>16</v>
      </c>
      <c r="B8" s="142">
        <v>513</v>
      </c>
      <c r="C8" s="142">
        <v>513</v>
      </c>
      <c r="D8" s="142">
        <v>513</v>
      </c>
      <c r="E8" s="142">
        <v>513</v>
      </c>
      <c r="F8" s="142">
        <v>513</v>
      </c>
      <c r="G8" s="142">
        <v>513</v>
      </c>
      <c r="H8" s="142">
        <v>513</v>
      </c>
      <c r="I8" s="142">
        <v>513</v>
      </c>
      <c r="J8" s="142">
        <v>513</v>
      </c>
      <c r="K8" s="142">
        <v>513</v>
      </c>
      <c r="L8" s="142">
        <v>513</v>
      </c>
      <c r="M8" s="142">
        <v>513</v>
      </c>
      <c r="N8" s="79">
        <f t="shared" ref="N8:N22" si="0">SUM(B8:M8)</f>
        <v>6156</v>
      </c>
    </row>
    <row r="9" spans="1:14" x14ac:dyDescent="0.25">
      <c r="A9" s="137">
        <v>23</v>
      </c>
      <c r="B9" s="142">
        <v>63163559</v>
      </c>
      <c r="C9" s="142">
        <v>82927139</v>
      </c>
      <c r="D9" s="142">
        <v>80838843</v>
      </c>
      <c r="E9" s="142">
        <v>69701681</v>
      </c>
      <c r="F9" s="142">
        <v>65338297</v>
      </c>
      <c r="G9" s="142">
        <v>48570136</v>
      </c>
      <c r="H9" s="142">
        <v>30090854</v>
      </c>
      <c r="I9" s="142">
        <v>20623244</v>
      </c>
      <c r="J9" s="142">
        <v>15308828</v>
      </c>
      <c r="K9" s="142">
        <v>14377614</v>
      </c>
      <c r="L9" s="142">
        <v>17723582</v>
      </c>
      <c r="M9" s="142">
        <v>37584846</v>
      </c>
      <c r="N9" s="79">
        <f t="shared" si="0"/>
        <v>546248623</v>
      </c>
    </row>
    <row r="10" spans="1:14" x14ac:dyDescent="0.25">
      <c r="A10" s="137">
        <v>53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79">
        <f t="shared" si="0"/>
        <v>0</v>
      </c>
    </row>
    <row r="11" spans="1:14" x14ac:dyDescent="0.25">
      <c r="A11" s="137">
        <v>31</v>
      </c>
      <c r="B11" s="142">
        <v>25083990</v>
      </c>
      <c r="C11" s="142">
        <v>33231163</v>
      </c>
      <c r="D11" s="142">
        <v>30486318</v>
      </c>
      <c r="E11" s="142">
        <v>28177841</v>
      </c>
      <c r="F11" s="142">
        <v>26442457</v>
      </c>
      <c r="G11" s="142">
        <v>19798785</v>
      </c>
      <c r="H11" s="142">
        <v>14175084</v>
      </c>
      <c r="I11" s="142">
        <v>11252584</v>
      </c>
      <c r="J11" s="142">
        <v>9404418</v>
      </c>
      <c r="K11" s="142">
        <v>9706839</v>
      </c>
      <c r="L11" s="142">
        <v>10816869</v>
      </c>
      <c r="M11" s="142">
        <v>16985788</v>
      </c>
      <c r="N11" s="79">
        <f t="shared" si="0"/>
        <v>235562136</v>
      </c>
    </row>
    <row r="12" spans="1:14" x14ac:dyDescent="0.25">
      <c r="A12" s="137">
        <v>41</v>
      </c>
      <c r="B12" s="142">
        <v>6812571</v>
      </c>
      <c r="C12" s="142">
        <v>8111500</v>
      </c>
      <c r="D12" s="142">
        <v>7274326</v>
      </c>
      <c r="E12" s="142">
        <v>7099807</v>
      </c>
      <c r="F12" s="142">
        <v>6839387</v>
      </c>
      <c r="G12" s="142">
        <v>5449062</v>
      </c>
      <c r="H12" s="142">
        <v>4292096</v>
      </c>
      <c r="I12" s="142">
        <v>3562111</v>
      </c>
      <c r="J12" s="142">
        <v>2879686</v>
      </c>
      <c r="K12" s="142">
        <v>2955504</v>
      </c>
      <c r="L12" s="142">
        <v>3369971</v>
      </c>
      <c r="M12" s="142">
        <v>4958305</v>
      </c>
      <c r="N12" s="79">
        <f t="shared" si="0"/>
        <v>63604326</v>
      </c>
    </row>
    <row r="13" spans="1:14" x14ac:dyDescent="0.25">
      <c r="A13" s="137">
        <v>85</v>
      </c>
      <c r="B13" s="142">
        <v>1631725</v>
      </c>
      <c r="C13" s="142">
        <v>2109287</v>
      </c>
      <c r="D13" s="142">
        <v>2117267</v>
      </c>
      <c r="E13" s="142">
        <v>1837211</v>
      </c>
      <c r="F13" s="142">
        <v>1845679</v>
      </c>
      <c r="G13" s="142">
        <v>1628695</v>
      </c>
      <c r="H13" s="142">
        <v>1456172</v>
      </c>
      <c r="I13" s="142">
        <v>1217625</v>
      </c>
      <c r="J13" s="142">
        <v>1040570</v>
      </c>
      <c r="K13" s="142">
        <v>954971</v>
      </c>
      <c r="L13" s="142">
        <v>920821</v>
      </c>
      <c r="M13" s="142">
        <v>1526817</v>
      </c>
      <c r="N13" s="79">
        <f t="shared" si="0"/>
        <v>18286840</v>
      </c>
    </row>
    <row r="14" spans="1:14" x14ac:dyDescent="0.25">
      <c r="A14" s="137">
        <v>86</v>
      </c>
      <c r="B14" s="142">
        <v>331416</v>
      </c>
      <c r="C14" s="142">
        <v>469672</v>
      </c>
      <c r="D14" s="142">
        <v>485907</v>
      </c>
      <c r="E14" s="142">
        <v>417752</v>
      </c>
      <c r="F14" s="142">
        <v>416008</v>
      </c>
      <c r="G14" s="142">
        <v>320733</v>
      </c>
      <c r="H14" s="142">
        <v>254475</v>
      </c>
      <c r="I14" s="142">
        <v>179556</v>
      </c>
      <c r="J14" s="142">
        <v>116857</v>
      </c>
      <c r="K14" s="142">
        <v>79689</v>
      </c>
      <c r="L14" s="142">
        <v>86469</v>
      </c>
      <c r="M14" s="142">
        <v>222200</v>
      </c>
      <c r="N14" s="79">
        <f t="shared" si="0"/>
        <v>3380734</v>
      </c>
    </row>
    <row r="15" spans="1:14" x14ac:dyDescent="0.25">
      <c r="A15" s="137">
        <v>87</v>
      </c>
      <c r="B15" s="142">
        <v>1488177</v>
      </c>
      <c r="C15" s="142">
        <v>1858720</v>
      </c>
      <c r="D15" s="142">
        <v>1763368</v>
      </c>
      <c r="E15" s="142">
        <v>1483570</v>
      </c>
      <c r="F15" s="142">
        <v>1549117</v>
      </c>
      <c r="G15" s="142">
        <v>1316388</v>
      </c>
      <c r="H15" s="142">
        <v>1229220</v>
      </c>
      <c r="I15" s="142">
        <v>1031610</v>
      </c>
      <c r="J15" s="142">
        <v>940727</v>
      </c>
      <c r="K15" s="142">
        <v>856882</v>
      </c>
      <c r="L15" s="142">
        <v>864511</v>
      </c>
      <c r="M15" s="142">
        <v>1507034</v>
      </c>
      <c r="N15" s="79">
        <f t="shared" si="0"/>
        <v>15889324</v>
      </c>
    </row>
    <row r="16" spans="1:14" x14ac:dyDescent="0.25">
      <c r="A16" s="137" t="s">
        <v>279</v>
      </c>
      <c r="B16" s="142">
        <v>0</v>
      </c>
      <c r="C16" s="142">
        <v>0</v>
      </c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79">
        <f t="shared" si="0"/>
        <v>0</v>
      </c>
    </row>
    <row r="17" spans="1:14" x14ac:dyDescent="0.25">
      <c r="A17" s="137" t="s">
        <v>282</v>
      </c>
      <c r="B17" s="142">
        <v>1886837</v>
      </c>
      <c r="C17" s="142">
        <v>1769943</v>
      </c>
      <c r="D17" s="142">
        <v>1783201</v>
      </c>
      <c r="E17" s="142">
        <v>1819310</v>
      </c>
      <c r="F17" s="142">
        <v>1543091</v>
      </c>
      <c r="G17" s="142">
        <v>1588601</v>
      </c>
      <c r="H17" s="142">
        <v>1471420</v>
      </c>
      <c r="I17" s="142">
        <v>1585660</v>
      </c>
      <c r="J17" s="142">
        <v>1441469</v>
      </c>
      <c r="K17" s="142">
        <v>1508653</v>
      </c>
      <c r="L17" s="142">
        <v>1587234</v>
      </c>
      <c r="M17" s="142">
        <v>1671239</v>
      </c>
      <c r="N17" s="79">
        <f t="shared" si="0"/>
        <v>19656658</v>
      </c>
    </row>
    <row r="18" spans="1:14" x14ac:dyDescent="0.25">
      <c r="A18" s="137" t="s">
        <v>284</v>
      </c>
      <c r="B18" s="142">
        <v>4506349</v>
      </c>
      <c r="C18" s="142">
        <v>4324345</v>
      </c>
      <c r="D18" s="142">
        <v>3986723</v>
      </c>
      <c r="E18" s="142">
        <v>4334737</v>
      </c>
      <c r="F18" s="142">
        <v>3375053</v>
      </c>
      <c r="G18" s="142">
        <v>3688719</v>
      </c>
      <c r="H18" s="142">
        <v>3422419</v>
      </c>
      <c r="I18" s="142">
        <v>4016359</v>
      </c>
      <c r="J18" s="142">
        <v>3754507</v>
      </c>
      <c r="K18" s="142">
        <v>3842465</v>
      </c>
      <c r="L18" s="142">
        <v>3710540</v>
      </c>
      <c r="M18" s="142">
        <v>4385268</v>
      </c>
      <c r="N18" s="79">
        <f t="shared" si="0"/>
        <v>47347484</v>
      </c>
    </row>
    <row r="19" spans="1:14" x14ac:dyDescent="0.25">
      <c r="A19" s="137" t="s">
        <v>286</v>
      </c>
      <c r="B19" s="142">
        <v>46548</v>
      </c>
      <c r="C19" s="142">
        <v>44540</v>
      </c>
      <c r="D19" s="142">
        <v>40169</v>
      </c>
      <c r="E19" s="142">
        <v>43445</v>
      </c>
      <c r="F19" s="142">
        <v>33837</v>
      </c>
      <c r="G19" s="142">
        <v>38336</v>
      </c>
      <c r="H19" s="142">
        <v>33234</v>
      </c>
      <c r="I19" s="142">
        <v>37615</v>
      </c>
      <c r="J19" s="142">
        <v>31390</v>
      </c>
      <c r="K19" s="142">
        <v>30188</v>
      </c>
      <c r="L19" s="142">
        <v>33344</v>
      </c>
      <c r="M19" s="142">
        <v>42576</v>
      </c>
      <c r="N19" s="79">
        <f t="shared" si="0"/>
        <v>455222</v>
      </c>
    </row>
    <row r="20" spans="1:14" x14ac:dyDescent="0.25">
      <c r="A20" s="137" t="s">
        <v>289</v>
      </c>
      <c r="B20" s="142">
        <v>5391717</v>
      </c>
      <c r="C20" s="142">
        <v>5671401</v>
      </c>
      <c r="D20" s="142">
        <v>4758390</v>
      </c>
      <c r="E20" s="142">
        <v>6025098</v>
      </c>
      <c r="F20" s="142">
        <v>3789227</v>
      </c>
      <c r="G20" s="142">
        <v>4222396</v>
      </c>
      <c r="H20" s="142">
        <v>3892570</v>
      </c>
      <c r="I20" s="142">
        <v>4974500</v>
      </c>
      <c r="J20" s="142">
        <v>5231806</v>
      </c>
      <c r="K20" s="142">
        <v>5046035</v>
      </c>
      <c r="L20" s="142">
        <v>4658283</v>
      </c>
      <c r="M20" s="142">
        <v>5157091</v>
      </c>
      <c r="N20" s="79">
        <f t="shared" si="0"/>
        <v>58818514</v>
      </c>
    </row>
    <row r="21" spans="1:14" x14ac:dyDescent="0.25">
      <c r="A21" s="137" t="s">
        <v>296</v>
      </c>
      <c r="B21" s="142">
        <v>2679173</v>
      </c>
      <c r="C21" s="142">
        <v>2670604</v>
      </c>
      <c r="D21" s="142">
        <v>2670604</v>
      </c>
      <c r="E21" s="142">
        <v>2670604</v>
      </c>
      <c r="F21" s="142">
        <v>2670604</v>
      </c>
      <c r="G21" s="142">
        <v>2670604</v>
      </c>
      <c r="H21" s="142">
        <v>2670604</v>
      </c>
      <c r="I21" s="142">
        <v>2670604</v>
      </c>
      <c r="J21" s="142">
        <v>2670604</v>
      </c>
      <c r="K21" s="142">
        <v>2670604</v>
      </c>
      <c r="L21" s="142">
        <v>2670604</v>
      </c>
      <c r="M21" s="142">
        <v>2670604</v>
      </c>
      <c r="N21" s="79">
        <f t="shared" si="0"/>
        <v>32055817</v>
      </c>
    </row>
    <row r="22" spans="1:14" x14ac:dyDescent="0.25">
      <c r="A22" s="143" t="s">
        <v>15</v>
      </c>
      <c r="B22" s="142">
        <v>3173757</v>
      </c>
      <c r="C22" s="142">
        <v>3394764</v>
      </c>
      <c r="D22" s="142">
        <v>3160167</v>
      </c>
      <c r="E22" s="142">
        <v>3556576</v>
      </c>
      <c r="F22" s="142">
        <v>2159633</v>
      </c>
      <c r="G22" s="142">
        <v>2079134</v>
      </c>
      <c r="H22" s="142">
        <v>1619702</v>
      </c>
      <c r="I22" s="142">
        <v>1804257</v>
      </c>
      <c r="J22" s="142">
        <v>1606817</v>
      </c>
      <c r="K22" s="142">
        <v>1529157</v>
      </c>
      <c r="L22" s="142">
        <v>1491256</v>
      </c>
      <c r="M22" s="142">
        <v>2295148</v>
      </c>
      <c r="N22" s="79">
        <f t="shared" si="0"/>
        <v>27870368</v>
      </c>
    </row>
    <row r="23" spans="1:14" x14ac:dyDescent="0.25">
      <c r="A23" s="137" t="s">
        <v>16</v>
      </c>
      <c r="B23" s="34">
        <f t="shared" ref="B23:N23" si="1">SUM(B8:B22)</f>
        <v>116196332</v>
      </c>
      <c r="C23" s="34">
        <f t="shared" si="1"/>
        <v>146583591</v>
      </c>
      <c r="D23" s="34">
        <f t="shared" si="1"/>
        <v>139365796</v>
      </c>
      <c r="E23" s="34">
        <f t="shared" si="1"/>
        <v>127168145</v>
      </c>
      <c r="F23" s="34">
        <f t="shared" si="1"/>
        <v>116002903</v>
      </c>
      <c r="G23" s="34">
        <f t="shared" si="1"/>
        <v>91372102</v>
      </c>
      <c r="H23" s="34">
        <f t="shared" si="1"/>
        <v>64608363</v>
      </c>
      <c r="I23" s="34">
        <f t="shared" si="1"/>
        <v>52956238</v>
      </c>
      <c r="J23" s="34">
        <f t="shared" si="1"/>
        <v>44428192</v>
      </c>
      <c r="K23" s="34">
        <f t="shared" si="1"/>
        <v>43559114</v>
      </c>
      <c r="L23" s="34">
        <f t="shared" si="1"/>
        <v>47933997</v>
      </c>
      <c r="M23" s="34">
        <f t="shared" si="1"/>
        <v>79007429</v>
      </c>
      <c r="N23" s="34">
        <f t="shared" si="1"/>
        <v>1069182202</v>
      </c>
    </row>
    <row r="24" spans="1:14" x14ac:dyDescent="0.25">
      <c r="A24" s="137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spans="1:14" x14ac:dyDescent="0.25">
      <c r="A25" s="39" t="s">
        <v>307</v>
      </c>
    </row>
  </sheetData>
  <printOptions horizontalCentered="1"/>
  <pageMargins left="0.7" right="0.7" top="0.75" bottom="0.75" header="0.3" footer="0.3"/>
  <pageSetup scale="70" orientation="landscape" blackAndWhite="1" r:id="rId1"/>
  <headerFooter>
    <oddFooter>&amp;L&amp;F 
&amp;A&amp;C&amp;P&amp;R&amp;D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C96B-E426-45ED-83C9-FBC3EA7BE9FF}">
  <sheetPr>
    <pageSetUpPr fitToPage="1"/>
  </sheetPr>
  <dimension ref="A1:Z193"/>
  <sheetViews>
    <sheetView zoomScale="90" zoomScaleNormal="90" workbookViewId="0">
      <pane xSplit="3" ySplit="7" topLeftCell="D110" activePane="bottomRight" state="frozen"/>
      <selection pane="topRight" activeCell="D1" sqref="D1"/>
      <selection pane="bottomLeft" activeCell="A7" sqref="A7"/>
      <selection pane="bottomRight" activeCell="J154" sqref="J154"/>
    </sheetView>
  </sheetViews>
  <sheetFormatPr defaultColWidth="9.1796875" defaultRowHeight="12.5" x14ac:dyDescent="0.25"/>
  <cols>
    <col min="1" max="1" width="5.7265625" style="39" customWidth="1"/>
    <col min="2" max="2" width="6.453125" style="6" bestFit="1" customWidth="1"/>
    <col min="3" max="3" width="24.54296875" style="39" bestFit="1" customWidth="1"/>
    <col min="4" max="4" width="13.453125" style="39" bestFit="1" customWidth="1"/>
    <col min="5" max="6" width="13.453125" style="5" bestFit="1" customWidth="1"/>
    <col min="7" max="7" width="2.54296875" style="5" customWidth="1"/>
    <col min="8" max="8" width="12.1796875" style="39" customWidth="1"/>
    <col min="9" max="9" width="11.7265625" style="39" bestFit="1" customWidth="1"/>
    <col min="10" max="10" width="13.453125" style="39" bestFit="1" customWidth="1"/>
    <col min="11" max="11" width="2.54296875" style="39" customWidth="1"/>
    <col min="12" max="14" width="14.54296875" style="39" bestFit="1" customWidth="1"/>
    <col min="15" max="15" width="2.54296875" style="39" customWidth="1"/>
    <col min="16" max="16" width="14.54296875" style="39" customWidth="1"/>
    <col min="17" max="17" width="17.26953125" style="39" bestFit="1" customWidth="1"/>
    <col min="18" max="18" width="2.54296875" style="39" customWidth="1"/>
    <col min="19" max="20" width="16.26953125" style="39" bestFit="1" customWidth="1"/>
    <col min="21" max="21" width="17.453125" style="39" customWidth="1"/>
    <col min="22" max="22" width="18.453125" style="39" bestFit="1" customWidth="1"/>
    <col min="23" max="23" width="15" style="39" bestFit="1" customWidth="1"/>
    <col min="24" max="24" width="13.1796875" style="39" customWidth="1"/>
    <col min="25" max="25" width="22.54296875" style="39" bestFit="1" customWidth="1"/>
    <col min="26" max="26" width="11.1796875" style="39" customWidth="1"/>
    <col min="27" max="16384" width="9.1796875" style="39"/>
  </cols>
  <sheetData>
    <row r="1" spans="1:20" s="44" customFormat="1" ht="13" x14ac:dyDescent="0.3">
      <c r="A1" s="15" t="s">
        <v>0</v>
      </c>
      <c r="B1" s="45"/>
    </row>
    <row r="2" spans="1:20" s="44" customFormat="1" ht="13" x14ac:dyDescent="0.3">
      <c r="A2" s="15" t="s">
        <v>323</v>
      </c>
      <c r="B2" s="45"/>
    </row>
    <row r="3" spans="1:20" s="44" customFormat="1" ht="13" x14ac:dyDescent="0.3">
      <c r="A3" s="15" t="s">
        <v>324</v>
      </c>
      <c r="B3" s="45"/>
      <c r="D3" s="63"/>
      <c r="E3" s="17"/>
      <c r="F3" s="17"/>
      <c r="G3" s="17"/>
    </row>
    <row r="4" spans="1:20" s="44" customFormat="1" ht="13" x14ac:dyDescent="0.3">
      <c r="A4" s="15" t="s">
        <v>258</v>
      </c>
      <c r="B4" s="63"/>
      <c r="C4" s="64"/>
      <c r="D4" s="63"/>
      <c r="E4" s="17"/>
      <c r="F4" s="17"/>
      <c r="G4" s="17"/>
    </row>
    <row r="5" spans="1:20" s="44" customFormat="1" ht="13" x14ac:dyDescent="0.3">
      <c r="A5" s="1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13" x14ac:dyDescent="0.3">
      <c r="B6" s="45"/>
      <c r="D6" s="232" t="s">
        <v>259</v>
      </c>
      <c r="E6" s="232"/>
      <c r="F6" s="232"/>
      <c r="G6" s="45"/>
      <c r="H6" s="232" t="s">
        <v>195</v>
      </c>
      <c r="I6" s="232"/>
      <c r="J6" s="232"/>
      <c r="L6" s="232" t="s">
        <v>260</v>
      </c>
      <c r="M6" s="232"/>
      <c r="N6" s="232"/>
      <c r="P6" s="232" t="s">
        <v>261</v>
      </c>
      <c r="Q6" s="232"/>
      <c r="S6" s="232" t="s">
        <v>262</v>
      </c>
      <c r="T6" s="232"/>
    </row>
    <row r="7" spans="1:20" s="68" customFormat="1" ht="26" x14ac:dyDescent="0.3">
      <c r="A7" s="65" t="s">
        <v>263</v>
      </c>
      <c r="B7" s="65" t="s">
        <v>264</v>
      </c>
      <c r="C7" s="65" t="s">
        <v>265</v>
      </c>
      <c r="D7" s="66" t="s">
        <v>266</v>
      </c>
      <c r="E7" s="66" t="s">
        <v>267</v>
      </c>
      <c r="F7" s="66" t="s">
        <v>268</v>
      </c>
      <c r="G7" s="67"/>
      <c r="H7" s="66" t="s">
        <v>266</v>
      </c>
      <c r="I7" s="66" t="s">
        <v>267</v>
      </c>
      <c r="J7" s="66" t="s">
        <v>268</v>
      </c>
      <c r="L7" s="66" t="s">
        <v>266</v>
      </c>
      <c r="M7" s="66" t="s">
        <v>267</v>
      </c>
      <c r="N7" s="66" t="s">
        <v>268</v>
      </c>
      <c r="P7" s="66" t="s">
        <v>267</v>
      </c>
      <c r="Q7" s="66" t="s">
        <v>268</v>
      </c>
      <c r="S7" s="66" t="s">
        <v>267</v>
      </c>
      <c r="T7" s="66" t="s">
        <v>268</v>
      </c>
    </row>
    <row r="8" spans="1:20" s="68" customFormat="1" ht="13" x14ac:dyDescent="0.3">
      <c r="B8" s="69" t="s">
        <v>17</v>
      </c>
      <c r="C8" s="69" t="s">
        <v>18</v>
      </c>
      <c r="D8" s="70" t="s">
        <v>19</v>
      </c>
      <c r="E8" s="70" t="s">
        <v>20</v>
      </c>
      <c r="F8" s="70" t="s">
        <v>184</v>
      </c>
      <c r="G8" s="70"/>
      <c r="H8" s="70" t="s">
        <v>210</v>
      </c>
      <c r="I8" s="70" t="s">
        <v>211</v>
      </c>
      <c r="J8" s="70" t="s">
        <v>269</v>
      </c>
      <c r="K8" s="69"/>
      <c r="L8" s="70" t="s">
        <v>270</v>
      </c>
      <c r="M8" s="70" t="s">
        <v>271</v>
      </c>
      <c r="N8" s="70" t="s">
        <v>272</v>
      </c>
      <c r="O8" s="69"/>
      <c r="P8" s="70" t="s">
        <v>273</v>
      </c>
      <c r="Q8" s="70" t="s">
        <v>274</v>
      </c>
      <c r="R8" s="69"/>
      <c r="S8" s="70" t="s">
        <v>275</v>
      </c>
      <c r="T8" s="70" t="s">
        <v>276</v>
      </c>
    </row>
    <row r="9" spans="1:20" x14ac:dyDescent="0.25">
      <c r="A9" s="6">
        <v>1</v>
      </c>
      <c r="B9" s="29">
        <v>23</v>
      </c>
      <c r="C9" s="39" t="s">
        <v>219</v>
      </c>
      <c r="D9" s="42">
        <v>9826946.2076458335</v>
      </c>
      <c r="E9" s="42">
        <v>9898104</v>
      </c>
      <c r="F9" s="42">
        <v>9898104</v>
      </c>
      <c r="H9" s="71">
        <v>12.5</v>
      </c>
      <c r="I9" s="72">
        <f>H9*(1+S9)</f>
        <v>14.000000000000002</v>
      </c>
      <c r="J9" s="72">
        <f>I9*(1+T9)</f>
        <v>14.000000000000002</v>
      </c>
      <c r="L9" s="32">
        <f>D9*$H9</f>
        <v>122836827.59557292</v>
      </c>
      <c r="M9" s="32">
        <f t="shared" ref="M9:N10" si="0">E9*$H9</f>
        <v>123726300</v>
      </c>
      <c r="N9" s="32">
        <f t="shared" si="0"/>
        <v>123726300</v>
      </c>
      <c r="P9" s="32">
        <f>E9*I9</f>
        <v>138573456.00000003</v>
      </c>
      <c r="Q9" s="32">
        <f>F9*J9</f>
        <v>138573456.00000003</v>
      </c>
      <c r="S9" s="73">
        <f>1.5/12.5</f>
        <v>0.12</v>
      </c>
      <c r="T9" s="73">
        <v>0</v>
      </c>
    </row>
    <row r="10" spans="1:20" x14ac:dyDescent="0.25">
      <c r="A10" s="6">
        <f>A9+1</f>
        <v>2</v>
      </c>
      <c r="B10" s="6">
        <f>B9</f>
        <v>23</v>
      </c>
      <c r="C10" s="39" t="s">
        <v>220</v>
      </c>
      <c r="D10" s="42">
        <v>576566861.3574605</v>
      </c>
      <c r="E10" s="42">
        <v>539959592</v>
      </c>
      <c r="F10" s="42">
        <v>534322352</v>
      </c>
      <c r="H10" s="74">
        <v>0.45612999999999998</v>
      </c>
      <c r="I10" s="75">
        <f>H10*(1+S10)</f>
        <v>0.61957776856730451</v>
      </c>
      <c r="J10" s="75">
        <f>I10*(1+T10)</f>
        <v>0.6440653103971401</v>
      </c>
      <c r="L10" s="32">
        <f>D10*$H10</f>
        <v>262989442.47097844</v>
      </c>
      <c r="M10" s="32">
        <f t="shared" si="0"/>
        <v>246291768.69895998</v>
      </c>
      <c r="N10" s="32">
        <f t="shared" si="0"/>
        <v>243720454.41775998</v>
      </c>
      <c r="P10" s="32">
        <f>E10*I10</f>
        <v>334546959.12787217</v>
      </c>
      <c r="Q10" s="32">
        <f>F10*J10</f>
        <v>344138491.49300992</v>
      </c>
      <c r="S10" s="76">
        <f>(S$20-(SUM(P9,P13,P15)-SUM(M9,M13,M15)))/(M19-SUM(M9,M13,M15))</f>
        <v>0.3583359317898504</v>
      </c>
      <c r="T10" s="76">
        <f>((Q20-SUM(Q9,Q13,Q15))/F10)/I10-1</f>
        <v>3.9522951067886058E-2</v>
      </c>
    </row>
    <row r="11" spans="1:20" x14ac:dyDescent="0.25">
      <c r="A11" s="6">
        <f t="shared" ref="A11:A74" si="1">A10+1</f>
        <v>3</v>
      </c>
      <c r="B11" s="6">
        <f>B10</f>
        <v>23</v>
      </c>
      <c r="C11" s="39" t="s">
        <v>223</v>
      </c>
      <c r="D11" s="77"/>
      <c r="E11" s="77"/>
      <c r="F11" s="77"/>
      <c r="G11" s="53"/>
      <c r="H11" s="78"/>
      <c r="I11" s="5"/>
      <c r="J11" s="5"/>
      <c r="K11" s="79"/>
      <c r="L11" s="33">
        <f>SUM(L9:L10)</f>
        <v>385826270.06655133</v>
      </c>
      <c r="M11" s="33">
        <f t="shared" ref="M11:N11" si="2">SUM(M9:M10)</f>
        <v>370018068.69895995</v>
      </c>
      <c r="N11" s="33">
        <f t="shared" si="2"/>
        <v>367446754.41776001</v>
      </c>
      <c r="P11" s="33">
        <f>SUM(P9:P10)</f>
        <v>473120415.12787223</v>
      </c>
      <c r="Q11" s="33">
        <f>SUM(Q9:Q10)</f>
        <v>482711947.49300992</v>
      </c>
      <c r="S11" s="76"/>
      <c r="T11" s="76"/>
    </row>
    <row r="12" spans="1:20" x14ac:dyDescent="0.25">
      <c r="A12" s="6">
        <f t="shared" si="1"/>
        <v>4</v>
      </c>
      <c r="D12" s="78"/>
      <c r="E12" s="78"/>
      <c r="F12" s="78"/>
      <c r="H12" s="80"/>
      <c r="I12" s="72"/>
      <c r="J12" s="72"/>
      <c r="L12" s="32"/>
      <c r="M12" s="32"/>
      <c r="N12" s="32"/>
      <c r="P12" s="32"/>
      <c r="S12" s="76"/>
      <c r="T12" s="76"/>
    </row>
    <row r="13" spans="1:20" x14ac:dyDescent="0.25">
      <c r="A13" s="6">
        <f t="shared" si="1"/>
        <v>5</v>
      </c>
      <c r="B13" s="58">
        <v>16</v>
      </c>
      <c r="C13" s="39" t="s">
        <v>220</v>
      </c>
      <c r="D13" s="42">
        <v>343.27700000000004</v>
      </c>
      <c r="E13" s="42">
        <v>368.21052631578942</v>
      </c>
      <c r="F13" s="42">
        <v>368.21052631578942</v>
      </c>
      <c r="H13" s="71">
        <v>12.14</v>
      </c>
      <c r="I13" s="72">
        <f>H13*(1+S13)</f>
        <v>15.522706390658247</v>
      </c>
      <c r="J13" s="72">
        <f>I13*(1+T13)</f>
        <v>16.066792294254899</v>
      </c>
      <c r="L13" s="32">
        <f>D13*$H13</f>
        <v>4167.3827800000008</v>
      </c>
      <c r="M13" s="32">
        <f t="shared" ref="M13:N13" si="3">E13*$H13</f>
        <v>4470.0757894736835</v>
      </c>
      <c r="N13" s="32">
        <f t="shared" si="3"/>
        <v>4470.0757894736835</v>
      </c>
      <c r="P13" s="32">
        <f>E13*I13</f>
        <v>5715.6238899497412</v>
      </c>
      <c r="Q13" s="32">
        <f>F13*J13</f>
        <v>5915.9620468740659</v>
      </c>
      <c r="S13" s="76">
        <f>S20/M19</f>
        <v>0.27864138308552272</v>
      </c>
      <c r="T13" s="76">
        <f>SUM(S20:T20)/N19-S13</f>
        <v>3.5050969199809767E-2</v>
      </c>
    </row>
    <row r="14" spans="1:20" x14ac:dyDescent="0.25">
      <c r="A14" s="6">
        <f t="shared" si="1"/>
        <v>6</v>
      </c>
      <c r="D14" s="77"/>
      <c r="E14" s="77"/>
      <c r="F14" s="77"/>
      <c r="G14" s="53"/>
      <c r="H14" s="78"/>
      <c r="L14" s="32"/>
      <c r="M14" s="32"/>
      <c r="N14" s="32"/>
      <c r="P14" s="32"/>
      <c r="Q14" s="32"/>
      <c r="S14" s="76"/>
      <c r="T14" s="76"/>
    </row>
    <row r="15" spans="1:20" x14ac:dyDescent="0.25">
      <c r="A15" s="6">
        <f t="shared" si="1"/>
        <v>7</v>
      </c>
      <c r="B15" s="6">
        <v>53</v>
      </c>
      <c r="C15" s="39" t="s">
        <v>219</v>
      </c>
      <c r="D15" s="77">
        <v>0</v>
      </c>
      <c r="E15" s="77">
        <v>0</v>
      </c>
      <c r="F15" s="77">
        <v>0</v>
      </c>
      <c r="G15" s="53"/>
      <c r="H15" s="71">
        <v>12.5</v>
      </c>
      <c r="I15" s="72">
        <f>H15*(1+S15)</f>
        <v>14.000000000000002</v>
      </c>
      <c r="J15" s="72">
        <f>I15*(1+T15)</f>
        <v>14.000000000000002</v>
      </c>
      <c r="L15" s="32">
        <f>D15*$H15</f>
        <v>0</v>
      </c>
      <c r="M15" s="32">
        <f t="shared" ref="M15:N16" si="4">E15*$H15</f>
        <v>0</v>
      </c>
      <c r="N15" s="32">
        <f t="shared" si="4"/>
        <v>0</v>
      </c>
      <c r="P15" s="32">
        <f t="shared" ref="P15:Q16" si="5">E15*I15</f>
        <v>0</v>
      </c>
      <c r="Q15" s="32">
        <f t="shared" si="5"/>
        <v>0</v>
      </c>
      <c r="S15" s="76">
        <f>S9</f>
        <v>0.12</v>
      </c>
      <c r="T15" s="76">
        <f>T9</f>
        <v>0</v>
      </c>
    </row>
    <row r="16" spans="1:20" x14ac:dyDescent="0.25">
      <c r="A16" s="6">
        <f t="shared" si="1"/>
        <v>8</v>
      </c>
      <c r="B16" s="6">
        <f t="shared" ref="B16:B17" si="6">+B15</f>
        <v>53</v>
      </c>
      <c r="C16" s="39" t="s">
        <v>220</v>
      </c>
      <c r="D16" s="77">
        <v>0</v>
      </c>
      <c r="E16" s="77">
        <v>0</v>
      </c>
      <c r="F16" s="77">
        <v>0</v>
      </c>
      <c r="G16" s="53"/>
      <c r="H16" s="74">
        <v>0.45612999999999998</v>
      </c>
      <c r="I16" s="75">
        <f t="shared" ref="I16:J16" si="7">H16*(1+S16)</f>
        <v>0.61957776856730451</v>
      </c>
      <c r="J16" s="75">
        <f t="shared" si="7"/>
        <v>0.6440653103971401</v>
      </c>
      <c r="L16" s="32">
        <f>D16*$H16</f>
        <v>0</v>
      </c>
      <c r="M16" s="32">
        <f t="shared" si="4"/>
        <v>0</v>
      </c>
      <c r="N16" s="32">
        <f t="shared" si="4"/>
        <v>0</v>
      </c>
      <c r="P16" s="32">
        <f t="shared" si="5"/>
        <v>0</v>
      </c>
      <c r="Q16" s="32">
        <f t="shared" si="5"/>
        <v>0</v>
      </c>
      <c r="S16" s="76">
        <f>S10</f>
        <v>0.3583359317898504</v>
      </c>
      <c r="T16" s="76">
        <f>T10</f>
        <v>3.9522951067886058E-2</v>
      </c>
    </row>
    <row r="17" spans="1:20" x14ac:dyDescent="0.25">
      <c r="A17" s="6">
        <f t="shared" si="1"/>
        <v>9</v>
      </c>
      <c r="B17" s="6">
        <f t="shared" si="6"/>
        <v>53</v>
      </c>
      <c r="C17" s="39" t="s">
        <v>223</v>
      </c>
      <c r="D17" s="53"/>
      <c r="E17" s="53"/>
      <c r="F17" s="53"/>
      <c r="G17" s="53"/>
      <c r="H17" s="81"/>
      <c r="I17" s="82"/>
      <c r="J17" s="82"/>
      <c r="L17" s="33">
        <f>SUM(L15:L16)</f>
        <v>0</v>
      </c>
      <c r="M17" s="33">
        <f t="shared" ref="M17:N17" si="8">SUM(M15:M16)</f>
        <v>0</v>
      </c>
      <c r="N17" s="33">
        <f t="shared" si="8"/>
        <v>0</v>
      </c>
      <c r="P17" s="33">
        <f>SUM(P15:P16)</f>
        <v>0</v>
      </c>
      <c r="Q17" s="33">
        <f>SUM(Q15:Q16)</f>
        <v>0</v>
      </c>
      <c r="S17" s="83"/>
      <c r="T17" s="83"/>
    </row>
    <row r="18" spans="1:20" x14ac:dyDescent="0.25">
      <c r="A18" s="6">
        <f t="shared" si="1"/>
        <v>10</v>
      </c>
      <c r="D18" s="53"/>
      <c r="E18" s="53"/>
      <c r="F18" s="53"/>
      <c r="G18" s="53"/>
      <c r="H18" s="80"/>
      <c r="I18" s="72"/>
      <c r="J18" s="72"/>
      <c r="L18" s="32"/>
      <c r="M18" s="32"/>
      <c r="N18" s="32"/>
      <c r="P18" s="32"/>
    </row>
    <row r="19" spans="1:20" x14ac:dyDescent="0.25">
      <c r="A19" s="6">
        <f t="shared" si="1"/>
        <v>11</v>
      </c>
      <c r="C19" s="39" t="s">
        <v>277</v>
      </c>
      <c r="D19" s="53"/>
      <c r="E19" s="53"/>
      <c r="F19" s="53"/>
      <c r="G19" s="53"/>
      <c r="H19" s="80"/>
      <c r="I19" s="72"/>
      <c r="J19" s="72"/>
      <c r="L19" s="32">
        <f>SUM(L11,L13,L17)</f>
        <v>385830437.44933134</v>
      </c>
      <c r="M19" s="32">
        <f t="shared" ref="M19:N19" si="9">SUM(M11,M13,M17)</f>
        <v>370022538.7747494</v>
      </c>
      <c r="N19" s="32">
        <f t="shared" si="9"/>
        <v>367451224.49354947</v>
      </c>
      <c r="P19" s="32">
        <f>SUM(P11,P13,P17)</f>
        <v>473126130.75176215</v>
      </c>
      <c r="Q19" s="32">
        <f>SUM(Q11,Q13,Q17)</f>
        <v>482717863.45505679</v>
      </c>
      <c r="S19" s="35">
        <v>473126130.75176203</v>
      </c>
      <c r="T19" s="35">
        <v>482717863.45505679</v>
      </c>
    </row>
    <row r="20" spans="1:20" x14ac:dyDescent="0.25">
      <c r="A20" s="6">
        <f t="shared" si="1"/>
        <v>12</v>
      </c>
      <c r="C20" s="39" t="s">
        <v>278</v>
      </c>
      <c r="D20" s="53"/>
      <c r="E20" s="53"/>
      <c r="F20" s="53"/>
      <c r="G20" s="53"/>
      <c r="H20" s="80"/>
      <c r="I20" s="72"/>
      <c r="J20" s="72"/>
      <c r="L20" s="32"/>
      <c r="M20" s="32"/>
      <c r="N20" s="32"/>
      <c r="P20" s="35">
        <v>473126130.75176203</v>
      </c>
      <c r="Q20" s="35">
        <v>482717863.45505679</v>
      </c>
      <c r="R20" s="78"/>
      <c r="S20" s="47">
        <f>S19-M19</f>
        <v>103103591.97701263</v>
      </c>
      <c r="T20" s="47">
        <f>T19-N19-S20</f>
        <v>12163046.984494686</v>
      </c>
    </row>
    <row r="21" spans="1:20" s="85" customFormat="1" x14ac:dyDescent="0.25">
      <c r="A21" s="6">
        <f t="shared" si="1"/>
        <v>13</v>
      </c>
      <c r="B21" s="84"/>
      <c r="C21" s="85" t="s">
        <v>45</v>
      </c>
      <c r="D21" s="86"/>
      <c r="E21" s="86"/>
      <c r="F21" s="86"/>
      <c r="G21" s="86"/>
      <c r="H21" s="87"/>
      <c r="I21" s="88"/>
      <c r="J21" s="88"/>
      <c r="L21" s="89">
        <v>0</v>
      </c>
      <c r="M21" s="89">
        <v>0</v>
      </c>
      <c r="N21" s="89">
        <v>0</v>
      </c>
      <c r="P21" s="89">
        <f>P19-P20</f>
        <v>0</v>
      </c>
      <c r="Q21" s="89">
        <f>Q19-Q20</f>
        <v>0</v>
      </c>
      <c r="S21" s="89">
        <f>S19-P19</f>
        <v>0</v>
      </c>
      <c r="T21" s="89">
        <f>T19-Q19</f>
        <v>0</v>
      </c>
    </row>
    <row r="22" spans="1:20" x14ac:dyDescent="0.25">
      <c r="A22" s="6">
        <f t="shared" si="1"/>
        <v>14</v>
      </c>
      <c r="D22" s="53"/>
      <c r="E22" s="53"/>
      <c r="F22" s="53"/>
      <c r="G22" s="53"/>
      <c r="H22" s="90"/>
      <c r="I22" s="91"/>
      <c r="J22" s="91"/>
      <c r="L22" s="32"/>
      <c r="M22" s="32"/>
      <c r="N22" s="32"/>
      <c r="S22" s="76"/>
      <c r="T22" s="76"/>
    </row>
    <row r="23" spans="1:20" x14ac:dyDescent="0.25">
      <c r="A23" s="6">
        <f t="shared" si="1"/>
        <v>15</v>
      </c>
      <c r="D23" s="53"/>
      <c r="E23" s="53"/>
      <c r="F23" s="53"/>
      <c r="G23" s="53"/>
      <c r="H23" s="90"/>
      <c r="I23" s="91"/>
      <c r="J23" s="91"/>
      <c r="L23" s="32"/>
      <c r="M23" s="32"/>
      <c r="N23" s="32"/>
    </row>
    <row r="24" spans="1:20" x14ac:dyDescent="0.25">
      <c r="A24" s="6">
        <f t="shared" si="1"/>
        <v>16</v>
      </c>
      <c r="B24" s="6">
        <v>31</v>
      </c>
      <c r="C24" s="39" t="s">
        <v>219</v>
      </c>
      <c r="D24" s="77">
        <v>704963.44880883337</v>
      </c>
      <c r="E24" s="77">
        <v>712854</v>
      </c>
      <c r="F24" s="77">
        <v>715502</v>
      </c>
      <c r="G24" s="53"/>
      <c r="H24" s="71">
        <v>38.89</v>
      </c>
      <c r="I24" s="72">
        <f>H24*(1+S24)</f>
        <v>50.557000000000002</v>
      </c>
      <c r="J24" s="72">
        <f>I24*(1+T24)</f>
        <v>65.724100000000007</v>
      </c>
      <c r="L24" s="32">
        <f>D24*$H24</f>
        <v>27416028.524175532</v>
      </c>
      <c r="M24" s="32">
        <f t="shared" ref="M24:N26" si="10">E24*$H24</f>
        <v>27722892.059999999</v>
      </c>
      <c r="N24" s="32">
        <f t="shared" si="10"/>
        <v>27825872.780000001</v>
      </c>
      <c r="P24" s="32">
        <f>E24*I24</f>
        <v>36039759.678000003</v>
      </c>
      <c r="Q24" s="32">
        <f>F24*J24</f>
        <v>47025724.998200007</v>
      </c>
      <c r="S24" s="73">
        <v>0.3</v>
      </c>
      <c r="T24" s="73">
        <f>S24</f>
        <v>0.3</v>
      </c>
    </row>
    <row r="25" spans="1:20" x14ac:dyDescent="0.25">
      <c r="A25" s="6">
        <f t="shared" si="1"/>
        <v>17</v>
      </c>
      <c r="B25" s="6">
        <v>31</v>
      </c>
      <c r="C25" s="39" t="s">
        <v>220</v>
      </c>
      <c r="D25" s="77">
        <v>233381197.66869646</v>
      </c>
      <c r="E25" s="77">
        <v>228527070</v>
      </c>
      <c r="F25" s="77">
        <v>228425254</v>
      </c>
      <c r="G25" s="53"/>
      <c r="H25" s="74">
        <v>0.41249000000000002</v>
      </c>
      <c r="I25" s="75">
        <f t="shared" ref="I25:J26" si="11">H25*(1+S25)</f>
        <v>0.58485869238343302</v>
      </c>
      <c r="J25" s="75">
        <f t="shared" si="11"/>
        <v>0.56413171293476005</v>
      </c>
      <c r="L25" s="32">
        <f t="shared" ref="L25:L26" si="12">D25*$H25</f>
        <v>96267410.226360604</v>
      </c>
      <c r="M25" s="32">
        <f t="shared" si="10"/>
        <v>94265131.104300007</v>
      </c>
      <c r="N25" s="32">
        <f t="shared" si="10"/>
        <v>94223133.022459999</v>
      </c>
      <c r="P25" s="32">
        <f t="shared" ref="P25:Q30" si="13">E25*I25</f>
        <v>133656043.33441727</v>
      </c>
      <c r="Q25" s="32">
        <f t="shared" si="13"/>
        <v>128861929.81657766</v>
      </c>
      <c r="S25" s="76">
        <f>(S$34-(SUM(P24,P26,P29)-SUM(M24,M26,M29)))/(M33-SUM(M24,M26,M29))</f>
        <v>0.41787362695685487</v>
      </c>
      <c r="T25" s="76">
        <f>((Q34-SUM(Q24,Q26,Q29))/F25)/I25-1</f>
        <v>-3.5439294514382214E-2</v>
      </c>
    </row>
    <row r="26" spans="1:20" x14ac:dyDescent="0.25">
      <c r="A26" s="6">
        <f t="shared" si="1"/>
        <v>18</v>
      </c>
      <c r="B26" s="6">
        <v>31</v>
      </c>
      <c r="C26" s="39" t="s">
        <v>221</v>
      </c>
      <c r="D26" s="77">
        <v>233381197.66869646</v>
      </c>
      <c r="E26" s="77">
        <v>228527070</v>
      </c>
      <c r="F26" s="77">
        <v>228425254</v>
      </c>
      <c r="G26" s="53"/>
      <c r="H26" s="74">
        <v>1.4919999999999999E-2</v>
      </c>
      <c r="I26" s="75">
        <f>H26*(1+S26)</f>
        <v>1.8514105689995088E-2</v>
      </c>
      <c r="J26" s="75">
        <f t="shared" si="11"/>
        <v>1.8514105689995088E-2</v>
      </c>
      <c r="L26" s="32">
        <f t="shared" si="12"/>
        <v>3482047.4692169512</v>
      </c>
      <c r="M26" s="32">
        <f t="shared" si="10"/>
        <v>3409623.8843999999</v>
      </c>
      <c r="N26" s="32">
        <f t="shared" si="10"/>
        <v>3408104.7896799999</v>
      </c>
      <c r="P26" s="32">
        <f t="shared" si="13"/>
        <v>4230974.3270049058</v>
      </c>
      <c r="Q26" s="32">
        <f t="shared" si="13"/>
        <v>4229089.2948199734</v>
      </c>
      <c r="S26" s="76">
        <v>0.24089180227849125</v>
      </c>
      <c r="T26" s="76">
        <v>0</v>
      </c>
    </row>
    <row r="27" spans="1:20" x14ac:dyDescent="0.25">
      <c r="A27" s="6">
        <f t="shared" si="1"/>
        <v>19</v>
      </c>
      <c r="B27" s="6">
        <v>31</v>
      </c>
      <c r="C27" s="39" t="s">
        <v>223</v>
      </c>
      <c r="D27" s="77"/>
      <c r="E27" s="77"/>
      <c r="F27" s="77"/>
      <c r="G27" s="53"/>
      <c r="H27" s="80"/>
      <c r="I27" s="72"/>
      <c r="J27" s="72"/>
      <c r="L27" s="33">
        <f>SUM(L24:L26)</f>
        <v>127165486.2197531</v>
      </c>
      <c r="M27" s="33">
        <f t="shared" ref="M27:N27" si="14">SUM(M24:M26)</f>
        <v>125397647.0487</v>
      </c>
      <c r="N27" s="33">
        <f t="shared" si="14"/>
        <v>125457110.59214</v>
      </c>
      <c r="O27" s="32"/>
      <c r="P27" s="33">
        <f t="shared" ref="P27:Q27" si="15">SUM(P24:P26)</f>
        <v>173926777.33942217</v>
      </c>
      <c r="Q27" s="33">
        <f t="shared" si="15"/>
        <v>180116744.10959765</v>
      </c>
      <c r="S27" s="76"/>
      <c r="T27" s="76"/>
    </row>
    <row r="28" spans="1:20" x14ac:dyDescent="0.25">
      <c r="A28" s="6">
        <f t="shared" si="1"/>
        <v>20</v>
      </c>
      <c r="D28" s="77"/>
      <c r="E28" s="77"/>
      <c r="F28" s="77"/>
      <c r="G28" s="53"/>
      <c r="H28" s="80"/>
      <c r="I28" s="72"/>
      <c r="J28" s="72"/>
      <c r="L28" s="32"/>
      <c r="M28" s="32"/>
      <c r="N28" s="32"/>
      <c r="P28" s="32"/>
      <c r="Q28" s="32"/>
      <c r="S28" s="76"/>
      <c r="T28" s="76"/>
    </row>
    <row r="29" spans="1:20" x14ac:dyDescent="0.25">
      <c r="A29" s="6">
        <f t="shared" si="1"/>
        <v>21</v>
      </c>
      <c r="B29" s="6" t="s">
        <v>279</v>
      </c>
      <c r="C29" s="39" t="s">
        <v>219</v>
      </c>
      <c r="D29" s="77">
        <v>12</v>
      </c>
      <c r="E29" s="77">
        <v>0</v>
      </c>
      <c r="F29" s="77">
        <v>0</v>
      </c>
      <c r="G29" s="53"/>
      <c r="H29" s="71">
        <v>364.04</v>
      </c>
      <c r="I29" s="72">
        <f t="shared" ref="I29:J30" si="16">H29*(1+S29)</f>
        <v>364.04</v>
      </c>
      <c r="J29" s="72">
        <f t="shared" si="16"/>
        <v>364.04</v>
      </c>
      <c r="L29" s="32">
        <f t="shared" ref="L29:N30" si="17">D29*$H29</f>
        <v>4368.4800000000005</v>
      </c>
      <c r="M29" s="32">
        <f t="shared" si="17"/>
        <v>0</v>
      </c>
      <c r="N29" s="32">
        <f t="shared" si="17"/>
        <v>0</v>
      </c>
      <c r="P29" s="32">
        <f t="shared" si="13"/>
        <v>0</v>
      </c>
      <c r="Q29" s="32">
        <f t="shared" si="13"/>
        <v>0</v>
      </c>
      <c r="S29" s="73">
        <v>0</v>
      </c>
      <c r="T29" s="73">
        <v>0</v>
      </c>
    </row>
    <row r="30" spans="1:20" x14ac:dyDescent="0.25">
      <c r="A30" s="6">
        <f t="shared" si="1"/>
        <v>22</v>
      </c>
      <c r="B30" s="6" t="s">
        <v>279</v>
      </c>
      <c r="C30" s="39" t="s">
        <v>220</v>
      </c>
      <c r="D30" s="77">
        <v>1047.2599999999998</v>
      </c>
      <c r="E30" s="77">
        <v>0</v>
      </c>
      <c r="F30" s="77">
        <v>0</v>
      </c>
      <c r="G30" s="53"/>
      <c r="H30" s="74">
        <v>0.41249000000000002</v>
      </c>
      <c r="I30" s="75">
        <f t="shared" si="16"/>
        <v>0.58485869238343302</v>
      </c>
      <c r="J30" s="75">
        <f t="shared" si="16"/>
        <v>0.56413171293476005</v>
      </c>
      <c r="L30" s="32">
        <f t="shared" si="17"/>
        <v>431.98427739999994</v>
      </c>
      <c r="M30" s="32">
        <f t="shared" si="17"/>
        <v>0</v>
      </c>
      <c r="N30" s="32">
        <f t="shared" si="17"/>
        <v>0</v>
      </c>
      <c r="P30" s="32">
        <f t="shared" si="13"/>
        <v>0</v>
      </c>
      <c r="Q30" s="32">
        <f t="shared" si="13"/>
        <v>0</v>
      </c>
      <c r="S30" s="76">
        <f>S25</f>
        <v>0.41787362695685487</v>
      </c>
      <c r="T30" s="76">
        <f>T25</f>
        <v>-3.5439294514382214E-2</v>
      </c>
    </row>
    <row r="31" spans="1:20" x14ac:dyDescent="0.25">
      <c r="A31" s="6">
        <f t="shared" si="1"/>
        <v>23</v>
      </c>
      <c r="B31" s="6" t="s">
        <v>279</v>
      </c>
      <c r="C31" s="39" t="s">
        <v>223</v>
      </c>
      <c r="D31" s="77"/>
      <c r="E31" s="77"/>
      <c r="F31" s="77"/>
      <c r="G31" s="53"/>
      <c r="H31" s="90"/>
      <c r="I31" s="91"/>
      <c r="J31" s="91"/>
      <c r="L31" s="33">
        <f>SUM(L29:L30)</f>
        <v>4800.4642774000004</v>
      </c>
      <c r="M31" s="33">
        <f t="shared" ref="M31:N31" si="18">SUM(M29:M30)</f>
        <v>0</v>
      </c>
      <c r="N31" s="33">
        <f t="shared" si="18"/>
        <v>0</v>
      </c>
      <c r="O31" s="32"/>
      <c r="P31" s="33">
        <f t="shared" ref="P31:Q31" si="19">SUM(P29:P30)</f>
        <v>0</v>
      </c>
      <c r="Q31" s="33">
        <f t="shared" si="19"/>
        <v>0</v>
      </c>
    </row>
    <row r="32" spans="1:20" x14ac:dyDescent="0.25">
      <c r="A32" s="6">
        <f t="shared" si="1"/>
        <v>24</v>
      </c>
      <c r="D32" s="53"/>
      <c r="E32" s="53"/>
      <c r="F32" s="53"/>
      <c r="G32" s="53"/>
      <c r="H32" s="90"/>
      <c r="I32" s="91"/>
      <c r="J32" s="91"/>
      <c r="L32" s="32"/>
      <c r="M32" s="32"/>
      <c r="N32" s="32"/>
    </row>
    <row r="33" spans="1:20" x14ac:dyDescent="0.25">
      <c r="A33" s="6">
        <f t="shared" si="1"/>
        <v>25</v>
      </c>
      <c r="C33" s="39" t="s">
        <v>280</v>
      </c>
      <c r="D33" s="53"/>
      <c r="E33" s="53"/>
      <c r="F33" s="53"/>
      <c r="G33" s="53"/>
      <c r="H33" s="90"/>
      <c r="I33" s="91"/>
      <c r="J33" s="91"/>
      <c r="L33" s="32">
        <f>SUM(L27,L31)</f>
        <v>127170286.6840305</v>
      </c>
      <c r="M33" s="32">
        <f t="shared" ref="M33:Q33" si="20">SUM(M27,M31)</f>
        <v>125397647.0487</v>
      </c>
      <c r="N33" s="32">
        <f t="shared" si="20"/>
        <v>125457110.59214</v>
      </c>
      <c r="O33" s="32"/>
      <c r="P33" s="32">
        <f t="shared" si="20"/>
        <v>173926777.33942217</v>
      </c>
      <c r="Q33" s="32">
        <f t="shared" si="20"/>
        <v>180116744.10959765</v>
      </c>
      <c r="S33" s="35">
        <v>173926777.3394222</v>
      </c>
      <c r="T33" s="35">
        <v>180116744.10959762</v>
      </c>
    </row>
    <row r="34" spans="1:20" x14ac:dyDescent="0.25">
      <c r="A34" s="6">
        <f t="shared" si="1"/>
        <v>26</v>
      </c>
      <c r="C34" s="39" t="s">
        <v>278</v>
      </c>
      <c r="D34" s="53"/>
      <c r="E34" s="53"/>
      <c r="F34" s="53"/>
      <c r="G34" s="53"/>
      <c r="H34" s="90"/>
      <c r="I34" s="91"/>
      <c r="J34" s="91"/>
      <c r="L34" s="32"/>
      <c r="M34" s="32"/>
      <c r="N34" s="32"/>
      <c r="P34" s="35">
        <v>173926777.3394222</v>
      </c>
      <c r="Q34" s="35">
        <v>180116744.10959762</v>
      </c>
      <c r="R34" s="78"/>
      <c r="S34" s="47">
        <f>S33-M33</f>
        <v>48529130.290722191</v>
      </c>
      <c r="T34" s="47">
        <f>T33-N33-S34</f>
        <v>6130503.226735428</v>
      </c>
    </row>
    <row r="35" spans="1:20" x14ac:dyDescent="0.25">
      <c r="A35" s="6">
        <f t="shared" si="1"/>
        <v>27</v>
      </c>
      <c r="C35" s="85" t="s">
        <v>45</v>
      </c>
      <c r="D35" s="86"/>
      <c r="E35" s="86"/>
      <c r="F35" s="86"/>
      <c r="G35" s="86"/>
      <c r="H35" s="88"/>
      <c r="I35" s="88"/>
      <c r="J35" s="88"/>
      <c r="K35" s="85"/>
      <c r="L35" s="89">
        <v>0</v>
      </c>
      <c r="M35" s="89">
        <v>0</v>
      </c>
      <c r="N35" s="89">
        <v>0</v>
      </c>
      <c r="O35" s="85"/>
      <c r="P35" s="89">
        <f>P33-P34</f>
        <v>0</v>
      </c>
      <c r="Q35" s="89">
        <f>Q33-Q34</f>
        <v>0</v>
      </c>
      <c r="R35" s="85"/>
      <c r="S35" s="89">
        <f>S33-P33</f>
        <v>0</v>
      </c>
      <c r="T35" s="89">
        <f>T33-Q33</f>
        <v>0</v>
      </c>
    </row>
    <row r="36" spans="1:20" x14ac:dyDescent="0.25">
      <c r="A36" s="6">
        <f t="shared" si="1"/>
        <v>28</v>
      </c>
      <c r="D36" s="53"/>
      <c r="E36" s="53"/>
      <c r="F36" s="53"/>
      <c r="G36" s="53"/>
      <c r="H36" s="90"/>
      <c r="I36" s="91"/>
      <c r="J36" s="91"/>
      <c r="L36" s="32"/>
      <c r="M36" s="32"/>
      <c r="N36" s="32"/>
    </row>
    <row r="37" spans="1:20" x14ac:dyDescent="0.25">
      <c r="A37" s="6">
        <f t="shared" si="1"/>
        <v>29</v>
      </c>
      <c r="D37" s="53"/>
      <c r="E37" s="53"/>
      <c r="F37" s="53"/>
      <c r="G37" s="53"/>
      <c r="H37" s="90"/>
      <c r="I37" s="91"/>
      <c r="J37" s="91"/>
      <c r="L37" s="32"/>
      <c r="M37" s="32"/>
      <c r="N37" s="32"/>
    </row>
    <row r="38" spans="1:20" x14ac:dyDescent="0.25">
      <c r="A38" s="6">
        <f t="shared" si="1"/>
        <v>30</v>
      </c>
      <c r="B38" s="6">
        <v>41</v>
      </c>
      <c r="C38" s="52" t="s">
        <v>219</v>
      </c>
      <c r="D38" s="77">
        <v>15038.317323823621</v>
      </c>
      <c r="E38" s="77">
        <v>15068</v>
      </c>
      <c r="F38" s="77">
        <v>15045</v>
      </c>
      <c r="G38" s="53"/>
      <c r="H38" s="71">
        <v>130.33000000000001</v>
      </c>
      <c r="I38" s="72">
        <f>H38*(1+S38)</f>
        <v>169.42900000000003</v>
      </c>
      <c r="J38" s="72">
        <f>I38*(1+T38)</f>
        <v>220.25770000000006</v>
      </c>
      <c r="L38" s="32">
        <f>D38*$H38</f>
        <v>1959943.8968139328</v>
      </c>
      <c r="M38" s="32">
        <f t="shared" ref="M38:N46" si="21">E38*$H38</f>
        <v>1963812.4400000002</v>
      </c>
      <c r="N38" s="32">
        <f t="shared" si="21"/>
        <v>1960814.85</v>
      </c>
      <c r="P38" s="32">
        <f>E38*I38</f>
        <v>2552956.1720000003</v>
      </c>
      <c r="Q38" s="32">
        <f>F38*J38</f>
        <v>3313777.0965000009</v>
      </c>
      <c r="S38" s="73">
        <v>0.3</v>
      </c>
      <c r="T38" s="73">
        <f>S38</f>
        <v>0.3</v>
      </c>
    </row>
    <row r="39" spans="1:20" x14ac:dyDescent="0.25">
      <c r="A39" s="6">
        <f t="shared" si="1"/>
        <v>31</v>
      </c>
      <c r="B39" s="6">
        <v>41</v>
      </c>
      <c r="C39" s="5" t="s">
        <v>225</v>
      </c>
      <c r="D39" s="77">
        <v>4963628.5204616161</v>
      </c>
      <c r="E39" s="77">
        <v>4954236</v>
      </c>
      <c r="F39" s="77">
        <v>4954236</v>
      </c>
      <c r="G39" s="53"/>
      <c r="H39" s="71">
        <v>1.37</v>
      </c>
      <c r="I39" s="72">
        <f>H39*(1+S39)</f>
        <v>1.6166</v>
      </c>
      <c r="J39" s="72">
        <f>I39*(1+T39)</f>
        <v>1.9075879999999998</v>
      </c>
      <c r="L39" s="32">
        <f t="shared" ref="L39:L46" si="22">D39*$H39</f>
        <v>6800171.0730324145</v>
      </c>
      <c r="M39" s="32">
        <f t="shared" si="21"/>
        <v>6787303.3200000003</v>
      </c>
      <c r="N39" s="32">
        <f t="shared" si="21"/>
        <v>6787303.3200000003</v>
      </c>
      <c r="P39" s="32">
        <f t="shared" ref="P39:Q46" si="23">E39*I39</f>
        <v>8009017.9176000003</v>
      </c>
      <c r="Q39" s="32">
        <f t="shared" si="23"/>
        <v>9450641.1427679993</v>
      </c>
      <c r="S39" s="73">
        <v>0.18</v>
      </c>
      <c r="T39" s="73">
        <f>S39</f>
        <v>0.18</v>
      </c>
    </row>
    <row r="40" spans="1:20" x14ac:dyDescent="0.25">
      <c r="A40" s="6">
        <f t="shared" si="1"/>
        <v>32</v>
      </c>
      <c r="B40" s="6">
        <v>41</v>
      </c>
      <c r="C40" s="52" t="s">
        <v>221</v>
      </c>
      <c r="D40" s="77">
        <v>66864863.353552669</v>
      </c>
      <c r="E40" s="77">
        <v>60329188.999999993</v>
      </c>
      <c r="F40" s="77">
        <v>59497852</v>
      </c>
      <c r="G40" s="53"/>
      <c r="H40" s="74">
        <v>1.119E-2</v>
      </c>
      <c r="I40" s="75">
        <f t="shared" ref="I40:J41" si="24">H40*(1+S40)</f>
        <v>1.5000885315999673E-2</v>
      </c>
      <c r="J40" s="75">
        <f t="shared" si="24"/>
        <v>1.5013592424837232E-2</v>
      </c>
      <c r="L40" s="32">
        <f t="shared" si="22"/>
        <v>748217.82092625438</v>
      </c>
      <c r="M40" s="32">
        <f t="shared" si="21"/>
        <v>675083.6249099999</v>
      </c>
      <c r="N40" s="32">
        <f t="shared" si="21"/>
        <v>665780.96388000005</v>
      </c>
      <c r="P40" s="32">
        <f t="shared" si="23"/>
        <v>904991.2453962689</v>
      </c>
      <c r="Q40" s="32">
        <f t="shared" si="23"/>
        <v>893276.50008128677</v>
      </c>
      <c r="S40" s="76">
        <v>0.34056169043786161</v>
      </c>
      <c r="T40" s="76">
        <v>8.4709059298017169E-4</v>
      </c>
    </row>
    <row r="41" spans="1:20" x14ac:dyDescent="0.25">
      <c r="A41" s="6">
        <f t="shared" si="1"/>
        <v>33</v>
      </c>
      <c r="B41" s="6">
        <v>41</v>
      </c>
      <c r="C41" s="5" t="s">
        <v>224</v>
      </c>
      <c r="D41" s="77">
        <v>15038.317323823621</v>
      </c>
      <c r="E41" s="77">
        <v>15068</v>
      </c>
      <c r="F41" s="77">
        <v>15045</v>
      </c>
      <c r="G41" s="53"/>
      <c r="H41" s="71">
        <v>126.28</v>
      </c>
      <c r="I41" s="72">
        <f t="shared" si="24"/>
        <v>187.0585317531125</v>
      </c>
      <c r="J41" s="72">
        <f t="shared" si="24"/>
        <v>169.39512460712169</v>
      </c>
      <c r="L41" s="32">
        <f t="shared" si="22"/>
        <v>1899038.711652447</v>
      </c>
      <c r="M41" s="32">
        <f t="shared" si="21"/>
        <v>1902787.04</v>
      </c>
      <c r="N41" s="32">
        <f t="shared" si="21"/>
        <v>1899882.6</v>
      </c>
      <c r="P41" s="32">
        <f t="shared" si="23"/>
        <v>2818597.9564558994</v>
      </c>
      <c r="Q41" s="32">
        <f t="shared" si="23"/>
        <v>2548549.6497141458</v>
      </c>
      <c r="S41" s="76">
        <f>S45</f>
        <v>0.48129974463978864</v>
      </c>
      <c r="T41" s="76">
        <f>T45</f>
        <v>-9.4427166622390146E-2</v>
      </c>
    </row>
    <row r="42" spans="1:20" x14ac:dyDescent="0.25">
      <c r="A42" s="6">
        <f t="shared" si="1"/>
        <v>34</v>
      </c>
      <c r="D42" s="77"/>
      <c r="E42" s="77"/>
      <c r="F42" s="77"/>
      <c r="G42" s="53"/>
      <c r="H42" s="80"/>
      <c r="I42" s="72"/>
      <c r="J42" s="72"/>
      <c r="L42" s="32"/>
      <c r="M42" s="32"/>
      <c r="N42" s="32"/>
      <c r="P42" s="32"/>
      <c r="Q42" s="32"/>
      <c r="S42" s="76"/>
      <c r="T42" s="76"/>
    </row>
    <row r="43" spans="1:20" x14ac:dyDescent="0.25">
      <c r="A43" s="6">
        <f t="shared" si="1"/>
        <v>35</v>
      </c>
      <c r="B43" s="6">
        <v>41</v>
      </c>
      <c r="C43" s="5" t="s">
        <v>226</v>
      </c>
      <c r="D43" s="77"/>
      <c r="E43" s="77"/>
      <c r="F43" s="77"/>
      <c r="G43" s="53"/>
      <c r="H43" s="80"/>
      <c r="I43" s="72"/>
      <c r="J43" s="72"/>
      <c r="L43" s="32"/>
      <c r="M43" s="32"/>
      <c r="N43" s="32"/>
      <c r="P43" s="32"/>
      <c r="Q43" s="32"/>
      <c r="S43" s="76"/>
      <c r="T43" s="76"/>
    </row>
    <row r="44" spans="1:20" x14ac:dyDescent="0.25">
      <c r="A44" s="6">
        <f t="shared" si="1"/>
        <v>36</v>
      </c>
      <c r="B44" s="6">
        <v>41</v>
      </c>
      <c r="C44" s="5" t="s">
        <v>199</v>
      </c>
      <c r="D44" s="77">
        <v>12370998.835000003</v>
      </c>
      <c r="E44" s="77">
        <v>11140115.685099758</v>
      </c>
      <c r="F44" s="77">
        <v>11000787.386478601</v>
      </c>
      <c r="G44" s="53"/>
      <c r="H44" s="74">
        <v>0.14030999999999999</v>
      </c>
      <c r="I44" s="75">
        <f t="shared" ref="I44:J46" si="25">H44*(1+S44)</f>
        <v>0.20784116717040874</v>
      </c>
      <c r="J44" s="75">
        <f t="shared" si="25"/>
        <v>0.18821531464701652</v>
      </c>
      <c r="L44" s="92" t="s">
        <v>281</v>
      </c>
      <c r="M44" s="92"/>
      <c r="N44" s="92"/>
      <c r="P44" s="92" t="s">
        <v>281</v>
      </c>
      <c r="Q44" s="92"/>
      <c r="S44" s="76">
        <f>S45</f>
        <v>0.48129974463978864</v>
      </c>
      <c r="T44" s="76">
        <f>T45</f>
        <v>-9.4427166622390146E-2</v>
      </c>
    </row>
    <row r="45" spans="1:20" x14ac:dyDescent="0.25">
      <c r="A45" s="6">
        <f t="shared" si="1"/>
        <v>37</v>
      </c>
      <c r="B45" s="6">
        <v>41</v>
      </c>
      <c r="C45" s="5" t="s">
        <v>200</v>
      </c>
      <c r="D45" s="77">
        <v>30224223.691999998</v>
      </c>
      <c r="E45" s="77">
        <v>27234497.836222988</v>
      </c>
      <c r="F45" s="77">
        <v>26882406.013379473</v>
      </c>
      <c r="G45" s="53"/>
      <c r="H45" s="74">
        <v>0.14030999999999999</v>
      </c>
      <c r="I45" s="75">
        <f t="shared" si="25"/>
        <v>0.20784116717040874</v>
      </c>
      <c r="J45" s="75">
        <f t="shared" si="25"/>
        <v>0.18821531464701652</v>
      </c>
      <c r="L45" s="32">
        <f t="shared" si="22"/>
        <v>4240760.8262245199</v>
      </c>
      <c r="M45" s="32">
        <f t="shared" si="21"/>
        <v>3821272.3914004471</v>
      </c>
      <c r="N45" s="32">
        <f t="shared" si="21"/>
        <v>3771870.3877372737</v>
      </c>
      <c r="P45" s="32">
        <f t="shared" si="23"/>
        <v>5660449.8175805574</v>
      </c>
      <c r="Q45" s="32">
        <f t="shared" si="23"/>
        <v>5059680.5062770667</v>
      </c>
      <c r="S45" s="76">
        <f>(S$64-(SUM(P38,P39,P40,P51,P52)-SUM(M38,M39,M40,M51,M52)))/(M63-SUM(M38,M39,M40,M51,M52))</f>
        <v>0.48129974463978864</v>
      </c>
      <c r="T45" s="76">
        <f>((Q64-SUM(Q38:Q40,Q51:Q52)))/((I41*SUM(F41,F53))+(I45*SUM(F45,F57))+(I46*SUM(F46,F58)))-1</f>
        <v>-9.4427166622390146E-2</v>
      </c>
    </row>
    <row r="46" spans="1:20" x14ac:dyDescent="0.25">
      <c r="A46" s="6">
        <f t="shared" si="1"/>
        <v>38</v>
      </c>
      <c r="B46" s="6">
        <v>41</v>
      </c>
      <c r="C46" s="5" t="s">
        <v>227</v>
      </c>
      <c r="D46" s="77">
        <v>24269640.826552667</v>
      </c>
      <c r="E46" s="77">
        <v>21954575.478677247</v>
      </c>
      <c r="F46" s="77">
        <v>21614658.600141924</v>
      </c>
      <c r="G46" s="53"/>
      <c r="H46" s="74">
        <v>0.12131</v>
      </c>
      <c r="I46" s="75">
        <f t="shared" si="25"/>
        <v>0.17969647202225275</v>
      </c>
      <c r="J46" s="75">
        <f t="shared" si="25"/>
        <v>0.16272824331715183</v>
      </c>
      <c r="L46" s="32">
        <f t="shared" si="22"/>
        <v>2944150.1286691041</v>
      </c>
      <c r="M46" s="32">
        <f t="shared" si="21"/>
        <v>2663309.5513183367</v>
      </c>
      <c r="N46" s="32">
        <f t="shared" si="21"/>
        <v>2622074.2347832168</v>
      </c>
      <c r="P46" s="32">
        <f t="shared" si="23"/>
        <v>3945159.7582645621</v>
      </c>
      <c r="Q46" s="32">
        <f t="shared" si="23"/>
        <v>3517315.4239010634</v>
      </c>
      <c r="S46" s="76">
        <f>S45</f>
        <v>0.48129974463978864</v>
      </c>
      <c r="T46" s="76">
        <f>T45</f>
        <v>-9.4427166622390146E-2</v>
      </c>
    </row>
    <row r="47" spans="1:20" x14ac:dyDescent="0.25">
      <c r="A47" s="6">
        <f t="shared" si="1"/>
        <v>39</v>
      </c>
      <c r="B47" s="6">
        <v>41</v>
      </c>
      <c r="C47" s="52" t="s">
        <v>222</v>
      </c>
      <c r="D47" s="93">
        <f>SUM(D44:D46)</f>
        <v>66864863.353552669</v>
      </c>
      <c r="E47" s="93">
        <f t="shared" ref="E47:F47" si="26">SUM(E44:E46)</f>
        <v>60329188.999999985</v>
      </c>
      <c r="F47" s="93">
        <f t="shared" si="26"/>
        <v>59497852</v>
      </c>
      <c r="G47" s="53"/>
      <c r="H47" s="90"/>
      <c r="I47" s="91"/>
      <c r="J47" s="91"/>
      <c r="L47" s="33">
        <f>SUM(L45:L46)</f>
        <v>7184910.9548936244</v>
      </c>
      <c r="M47" s="33">
        <f t="shared" ref="M47:N47" si="27">SUM(M45:M46)</f>
        <v>6484581.9427187834</v>
      </c>
      <c r="N47" s="33">
        <f t="shared" si="27"/>
        <v>6393944.6225204905</v>
      </c>
      <c r="O47" s="32"/>
      <c r="P47" s="33">
        <f>SUM(P45:P46)</f>
        <v>9605609.5758451186</v>
      </c>
      <c r="Q47" s="33">
        <f>SUM(Q45:Q46)</f>
        <v>8576995.93017813</v>
      </c>
      <c r="S47" s="76"/>
      <c r="T47" s="76"/>
    </row>
    <row r="48" spans="1:20" x14ac:dyDescent="0.25">
      <c r="A48" s="6">
        <f t="shared" si="1"/>
        <v>40</v>
      </c>
      <c r="D48" s="77"/>
      <c r="E48" s="77"/>
      <c r="F48" s="77"/>
      <c r="G48" s="53"/>
      <c r="H48" s="90"/>
      <c r="I48" s="91"/>
      <c r="J48" s="91"/>
      <c r="L48" s="32"/>
      <c r="M48" s="32"/>
      <c r="N48" s="32"/>
      <c r="S48" s="76"/>
      <c r="T48" s="76"/>
    </row>
    <row r="49" spans="1:20" x14ac:dyDescent="0.25">
      <c r="A49" s="6">
        <f t="shared" si="1"/>
        <v>41</v>
      </c>
      <c r="B49" s="6">
        <v>41</v>
      </c>
      <c r="C49" s="52" t="s">
        <v>223</v>
      </c>
      <c r="D49" s="77"/>
      <c r="E49" s="77"/>
      <c r="F49" s="77"/>
      <c r="G49" s="53"/>
      <c r="H49" s="90"/>
      <c r="I49" s="91"/>
      <c r="J49" s="91"/>
      <c r="L49" s="32">
        <f>SUM(L38:L41,L47)</f>
        <v>18592282.457318671</v>
      </c>
      <c r="M49" s="32">
        <f t="shared" ref="M49:Q49" si="28">SUM(M38:M41,M47)</f>
        <v>17813568.367628783</v>
      </c>
      <c r="N49" s="32">
        <f t="shared" si="28"/>
        <v>17707726.35640049</v>
      </c>
      <c r="O49" s="32"/>
      <c r="P49" s="32">
        <f t="shared" si="28"/>
        <v>23891172.867297288</v>
      </c>
      <c r="Q49" s="32">
        <f t="shared" si="28"/>
        <v>24783240.319241561</v>
      </c>
      <c r="S49" s="76"/>
      <c r="T49" s="76"/>
    </row>
    <row r="50" spans="1:20" x14ac:dyDescent="0.25">
      <c r="A50" s="6">
        <f t="shared" si="1"/>
        <v>42</v>
      </c>
      <c r="C50" s="52"/>
      <c r="D50" s="77"/>
      <c r="E50" s="77"/>
      <c r="F50" s="77"/>
      <c r="G50" s="53"/>
      <c r="H50" s="90"/>
      <c r="I50" s="91"/>
      <c r="J50" s="91"/>
      <c r="L50" s="32"/>
      <c r="M50" s="32"/>
      <c r="N50" s="32"/>
      <c r="S50" s="76"/>
      <c r="T50" s="76"/>
    </row>
    <row r="51" spans="1:20" x14ac:dyDescent="0.25">
      <c r="A51" s="6">
        <f t="shared" si="1"/>
        <v>43</v>
      </c>
      <c r="B51" s="6" t="s">
        <v>282</v>
      </c>
      <c r="C51" s="52" t="s">
        <v>219</v>
      </c>
      <c r="D51" s="77">
        <v>1128</v>
      </c>
      <c r="E51" s="77">
        <v>1128</v>
      </c>
      <c r="F51" s="77">
        <v>1128</v>
      </c>
      <c r="G51" s="53"/>
      <c r="H51" s="71">
        <v>422.79</v>
      </c>
      <c r="I51" s="72">
        <f t="shared" ref="I51:J53" si="29">H51*(1+S51)</f>
        <v>422.79</v>
      </c>
      <c r="J51" s="72">
        <f t="shared" si="29"/>
        <v>422.79</v>
      </c>
      <c r="L51" s="32">
        <f>D51*$H51</f>
        <v>476907.12</v>
      </c>
      <c r="M51" s="32">
        <f t="shared" ref="M51:N53" si="30">E51*$H51</f>
        <v>476907.12</v>
      </c>
      <c r="N51" s="32">
        <f t="shared" si="30"/>
        <v>476907.12</v>
      </c>
      <c r="P51" s="32">
        <f>E51*I51</f>
        <v>476907.12</v>
      </c>
      <c r="Q51" s="32">
        <f>F51*J51</f>
        <v>476907.12</v>
      </c>
      <c r="S51" s="73">
        <v>0</v>
      </c>
      <c r="T51" s="73">
        <v>0</v>
      </c>
    </row>
    <row r="52" spans="1:20" x14ac:dyDescent="0.25">
      <c r="A52" s="6">
        <f t="shared" si="1"/>
        <v>44</v>
      </c>
      <c r="B52" s="6" t="s">
        <v>282</v>
      </c>
      <c r="C52" s="5" t="s">
        <v>225</v>
      </c>
      <c r="D52" s="77">
        <v>1086180.1828917051</v>
      </c>
      <c r="E52" s="77">
        <v>1060020</v>
      </c>
      <c r="F52" s="77">
        <v>1060020</v>
      </c>
      <c r="G52" s="53"/>
      <c r="H52" s="71">
        <v>1.37</v>
      </c>
      <c r="I52" s="72">
        <f t="shared" si="29"/>
        <v>1.6166</v>
      </c>
      <c r="J52" s="72">
        <f t="shared" si="29"/>
        <v>1.9075879999999998</v>
      </c>
      <c r="L52" s="32">
        <f t="shared" ref="L52:L53" si="31">D52*$H52</f>
        <v>1488066.850561636</v>
      </c>
      <c r="M52" s="32">
        <f t="shared" si="30"/>
        <v>1452227.4000000001</v>
      </c>
      <c r="N52" s="32">
        <f t="shared" si="30"/>
        <v>1452227.4000000001</v>
      </c>
      <c r="P52" s="32">
        <f t="shared" ref="P52:Q53" si="32">E52*I52</f>
        <v>1713628.3319999999</v>
      </c>
      <c r="Q52" s="32">
        <f t="shared" si="32"/>
        <v>2022081.4317599998</v>
      </c>
      <c r="S52" s="73">
        <f>S39</f>
        <v>0.18</v>
      </c>
      <c r="T52" s="73">
        <f>T39</f>
        <v>0.18</v>
      </c>
    </row>
    <row r="53" spans="1:20" x14ac:dyDescent="0.25">
      <c r="A53" s="6">
        <f t="shared" si="1"/>
        <v>45</v>
      </c>
      <c r="B53" s="6" t="s">
        <v>282</v>
      </c>
      <c r="C53" s="5" t="s">
        <v>224</v>
      </c>
      <c r="D53" s="77">
        <v>1128</v>
      </c>
      <c r="E53" s="77">
        <v>1128</v>
      </c>
      <c r="F53" s="77">
        <v>1128</v>
      </c>
      <c r="G53" s="53"/>
      <c r="H53" s="71">
        <v>126.28</v>
      </c>
      <c r="I53" s="72">
        <f t="shared" si="29"/>
        <v>187.0585317531125</v>
      </c>
      <c r="J53" s="72">
        <f t="shared" si="29"/>
        <v>169.39512460712169</v>
      </c>
      <c r="L53" s="32">
        <f t="shared" si="31"/>
        <v>142443.84</v>
      </c>
      <c r="M53" s="32">
        <f t="shared" si="30"/>
        <v>142443.84</v>
      </c>
      <c r="N53" s="32">
        <f t="shared" si="30"/>
        <v>142443.84</v>
      </c>
      <c r="P53" s="32">
        <f t="shared" si="32"/>
        <v>211002.0238175109</v>
      </c>
      <c r="Q53" s="32">
        <f t="shared" si="32"/>
        <v>191077.70055683327</v>
      </c>
      <c r="S53" s="76">
        <f>S41</f>
        <v>0.48129974463978864</v>
      </c>
      <c r="T53" s="76">
        <f>T41</f>
        <v>-9.4427166622390146E-2</v>
      </c>
    </row>
    <row r="54" spans="1:20" x14ac:dyDescent="0.25">
      <c r="A54" s="6">
        <f t="shared" si="1"/>
        <v>46</v>
      </c>
      <c r="D54" s="77"/>
      <c r="E54" s="77"/>
      <c r="F54" s="77"/>
      <c r="G54" s="53"/>
      <c r="H54" s="80"/>
      <c r="I54" s="72"/>
      <c r="J54" s="72"/>
      <c r="L54" s="32"/>
      <c r="M54" s="32"/>
      <c r="N54" s="32"/>
      <c r="S54" s="76"/>
      <c r="T54" s="76"/>
    </row>
    <row r="55" spans="1:20" x14ac:dyDescent="0.25">
      <c r="A55" s="6">
        <f t="shared" si="1"/>
        <v>47</v>
      </c>
      <c r="B55" s="6" t="s">
        <v>282</v>
      </c>
      <c r="C55" s="5" t="s">
        <v>226</v>
      </c>
      <c r="D55" s="77"/>
      <c r="E55" s="77"/>
      <c r="F55" s="77"/>
      <c r="G55" s="53"/>
      <c r="H55" s="80"/>
      <c r="I55" s="72"/>
      <c r="J55" s="72"/>
      <c r="L55" s="32"/>
      <c r="M55" s="32"/>
      <c r="N55" s="32"/>
      <c r="S55" s="76"/>
      <c r="T55" s="76"/>
    </row>
    <row r="56" spans="1:20" x14ac:dyDescent="0.25">
      <c r="A56" s="6">
        <f t="shared" si="1"/>
        <v>48</v>
      </c>
      <c r="B56" s="6" t="s">
        <v>282</v>
      </c>
      <c r="C56" s="5" t="s">
        <v>199</v>
      </c>
      <c r="D56" s="77">
        <v>990691.57</v>
      </c>
      <c r="E56" s="77">
        <v>1061947.325190783</v>
      </c>
      <c r="F56" s="77">
        <v>1084136.17659234</v>
      </c>
      <c r="G56" s="53"/>
      <c r="H56" s="74">
        <v>0.14030999999999999</v>
      </c>
      <c r="I56" s="75">
        <f t="shared" ref="I56:J58" si="33">H56*(1+S56)</f>
        <v>0.20784116717040874</v>
      </c>
      <c r="J56" s="75">
        <f t="shared" si="33"/>
        <v>0.18821531464701652</v>
      </c>
      <c r="L56" s="92" t="s">
        <v>281</v>
      </c>
      <c r="M56" s="92"/>
      <c r="N56" s="92"/>
      <c r="P56" s="92" t="s">
        <v>281</v>
      </c>
      <c r="Q56" s="92"/>
      <c r="S56" s="76">
        <f>S44</f>
        <v>0.48129974463978864</v>
      </c>
      <c r="T56" s="76">
        <f>T44</f>
        <v>-9.4427166622390146E-2</v>
      </c>
    </row>
    <row r="57" spans="1:20" x14ac:dyDescent="0.25">
      <c r="A57" s="6">
        <f t="shared" si="1"/>
        <v>49</v>
      </c>
      <c r="B57" s="6" t="s">
        <v>282</v>
      </c>
      <c r="C57" s="5" t="s">
        <v>200</v>
      </c>
      <c r="D57" s="77">
        <v>3934422.7599999993</v>
      </c>
      <c r="E57" s="77">
        <v>4195510.5331741115</v>
      </c>
      <c r="F57" s="77">
        <v>4279893.6380464053</v>
      </c>
      <c r="G57" s="53"/>
      <c r="H57" s="74">
        <v>0.14030999999999999</v>
      </c>
      <c r="I57" s="75">
        <f t="shared" si="33"/>
        <v>0.20784116717040874</v>
      </c>
      <c r="J57" s="75">
        <f t="shared" si="33"/>
        <v>0.18821531464701652</v>
      </c>
      <c r="L57" s="32">
        <f t="shared" ref="L57:N58" si="34">D57*$H57</f>
        <v>552038.85745559982</v>
      </c>
      <c r="M57" s="32">
        <f t="shared" si="34"/>
        <v>588672.0829096596</v>
      </c>
      <c r="N57" s="32">
        <f t="shared" si="34"/>
        <v>600511.8763542911</v>
      </c>
      <c r="P57" s="32">
        <f t="shared" ref="P57:Q58" si="35">E57*I57</f>
        <v>871999.8060906512</v>
      </c>
      <c r="Q57" s="32">
        <f t="shared" si="35"/>
        <v>805541.52774066839</v>
      </c>
      <c r="S57" s="76">
        <f t="shared" ref="S57:T58" si="36">S45</f>
        <v>0.48129974463978864</v>
      </c>
      <c r="T57" s="76">
        <f t="shared" si="36"/>
        <v>-9.4427166622390146E-2</v>
      </c>
    </row>
    <row r="58" spans="1:20" x14ac:dyDescent="0.25">
      <c r="A58" s="6">
        <f t="shared" si="1"/>
        <v>50</v>
      </c>
      <c r="B58" s="6" t="s">
        <v>282</v>
      </c>
      <c r="C58" s="5" t="s">
        <v>227</v>
      </c>
      <c r="D58" s="77">
        <v>15887798.862595599</v>
      </c>
      <c r="E58" s="77">
        <v>16500211.141635105</v>
      </c>
      <c r="F58" s="77">
        <v>16765536.185361255</v>
      </c>
      <c r="G58" s="53"/>
      <c r="H58" s="74">
        <v>0.12131</v>
      </c>
      <c r="I58" s="75">
        <f t="shared" si="33"/>
        <v>0.17969647202225275</v>
      </c>
      <c r="J58" s="75">
        <f t="shared" si="33"/>
        <v>0.16272824331715183</v>
      </c>
      <c r="L58" s="32">
        <f t="shared" si="34"/>
        <v>1927348.8800214722</v>
      </c>
      <c r="M58" s="32">
        <f t="shared" si="34"/>
        <v>2001640.6135917546</v>
      </c>
      <c r="N58" s="32">
        <f t="shared" si="34"/>
        <v>2033827.1946461739</v>
      </c>
      <c r="P58" s="32">
        <f t="shared" si="35"/>
        <v>2965029.7297740956</v>
      </c>
      <c r="Q58" s="32">
        <f t="shared" si="35"/>
        <v>2728226.25171398</v>
      </c>
      <c r="S58" s="76">
        <f t="shared" si="36"/>
        <v>0.48129974463978864</v>
      </c>
      <c r="T58" s="76">
        <f t="shared" si="36"/>
        <v>-9.4427166622390146E-2</v>
      </c>
    </row>
    <row r="59" spans="1:20" x14ac:dyDescent="0.25">
      <c r="A59" s="6">
        <f t="shared" si="1"/>
        <v>51</v>
      </c>
      <c r="B59" s="6" t="s">
        <v>282</v>
      </c>
      <c r="C59" s="52" t="s">
        <v>222</v>
      </c>
      <c r="D59" s="93">
        <f>SUM(D56:D58)</f>
        <v>20812913.192595597</v>
      </c>
      <c r="E59" s="93">
        <f t="shared" ref="E59:F59" si="37">SUM(E56:E58)</f>
        <v>21757669</v>
      </c>
      <c r="F59" s="93">
        <f t="shared" si="37"/>
        <v>22129566</v>
      </c>
      <c r="G59" s="53"/>
      <c r="H59" s="90"/>
      <c r="I59" s="91"/>
      <c r="J59" s="91"/>
      <c r="L59" s="33">
        <f>SUM(L57:L58)</f>
        <v>2479387.737477072</v>
      </c>
      <c r="M59" s="33">
        <f t="shared" ref="M59:Q59" si="38">SUM(M57:M58)</f>
        <v>2590312.6965014143</v>
      </c>
      <c r="N59" s="33">
        <f t="shared" si="38"/>
        <v>2634339.0710004652</v>
      </c>
      <c r="O59" s="32"/>
      <c r="P59" s="33">
        <f t="shared" si="38"/>
        <v>3837029.5358647467</v>
      </c>
      <c r="Q59" s="33">
        <f t="shared" si="38"/>
        <v>3533767.7794546485</v>
      </c>
    </row>
    <row r="60" spans="1:20" x14ac:dyDescent="0.25">
      <c r="A60" s="6">
        <f t="shared" si="1"/>
        <v>52</v>
      </c>
      <c r="D60" s="53"/>
      <c r="E60" s="53"/>
      <c r="F60" s="53"/>
      <c r="G60" s="53"/>
      <c r="H60" s="90"/>
      <c r="I60" s="91"/>
      <c r="J60" s="91"/>
      <c r="L60" s="32"/>
      <c r="M60" s="32"/>
      <c r="N60" s="32"/>
    </row>
    <row r="61" spans="1:20" x14ac:dyDescent="0.25">
      <c r="A61" s="6">
        <f t="shared" si="1"/>
        <v>53</v>
      </c>
      <c r="B61" s="6" t="s">
        <v>282</v>
      </c>
      <c r="C61" s="52" t="s">
        <v>223</v>
      </c>
      <c r="D61" s="53"/>
      <c r="E61" s="53"/>
      <c r="F61" s="53"/>
      <c r="G61" s="53"/>
      <c r="H61" s="90"/>
      <c r="I61" s="91"/>
      <c r="J61" s="91"/>
      <c r="L61" s="32">
        <f>SUM(L51:L53,L59)</f>
        <v>4586805.548038708</v>
      </c>
      <c r="M61" s="32">
        <f t="shared" ref="M61:Q61" si="39">SUM(M51:M53,M59)</f>
        <v>4661891.0565014146</v>
      </c>
      <c r="N61" s="32">
        <f t="shared" si="39"/>
        <v>4705917.4310004655</v>
      </c>
      <c r="O61" s="32"/>
      <c r="P61" s="32">
        <f t="shared" si="39"/>
        <v>6238567.0116822571</v>
      </c>
      <c r="Q61" s="32">
        <f t="shared" si="39"/>
        <v>6223834.031771481</v>
      </c>
    </row>
    <row r="62" spans="1:20" x14ac:dyDescent="0.25">
      <c r="A62" s="6">
        <f t="shared" si="1"/>
        <v>54</v>
      </c>
      <c r="D62" s="53"/>
      <c r="E62" s="53"/>
      <c r="F62" s="53"/>
      <c r="G62" s="53"/>
      <c r="H62" s="90"/>
      <c r="I62" s="91"/>
      <c r="J62" s="91"/>
      <c r="L62" s="32"/>
      <c r="M62" s="32"/>
      <c r="N62" s="32"/>
    </row>
    <row r="63" spans="1:20" x14ac:dyDescent="0.25">
      <c r="A63" s="6">
        <f t="shared" si="1"/>
        <v>55</v>
      </c>
      <c r="C63" s="39" t="s">
        <v>283</v>
      </c>
      <c r="D63" s="53"/>
      <c r="E63" s="53"/>
      <c r="F63" s="53"/>
      <c r="G63" s="53"/>
      <c r="H63" s="90"/>
      <c r="I63" s="91"/>
      <c r="J63" s="91"/>
      <c r="L63" s="32">
        <f>SUM(L49,L61)</f>
        <v>23179088.005357377</v>
      </c>
      <c r="M63" s="32">
        <f t="shared" ref="M63:Q63" si="40">SUM(M49,M61)</f>
        <v>22475459.424130198</v>
      </c>
      <c r="N63" s="32">
        <f t="shared" si="40"/>
        <v>22413643.787400953</v>
      </c>
      <c r="O63" s="32"/>
      <c r="P63" s="32">
        <f t="shared" si="40"/>
        <v>30129739.878979545</v>
      </c>
      <c r="Q63" s="32">
        <f t="shared" si="40"/>
        <v>31007074.351013042</v>
      </c>
      <c r="S63" s="35">
        <v>30129739.878979545</v>
      </c>
      <c r="T63" s="35">
        <v>31007074.351013042</v>
      </c>
    </row>
    <row r="64" spans="1:20" x14ac:dyDescent="0.25">
      <c r="A64" s="6">
        <f t="shared" si="1"/>
        <v>56</v>
      </c>
      <c r="C64" s="39" t="s">
        <v>278</v>
      </c>
      <c r="D64" s="53"/>
      <c r="E64" s="53"/>
      <c r="F64" s="53"/>
      <c r="G64" s="53"/>
      <c r="H64" s="90"/>
      <c r="I64" s="91"/>
      <c r="J64" s="91"/>
      <c r="L64" s="32"/>
      <c r="M64" s="32"/>
      <c r="N64" s="32"/>
      <c r="P64" s="35">
        <v>30129739.878979545</v>
      </c>
      <c r="Q64" s="35">
        <v>31007074.351013042</v>
      </c>
      <c r="R64" s="78"/>
      <c r="S64" s="47">
        <f>S63-M63</f>
        <v>7654280.4548493475</v>
      </c>
      <c r="T64" s="47">
        <f>T63-N63-S64</f>
        <v>939150.10876274109</v>
      </c>
    </row>
    <row r="65" spans="1:20" x14ac:dyDescent="0.25">
      <c r="A65" s="6">
        <f t="shared" si="1"/>
        <v>57</v>
      </c>
      <c r="C65" s="85" t="s">
        <v>45</v>
      </c>
      <c r="D65" s="53"/>
      <c r="E65" s="53"/>
      <c r="F65" s="53"/>
      <c r="G65" s="53"/>
      <c r="H65" s="90"/>
      <c r="I65" s="94">
        <f>I44*900-I41</f>
        <v>-1.4812997446540521E-3</v>
      </c>
      <c r="J65" s="94">
        <f>J44*900-J41</f>
        <v>-1.3414248068102097E-3</v>
      </c>
      <c r="L65" s="89">
        <v>0</v>
      </c>
      <c r="M65" s="89">
        <v>0</v>
      </c>
      <c r="N65" s="89">
        <v>0</v>
      </c>
      <c r="O65" s="85"/>
      <c r="P65" s="89">
        <f>P63-P64</f>
        <v>0</v>
      </c>
      <c r="Q65" s="89">
        <f>Q63-Q64</f>
        <v>0</v>
      </c>
      <c r="R65" s="85"/>
      <c r="S65" s="89">
        <f>S63-P63</f>
        <v>0</v>
      </c>
      <c r="T65" s="89">
        <f>T63-Q63</f>
        <v>0</v>
      </c>
    </row>
    <row r="66" spans="1:20" x14ac:dyDescent="0.25">
      <c r="A66" s="6">
        <f t="shared" si="1"/>
        <v>58</v>
      </c>
      <c r="D66" s="53"/>
      <c r="E66" s="53"/>
      <c r="F66" s="53"/>
      <c r="G66" s="53"/>
      <c r="H66" s="90"/>
      <c r="I66" s="91"/>
      <c r="J66" s="91"/>
      <c r="L66" s="32"/>
      <c r="M66" s="32"/>
      <c r="N66" s="32"/>
    </row>
    <row r="67" spans="1:20" x14ac:dyDescent="0.25">
      <c r="A67" s="6">
        <f t="shared" si="1"/>
        <v>59</v>
      </c>
      <c r="D67" s="53"/>
      <c r="E67" s="53"/>
      <c r="F67" s="53"/>
      <c r="G67" s="53"/>
      <c r="H67" s="90"/>
      <c r="I67" s="91"/>
      <c r="J67" s="91"/>
      <c r="L67" s="32"/>
      <c r="M67" s="32"/>
      <c r="N67" s="32"/>
    </row>
    <row r="68" spans="1:20" x14ac:dyDescent="0.25">
      <c r="A68" s="6">
        <f t="shared" si="1"/>
        <v>60</v>
      </c>
      <c r="B68" s="6">
        <v>85</v>
      </c>
      <c r="C68" s="52" t="s">
        <v>219</v>
      </c>
      <c r="D68" s="77">
        <v>397.58159058346774</v>
      </c>
      <c r="E68" s="77">
        <v>408</v>
      </c>
      <c r="F68" s="77">
        <v>408</v>
      </c>
      <c r="G68" s="53"/>
      <c r="H68" s="71">
        <v>701.68</v>
      </c>
      <c r="I68" s="72">
        <f t="shared" ref="I68:J76" si="41">H68*(1+S68)</f>
        <v>912.18399999999997</v>
      </c>
      <c r="J68" s="72">
        <f t="shared" si="41"/>
        <v>1185.8391999999999</v>
      </c>
      <c r="L68" s="32">
        <f>D68*$H68</f>
        <v>278975.05048060761</v>
      </c>
      <c r="M68" s="32">
        <f t="shared" ref="M68:N76" si="42">E68*$H68</f>
        <v>286285.44</v>
      </c>
      <c r="N68" s="32">
        <f t="shared" si="42"/>
        <v>286285.44</v>
      </c>
      <c r="P68" s="32">
        <f>E68*I68</f>
        <v>372171.07199999999</v>
      </c>
      <c r="Q68" s="32">
        <f>F68*J68</f>
        <v>483822.39359999995</v>
      </c>
      <c r="S68" s="73">
        <v>0.3</v>
      </c>
      <c r="T68" s="73">
        <f>S68</f>
        <v>0.3</v>
      </c>
    </row>
    <row r="69" spans="1:20" x14ac:dyDescent="0.25">
      <c r="A69" s="6">
        <f t="shared" si="1"/>
        <v>61</v>
      </c>
      <c r="B69" s="6">
        <v>85</v>
      </c>
      <c r="C69" s="5" t="s">
        <v>225</v>
      </c>
      <c r="D69" s="77">
        <v>118691.95641025642</v>
      </c>
      <c r="E69" s="77">
        <v>132036</v>
      </c>
      <c r="F69" s="77">
        <v>132036</v>
      </c>
      <c r="G69" s="53"/>
      <c r="H69" s="71">
        <v>1.44</v>
      </c>
      <c r="I69" s="72">
        <f t="shared" si="41"/>
        <v>1.6991999999999998</v>
      </c>
      <c r="J69" s="72">
        <f t="shared" si="41"/>
        <v>2.0050559999999997</v>
      </c>
      <c r="L69" s="32">
        <f t="shared" ref="L69:L76" si="43">D69*$H69</f>
        <v>170916.41723076924</v>
      </c>
      <c r="M69" s="32">
        <f t="shared" si="42"/>
        <v>190131.84</v>
      </c>
      <c r="N69" s="32">
        <f t="shared" si="42"/>
        <v>190131.84</v>
      </c>
      <c r="P69" s="32">
        <f t="shared" ref="P69:Q76" si="44">E69*I69</f>
        <v>224355.57119999998</v>
      </c>
      <c r="Q69" s="32">
        <f t="shared" si="44"/>
        <v>264739.57401599997</v>
      </c>
      <c r="S69" s="73">
        <v>0.18</v>
      </c>
      <c r="T69" s="73">
        <f>S69</f>
        <v>0.18</v>
      </c>
    </row>
    <row r="70" spans="1:20" x14ac:dyDescent="0.25">
      <c r="A70" s="6">
        <f t="shared" si="1"/>
        <v>62</v>
      </c>
      <c r="B70" s="6">
        <v>85</v>
      </c>
      <c r="C70" s="5" t="s">
        <v>221</v>
      </c>
      <c r="D70" s="77">
        <v>22333251.165872499</v>
      </c>
      <c r="E70" s="77">
        <v>16668227</v>
      </c>
      <c r="F70" s="77">
        <v>16254749.000000002</v>
      </c>
      <c r="G70" s="53"/>
      <c r="H70" s="74">
        <v>7.7999999999999996E-3</v>
      </c>
      <c r="I70" s="75">
        <f t="shared" si="41"/>
        <v>1.0818614983426483E-2</v>
      </c>
      <c r="J70" s="75">
        <f t="shared" si="41"/>
        <v>1.1345285734216322E-2</v>
      </c>
      <c r="L70" s="32">
        <f t="shared" si="43"/>
        <v>174199.35909380548</v>
      </c>
      <c r="M70" s="32">
        <f t="shared" si="42"/>
        <v>130012.1706</v>
      </c>
      <c r="N70" s="32">
        <f t="shared" si="42"/>
        <v>126787.04220000001</v>
      </c>
      <c r="P70" s="32">
        <f t="shared" si="44"/>
        <v>180327.13036935386</v>
      </c>
      <c r="Q70" s="32">
        <f t="shared" si="44"/>
        <v>184414.77194296703</v>
      </c>
      <c r="S70" s="76">
        <v>0.38700192095211333</v>
      </c>
      <c r="T70" s="76">
        <v>4.8681901666402683E-2</v>
      </c>
    </row>
    <row r="71" spans="1:20" x14ac:dyDescent="0.25">
      <c r="A71" s="6">
        <f t="shared" si="1"/>
        <v>63</v>
      </c>
      <c r="B71" s="6">
        <v>85</v>
      </c>
      <c r="C71" s="5" t="s">
        <v>228</v>
      </c>
      <c r="D71" s="77"/>
      <c r="E71" s="77"/>
      <c r="F71" s="77"/>
      <c r="G71" s="53"/>
      <c r="H71" s="80"/>
      <c r="I71" s="72"/>
      <c r="J71" s="72"/>
      <c r="L71" s="35">
        <v>0</v>
      </c>
      <c r="M71" s="35">
        <v>0</v>
      </c>
      <c r="N71" s="35">
        <v>0</v>
      </c>
      <c r="P71" s="32">
        <f>M71</f>
        <v>0</v>
      </c>
      <c r="Q71" s="32">
        <f>N71</f>
        <v>0</v>
      </c>
      <c r="S71" s="76"/>
      <c r="T71" s="76"/>
    </row>
    <row r="72" spans="1:20" x14ac:dyDescent="0.25">
      <c r="A72" s="6">
        <f t="shared" si="1"/>
        <v>64</v>
      </c>
      <c r="C72" s="5"/>
      <c r="D72" s="77"/>
      <c r="E72" s="77"/>
      <c r="F72" s="77"/>
      <c r="G72" s="53"/>
      <c r="H72" s="80"/>
      <c r="I72" s="72"/>
      <c r="J72" s="72"/>
      <c r="L72" s="32"/>
      <c r="M72" s="32"/>
      <c r="N72" s="32"/>
      <c r="P72" s="32"/>
      <c r="Q72" s="32"/>
      <c r="S72" s="76"/>
      <c r="T72" s="76"/>
    </row>
    <row r="73" spans="1:20" x14ac:dyDescent="0.25">
      <c r="A73" s="6">
        <f t="shared" si="1"/>
        <v>65</v>
      </c>
      <c r="B73" s="6">
        <v>85</v>
      </c>
      <c r="C73" s="5" t="s">
        <v>226</v>
      </c>
      <c r="D73" s="77"/>
      <c r="E73" s="77"/>
      <c r="F73" s="77"/>
      <c r="G73" s="53"/>
      <c r="H73" s="80"/>
      <c r="I73" s="72"/>
      <c r="J73" s="72"/>
      <c r="L73" s="32"/>
      <c r="M73" s="32"/>
      <c r="N73" s="32"/>
      <c r="P73" s="32"/>
      <c r="Q73" s="32"/>
      <c r="S73" s="76"/>
      <c r="T73" s="76"/>
    </row>
    <row r="74" spans="1:20" x14ac:dyDescent="0.25">
      <c r="A74" s="6">
        <f t="shared" si="1"/>
        <v>66</v>
      </c>
      <c r="B74" s="6">
        <v>85</v>
      </c>
      <c r="C74" s="5" t="s">
        <v>175</v>
      </c>
      <c r="D74" s="77">
        <v>9096108.9690000005</v>
      </c>
      <c r="E74" s="77">
        <v>6774073.2879818697</v>
      </c>
      <c r="F74" s="77">
        <v>6600825.8049050467</v>
      </c>
      <c r="G74" s="53"/>
      <c r="H74" s="74">
        <v>0.12488</v>
      </c>
      <c r="I74" s="75">
        <f t="shared" si="41"/>
        <v>0.18154063220850225</v>
      </c>
      <c r="J74" s="75">
        <f t="shared" si="41"/>
        <v>0.18071860636220882</v>
      </c>
      <c r="L74" s="32">
        <f t="shared" si="43"/>
        <v>1135922.08804872</v>
      </c>
      <c r="M74" s="32">
        <f t="shared" si="42"/>
        <v>845946.27220317593</v>
      </c>
      <c r="N74" s="32">
        <f t="shared" si="42"/>
        <v>824311.12651654228</v>
      </c>
      <c r="P74" s="32">
        <f t="shared" si="44"/>
        <v>1229769.5473269562</v>
      </c>
      <c r="Q74" s="32">
        <f t="shared" si="44"/>
        <v>1192892.0403021453</v>
      </c>
      <c r="S74" s="76">
        <f>(S$94-(SUM(P68,P69,P70, P71, P81,P82,P83)-SUM(M68,M69,M70, M71,M81,M82,M83)))/(M93-SUM(M68,M69,M70, M71, M81,M82,M83))</f>
        <v>0.4537206294723114</v>
      </c>
      <c r="T74" s="76">
        <f>((Q94-SUM(Q68:Q71,Q81:Q83)))/((I74*SUM(F74,F86))+(I75*SUM(F75,F87))+(I76*SUM(F76,F88)))-1</f>
        <v>-4.5280543330339373E-3</v>
      </c>
    </row>
    <row r="75" spans="1:20" x14ac:dyDescent="0.25">
      <c r="A75" s="6">
        <f t="shared" ref="A75:A138" si="45">A74+1</f>
        <v>67</v>
      </c>
      <c r="B75" s="6">
        <v>85</v>
      </c>
      <c r="C75" s="5" t="s">
        <v>176</v>
      </c>
      <c r="D75" s="77">
        <v>5272798.7510000002</v>
      </c>
      <c r="E75" s="77">
        <v>3922815.2360674441</v>
      </c>
      <c r="F75" s="77">
        <v>3821087.7051352365</v>
      </c>
      <c r="G75" s="53"/>
      <c r="H75" s="74">
        <v>5.9339999999999997E-2</v>
      </c>
      <c r="I75" s="75">
        <f t="shared" si="41"/>
        <v>8.626378215288695E-2</v>
      </c>
      <c r="J75" s="75">
        <f t="shared" si="41"/>
        <v>8.5873175060325671E-2</v>
      </c>
      <c r="L75" s="32">
        <f t="shared" si="43"/>
        <v>312887.87788434001</v>
      </c>
      <c r="M75" s="32">
        <f t="shared" si="42"/>
        <v>232779.85610824212</v>
      </c>
      <c r="N75" s="32">
        <f t="shared" si="42"/>
        <v>226743.34442272491</v>
      </c>
      <c r="P75" s="32">
        <f t="shared" si="44"/>
        <v>338396.87895014777</v>
      </c>
      <c r="Q75" s="32">
        <f t="shared" si="44"/>
        <v>328128.93342393625</v>
      </c>
      <c r="S75" s="76">
        <f>S74</f>
        <v>0.4537206294723114</v>
      </c>
      <c r="T75" s="76">
        <f>T74</f>
        <v>-4.5280543330339373E-3</v>
      </c>
    </row>
    <row r="76" spans="1:20" x14ac:dyDescent="0.25">
      <c r="A76" s="6">
        <f t="shared" si="45"/>
        <v>68</v>
      </c>
      <c r="B76" s="6">
        <v>85</v>
      </c>
      <c r="C76" s="5" t="s">
        <v>229</v>
      </c>
      <c r="D76" s="77">
        <v>7964343.4458725024</v>
      </c>
      <c r="E76" s="77">
        <v>5971338.4759506863</v>
      </c>
      <c r="F76" s="77">
        <v>5832835.4899597187</v>
      </c>
      <c r="G76" s="53"/>
      <c r="H76" s="74">
        <v>5.6770000000000001E-2</v>
      </c>
      <c r="I76" s="75">
        <f t="shared" si="41"/>
        <v>8.2527720135143118E-2</v>
      </c>
      <c r="J76" s="75">
        <f t="shared" si="41"/>
        <v>8.2154030134389766E-2</v>
      </c>
      <c r="L76" s="32">
        <f t="shared" si="43"/>
        <v>452135.77742218197</v>
      </c>
      <c r="M76" s="32">
        <f t="shared" si="42"/>
        <v>338992.88527972047</v>
      </c>
      <c r="N76" s="32">
        <f t="shared" si="42"/>
        <v>331130.07076501322</v>
      </c>
      <c r="P76" s="32">
        <f t="shared" si="44"/>
        <v>492800.95057547028</v>
      </c>
      <c r="Q76" s="32">
        <f t="shared" si="44"/>
        <v>479190.9426110888</v>
      </c>
      <c r="S76" s="76">
        <f>S75</f>
        <v>0.4537206294723114</v>
      </c>
      <c r="T76" s="76">
        <f>T75</f>
        <v>-4.5280543330339373E-3</v>
      </c>
    </row>
    <row r="77" spans="1:20" x14ac:dyDescent="0.25">
      <c r="A77" s="6">
        <f t="shared" si="45"/>
        <v>69</v>
      </c>
      <c r="B77" s="6">
        <v>85</v>
      </c>
      <c r="C77" s="52" t="s">
        <v>222</v>
      </c>
      <c r="D77" s="93">
        <f>SUM(D74:D76)</f>
        <v>22333251.165872503</v>
      </c>
      <c r="E77" s="93">
        <f t="shared" ref="E77:F77" si="46">SUM(E74:E76)</f>
        <v>16668227</v>
      </c>
      <c r="F77" s="93">
        <f t="shared" si="46"/>
        <v>16254749.000000002</v>
      </c>
      <c r="G77" s="53"/>
      <c r="H77" s="90"/>
      <c r="I77" s="91"/>
      <c r="J77" s="91"/>
      <c r="L77" s="33">
        <f>SUM(L74:L76)</f>
        <v>1900945.7433552421</v>
      </c>
      <c r="M77" s="33">
        <f t="shared" ref="M77:Q77" si="47">SUM(M74:M76)</f>
        <v>1417719.0135911384</v>
      </c>
      <c r="N77" s="33">
        <f t="shared" si="47"/>
        <v>1382184.5417042803</v>
      </c>
      <c r="O77" s="32"/>
      <c r="P77" s="33">
        <f t="shared" si="47"/>
        <v>2060967.3768525741</v>
      </c>
      <c r="Q77" s="33">
        <f t="shared" si="47"/>
        <v>2000211.9163371704</v>
      </c>
      <c r="S77" s="76"/>
      <c r="T77" s="76"/>
    </row>
    <row r="78" spans="1:20" x14ac:dyDescent="0.25">
      <c r="A78" s="6">
        <f t="shared" si="45"/>
        <v>70</v>
      </c>
      <c r="C78" s="52"/>
      <c r="D78" s="77"/>
      <c r="E78" s="77"/>
      <c r="F78" s="77"/>
      <c r="G78" s="53"/>
      <c r="H78" s="90"/>
      <c r="I78" s="91"/>
      <c r="J78" s="91"/>
      <c r="L78" s="32"/>
      <c r="M78" s="32"/>
      <c r="N78" s="32"/>
      <c r="S78" s="76"/>
      <c r="T78" s="76"/>
    </row>
    <row r="79" spans="1:20" x14ac:dyDescent="0.25">
      <c r="A79" s="6">
        <f t="shared" si="45"/>
        <v>71</v>
      </c>
      <c r="B79" s="6">
        <v>85</v>
      </c>
      <c r="C79" s="5" t="s">
        <v>223</v>
      </c>
      <c r="D79" s="77"/>
      <c r="E79" s="77"/>
      <c r="F79" s="77"/>
      <c r="G79" s="53"/>
      <c r="H79" s="90"/>
      <c r="I79" s="91"/>
      <c r="J79" s="91"/>
      <c r="L79" s="32">
        <f>SUM(L68:L71,L77)</f>
        <v>2525036.5701604243</v>
      </c>
      <c r="M79" s="32">
        <f t="shared" ref="M79:Q79" si="48">SUM(M68:M71,M77)</f>
        <v>2024148.4641911383</v>
      </c>
      <c r="N79" s="32">
        <f t="shared" si="48"/>
        <v>1985388.8639042804</v>
      </c>
      <c r="O79" s="32"/>
      <c r="P79" s="32">
        <f t="shared" si="48"/>
        <v>2837821.1504219277</v>
      </c>
      <c r="Q79" s="32">
        <f t="shared" si="48"/>
        <v>2933188.6558961375</v>
      </c>
      <c r="S79" s="76"/>
      <c r="T79" s="76"/>
    </row>
    <row r="80" spans="1:20" x14ac:dyDescent="0.25">
      <c r="A80" s="6">
        <f t="shared" si="45"/>
        <v>72</v>
      </c>
      <c r="D80" s="53"/>
      <c r="E80" s="53"/>
      <c r="F80" s="53"/>
      <c r="G80" s="53"/>
      <c r="H80" s="90"/>
      <c r="I80" s="91"/>
      <c r="J80" s="91"/>
      <c r="L80" s="32"/>
      <c r="M80" s="32"/>
      <c r="N80" s="32"/>
      <c r="S80" s="76"/>
      <c r="T80" s="76"/>
    </row>
    <row r="81" spans="1:20" x14ac:dyDescent="0.25">
      <c r="A81" s="6">
        <f t="shared" si="45"/>
        <v>73</v>
      </c>
      <c r="B81" s="6" t="s">
        <v>284</v>
      </c>
      <c r="C81" s="52" t="s">
        <v>219</v>
      </c>
      <c r="D81" s="77">
        <v>830</v>
      </c>
      <c r="E81" s="77">
        <v>840</v>
      </c>
      <c r="F81" s="77">
        <v>840</v>
      </c>
      <c r="G81" s="53"/>
      <c r="H81" s="71">
        <v>903.09</v>
      </c>
      <c r="I81" s="72">
        <f t="shared" ref="I81:J82" si="49">H81*(1+S81)</f>
        <v>1034.8527320281512</v>
      </c>
      <c r="J81" s="72">
        <f t="shared" si="49"/>
        <v>1185.8399240232186</v>
      </c>
      <c r="L81" s="32">
        <f>D81*$H81</f>
        <v>749564.70000000007</v>
      </c>
      <c r="M81" s="32">
        <f t="shared" ref="M81:N82" si="50">E81*$H81</f>
        <v>758595.6</v>
      </c>
      <c r="N81" s="32">
        <f t="shared" si="50"/>
        <v>758595.6</v>
      </c>
      <c r="P81" s="32">
        <f>E81*I81</f>
        <v>869276.29490364704</v>
      </c>
      <c r="Q81" s="32">
        <f>F81*J81</f>
        <v>996105.53617950366</v>
      </c>
      <c r="S81" s="73">
        <v>0.14590210502624468</v>
      </c>
      <c r="T81" s="73">
        <f>S81</f>
        <v>0.14590210502624468</v>
      </c>
    </row>
    <row r="82" spans="1:20" x14ac:dyDescent="0.25">
      <c r="A82" s="6">
        <f t="shared" si="45"/>
        <v>74</v>
      </c>
      <c r="B82" s="6" t="s">
        <v>284</v>
      </c>
      <c r="C82" s="5" t="s">
        <v>225</v>
      </c>
      <c r="D82" s="77">
        <v>630994.90042735043</v>
      </c>
      <c r="E82" s="77">
        <v>624588</v>
      </c>
      <c r="F82" s="77">
        <v>624588</v>
      </c>
      <c r="G82" s="53"/>
      <c r="H82" s="71">
        <v>1.44</v>
      </c>
      <c r="I82" s="72">
        <f t="shared" si="49"/>
        <v>1.6991999999999998</v>
      </c>
      <c r="J82" s="72">
        <f t="shared" si="49"/>
        <v>2.0050559999999997</v>
      </c>
      <c r="L82" s="32">
        <f t="shared" ref="L82" si="51">D82*$H82</f>
        <v>908632.65661538462</v>
      </c>
      <c r="M82" s="32">
        <f t="shared" si="50"/>
        <v>899406.72</v>
      </c>
      <c r="N82" s="32">
        <f t="shared" si="50"/>
        <v>899406.72</v>
      </c>
      <c r="P82" s="32">
        <f t="shared" ref="P82:Q82" si="52">E82*I82</f>
        <v>1061299.9295999999</v>
      </c>
      <c r="Q82" s="32">
        <f t="shared" si="52"/>
        <v>1252333.9169279998</v>
      </c>
      <c r="S82" s="73">
        <f>S69</f>
        <v>0.18</v>
      </c>
      <c r="T82" s="73">
        <f>T69</f>
        <v>0.18</v>
      </c>
    </row>
    <row r="83" spans="1:20" x14ac:dyDescent="0.25">
      <c r="A83" s="6">
        <f t="shared" si="45"/>
        <v>75</v>
      </c>
      <c r="B83" s="6" t="s">
        <v>284</v>
      </c>
      <c r="C83" s="5" t="s">
        <v>228</v>
      </c>
      <c r="D83" s="77"/>
      <c r="E83" s="77"/>
      <c r="F83" s="77"/>
      <c r="G83" s="53"/>
      <c r="H83" s="80"/>
      <c r="I83" s="72"/>
      <c r="J83" s="72"/>
      <c r="L83" s="35">
        <v>22347.83</v>
      </c>
      <c r="M83" s="35">
        <v>22347.83</v>
      </c>
      <c r="N83" s="35">
        <v>22347.83</v>
      </c>
      <c r="P83" s="32">
        <f>M83</f>
        <v>22347.83</v>
      </c>
      <c r="Q83" s="32">
        <f>N83</f>
        <v>22347.83</v>
      </c>
      <c r="S83" s="76">
        <f>S71</f>
        <v>0</v>
      </c>
      <c r="T83" s="76">
        <f>T71</f>
        <v>0</v>
      </c>
    </row>
    <row r="84" spans="1:20" x14ac:dyDescent="0.25">
      <c r="A84" s="6">
        <f t="shared" si="45"/>
        <v>76</v>
      </c>
      <c r="C84" s="5"/>
      <c r="D84" s="77"/>
      <c r="E84" s="77"/>
      <c r="F84" s="77"/>
      <c r="G84" s="53"/>
      <c r="H84" s="80"/>
      <c r="I84" s="72"/>
      <c r="J84" s="72"/>
      <c r="L84" s="32"/>
      <c r="M84" s="32"/>
      <c r="N84" s="32"/>
      <c r="P84" s="32"/>
      <c r="Q84" s="32"/>
      <c r="S84" s="76"/>
      <c r="T84" s="76"/>
    </row>
    <row r="85" spans="1:20" x14ac:dyDescent="0.25">
      <c r="A85" s="6">
        <f t="shared" si="45"/>
        <v>77</v>
      </c>
      <c r="B85" s="6" t="s">
        <v>284</v>
      </c>
      <c r="C85" s="5" t="s">
        <v>226</v>
      </c>
      <c r="D85" s="77"/>
      <c r="E85" s="77"/>
      <c r="F85" s="77"/>
      <c r="G85" s="53"/>
      <c r="H85" s="80"/>
      <c r="I85" s="72"/>
      <c r="J85" s="72"/>
      <c r="L85" s="32"/>
      <c r="M85" s="32"/>
      <c r="N85" s="32"/>
      <c r="P85" s="32"/>
      <c r="Q85" s="32"/>
      <c r="S85" s="76"/>
      <c r="T85" s="76"/>
    </row>
    <row r="86" spans="1:20" x14ac:dyDescent="0.25">
      <c r="A86" s="6">
        <f t="shared" si="45"/>
        <v>78</v>
      </c>
      <c r="B86" s="6" t="s">
        <v>284</v>
      </c>
      <c r="C86" s="5" t="s">
        <v>175</v>
      </c>
      <c r="D86" s="77">
        <v>22639905.379999995</v>
      </c>
      <c r="E86" s="77">
        <v>23553163.399398196</v>
      </c>
      <c r="F86" s="77">
        <v>23242817.962335769</v>
      </c>
      <c r="G86" s="53"/>
      <c r="H86" s="74">
        <v>0.12488</v>
      </c>
      <c r="I86" s="75">
        <f>H86*(1+S86)</f>
        <v>0.18154063220850225</v>
      </c>
      <c r="J86" s="75">
        <f>I86*(1+T86)</f>
        <v>0.18071860636220882</v>
      </c>
      <c r="L86" s="32">
        <f t="shared" ref="L86:N88" si="53">D86*$H86</f>
        <v>2827271.3838543994</v>
      </c>
      <c r="M86" s="32">
        <f t="shared" si="53"/>
        <v>2941319.045316847</v>
      </c>
      <c r="N86" s="32">
        <f t="shared" si="53"/>
        <v>2902563.1071364908</v>
      </c>
      <c r="P86" s="32">
        <f t="shared" ref="P86:Q88" si="54">E86*I86</f>
        <v>4275856.1740369042</v>
      </c>
      <c r="Q86" s="32">
        <f t="shared" si="54"/>
        <v>4200409.6700838348</v>
      </c>
      <c r="S86" s="76">
        <f>S74</f>
        <v>0.4537206294723114</v>
      </c>
      <c r="T86" s="76">
        <f>T74</f>
        <v>-4.5280543330339373E-3</v>
      </c>
    </row>
    <row r="87" spans="1:20" x14ac:dyDescent="0.25">
      <c r="A87" s="6">
        <f t="shared" si="45"/>
        <v>79</v>
      </c>
      <c r="B87" s="6" t="s">
        <v>284</v>
      </c>
      <c r="C87" s="5" t="s">
        <v>176</v>
      </c>
      <c r="D87" s="77">
        <v>15233925.730000004</v>
      </c>
      <c r="E87" s="77">
        <v>15856050.612148412</v>
      </c>
      <c r="F87" s="77">
        <v>15647963.940920169</v>
      </c>
      <c r="G87" s="53"/>
      <c r="H87" s="74">
        <v>5.9339999999999997E-2</v>
      </c>
      <c r="I87" s="75">
        <f>H87*(1+S87)</f>
        <v>8.626378215288695E-2</v>
      </c>
      <c r="J87" s="75">
        <f>I87*(1+T87)</f>
        <v>8.5873175060325671E-2</v>
      </c>
      <c r="L87" s="32">
        <f t="shared" si="53"/>
        <v>903981.15281820018</v>
      </c>
      <c r="M87" s="32">
        <f t="shared" si="53"/>
        <v>940898.0433248867</v>
      </c>
      <c r="N87" s="32">
        <f t="shared" si="53"/>
        <v>928550.1802542028</v>
      </c>
      <c r="P87" s="32">
        <f t="shared" si="54"/>
        <v>1367802.8958115203</v>
      </c>
      <c r="Q87" s="32">
        <f t="shared" si="54"/>
        <v>1343740.3468363013</v>
      </c>
      <c r="S87" s="76">
        <f t="shared" ref="S87:T88" si="55">S75</f>
        <v>0.4537206294723114</v>
      </c>
      <c r="T87" s="76">
        <f t="shared" si="55"/>
        <v>-4.5280543330339373E-3</v>
      </c>
    </row>
    <row r="88" spans="1:20" x14ac:dyDescent="0.25">
      <c r="A88" s="6">
        <f t="shared" si="45"/>
        <v>80</v>
      </c>
      <c r="B88" s="6" t="s">
        <v>284</v>
      </c>
      <c r="C88" s="5" t="s">
        <v>229</v>
      </c>
      <c r="D88" s="77">
        <v>22301595.849774666</v>
      </c>
      <c r="E88" s="77">
        <v>23335221.988453388</v>
      </c>
      <c r="F88" s="77">
        <v>23042513.096744049</v>
      </c>
      <c r="G88" s="53"/>
      <c r="H88" s="74">
        <v>5.6770000000000001E-2</v>
      </c>
      <c r="I88" s="75">
        <f t="shared" ref="I88:J88" si="56">H88*(1+S88)</f>
        <v>8.2527720135143118E-2</v>
      </c>
      <c r="J88" s="75">
        <f t="shared" si="56"/>
        <v>8.2154030134389766E-2</v>
      </c>
      <c r="L88" s="32">
        <f t="shared" si="53"/>
        <v>1266061.5963917079</v>
      </c>
      <c r="M88" s="32">
        <f t="shared" si="53"/>
        <v>1324740.5522844989</v>
      </c>
      <c r="N88" s="32">
        <f t="shared" si="53"/>
        <v>1308123.4685021597</v>
      </c>
      <c r="P88" s="32">
        <f t="shared" si="54"/>
        <v>1925802.669554519</v>
      </c>
      <c r="Q88" s="32">
        <f t="shared" si="54"/>
        <v>1893035.3153219814</v>
      </c>
      <c r="S88" s="76">
        <f t="shared" si="55"/>
        <v>0.4537206294723114</v>
      </c>
      <c r="T88" s="76">
        <f t="shared" si="55"/>
        <v>-4.5280543330339373E-3</v>
      </c>
    </row>
    <row r="89" spans="1:20" x14ac:dyDescent="0.25">
      <c r="A89" s="6">
        <f t="shared" si="45"/>
        <v>81</v>
      </c>
      <c r="B89" s="6" t="s">
        <v>284</v>
      </c>
      <c r="C89" s="52" t="s">
        <v>222</v>
      </c>
      <c r="D89" s="93">
        <f>SUM(D86:D88)</f>
        <v>60175426.959774666</v>
      </c>
      <c r="E89" s="93">
        <f t="shared" ref="E89:F89" si="57">SUM(E86:E88)</f>
        <v>62744436</v>
      </c>
      <c r="F89" s="93">
        <f t="shared" si="57"/>
        <v>61933294.999999985</v>
      </c>
      <c r="G89" s="53"/>
      <c r="H89" s="90"/>
      <c r="I89" s="91"/>
      <c r="J89" s="91"/>
      <c r="L89" s="33">
        <f>SUM(L86:L88)</f>
        <v>4997314.1330643073</v>
      </c>
      <c r="M89" s="33">
        <f t="shared" ref="M89:N89" si="58">SUM(M86:M88)</f>
        <v>5206957.6409262326</v>
      </c>
      <c r="N89" s="33">
        <f t="shared" si="58"/>
        <v>5139236.7558928533</v>
      </c>
      <c r="O89" s="32"/>
      <c r="P89" s="33">
        <f t="shared" ref="P89:Q89" si="59">SUM(P86:P88)</f>
        <v>7569461.7394029442</v>
      </c>
      <c r="Q89" s="33">
        <f t="shared" si="59"/>
        <v>7437185.3322421182</v>
      </c>
    </row>
    <row r="90" spans="1:20" x14ac:dyDescent="0.25">
      <c r="A90" s="6">
        <f t="shared" si="45"/>
        <v>82</v>
      </c>
      <c r="C90" s="52"/>
      <c r="D90" s="77"/>
      <c r="E90" s="77"/>
      <c r="F90" s="77"/>
      <c r="G90" s="53"/>
      <c r="H90" s="90"/>
      <c r="I90" s="91"/>
      <c r="J90" s="91"/>
      <c r="L90" s="32"/>
      <c r="M90" s="32"/>
      <c r="N90" s="32"/>
    </row>
    <row r="91" spans="1:20" x14ac:dyDescent="0.25">
      <c r="A91" s="6">
        <f t="shared" si="45"/>
        <v>83</v>
      </c>
      <c r="B91" s="6" t="s">
        <v>284</v>
      </c>
      <c r="C91" s="5" t="s">
        <v>223</v>
      </c>
      <c r="D91" s="77"/>
      <c r="E91" s="77"/>
      <c r="F91" s="77"/>
      <c r="G91" s="53"/>
      <c r="H91" s="90"/>
      <c r="I91" s="91"/>
      <c r="J91" s="91"/>
      <c r="L91" s="32">
        <f>SUM(L81:L83,L89)</f>
        <v>6677859.3196796924</v>
      </c>
      <c r="M91" s="32">
        <f t="shared" ref="M91:Q91" si="60">SUM(M81:M83,M89)</f>
        <v>6887307.7909262329</v>
      </c>
      <c r="N91" s="32">
        <f t="shared" si="60"/>
        <v>6819586.9058928527</v>
      </c>
      <c r="O91" s="32"/>
      <c r="P91" s="32">
        <f t="shared" si="60"/>
        <v>9522385.7939065918</v>
      </c>
      <c r="Q91" s="32">
        <f t="shared" si="60"/>
        <v>9707972.6153496206</v>
      </c>
    </row>
    <row r="92" spans="1:20" x14ac:dyDescent="0.25">
      <c r="A92" s="6">
        <f t="shared" si="45"/>
        <v>84</v>
      </c>
      <c r="D92" s="53"/>
      <c r="E92" s="53"/>
      <c r="F92" s="53"/>
      <c r="G92" s="53"/>
      <c r="H92" s="90"/>
      <c r="I92" s="91"/>
      <c r="J92" s="91"/>
      <c r="L92" s="32"/>
      <c r="M92" s="32"/>
      <c r="N92" s="32"/>
    </row>
    <row r="93" spans="1:20" x14ac:dyDescent="0.25">
      <c r="A93" s="6">
        <f t="shared" si="45"/>
        <v>85</v>
      </c>
      <c r="C93" s="39" t="s">
        <v>285</v>
      </c>
      <c r="D93" s="53"/>
      <c r="E93" s="53"/>
      <c r="F93" s="53"/>
      <c r="G93" s="53"/>
      <c r="H93" s="90"/>
      <c r="I93" s="91"/>
      <c r="J93" s="91"/>
      <c r="L93" s="32">
        <f>SUM(L79,L91)</f>
        <v>9202895.8898401167</v>
      </c>
      <c r="M93" s="32">
        <f t="shared" ref="M93:N93" si="61">SUM(M79,M91)</f>
        <v>8911456.2551173717</v>
      </c>
      <c r="N93" s="32">
        <f t="shared" si="61"/>
        <v>8804975.7697971333</v>
      </c>
      <c r="O93" s="32"/>
      <c r="P93" s="32">
        <f t="shared" ref="P93:Q93" si="62">SUM(P79,P91)</f>
        <v>12360206.94432852</v>
      </c>
      <c r="Q93" s="32">
        <f t="shared" si="62"/>
        <v>12641161.271245759</v>
      </c>
      <c r="S93" s="35">
        <v>12360206.94432852</v>
      </c>
      <c r="T93" s="35">
        <v>12641161.271245759</v>
      </c>
    </row>
    <row r="94" spans="1:20" x14ac:dyDescent="0.25">
      <c r="A94" s="6">
        <f t="shared" si="45"/>
        <v>86</v>
      </c>
      <c r="C94" s="39" t="s">
        <v>278</v>
      </c>
      <c r="D94" s="53"/>
      <c r="E94" s="53"/>
      <c r="F94" s="53"/>
      <c r="G94" s="53"/>
      <c r="H94" s="90"/>
      <c r="I94" s="91"/>
      <c r="J94" s="91"/>
      <c r="L94" s="32"/>
      <c r="M94" s="32"/>
      <c r="N94" s="32"/>
      <c r="P94" s="35">
        <v>12360206.94432852</v>
      </c>
      <c r="Q94" s="35">
        <v>12641161.271245759</v>
      </c>
      <c r="R94" s="78"/>
      <c r="S94" s="47">
        <f>S93-M93</f>
        <v>3448750.6892111488</v>
      </c>
      <c r="T94" s="47">
        <f>T93-N93-S94</f>
        <v>387434.81223747693</v>
      </c>
    </row>
    <row r="95" spans="1:20" x14ac:dyDescent="0.25">
      <c r="A95" s="6">
        <f t="shared" si="45"/>
        <v>87</v>
      </c>
      <c r="C95" s="85" t="s">
        <v>45</v>
      </c>
      <c r="D95" s="53"/>
      <c r="E95" s="53"/>
      <c r="F95" s="53"/>
      <c r="G95" s="53"/>
      <c r="H95" s="90"/>
      <c r="I95" s="91"/>
      <c r="J95" s="91"/>
      <c r="L95" s="89">
        <v>0</v>
      </c>
      <c r="M95" s="89">
        <v>0</v>
      </c>
      <c r="N95" s="89">
        <v>0</v>
      </c>
      <c r="O95" s="85"/>
      <c r="P95" s="89">
        <f>P93-P94</f>
        <v>0</v>
      </c>
      <c r="Q95" s="89">
        <f>Q93-Q94</f>
        <v>0</v>
      </c>
      <c r="R95" s="85"/>
      <c r="S95" s="89">
        <f>S93-P93</f>
        <v>0</v>
      </c>
      <c r="T95" s="89">
        <f>T93-Q93</f>
        <v>0</v>
      </c>
    </row>
    <row r="96" spans="1:20" x14ac:dyDescent="0.25">
      <c r="A96" s="6">
        <f t="shared" si="45"/>
        <v>88</v>
      </c>
      <c r="D96" s="53"/>
      <c r="E96" s="53"/>
      <c r="F96" s="53"/>
      <c r="G96" s="53"/>
      <c r="H96" s="90"/>
      <c r="I96" s="91"/>
      <c r="J96" s="91"/>
      <c r="L96" s="32"/>
      <c r="M96" s="32"/>
      <c r="N96" s="32"/>
    </row>
    <row r="97" spans="1:20" x14ac:dyDescent="0.25">
      <c r="A97" s="6">
        <f t="shared" si="45"/>
        <v>89</v>
      </c>
      <c r="D97" s="53"/>
      <c r="E97" s="53"/>
      <c r="F97" s="53"/>
      <c r="G97" s="53"/>
      <c r="H97" s="90"/>
      <c r="I97" s="91"/>
      <c r="J97" s="91"/>
      <c r="L97" s="32"/>
      <c r="M97" s="32"/>
      <c r="N97" s="32"/>
    </row>
    <row r="98" spans="1:20" x14ac:dyDescent="0.25">
      <c r="A98" s="6">
        <f t="shared" si="45"/>
        <v>90</v>
      </c>
      <c r="B98" s="6">
        <v>86</v>
      </c>
      <c r="C98" s="52" t="s">
        <v>219</v>
      </c>
      <c r="D98" s="77">
        <v>1233.7356538099718</v>
      </c>
      <c r="E98" s="77">
        <v>1102</v>
      </c>
      <c r="F98" s="77">
        <v>1056</v>
      </c>
      <c r="G98" s="53"/>
      <c r="H98" s="71">
        <v>148.82</v>
      </c>
      <c r="I98" s="72">
        <f>H98*(1+S98)</f>
        <v>193.40985829803617</v>
      </c>
      <c r="J98" s="72">
        <f>I98*(1+T98)</f>
        <v>251.35985275410854</v>
      </c>
      <c r="L98" s="32">
        <f>D98*$H98</f>
        <v>183604.54</v>
      </c>
      <c r="M98" s="32">
        <f t="shared" ref="M98:N105" si="63">E98*$H98</f>
        <v>163999.63999999998</v>
      </c>
      <c r="N98" s="32">
        <f t="shared" si="63"/>
        <v>157153.91999999998</v>
      </c>
      <c r="P98" s="32">
        <f>E98*I98</f>
        <v>213137.66384443585</v>
      </c>
      <c r="Q98" s="32">
        <f>F98*J98</f>
        <v>265436.00450833864</v>
      </c>
      <c r="S98" s="73">
        <v>0.29962275432089902</v>
      </c>
      <c r="T98" s="73">
        <f>S98</f>
        <v>0.29962275432089902</v>
      </c>
    </row>
    <row r="99" spans="1:20" x14ac:dyDescent="0.25">
      <c r="A99" s="6">
        <f t="shared" si="45"/>
        <v>91</v>
      </c>
      <c r="B99" s="6">
        <v>86</v>
      </c>
      <c r="C99" s="5" t="s">
        <v>225</v>
      </c>
      <c r="D99" s="77">
        <v>34232.126266618754</v>
      </c>
      <c r="E99" s="77">
        <v>34152</v>
      </c>
      <c r="F99" s="77">
        <v>34152</v>
      </c>
      <c r="G99" s="53"/>
      <c r="H99" s="71">
        <v>1.35</v>
      </c>
      <c r="I99" s="72">
        <f t="shared" ref="I99:J105" si="64">H99*(1+S99)</f>
        <v>1.593</v>
      </c>
      <c r="J99" s="72">
        <f t="shared" si="64"/>
        <v>1.87974</v>
      </c>
      <c r="L99" s="32">
        <f t="shared" ref="L99:L105" si="65">D99*$H99</f>
        <v>46213.370459935322</v>
      </c>
      <c r="M99" s="32">
        <f t="shared" si="63"/>
        <v>46105.200000000004</v>
      </c>
      <c r="N99" s="32">
        <f t="shared" si="63"/>
        <v>46105.200000000004</v>
      </c>
      <c r="P99" s="32">
        <f t="shared" ref="P99:Q105" si="66">E99*I99</f>
        <v>54404.135999999999</v>
      </c>
      <c r="Q99" s="32">
        <f t="shared" si="66"/>
        <v>64196.88048</v>
      </c>
      <c r="S99" s="73">
        <v>0.18</v>
      </c>
      <c r="T99" s="73">
        <f>S99</f>
        <v>0.18</v>
      </c>
    </row>
    <row r="100" spans="1:20" x14ac:dyDescent="0.25">
      <c r="A100" s="6">
        <f t="shared" si="45"/>
        <v>92</v>
      </c>
      <c r="B100" s="6">
        <v>86</v>
      </c>
      <c r="C100" s="5" t="s">
        <v>221</v>
      </c>
      <c r="D100" s="77">
        <v>5709710.4526319839</v>
      </c>
      <c r="E100" s="77">
        <v>4684519.0000000009</v>
      </c>
      <c r="F100" s="77">
        <v>4539643.0000000009</v>
      </c>
      <c r="G100" s="53"/>
      <c r="H100" s="74">
        <v>1.222E-2</v>
      </c>
      <c r="I100" s="75">
        <f t="shared" si="64"/>
        <v>1.5057498084420905E-2</v>
      </c>
      <c r="J100" s="75">
        <f t="shared" si="64"/>
        <v>1.5497314669073597E-2</v>
      </c>
      <c r="L100" s="32">
        <f t="shared" si="65"/>
        <v>69772.661731162836</v>
      </c>
      <c r="M100" s="32">
        <f t="shared" si="63"/>
        <v>57244.82218000001</v>
      </c>
      <c r="N100" s="32">
        <f t="shared" si="63"/>
        <v>55474.437460000008</v>
      </c>
      <c r="P100" s="32">
        <f t="shared" si="66"/>
        <v>70537.135868933343</v>
      </c>
      <c r="Q100" s="32">
        <f t="shared" si="66"/>
        <v>70352.27605625728</v>
      </c>
      <c r="S100" s="76">
        <v>0.23220115257126878</v>
      </c>
      <c r="T100" s="76">
        <v>2.9209140999841454E-2</v>
      </c>
    </row>
    <row r="101" spans="1:20" x14ac:dyDescent="0.25">
      <c r="A101" s="6">
        <f t="shared" si="45"/>
        <v>93</v>
      </c>
      <c r="B101" s="6">
        <v>86</v>
      </c>
      <c r="C101" s="5" t="s">
        <v>228</v>
      </c>
      <c r="D101" s="77"/>
      <c r="E101" s="77"/>
      <c r="F101" s="77"/>
      <c r="G101" s="53"/>
      <c r="H101" s="74"/>
      <c r="I101" s="72"/>
      <c r="J101" s="72"/>
      <c r="L101" s="35">
        <v>2294.1099999999997</v>
      </c>
      <c r="M101" s="35">
        <v>2294.1099999999997</v>
      </c>
      <c r="N101" s="35">
        <v>2294.1099999999997</v>
      </c>
      <c r="P101" s="32">
        <f>M101</f>
        <v>2294.1099999999997</v>
      </c>
      <c r="Q101" s="32">
        <f>N101</f>
        <v>2294.1099999999997</v>
      </c>
      <c r="S101" s="76"/>
      <c r="T101" s="76"/>
    </row>
    <row r="102" spans="1:20" x14ac:dyDescent="0.25">
      <c r="A102" s="6">
        <f t="shared" si="45"/>
        <v>94</v>
      </c>
      <c r="C102" s="5"/>
      <c r="D102" s="77"/>
      <c r="E102" s="77"/>
      <c r="F102" s="77"/>
      <c r="G102" s="53"/>
      <c r="H102" s="74"/>
      <c r="I102" s="72"/>
      <c r="J102" s="72"/>
      <c r="L102" s="32"/>
      <c r="M102" s="32"/>
      <c r="N102" s="32"/>
      <c r="P102" s="32"/>
      <c r="Q102" s="32"/>
      <c r="S102" s="76"/>
      <c r="T102" s="76"/>
    </row>
    <row r="103" spans="1:20" x14ac:dyDescent="0.25">
      <c r="A103" s="6">
        <f t="shared" si="45"/>
        <v>95</v>
      </c>
      <c r="B103" s="6">
        <v>86</v>
      </c>
      <c r="C103" s="5" t="s">
        <v>226</v>
      </c>
      <c r="D103" s="77"/>
      <c r="E103" s="77"/>
      <c r="F103" s="77"/>
      <c r="G103" s="53"/>
      <c r="H103" s="74"/>
      <c r="I103" s="72"/>
      <c r="J103" s="72"/>
      <c r="L103" s="32"/>
      <c r="M103" s="32"/>
      <c r="N103" s="32"/>
      <c r="P103" s="32"/>
      <c r="Q103" s="32"/>
      <c r="S103" s="76"/>
      <c r="T103" s="76"/>
    </row>
    <row r="104" spans="1:20" x14ac:dyDescent="0.25">
      <c r="A104" s="6">
        <f t="shared" si="45"/>
        <v>96</v>
      </c>
      <c r="B104" s="6">
        <v>86</v>
      </c>
      <c r="C104" s="5" t="s">
        <v>230</v>
      </c>
      <c r="D104" s="77">
        <v>1016784.1</v>
      </c>
      <c r="E104" s="77">
        <v>837636.37749550154</v>
      </c>
      <c r="F104" s="77">
        <v>811601.45215734933</v>
      </c>
      <c r="G104" s="53"/>
      <c r="H104" s="74">
        <v>0.1951</v>
      </c>
      <c r="I104" s="75">
        <f t="shared" si="64"/>
        <v>0.240440872374836</v>
      </c>
      <c r="J104" s="75">
        <f t="shared" si="64"/>
        <v>0.23071988178909122</v>
      </c>
      <c r="L104" s="32">
        <f t="shared" si="65"/>
        <v>198374.57790999999</v>
      </c>
      <c r="M104" s="32">
        <f t="shared" si="63"/>
        <v>163422.85724937235</v>
      </c>
      <c r="N104" s="32">
        <f t="shared" si="63"/>
        <v>158343.44331589885</v>
      </c>
      <c r="P104" s="32">
        <f t="shared" si="66"/>
        <v>201402.02133791582</v>
      </c>
      <c r="Q104" s="32">
        <f t="shared" si="66"/>
        <v>187252.5911015984</v>
      </c>
      <c r="S104" s="76">
        <f>(S$122-(SUM(P98,P99,P100, P101, P110,P111,P112)-SUM(M98,M99,M100, M101,M110,M111,M112)))/(M121-SUM(M98,M99,M100, M101, M110,M111,M112))</f>
        <v>0.23239811570905175</v>
      </c>
      <c r="T104" s="76">
        <f>((Q122-SUM(Q98:Q101,Q110:Q112)))/((I104*SUM(F104,F115))+(I105*SUM(F105,F116)))-1</f>
        <v>-4.0429859074002206E-2</v>
      </c>
    </row>
    <row r="105" spans="1:20" x14ac:dyDescent="0.25">
      <c r="A105" s="6">
        <f t="shared" si="45"/>
        <v>97</v>
      </c>
      <c r="B105" s="6">
        <v>86</v>
      </c>
      <c r="C105" s="5" t="s">
        <v>231</v>
      </c>
      <c r="D105" s="77">
        <v>4692926.3526319843</v>
      </c>
      <c r="E105" s="77">
        <v>3846882.6225044997</v>
      </c>
      <c r="F105" s="77">
        <v>3728041.5478426516</v>
      </c>
      <c r="G105" s="53"/>
      <c r="H105" s="74">
        <v>0.13830999999999999</v>
      </c>
      <c r="I105" s="75">
        <f t="shared" si="64"/>
        <v>0.17045298338371895</v>
      </c>
      <c r="J105" s="75">
        <f t="shared" si="64"/>
        <v>0.16356159328677194</v>
      </c>
      <c r="L105" s="32">
        <f t="shared" si="65"/>
        <v>649078.64383252966</v>
      </c>
      <c r="M105" s="32">
        <f t="shared" si="63"/>
        <v>532062.33551859728</v>
      </c>
      <c r="N105" s="32">
        <f t="shared" si="63"/>
        <v>515625.42648211709</v>
      </c>
      <c r="P105" s="32">
        <f t="shared" si="66"/>
        <v>655712.61973287666</v>
      </c>
      <c r="Q105" s="32">
        <f t="shared" si="66"/>
        <v>609764.41540442756</v>
      </c>
      <c r="S105" s="76">
        <f>S104</f>
        <v>0.23239811570905175</v>
      </c>
      <c r="T105" s="76">
        <f>T104</f>
        <v>-4.0429859074002206E-2</v>
      </c>
    </row>
    <row r="106" spans="1:20" x14ac:dyDescent="0.25">
      <c r="A106" s="6">
        <f t="shared" si="45"/>
        <v>98</v>
      </c>
      <c r="B106" s="6">
        <v>86</v>
      </c>
      <c r="C106" s="52" t="s">
        <v>222</v>
      </c>
      <c r="D106" s="93">
        <f>SUM(D104:D105)</f>
        <v>5709710.4526319839</v>
      </c>
      <c r="E106" s="93">
        <f t="shared" ref="E106:F106" si="67">SUM(E104:E105)</f>
        <v>4684519.0000000009</v>
      </c>
      <c r="F106" s="93">
        <f t="shared" si="67"/>
        <v>4539643.0000000009</v>
      </c>
      <c r="G106" s="53"/>
      <c r="H106" s="90"/>
      <c r="I106" s="91"/>
      <c r="J106" s="91"/>
      <c r="L106" s="33">
        <f>SUM(L104:L105)</f>
        <v>847453.22174252965</v>
      </c>
      <c r="M106" s="33">
        <f t="shared" ref="M106:Q106" si="68">SUM(M104:M105)</f>
        <v>695485.19276796957</v>
      </c>
      <c r="N106" s="33">
        <f t="shared" si="68"/>
        <v>673968.86979801592</v>
      </c>
      <c r="O106" s="32"/>
      <c r="P106" s="33">
        <f t="shared" si="68"/>
        <v>857114.64107079245</v>
      </c>
      <c r="Q106" s="33">
        <f t="shared" si="68"/>
        <v>797017.00650602602</v>
      </c>
      <c r="S106" s="76"/>
      <c r="T106" s="76"/>
    </row>
    <row r="107" spans="1:20" x14ac:dyDescent="0.25">
      <c r="A107" s="6">
        <f t="shared" si="45"/>
        <v>99</v>
      </c>
      <c r="C107" s="52"/>
      <c r="D107" s="53"/>
      <c r="E107" s="53"/>
      <c r="F107" s="53"/>
      <c r="G107" s="53"/>
      <c r="H107" s="90"/>
      <c r="I107" s="91"/>
      <c r="J107" s="91"/>
      <c r="L107" s="32"/>
      <c r="M107" s="32"/>
      <c r="N107" s="32"/>
      <c r="S107" s="76"/>
      <c r="T107" s="76"/>
    </row>
    <row r="108" spans="1:20" x14ac:dyDescent="0.25">
      <c r="A108" s="6">
        <f t="shared" si="45"/>
        <v>100</v>
      </c>
      <c r="B108" s="6">
        <v>86</v>
      </c>
      <c r="C108" s="5" t="s">
        <v>223</v>
      </c>
      <c r="D108" s="53"/>
      <c r="E108" s="53"/>
      <c r="F108" s="53"/>
      <c r="G108" s="53"/>
      <c r="H108" s="90"/>
      <c r="I108" s="91"/>
      <c r="J108" s="91"/>
      <c r="L108" s="32">
        <f>SUM(L98:L101,L106)</f>
        <v>1149337.9039336278</v>
      </c>
      <c r="M108" s="32">
        <f t="shared" ref="M108:Q108" si="69">SUM(M98:M101,M106)</f>
        <v>965128.96494796954</v>
      </c>
      <c r="N108" s="32">
        <f t="shared" si="69"/>
        <v>934996.53725801595</v>
      </c>
      <c r="O108" s="32"/>
      <c r="P108" s="32">
        <f t="shared" si="69"/>
        <v>1197487.6867841617</v>
      </c>
      <c r="Q108" s="32">
        <f t="shared" si="69"/>
        <v>1199296.2775506219</v>
      </c>
      <c r="S108" s="76"/>
      <c r="T108" s="76"/>
    </row>
    <row r="109" spans="1:20" x14ac:dyDescent="0.25">
      <c r="A109" s="6">
        <f t="shared" si="45"/>
        <v>101</v>
      </c>
      <c r="D109" s="53"/>
      <c r="E109" s="53"/>
      <c r="F109" s="53"/>
      <c r="G109" s="53"/>
      <c r="H109" s="90"/>
      <c r="I109" s="91"/>
      <c r="J109" s="91"/>
      <c r="L109" s="32"/>
      <c r="M109" s="32"/>
      <c r="N109" s="32"/>
      <c r="S109" s="76"/>
      <c r="T109" s="76"/>
    </row>
    <row r="110" spans="1:20" x14ac:dyDescent="0.25">
      <c r="A110" s="6">
        <f t="shared" si="45"/>
        <v>102</v>
      </c>
      <c r="B110" s="6" t="s">
        <v>286</v>
      </c>
      <c r="C110" s="52" t="s">
        <v>219</v>
      </c>
      <c r="D110" s="77">
        <v>63</v>
      </c>
      <c r="E110" s="77">
        <v>72</v>
      </c>
      <c r="F110" s="77">
        <v>72</v>
      </c>
      <c r="G110" s="53"/>
      <c r="H110" s="71">
        <v>457.76</v>
      </c>
      <c r="I110" s="72">
        <f>H110*(1+S110)</f>
        <v>457.76</v>
      </c>
      <c r="J110" s="72">
        <f>I110*(1+T110)</f>
        <v>457.76</v>
      </c>
      <c r="L110" s="32">
        <f>D110*$H110</f>
        <v>28838.880000000001</v>
      </c>
      <c r="M110" s="32">
        <f t="shared" ref="M110:N111" si="70">E110*$H110</f>
        <v>32958.720000000001</v>
      </c>
      <c r="N110" s="32">
        <f t="shared" si="70"/>
        <v>32958.720000000001</v>
      </c>
      <c r="P110" s="32">
        <f>E110*I110</f>
        <v>32958.720000000001</v>
      </c>
      <c r="Q110" s="32">
        <f>F110*J110</f>
        <v>32958.720000000001</v>
      </c>
      <c r="S110" s="73">
        <v>0</v>
      </c>
      <c r="T110" s="73">
        <v>0</v>
      </c>
    </row>
    <row r="111" spans="1:20" x14ac:dyDescent="0.25">
      <c r="A111" s="6">
        <f t="shared" si="45"/>
        <v>103</v>
      </c>
      <c r="B111" s="6" t="s">
        <v>286</v>
      </c>
      <c r="C111" s="5" t="s">
        <v>225</v>
      </c>
      <c r="D111" s="77">
        <v>9006</v>
      </c>
      <c r="E111" s="77">
        <v>9000</v>
      </c>
      <c r="F111" s="77">
        <v>9000</v>
      </c>
      <c r="G111" s="53"/>
      <c r="H111" s="71">
        <v>1.35</v>
      </c>
      <c r="I111" s="72">
        <f t="shared" ref="I111:J111" si="71">H111*(1+S111)</f>
        <v>1.593</v>
      </c>
      <c r="J111" s="72">
        <f t="shared" si="71"/>
        <v>1.87974</v>
      </c>
      <c r="L111" s="32">
        <f t="shared" ref="L111" si="72">D111*$H111</f>
        <v>12158.1</v>
      </c>
      <c r="M111" s="32">
        <f t="shared" si="70"/>
        <v>12150</v>
      </c>
      <c r="N111" s="32">
        <f t="shared" si="70"/>
        <v>12150</v>
      </c>
      <c r="P111" s="32">
        <f t="shared" ref="P111:Q111" si="73">E111*I111</f>
        <v>14337</v>
      </c>
      <c r="Q111" s="32">
        <f t="shared" si="73"/>
        <v>16917.66</v>
      </c>
      <c r="S111" s="76">
        <f>S99</f>
        <v>0.18</v>
      </c>
      <c r="T111" s="76">
        <f>T99</f>
        <v>0.18</v>
      </c>
    </row>
    <row r="112" spans="1:20" x14ac:dyDescent="0.25">
      <c r="A112" s="6">
        <f t="shared" si="45"/>
        <v>104</v>
      </c>
      <c r="B112" s="6" t="s">
        <v>286</v>
      </c>
      <c r="C112" s="5" t="s">
        <v>228</v>
      </c>
      <c r="D112" s="77"/>
      <c r="E112" s="77"/>
      <c r="F112" s="77"/>
      <c r="G112" s="53"/>
      <c r="H112" s="74"/>
      <c r="I112" s="72"/>
      <c r="J112" s="72"/>
      <c r="L112" s="35">
        <v>0</v>
      </c>
      <c r="M112" s="35">
        <v>0</v>
      </c>
      <c r="N112" s="35">
        <v>0</v>
      </c>
      <c r="P112" s="32">
        <f>M112</f>
        <v>0</v>
      </c>
      <c r="Q112" s="32">
        <f>N112</f>
        <v>0</v>
      </c>
      <c r="S112" s="76"/>
      <c r="T112" s="76"/>
    </row>
    <row r="113" spans="1:25" x14ac:dyDescent="0.25">
      <c r="A113" s="6">
        <f t="shared" si="45"/>
        <v>105</v>
      </c>
      <c r="C113" s="5"/>
      <c r="D113" s="77"/>
      <c r="E113" s="77"/>
      <c r="F113" s="77"/>
      <c r="G113" s="53"/>
      <c r="H113" s="74"/>
      <c r="I113" s="72"/>
      <c r="J113" s="72"/>
      <c r="L113" s="32"/>
      <c r="M113" s="32"/>
      <c r="N113" s="32"/>
      <c r="P113" s="32"/>
      <c r="Q113" s="32"/>
      <c r="S113" s="76"/>
      <c r="T113" s="76"/>
    </row>
    <row r="114" spans="1:25" x14ac:dyDescent="0.25">
      <c r="A114" s="6">
        <f t="shared" si="45"/>
        <v>106</v>
      </c>
      <c r="B114" s="6" t="s">
        <v>286</v>
      </c>
      <c r="C114" s="5" t="s">
        <v>226</v>
      </c>
      <c r="D114" s="77"/>
      <c r="E114" s="77"/>
      <c r="F114" s="77"/>
      <c r="G114" s="53"/>
      <c r="H114" s="74"/>
      <c r="I114" s="72"/>
      <c r="J114" s="72"/>
      <c r="L114" s="32"/>
      <c r="M114" s="32"/>
      <c r="N114" s="32"/>
      <c r="P114" s="32"/>
      <c r="Q114" s="32"/>
      <c r="S114" s="76"/>
      <c r="T114" s="76"/>
    </row>
    <row r="115" spans="1:25" x14ac:dyDescent="0.25">
      <c r="A115" s="6">
        <f t="shared" si="45"/>
        <v>107</v>
      </c>
      <c r="B115" s="6" t="s">
        <v>286</v>
      </c>
      <c r="C115" s="5" t="s">
        <v>230</v>
      </c>
      <c r="D115" s="77">
        <v>68000</v>
      </c>
      <c r="E115" s="77">
        <v>52037.248887784684</v>
      </c>
      <c r="F115" s="77">
        <v>51404.691434564244</v>
      </c>
      <c r="G115" s="53"/>
      <c r="H115" s="74">
        <v>0.1951</v>
      </c>
      <c r="I115" s="75">
        <f t="shared" ref="I115:J116" si="74">H115*(1+S115)</f>
        <v>0.240440872374836</v>
      </c>
      <c r="J115" s="75">
        <f t="shared" si="74"/>
        <v>0.23071988178909122</v>
      </c>
      <c r="L115" s="32">
        <f t="shared" ref="L115:N116" si="75">D115*$H115</f>
        <v>13266.8</v>
      </c>
      <c r="M115" s="32">
        <f t="shared" si="75"/>
        <v>10152.467258006791</v>
      </c>
      <c r="N115" s="32">
        <f t="shared" si="75"/>
        <v>10029.055298883484</v>
      </c>
      <c r="P115" s="32">
        <f t="shared" ref="P115:Q116" si="76">E115*I115</f>
        <v>12511.881518565413</v>
      </c>
      <c r="Q115" s="32">
        <f t="shared" si="76"/>
        <v>11860.084331187372</v>
      </c>
      <c r="S115" s="76">
        <f>S104</f>
        <v>0.23239811570905175</v>
      </c>
      <c r="T115" s="76">
        <f>T104</f>
        <v>-4.0429859074002206E-2</v>
      </c>
    </row>
    <row r="116" spans="1:25" x14ac:dyDescent="0.25">
      <c r="A116" s="6">
        <f t="shared" si="45"/>
        <v>108</v>
      </c>
      <c r="B116" s="6" t="s">
        <v>286</v>
      </c>
      <c r="C116" s="5" t="s">
        <v>231</v>
      </c>
      <c r="D116" s="77">
        <v>2067002.5300000003</v>
      </c>
      <c r="E116" s="77">
        <v>1124489.7511122152</v>
      </c>
      <c r="F116" s="77">
        <v>1106663.3085654357</v>
      </c>
      <c r="G116" s="53"/>
      <c r="H116" s="74">
        <v>0.13830999999999999</v>
      </c>
      <c r="I116" s="75">
        <f t="shared" si="74"/>
        <v>0.17045298338371895</v>
      </c>
      <c r="J116" s="75">
        <f t="shared" si="74"/>
        <v>0.16356159328677194</v>
      </c>
      <c r="L116" s="32">
        <f t="shared" si="75"/>
        <v>285887.1199243</v>
      </c>
      <c r="M116" s="32">
        <f t="shared" si="75"/>
        <v>155528.17747633049</v>
      </c>
      <c r="N116" s="32">
        <f t="shared" si="75"/>
        <v>153062.60220768538</v>
      </c>
      <c r="P116" s="32">
        <f t="shared" si="76"/>
        <v>191672.63286149269</v>
      </c>
      <c r="Q116" s="32">
        <f t="shared" si="76"/>
        <v>181007.6139809732</v>
      </c>
      <c r="S116" s="76">
        <f>S105</f>
        <v>0.23239811570905175</v>
      </c>
      <c r="T116" s="76">
        <f>T105</f>
        <v>-4.0429859074002206E-2</v>
      </c>
    </row>
    <row r="117" spans="1:25" x14ac:dyDescent="0.25">
      <c r="A117" s="6">
        <f t="shared" si="45"/>
        <v>109</v>
      </c>
      <c r="B117" s="6" t="s">
        <v>286</v>
      </c>
      <c r="C117" s="52" t="s">
        <v>222</v>
      </c>
      <c r="D117" s="93">
        <f>SUM(D115:D116)</f>
        <v>2135002.5300000003</v>
      </c>
      <c r="E117" s="93">
        <f t="shared" ref="E117:F117" si="77">SUM(E115:E116)</f>
        <v>1176527</v>
      </c>
      <c r="F117" s="93">
        <f t="shared" si="77"/>
        <v>1158068</v>
      </c>
      <c r="G117" s="53"/>
      <c r="H117" s="90"/>
      <c r="I117" s="91"/>
      <c r="J117" s="91"/>
      <c r="L117" s="33">
        <f>SUM(L115:L116)</f>
        <v>299153.91992429999</v>
      </c>
      <c r="M117" s="33">
        <f t="shared" ref="M117:N117" si="78">SUM(M115:M116)</f>
        <v>165680.64473433729</v>
      </c>
      <c r="N117" s="33">
        <f t="shared" si="78"/>
        <v>163091.65750656888</v>
      </c>
      <c r="O117" s="32"/>
      <c r="P117" s="33">
        <f t="shared" ref="P117:Q117" si="79">SUM(P115:P116)</f>
        <v>204184.5143800581</v>
      </c>
      <c r="Q117" s="33">
        <f t="shared" si="79"/>
        <v>192867.69831216056</v>
      </c>
    </row>
    <row r="118" spans="1:25" x14ac:dyDescent="0.25">
      <c r="A118" s="6">
        <f t="shared" si="45"/>
        <v>110</v>
      </c>
      <c r="C118" s="52"/>
      <c r="D118" s="53"/>
      <c r="E118" s="53"/>
      <c r="F118" s="53"/>
      <c r="G118" s="53"/>
      <c r="H118" s="90"/>
      <c r="I118" s="91"/>
      <c r="J118" s="91"/>
      <c r="L118" s="32"/>
      <c r="M118" s="32"/>
      <c r="N118" s="32"/>
    </row>
    <row r="119" spans="1:25" x14ac:dyDescent="0.25">
      <c r="A119" s="6">
        <f t="shared" si="45"/>
        <v>111</v>
      </c>
      <c r="B119" s="6" t="s">
        <v>286</v>
      </c>
      <c r="C119" s="5" t="s">
        <v>223</v>
      </c>
      <c r="D119" s="53"/>
      <c r="E119" s="53"/>
      <c r="F119" s="53"/>
      <c r="G119" s="53"/>
      <c r="H119" s="90"/>
      <c r="I119" s="91"/>
      <c r="J119" s="91"/>
      <c r="L119" s="32">
        <f>SUM(L110:L112,L117)</f>
        <v>340150.89992429997</v>
      </c>
      <c r="M119" s="32">
        <f>SUM(M110:M112,M117)</f>
        <v>210789.36473433729</v>
      </c>
      <c r="N119" s="32">
        <f>SUM(N110:N112,N117)</f>
        <v>208200.37750656888</v>
      </c>
      <c r="O119" s="32"/>
      <c r="P119" s="32">
        <f>SUM(P110:P112,P117)</f>
        <v>251480.2343800581</v>
      </c>
      <c r="Q119" s="32">
        <f>SUM(Q110:Q112,Q117)</f>
        <v>242744.07831216056</v>
      </c>
    </row>
    <row r="120" spans="1:25" x14ac:dyDescent="0.25">
      <c r="A120" s="6">
        <f t="shared" si="45"/>
        <v>112</v>
      </c>
      <c r="D120" s="53"/>
      <c r="E120" s="53"/>
      <c r="F120" s="53"/>
      <c r="G120" s="53"/>
      <c r="H120" s="90"/>
      <c r="I120" s="91"/>
      <c r="J120" s="91"/>
      <c r="L120" s="32"/>
      <c r="M120" s="32"/>
      <c r="N120" s="32"/>
    </row>
    <row r="121" spans="1:25" x14ac:dyDescent="0.25">
      <c r="A121" s="6">
        <f t="shared" si="45"/>
        <v>113</v>
      </c>
      <c r="C121" s="39" t="s">
        <v>287</v>
      </c>
      <c r="D121" s="53"/>
      <c r="E121" s="53"/>
      <c r="F121" s="53"/>
      <c r="G121" s="53"/>
      <c r="H121" s="90"/>
      <c r="I121" s="91"/>
      <c r="J121" s="91"/>
      <c r="L121" s="32">
        <f>SUM(L108,L119)</f>
        <v>1489488.8038579277</v>
      </c>
      <c r="M121" s="32">
        <f t="shared" ref="M121:Q121" si="80">SUM(M108,M119)</f>
        <v>1175918.3296823069</v>
      </c>
      <c r="N121" s="32">
        <f t="shared" si="80"/>
        <v>1143196.9147645847</v>
      </c>
      <c r="O121" s="32"/>
      <c r="P121" s="32">
        <f t="shared" si="80"/>
        <v>1448967.9211642197</v>
      </c>
      <c r="Q121" s="32">
        <f t="shared" si="80"/>
        <v>1442040.3558627823</v>
      </c>
      <c r="S121" s="35">
        <v>1448967.9211642197</v>
      </c>
      <c r="T121" s="35">
        <v>1442040.3558627823</v>
      </c>
    </row>
    <row r="122" spans="1:25" x14ac:dyDescent="0.25">
      <c r="A122" s="6">
        <f t="shared" si="45"/>
        <v>114</v>
      </c>
      <c r="C122" s="39" t="s">
        <v>278</v>
      </c>
      <c r="D122" s="53"/>
      <c r="E122" s="53"/>
      <c r="F122" s="53"/>
      <c r="G122" s="53"/>
      <c r="H122" s="90"/>
      <c r="I122" s="91"/>
      <c r="J122" s="91"/>
      <c r="L122" s="32"/>
      <c r="M122" s="32"/>
      <c r="N122" s="32"/>
      <c r="P122" s="35">
        <v>1448967.9211642197</v>
      </c>
      <c r="Q122" s="35">
        <v>1442040.3558627823</v>
      </c>
      <c r="R122" s="78"/>
      <c r="S122" s="47">
        <f>S121-M121</f>
        <v>273049.59148191288</v>
      </c>
      <c r="T122" s="47">
        <f>T121-N121-S122</f>
        <v>25793.849616284715</v>
      </c>
    </row>
    <row r="123" spans="1:25" x14ac:dyDescent="0.25">
      <c r="A123" s="6">
        <f t="shared" si="45"/>
        <v>115</v>
      </c>
      <c r="C123" s="85" t="s">
        <v>45</v>
      </c>
      <c r="D123" s="53"/>
      <c r="E123" s="53"/>
      <c r="F123" s="53"/>
      <c r="G123" s="53"/>
      <c r="H123" s="90"/>
      <c r="I123" s="91"/>
      <c r="J123" s="91"/>
      <c r="L123" s="89">
        <v>0</v>
      </c>
      <c r="M123" s="89">
        <v>0</v>
      </c>
      <c r="N123" s="89">
        <v>0</v>
      </c>
      <c r="O123" s="85"/>
      <c r="P123" s="89">
        <f>P121-P122</f>
        <v>0</v>
      </c>
      <c r="Q123" s="89">
        <f>Q121-Q122</f>
        <v>0</v>
      </c>
      <c r="R123" s="85"/>
      <c r="S123" s="89">
        <f>S121-P121</f>
        <v>0</v>
      </c>
      <c r="T123" s="89">
        <f>T121-Q121</f>
        <v>0</v>
      </c>
    </row>
    <row r="124" spans="1:25" x14ac:dyDescent="0.25">
      <c r="A124" s="6">
        <f t="shared" si="45"/>
        <v>116</v>
      </c>
      <c r="D124" s="53"/>
      <c r="E124" s="53"/>
      <c r="F124" s="53"/>
      <c r="G124" s="53"/>
      <c r="H124" s="90"/>
      <c r="I124" s="91"/>
      <c r="J124" s="91"/>
      <c r="L124" s="32"/>
      <c r="M124" s="32"/>
      <c r="N124" s="32"/>
      <c r="V124" s="230" t="s">
        <v>288</v>
      </c>
      <c r="W124" s="231"/>
    </row>
    <row r="125" spans="1:25" x14ac:dyDescent="0.25">
      <c r="A125" s="6">
        <f t="shared" si="45"/>
        <v>117</v>
      </c>
      <c r="D125" s="53"/>
      <c r="E125" s="53"/>
      <c r="F125" s="53"/>
      <c r="G125" s="53"/>
      <c r="H125" s="90"/>
      <c r="I125" s="91"/>
      <c r="J125" s="91"/>
      <c r="L125" s="32"/>
      <c r="M125" s="32"/>
      <c r="N125" s="32"/>
      <c r="V125" s="95"/>
      <c r="W125" s="96"/>
    </row>
    <row r="126" spans="1:25" x14ac:dyDescent="0.25">
      <c r="A126" s="6">
        <f t="shared" si="45"/>
        <v>118</v>
      </c>
      <c r="B126" s="6">
        <v>87</v>
      </c>
      <c r="C126" s="52" t="s">
        <v>219</v>
      </c>
      <c r="D126" s="42">
        <v>48.270756991295279</v>
      </c>
      <c r="E126" s="42">
        <v>48</v>
      </c>
      <c r="F126" s="42">
        <v>48</v>
      </c>
      <c r="G126" s="53"/>
      <c r="H126" s="71">
        <v>715.15</v>
      </c>
      <c r="I126" s="72">
        <f t="shared" ref="I126:J126" si="81">H126*(1+S126)</f>
        <v>929.69500000000005</v>
      </c>
      <c r="J126" s="72">
        <f t="shared" si="81"/>
        <v>1208.6035000000002</v>
      </c>
      <c r="L126" s="32">
        <f>D126*$H126</f>
        <v>34520.83186232482</v>
      </c>
      <c r="M126" s="32">
        <f t="shared" ref="M126:N128" si="82">E126*$H126</f>
        <v>34327.199999999997</v>
      </c>
      <c r="N126" s="32">
        <f t="shared" si="82"/>
        <v>34327.199999999997</v>
      </c>
      <c r="P126" s="32">
        <f t="shared" ref="P126:Q128" si="83">E126*I126</f>
        <v>44625.36</v>
      </c>
      <c r="Q126" s="32">
        <f t="shared" si="83"/>
        <v>58012.968000000008</v>
      </c>
      <c r="S126" s="73">
        <v>0.3</v>
      </c>
      <c r="T126" s="73">
        <f>S126</f>
        <v>0.3</v>
      </c>
      <c r="V126" s="97"/>
      <c r="W126" s="96"/>
    </row>
    <row r="127" spans="1:25" x14ac:dyDescent="0.25">
      <c r="A127" s="6">
        <f t="shared" si="45"/>
        <v>119</v>
      </c>
      <c r="B127" s="6">
        <v>87</v>
      </c>
      <c r="C127" s="5" t="s">
        <v>225</v>
      </c>
      <c r="D127" s="42">
        <v>0</v>
      </c>
      <c r="E127" s="42">
        <v>0</v>
      </c>
      <c r="F127" s="42">
        <v>0</v>
      </c>
      <c r="G127" s="53"/>
      <c r="H127" s="71">
        <v>1.45</v>
      </c>
      <c r="I127" s="98">
        <f>V127*(1+V155)</f>
        <v>1.4584445192363269</v>
      </c>
      <c r="J127" s="98">
        <f>W127*(1+W155)</f>
        <v>1.711330780526054</v>
      </c>
      <c r="L127" s="32">
        <f t="shared" ref="L127:N137" si="84">D127*$H127</f>
        <v>0</v>
      </c>
      <c r="M127" s="32">
        <f t="shared" si="82"/>
        <v>0</v>
      </c>
      <c r="N127" s="32">
        <f t="shared" si="82"/>
        <v>0</v>
      </c>
      <c r="P127" s="32">
        <f t="shared" si="83"/>
        <v>0</v>
      </c>
      <c r="Q127" s="32">
        <f t="shared" si="83"/>
        <v>0</v>
      </c>
      <c r="S127" s="99">
        <f>(I127-H127)/H127</f>
        <v>5.8238063698806495E-3</v>
      </c>
      <c r="T127" s="100">
        <f>(J127-I127)/I127</f>
        <v>0.1733945021248692</v>
      </c>
      <c r="V127" s="101">
        <v>1.7110000000000001</v>
      </c>
      <c r="W127" s="102">
        <v>2.01898</v>
      </c>
      <c r="X127" s="103"/>
      <c r="Y127" s="103"/>
    </row>
    <row r="128" spans="1:25" x14ac:dyDescent="0.25">
      <c r="A128" s="6">
        <f t="shared" si="45"/>
        <v>120</v>
      </c>
      <c r="B128" s="6">
        <v>87</v>
      </c>
      <c r="C128" s="5" t="s">
        <v>221</v>
      </c>
      <c r="D128" s="42">
        <v>19551189.13520667</v>
      </c>
      <c r="E128" s="42">
        <v>20007657</v>
      </c>
      <c r="F128" s="42">
        <v>19433452</v>
      </c>
      <c r="G128" s="53"/>
      <c r="H128" s="74">
        <v>9.3200000000000002E-3</v>
      </c>
      <c r="I128" s="75">
        <f>H128*(1+S128)</f>
        <v>1.2920357783594592E-2</v>
      </c>
      <c r="J128" s="75">
        <f>I128*(1+T128)</f>
        <v>1.2920357783594592E-2</v>
      </c>
      <c r="L128" s="32">
        <f t="shared" si="84"/>
        <v>182217.08274012618</v>
      </c>
      <c r="M128" s="32">
        <f t="shared" si="82"/>
        <v>186471.36324000001</v>
      </c>
      <c r="N128" s="32">
        <f t="shared" si="82"/>
        <v>181119.77264000001</v>
      </c>
      <c r="P128" s="32">
        <f t="shared" si="83"/>
        <v>258506.08685144084</v>
      </c>
      <c r="Q128" s="32">
        <f t="shared" si="83"/>
        <v>251087.15281031191</v>
      </c>
      <c r="S128" s="76">
        <v>0.38630448321830385</v>
      </c>
      <c r="T128" s="76">
        <v>0</v>
      </c>
      <c r="V128" s="104"/>
      <c r="W128" s="105"/>
      <c r="X128" s="103"/>
      <c r="Y128" s="103"/>
    </row>
    <row r="129" spans="1:26" x14ac:dyDescent="0.25">
      <c r="A129" s="6">
        <f t="shared" si="45"/>
        <v>121</v>
      </c>
      <c r="B129" s="6">
        <v>87</v>
      </c>
      <c r="C129" s="5" t="s">
        <v>228</v>
      </c>
      <c r="D129" s="78"/>
      <c r="E129" s="78"/>
      <c r="F129" s="78"/>
      <c r="G129" s="53"/>
      <c r="H129" s="78"/>
      <c r="I129" s="5"/>
      <c r="J129" s="5"/>
      <c r="L129" s="35">
        <v>4588.369999999999</v>
      </c>
      <c r="M129" s="35">
        <v>4588.369999999999</v>
      </c>
      <c r="N129" s="35">
        <v>4588.369999999999</v>
      </c>
      <c r="P129" s="47">
        <f>M129</f>
        <v>4588.369999999999</v>
      </c>
      <c r="Q129" s="47">
        <f>N129</f>
        <v>4588.369999999999</v>
      </c>
      <c r="V129" s="104"/>
      <c r="W129" s="105"/>
      <c r="X129" s="103"/>
      <c r="Y129" s="103"/>
    </row>
    <row r="130" spans="1:26" x14ac:dyDescent="0.25">
      <c r="A130" s="6">
        <f t="shared" si="45"/>
        <v>122</v>
      </c>
      <c r="C130" s="5"/>
      <c r="D130" s="78"/>
      <c r="E130" s="78"/>
      <c r="F130" s="78"/>
      <c r="G130" s="53"/>
      <c r="H130" s="78"/>
      <c r="I130" s="5"/>
      <c r="J130" s="5"/>
      <c r="L130" s="32"/>
      <c r="M130" s="32"/>
      <c r="N130" s="32"/>
      <c r="V130" s="104"/>
      <c r="W130" s="105"/>
      <c r="X130" s="103"/>
      <c r="Y130" s="103"/>
    </row>
    <row r="131" spans="1:26" x14ac:dyDescent="0.25">
      <c r="A131" s="6">
        <f t="shared" si="45"/>
        <v>123</v>
      </c>
      <c r="B131" s="6">
        <v>87</v>
      </c>
      <c r="C131" s="5" t="s">
        <v>226</v>
      </c>
      <c r="D131" s="78"/>
      <c r="E131" s="78"/>
      <c r="F131" s="78"/>
      <c r="G131" s="53"/>
      <c r="H131" s="81"/>
      <c r="I131" s="82"/>
      <c r="J131" s="82"/>
      <c r="L131" s="32"/>
      <c r="M131" s="32"/>
      <c r="N131" s="32"/>
      <c r="V131" s="104"/>
      <c r="W131" s="105"/>
      <c r="X131" s="103"/>
      <c r="Y131" s="103"/>
    </row>
    <row r="132" spans="1:26" x14ac:dyDescent="0.25">
      <c r="A132" s="6">
        <f t="shared" si="45"/>
        <v>124</v>
      </c>
      <c r="B132" s="6">
        <v>87</v>
      </c>
      <c r="C132" s="5" t="s">
        <v>175</v>
      </c>
      <c r="D132" s="42">
        <v>1194651.9719999998</v>
      </c>
      <c r="E132" s="42">
        <v>1200000</v>
      </c>
      <c r="F132" s="42">
        <v>1200000</v>
      </c>
      <c r="G132" s="53"/>
      <c r="H132" s="74">
        <v>0.20754</v>
      </c>
      <c r="I132" s="106">
        <f t="shared" ref="I132:J137" si="85">H132*(1+S132)</f>
        <v>0.31590188242627204</v>
      </c>
      <c r="J132" s="106">
        <f t="shared" si="85"/>
        <v>0.32611071792947161</v>
      </c>
      <c r="L132" s="32">
        <f t="shared" si="84"/>
        <v>247938.07026887996</v>
      </c>
      <c r="M132" s="32">
        <f t="shared" si="84"/>
        <v>249048</v>
      </c>
      <c r="N132" s="32">
        <f t="shared" si="84"/>
        <v>249048</v>
      </c>
      <c r="P132" s="32">
        <f>E132*I132</f>
        <v>379082.25891152647</v>
      </c>
      <c r="Q132" s="32">
        <f>F132*J132</f>
        <v>391332.86151536595</v>
      </c>
      <c r="S132" s="76">
        <f>(S$158-(SUM(P126,P127,P128, P129, P142,P143,P144)-SUM(M126,M127,M128, M129,M142,M143,M144)))/(M157-SUM(M126,M127,M128, M129, M142,M143,M144))</f>
        <v>0.52212528874564934</v>
      </c>
      <c r="T132" s="76">
        <f>((Q158-SUM(Q126:Q129,Q142:Q144)))/((I132*SUM(F132,F147))+(I133*SUM(F133,F148))+(I134*SUM(F134,F149))+(I135*SUM(F135,F150))+(I136*SUM(F136,F151))+(I137*SUM(F137,F152)))-1</f>
        <v>3.2316475687928836E-2</v>
      </c>
      <c r="V132" s="107">
        <v>0.37060599999999999</v>
      </c>
      <c r="W132" s="108">
        <v>0.38473600000000002</v>
      </c>
      <c r="X132" s="103"/>
      <c r="Y132" s="109"/>
    </row>
    <row r="133" spans="1:26" x14ac:dyDescent="0.25">
      <c r="A133" s="6">
        <f t="shared" si="45"/>
        <v>125</v>
      </c>
      <c r="B133" s="6">
        <v>87</v>
      </c>
      <c r="C133" s="5" t="s">
        <v>176</v>
      </c>
      <c r="D133" s="42">
        <v>1194643.9719999998</v>
      </c>
      <c r="E133" s="42">
        <v>1200000</v>
      </c>
      <c r="F133" s="42">
        <v>1200000</v>
      </c>
      <c r="G133" s="53"/>
      <c r="H133" s="74">
        <v>0.12540999999999999</v>
      </c>
      <c r="I133" s="106">
        <f t="shared" si="85"/>
        <v>0.19088973246159188</v>
      </c>
      <c r="J133" s="106">
        <f t="shared" si="85"/>
        <v>0.19705861585976214</v>
      </c>
      <c r="L133" s="32">
        <f t="shared" si="84"/>
        <v>149820.30052851996</v>
      </c>
      <c r="M133" s="32">
        <f t="shared" si="84"/>
        <v>150492</v>
      </c>
      <c r="N133" s="32">
        <f t="shared" si="84"/>
        <v>150492</v>
      </c>
      <c r="P133" s="32">
        <f t="shared" ref="P133:Q137" si="86">E133*I133</f>
        <v>229067.67895391025</v>
      </c>
      <c r="Q133" s="32">
        <f t="shared" si="86"/>
        <v>236470.33903171457</v>
      </c>
      <c r="S133" s="76">
        <f>S132</f>
        <v>0.52212528874564934</v>
      </c>
      <c r="T133" s="76">
        <f>T132</f>
        <v>3.2316475687928836E-2</v>
      </c>
      <c r="V133" s="107">
        <v>0.22394600000000001</v>
      </c>
      <c r="W133" s="108">
        <v>0.232484</v>
      </c>
      <c r="X133" s="103"/>
      <c r="Y133" s="109"/>
    </row>
    <row r="134" spans="1:26" x14ac:dyDescent="0.25">
      <c r="A134" s="6">
        <f t="shared" si="45"/>
        <v>126</v>
      </c>
      <c r="B134" s="6">
        <v>87</v>
      </c>
      <c r="C134" s="5" t="s">
        <v>177</v>
      </c>
      <c r="D134" s="42">
        <v>2194527.5929999999</v>
      </c>
      <c r="E134" s="42">
        <v>2400000</v>
      </c>
      <c r="F134" s="42">
        <v>2400000</v>
      </c>
      <c r="G134" s="53"/>
      <c r="H134" s="74">
        <v>7.9810000000000006E-2</v>
      </c>
      <c r="I134" s="106">
        <f t="shared" si="85"/>
        <v>0.12148081929479028</v>
      </c>
      <c r="J134" s="106">
        <f t="shared" si="85"/>
        <v>0.12540665123808004</v>
      </c>
      <c r="L134" s="32">
        <f t="shared" si="84"/>
        <v>175145.24719733</v>
      </c>
      <c r="M134" s="32">
        <f t="shared" si="84"/>
        <v>191544</v>
      </c>
      <c r="N134" s="32">
        <f t="shared" si="84"/>
        <v>191544</v>
      </c>
      <c r="P134" s="32">
        <f t="shared" si="86"/>
        <v>291553.96630749665</v>
      </c>
      <c r="Q134" s="32">
        <f t="shared" si="86"/>
        <v>300975.96297139209</v>
      </c>
      <c r="S134" s="76">
        <f t="shared" ref="S134:T137" si="87">S133</f>
        <v>0.52212528874564934</v>
      </c>
      <c r="T134" s="76">
        <f t="shared" si="87"/>
        <v>3.2316475687928836E-2</v>
      </c>
      <c r="V134" s="107">
        <v>0.142517</v>
      </c>
      <c r="W134" s="108">
        <v>0.147951</v>
      </c>
      <c r="X134" s="103"/>
      <c r="Y134" s="109"/>
    </row>
    <row r="135" spans="1:26" x14ac:dyDescent="0.25">
      <c r="A135" s="6">
        <f t="shared" si="45"/>
        <v>127</v>
      </c>
      <c r="B135" s="6">
        <v>87</v>
      </c>
      <c r="C135" s="5" t="s">
        <v>180</v>
      </c>
      <c r="D135" s="42">
        <v>3078129.3010000004</v>
      </c>
      <c r="E135" s="42">
        <v>3127546.681753166</v>
      </c>
      <c r="F135" s="42">
        <v>3009457.9490577825</v>
      </c>
      <c r="G135" s="53"/>
      <c r="H135" s="74">
        <v>5.117E-2</v>
      </c>
      <c r="I135" s="106">
        <f t="shared" si="85"/>
        <v>7.788715102511487E-2</v>
      </c>
      <c r="J135" s="106">
        <f t="shared" si="85"/>
        <v>8.0404189247620036E-2</v>
      </c>
      <c r="L135" s="32">
        <f t="shared" si="84"/>
        <v>157507.87633217001</v>
      </c>
      <c r="M135" s="32">
        <f t="shared" si="84"/>
        <v>160036.5637053095</v>
      </c>
      <c r="N135" s="32">
        <f t="shared" si="84"/>
        <v>153993.96325328673</v>
      </c>
      <c r="P135" s="32">
        <f t="shared" si="86"/>
        <v>243595.7007398057</v>
      </c>
      <c r="Q135" s="32">
        <f t="shared" si="86"/>
        <v>241973.02646879639</v>
      </c>
      <c r="S135" s="76">
        <f t="shared" si="87"/>
        <v>0.52212528874564934</v>
      </c>
      <c r="T135" s="76">
        <f t="shared" si="87"/>
        <v>3.2316475687928836E-2</v>
      </c>
      <c r="V135" s="107">
        <v>9.1374999999999998E-2</v>
      </c>
      <c r="W135" s="108">
        <v>9.4858999999999999E-2</v>
      </c>
      <c r="X135" s="103"/>
      <c r="Y135" s="109"/>
    </row>
    <row r="136" spans="1:26" x14ac:dyDescent="0.25">
      <c r="A136" s="6">
        <f t="shared" si="45"/>
        <v>128</v>
      </c>
      <c r="B136" s="6">
        <v>87</v>
      </c>
      <c r="C136" s="5" t="s">
        <v>181</v>
      </c>
      <c r="D136" s="42">
        <v>3885647.2050000001</v>
      </c>
      <c r="E136" s="42">
        <v>3948028.7649102928</v>
      </c>
      <c r="F136" s="42">
        <v>3798960.5779466261</v>
      </c>
      <c r="G136" s="53"/>
      <c r="H136" s="74">
        <v>3.6830000000000002E-2</v>
      </c>
      <c r="I136" s="106">
        <f t="shared" si="85"/>
        <v>5.6059874384502266E-2</v>
      </c>
      <c r="J136" s="106">
        <f t="shared" si="85"/>
        <v>5.7871531952117375E-2</v>
      </c>
      <c r="L136" s="32">
        <f t="shared" si="84"/>
        <v>143108.38656015001</v>
      </c>
      <c r="M136" s="32">
        <f t="shared" si="84"/>
        <v>145405.8994116461</v>
      </c>
      <c r="N136" s="32">
        <f t="shared" si="84"/>
        <v>139915.71808577425</v>
      </c>
      <c r="P136" s="32">
        <f t="shared" si="86"/>
        <v>221325.99662727263</v>
      </c>
      <c r="Q136" s="32">
        <f t="shared" si="86"/>
        <v>219851.66847147245</v>
      </c>
      <c r="S136" s="76">
        <f t="shared" si="87"/>
        <v>0.52212528874564934</v>
      </c>
      <c r="T136" s="76">
        <f t="shared" si="87"/>
        <v>3.2316475687928836E-2</v>
      </c>
      <c r="V136" s="107">
        <v>6.5767999999999993E-2</v>
      </c>
      <c r="W136" s="108">
        <v>6.8275000000000002E-2</v>
      </c>
      <c r="X136" s="103"/>
      <c r="Y136" s="109"/>
    </row>
    <row r="137" spans="1:26" x14ac:dyDescent="0.25">
      <c r="A137" s="6">
        <f t="shared" si="45"/>
        <v>129</v>
      </c>
      <c r="B137" s="6">
        <v>87</v>
      </c>
      <c r="C137" s="5" t="s">
        <v>182</v>
      </c>
      <c r="D137" s="42">
        <v>8003589.0922066681</v>
      </c>
      <c r="E137" s="42">
        <v>8132081.5533365402</v>
      </c>
      <c r="F137" s="42">
        <v>7825033.4729955904</v>
      </c>
      <c r="G137" s="53"/>
      <c r="H137" s="74">
        <v>2.4830000000000001E-2</v>
      </c>
      <c r="I137" s="106">
        <f t="shared" si="85"/>
        <v>3.7794370919554475E-2</v>
      </c>
      <c r="J137" s="106">
        <f t="shared" si="85"/>
        <v>3.9015751788516823E-2</v>
      </c>
      <c r="L137" s="32">
        <f t="shared" si="84"/>
        <v>198729.11715949158</v>
      </c>
      <c r="M137" s="32">
        <f t="shared" si="84"/>
        <v>201919.5849693463</v>
      </c>
      <c r="N137" s="32">
        <f t="shared" si="84"/>
        <v>194295.58113448051</v>
      </c>
      <c r="P137" s="32">
        <f t="shared" si="86"/>
        <v>307346.9065748679</v>
      </c>
      <c r="Q137" s="32">
        <f t="shared" si="86"/>
        <v>305299.56371923169</v>
      </c>
      <c r="S137" s="76">
        <f t="shared" si="87"/>
        <v>0.52212528874564934</v>
      </c>
      <c r="T137" s="76">
        <f t="shared" si="87"/>
        <v>3.2316475687928836E-2</v>
      </c>
      <c r="V137" s="107">
        <v>4.4339000000000003E-2</v>
      </c>
      <c r="W137" s="108">
        <v>4.6030000000000001E-2</v>
      </c>
      <c r="X137" s="103"/>
      <c r="Y137" s="109"/>
    </row>
    <row r="138" spans="1:26" x14ac:dyDescent="0.25">
      <c r="A138" s="6">
        <f t="shared" si="45"/>
        <v>130</v>
      </c>
      <c r="B138" s="6">
        <v>87</v>
      </c>
      <c r="C138" s="52" t="s">
        <v>222</v>
      </c>
      <c r="D138" s="34">
        <f>SUM(D132:D137)</f>
        <v>19551189.13520667</v>
      </c>
      <c r="E138" s="34">
        <f t="shared" ref="E138:F138" si="88">SUM(E132:E137)</f>
        <v>20007657</v>
      </c>
      <c r="F138" s="34">
        <f t="shared" si="88"/>
        <v>19433452</v>
      </c>
      <c r="G138" s="53"/>
      <c r="H138" s="78"/>
      <c r="I138" s="5"/>
      <c r="J138" s="5"/>
      <c r="L138" s="49">
        <f>SUM(L132:L137)</f>
        <v>1072248.9980465416</v>
      </c>
      <c r="M138" s="49">
        <f t="shared" ref="M138:N138" si="89">SUM(M132:M137)</f>
        <v>1098446.0480863019</v>
      </c>
      <c r="N138" s="49">
        <f t="shared" si="89"/>
        <v>1079289.2624735413</v>
      </c>
      <c r="P138" s="49">
        <f>SUM(P132:P137)</f>
        <v>1671972.5081148797</v>
      </c>
      <c r="Q138" s="49">
        <f>SUM(Q132:Q137)</f>
        <v>1695903.4221779732</v>
      </c>
      <c r="V138" s="107"/>
      <c r="W138" s="108"/>
      <c r="X138" s="103"/>
      <c r="Y138" s="110"/>
      <c r="Z138" s="76"/>
    </row>
    <row r="139" spans="1:26" x14ac:dyDescent="0.25">
      <c r="A139" s="6">
        <f t="shared" ref="A139:A191" si="90">A138+1</f>
        <v>131</v>
      </c>
      <c r="C139" s="52"/>
      <c r="H139" s="81"/>
      <c r="I139" s="82"/>
      <c r="J139" s="82"/>
      <c r="V139" s="107"/>
      <c r="W139" s="108"/>
      <c r="X139" s="103"/>
      <c r="Y139" s="110"/>
      <c r="Z139" s="76"/>
    </row>
    <row r="140" spans="1:26" x14ac:dyDescent="0.25">
      <c r="A140" s="6">
        <f t="shared" si="90"/>
        <v>132</v>
      </c>
      <c r="B140" s="6">
        <v>87</v>
      </c>
      <c r="C140" s="5" t="s">
        <v>223</v>
      </c>
      <c r="H140" s="78"/>
      <c r="I140" s="5"/>
      <c r="J140" s="5"/>
      <c r="L140" s="47">
        <f>SUM(L126:L129,L138)</f>
        <v>1293575.2826489925</v>
      </c>
      <c r="M140" s="47">
        <f t="shared" ref="M140:Q140" si="91">SUM(M126:M129,M138)</f>
        <v>1323832.9813263018</v>
      </c>
      <c r="N140" s="47">
        <f t="shared" si="91"/>
        <v>1299324.6051135412</v>
      </c>
      <c r="P140" s="47">
        <f t="shared" si="91"/>
        <v>1979692.3249663205</v>
      </c>
      <c r="Q140" s="47">
        <f t="shared" si="91"/>
        <v>2009591.9129882851</v>
      </c>
      <c r="V140" s="107"/>
      <c r="W140" s="108"/>
      <c r="X140" s="103"/>
      <c r="Y140" s="103"/>
      <c r="Z140" s="76"/>
    </row>
    <row r="141" spans="1:26" x14ac:dyDescent="0.25">
      <c r="A141" s="6">
        <f t="shared" si="90"/>
        <v>133</v>
      </c>
      <c r="H141" s="80"/>
      <c r="I141" s="72"/>
      <c r="J141" s="72"/>
      <c r="V141" s="107"/>
      <c r="W141" s="108"/>
      <c r="X141" s="103"/>
      <c r="Y141" s="103"/>
      <c r="Z141" s="76"/>
    </row>
    <row r="142" spans="1:26" x14ac:dyDescent="0.25">
      <c r="A142" s="6">
        <f t="shared" si="90"/>
        <v>134</v>
      </c>
      <c r="B142" s="6" t="s">
        <v>289</v>
      </c>
      <c r="C142" s="52" t="s">
        <v>219</v>
      </c>
      <c r="D142" s="42">
        <v>107.99999770585009</v>
      </c>
      <c r="E142" s="42">
        <v>108</v>
      </c>
      <c r="F142" s="42">
        <v>108</v>
      </c>
      <c r="H142" s="71">
        <v>1082.81</v>
      </c>
      <c r="I142" s="72">
        <f t="shared" ref="I142:J142" si="92">H142*(1+S142)</f>
        <v>1143.9773436278883</v>
      </c>
      <c r="J142" s="72">
        <f t="shared" si="92"/>
        <v>1208.5999969836994</v>
      </c>
      <c r="L142" s="32">
        <f>D142*$H142</f>
        <v>116943.47751587153</v>
      </c>
      <c r="M142" s="32">
        <f t="shared" ref="M142:N143" si="93">E142*$H142</f>
        <v>116943.48</v>
      </c>
      <c r="N142" s="32">
        <f t="shared" si="93"/>
        <v>116943.48</v>
      </c>
      <c r="P142" s="32">
        <f>E142*I142</f>
        <v>123549.55311181194</v>
      </c>
      <c r="Q142" s="32">
        <f>F142*J142</f>
        <v>130528.79967423953</v>
      </c>
      <c r="S142" s="73">
        <v>5.6489452099526542E-2</v>
      </c>
      <c r="T142" s="73">
        <f>S142</f>
        <v>5.6489452099526542E-2</v>
      </c>
      <c r="V142" s="107"/>
      <c r="W142" s="108"/>
      <c r="X142" s="103"/>
      <c r="Y142" s="103"/>
      <c r="Z142" s="76"/>
    </row>
    <row r="143" spans="1:26" x14ac:dyDescent="0.25">
      <c r="A143" s="6">
        <f t="shared" si="90"/>
        <v>135</v>
      </c>
      <c r="B143" s="6" t="s">
        <v>289</v>
      </c>
      <c r="C143" s="5" t="s">
        <v>225</v>
      </c>
      <c r="D143" s="42">
        <v>259368</v>
      </c>
      <c r="E143" s="42">
        <v>259368</v>
      </c>
      <c r="F143" s="42">
        <v>259368</v>
      </c>
      <c r="H143" s="71">
        <v>1.45</v>
      </c>
      <c r="I143" s="98">
        <f>I127</f>
        <v>1.4584445192363269</v>
      </c>
      <c r="J143" s="98">
        <f>J127</f>
        <v>1.711330780526054</v>
      </c>
      <c r="L143" s="32">
        <f t="shared" ref="L143" si="94">D143*$H143</f>
        <v>376083.6</v>
      </c>
      <c r="M143" s="32">
        <f t="shared" si="93"/>
        <v>376083.6</v>
      </c>
      <c r="N143" s="32">
        <f t="shared" si="93"/>
        <v>376083.6</v>
      </c>
      <c r="P143" s="32">
        <f t="shared" ref="P143:Q143" si="95">E143*I143</f>
        <v>378273.83806528762</v>
      </c>
      <c r="Q143" s="32">
        <f t="shared" si="95"/>
        <v>443864.44188348157</v>
      </c>
      <c r="S143" s="99">
        <f>S127</f>
        <v>5.8238063698806495E-3</v>
      </c>
      <c r="T143" s="99">
        <f>T127</f>
        <v>0.1733945021248692</v>
      </c>
      <c r="V143" s="101">
        <v>1.7110000000000001</v>
      </c>
      <c r="W143" s="102">
        <v>2.01898</v>
      </c>
      <c r="X143" s="103"/>
      <c r="Y143" s="103"/>
      <c r="Z143" s="76"/>
    </row>
    <row r="144" spans="1:26" x14ac:dyDescent="0.25">
      <c r="A144" s="6">
        <f t="shared" si="90"/>
        <v>136</v>
      </c>
      <c r="B144" s="6" t="s">
        <v>289</v>
      </c>
      <c r="C144" s="5" t="s">
        <v>228</v>
      </c>
      <c r="D144" s="78"/>
      <c r="E144" s="78"/>
      <c r="F144" s="78"/>
      <c r="H144" s="80"/>
      <c r="I144" s="72"/>
      <c r="J144" s="72"/>
      <c r="L144" s="111">
        <v>25145.649999999998</v>
      </c>
      <c r="M144" s="111">
        <v>25145.649999999998</v>
      </c>
      <c r="N144" s="111">
        <v>25145.649999999998</v>
      </c>
      <c r="P144" s="32">
        <f>M144</f>
        <v>25145.649999999998</v>
      </c>
      <c r="Q144" s="32">
        <f>N144</f>
        <v>25145.649999999998</v>
      </c>
      <c r="V144" s="107"/>
      <c r="W144" s="108"/>
      <c r="X144" s="103"/>
      <c r="Y144" s="103"/>
      <c r="Z144" s="76"/>
    </row>
    <row r="145" spans="1:26" x14ac:dyDescent="0.25">
      <c r="A145" s="6">
        <f t="shared" si="90"/>
        <v>137</v>
      </c>
      <c r="C145" s="5"/>
      <c r="D145" s="78"/>
      <c r="E145" s="78"/>
      <c r="F145" s="78"/>
      <c r="H145" s="80"/>
      <c r="I145" s="72"/>
      <c r="J145" s="72"/>
      <c r="V145" s="107"/>
      <c r="W145" s="108"/>
      <c r="X145" s="103"/>
      <c r="Y145" s="103"/>
      <c r="Z145" s="76"/>
    </row>
    <row r="146" spans="1:26" x14ac:dyDescent="0.25">
      <c r="A146" s="6">
        <f t="shared" si="90"/>
        <v>138</v>
      </c>
      <c r="B146" s="6" t="s">
        <v>289</v>
      </c>
      <c r="C146" s="5" t="s">
        <v>226</v>
      </c>
      <c r="D146" s="78"/>
      <c r="E146" s="78"/>
      <c r="F146" s="78"/>
      <c r="H146" s="78"/>
      <c r="I146" s="5"/>
      <c r="J146" s="5"/>
      <c r="V146" s="107"/>
      <c r="W146" s="108"/>
      <c r="X146" s="103"/>
      <c r="Y146" s="103"/>
      <c r="Z146" s="76"/>
    </row>
    <row r="147" spans="1:26" x14ac:dyDescent="0.25">
      <c r="A147" s="6">
        <f t="shared" si="90"/>
        <v>139</v>
      </c>
      <c r="B147" s="6" t="s">
        <v>289</v>
      </c>
      <c r="C147" s="5" t="s">
        <v>175</v>
      </c>
      <c r="D147" s="42">
        <v>2725000</v>
      </c>
      <c r="E147" s="42">
        <v>3000000</v>
      </c>
      <c r="F147" s="42">
        <v>3000000</v>
      </c>
      <c r="H147" s="74">
        <v>0.20754</v>
      </c>
      <c r="I147" s="106">
        <f>H147*(1+S147)</f>
        <v>0.31590188242627204</v>
      </c>
      <c r="J147" s="106">
        <f>I147*(1+T147)</f>
        <v>0.32611071792947161</v>
      </c>
      <c r="L147" s="32">
        <f t="shared" ref="L147:N152" si="96">D147*$H147</f>
        <v>565546.5</v>
      </c>
      <c r="M147" s="32">
        <f t="shared" si="96"/>
        <v>622620</v>
      </c>
      <c r="N147" s="32">
        <f t="shared" si="96"/>
        <v>622620</v>
      </c>
      <c r="P147" s="32">
        <f>E147*I147</f>
        <v>947705.64727881609</v>
      </c>
      <c r="Q147" s="32">
        <f>F147*J147</f>
        <v>978332.15378841478</v>
      </c>
      <c r="S147" s="76">
        <f>S132</f>
        <v>0.52212528874564934</v>
      </c>
      <c r="T147" s="76">
        <f>T132</f>
        <v>3.2316475687928836E-2</v>
      </c>
      <c r="V147" s="107">
        <v>0.37060599999999999</v>
      </c>
      <c r="W147" s="108">
        <v>0.38473600000000002</v>
      </c>
      <c r="X147" s="103"/>
      <c r="Y147" s="110"/>
      <c r="Z147" s="76"/>
    </row>
    <row r="148" spans="1:26" x14ac:dyDescent="0.25">
      <c r="A148" s="6">
        <f t="shared" si="90"/>
        <v>140</v>
      </c>
      <c r="B148" s="6" t="s">
        <v>289</v>
      </c>
      <c r="C148" s="5" t="s">
        <v>176</v>
      </c>
      <c r="D148" s="42">
        <v>2725000</v>
      </c>
      <c r="E148" s="42">
        <v>3000000</v>
      </c>
      <c r="F148" s="42">
        <v>3000000</v>
      </c>
      <c r="H148" s="74">
        <v>0.12540999999999999</v>
      </c>
      <c r="I148" s="106">
        <f t="shared" ref="I148:J152" si="97">H148*(1+S148)</f>
        <v>0.19088973246159188</v>
      </c>
      <c r="J148" s="106">
        <f t="shared" si="97"/>
        <v>0.19705861585976214</v>
      </c>
      <c r="L148" s="32">
        <f t="shared" si="96"/>
        <v>341742.25</v>
      </c>
      <c r="M148" s="32">
        <f t="shared" si="96"/>
        <v>376230</v>
      </c>
      <c r="N148" s="32">
        <f t="shared" si="96"/>
        <v>376230</v>
      </c>
      <c r="P148" s="32">
        <f t="shared" ref="P148:Q152" si="98">E148*I148</f>
        <v>572669.19738477562</v>
      </c>
      <c r="Q148" s="32">
        <f t="shared" si="98"/>
        <v>591175.84757928643</v>
      </c>
      <c r="S148" s="76">
        <f t="shared" ref="S148:T152" si="99">S133</f>
        <v>0.52212528874564934</v>
      </c>
      <c r="T148" s="76">
        <f t="shared" si="99"/>
        <v>3.2316475687928836E-2</v>
      </c>
      <c r="V148" s="107">
        <v>0.22394600000000001</v>
      </c>
      <c r="W148" s="108">
        <v>0.232484</v>
      </c>
      <c r="X148" s="103"/>
      <c r="Y148" s="110"/>
      <c r="Z148" s="76"/>
    </row>
    <row r="149" spans="1:26" x14ac:dyDescent="0.25">
      <c r="A149" s="6">
        <f t="shared" si="90"/>
        <v>141</v>
      </c>
      <c r="B149" s="6" t="s">
        <v>289</v>
      </c>
      <c r="C149" s="5" t="s">
        <v>177</v>
      </c>
      <c r="D149" s="42">
        <v>5450000</v>
      </c>
      <c r="E149" s="42">
        <v>6000000</v>
      </c>
      <c r="F149" s="42">
        <v>6000000</v>
      </c>
      <c r="H149" s="74">
        <v>7.9810000000000006E-2</v>
      </c>
      <c r="I149" s="106">
        <f t="shared" si="97"/>
        <v>0.12148081929479028</v>
      </c>
      <c r="J149" s="106">
        <f t="shared" si="97"/>
        <v>0.12540665123808004</v>
      </c>
      <c r="L149" s="32">
        <f t="shared" si="96"/>
        <v>434964.50000000006</v>
      </c>
      <c r="M149" s="32">
        <f t="shared" si="96"/>
        <v>478860.00000000006</v>
      </c>
      <c r="N149" s="32">
        <f t="shared" si="96"/>
        <v>478860.00000000006</v>
      </c>
      <c r="P149" s="32">
        <f t="shared" si="98"/>
        <v>728884.91576874163</v>
      </c>
      <c r="Q149" s="32">
        <f t="shared" si="98"/>
        <v>752439.90742848022</v>
      </c>
      <c r="S149" s="76">
        <f t="shared" si="99"/>
        <v>0.52212528874564934</v>
      </c>
      <c r="T149" s="76">
        <f t="shared" si="99"/>
        <v>3.2316475687928836E-2</v>
      </c>
      <c r="V149" s="107">
        <v>0.142517</v>
      </c>
      <c r="W149" s="108">
        <v>0.147951</v>
      </c>
      <c r="X149" s="103"/>
      <c r="Y149" s="110"/>
      <c r="Z149" s="76"/>
    </row>
    <row r="150" spans="1:26" x14ac:dyDescent="0.25">
      <c r="A150" s="6">
        <f t="shared" si="90"/>
        <v>142</v>
      </c>
      <c r="B150" s="6" t="s">
        <v>289</v>
      </c>
      <c r="C150" s="5" t="s">
        <v>180</v>
      </c>
      <c r="D150" s="42">
        <v>10192995.1</v>
      </c>
      <c r="E150" s="42">
        <v>8824772.2542880289</v>
      </c>
      <c r="F150" s="42">
        <v>8650700.5627074353</v>
      </c>
      <c r="H150" s="74">
        <v>5.117E-2</v>
      </c>
      <c r="I150" s="106">
        <f t="shared" si="97"/>
        <v>7.788715102511487E-2</v>
      </c>
      <c r="J150" s="106">
        <f t="shared" si="97"/>
        <v>8.0404189247620036E-2</v>
      </c>
      <c r="L150" s="32">
        <f t="shared" si="96"/>
        <v>521575.559267</v>
      </c>
      <c r="M150" s="32">
        <f t="shared" si="96"/>
        <v>451563.59625191847</v>
      </c>
      <c r="N150" s="32">
        <f t="shared" si="96"/>
        <v>442656.34779373946</v>
      </c>
      <c r="P150" s="32">
        <f t="shared" si="98"/>
        <v>687336.36933197512</v>
      </c>
      <c r="Q150" s="32">
        <f t="shared" si="98"/>
        <v>695552.56516842172</v>
      </c>
      <c r="S150" s="76">
        <f t="shared" si="99"/>
        <v>0.52212528874564934</v>
      </c>
      <c r="T150" s="76">
        <f t="shared" si="99"/>
        <v>3.2316475687928836E-2</v>
      </c>
      <c r="V150" s="107">
        <v>9.1374999999999998E-2</v>
      </c>
      <c r="W150" s="108">
        <v>9.4858999999999999E-2</v>
      </c>
      <c r="X150" s="103"/>
      <c r="Y150" s="110"/>
      <c r="Z150" s="76"/>
    </row>
    <row r="151" spans="1:26" x14ac:dyDescent="0.25">
      <c r="A151" s="6">
        <f t="shared" si="90"/>
        <v>143</v>
      </c>
      <c r="B151" s="6" t="s">
        <v>289</v>
      </c>
      <c r="C151" s="5" t="s">
        <v>181</v>
      </c>
      <c r="D151" s="42">
        <v>22340145.929999996</v>
      </c>
      <c r="E151" s="42">
        <v>19735102.432404663</v>
      </c>
      <c r="F151" s="42">
        <v>19366549.702228826</v>
      </c>
      <c r="H151" s="74">
        <v>3.6830000000000002E-2</v>
      </c>
      <c r="I151" s="106">
        <f t="shared" si="97"/>
        <v>5.6059874384502266E-2</v>
      </c>
      <c r="J151" s="106">
        <f t="shared" si="97"/>
        <v>5.7871531952117375E-2</v>
      </c>
      <c r="L151" s="32">
        <f t="shared" si="96"/>
        <v>822787.57460189983</v>
      </c>
      <c r="M151" s="32">
        <f t="shared" si="96"/>
        <v>726843.82258546376</v>
      </c>
      <c r="N151" s="32">
        <f t="shared" si="96"/>
        <v>713270.02553308767</v>
      </c>
      <c r="P151" s="32">
        <f t="shared" si="98"/>
        <v>1106347.3633258906</v>
      </c>
      <c r="Q151" s="32">
        <f t="shared" si="98"/>
        <v>1120771.8998948047</v>
      </c>
      <c r="S151" s="76">
        <f t="shared" si="99"/>
        <v>0.52212528874564934</v>
      </c>
      <c r="T151" s="76">
        <f t="shared" si="99"/>
        <v>3.2316475687928836E-2</v>
      </c>
      <c r="V151" s="107">
        <v>6.5767999999999993E-2</v>
      </c>
      <c r="W151" s="108">
        <v>6.8275000000000002E-2</v>
      </c>
      <c r="X151" s="103"/>
      <c r="Y151" s="110"/>
      <c r="Z151" s="76"/>
    </row>
    <row r="152" spans="1:26" x14ac:dyDescent="0.25">
      <c r="A152" s="6">
        <f t="shared" si="90"/>
        <v>144</v>
      </c>
      <c r="B152" s="6" t="s">
        <v>289</v>
      </c>
      <c r="C152" s="5" t="s">
        <v>182</v>
      </c>
      <c r="D152" s="42">
        <v>29692694.428342499</v>
      </c>
      <c r="E152" s="42">
        <v>26134112.033307314</v>
      </c>
      <c r="F152" s="42">
        <v>25641095.455063742</v>
      </c>
      <c r="H152" s="74">
        <v>2.4830000000000001E-2</v>
      </c>
      <c r="I152" s="106">
        <f t="shared" si="97"/>
        <v>3.7794370919554475E-2</v>
      </c>
      <c r="J152" s="106">
        <f t="shared" si="97"/>
        <v>3.9015751788516823E-2</v>
      </c>
      <c r="L152" s="32">
        <f t="shared" si="96"/>
        <v>737269.6026557443</v>
      </c>
      <c r="M152" s="32">
        <f t="shared" si="96"/>
        <v>648910.00178702059</v>
      </c>
      <c r="N152" s="32">
        <f t="shared" si="96"/>
        <v>636668.40014923271</v>
      </c>
      <c r="P152" s="32">
        <f t="shared" si="98"/>
        <v>987722.32384000858</v>
      </c>
      <c r="Q152" s="32">
        <f t="shared" si="98"/>
        <v>1000406.6158604338</v>
      </c>
      <c r="S152" s="76">
        <f t="shared" si="99"/>
        <v>0.52212528874564934</v>
      </c>
      <c r="T152" s="76">
        <f t="shared" si="99"/>
        <v>3.2316475687928836E-2</v>
      </c>
      <c r="V152" s="112">
        <v>4.4339000000000003E-2</v>
      </c>
      <c r="W152" s="113">
        <v>4.6030000000000001E-2</v>
      </c>
      <c r="X152" s="103"/>
      <c r="Y152" s="110"/>
      <c r="Z152" s="76"/>
    </row>
    <row r="153" spans="1:26" x14ac:dyDescent="0.25">
      <c r="A153" s="6">
        <f t="shared" si="90"/>
        <v>145</v>
      </c>
      <c r="B153" s="6" t="s">
        <v>289</v>
      </c>
      <c r="C153" s="52" t="s">
        <v>222</v>
      </c>
      <c r="D153" s="34">
        <f>SUM(D147:D152)</f>
        <v>73125835.458342493</v>
      </c>
      <c r="E153" s="34">
        <f t="shared" ref="E153:F153" si="100">SUM(E147:E152)</f>
        <v>66693986.720000006</v>
      </c>
      <c r="F153" s="34">
        <f t="shared" si="100"/>
        <v>65658345.719999999</v>
      </c>
      <c r="L153" s="49">
        <f>SUM(L147:L152)</f>
        <v>3423885.9865246443</v>
      </c>
      <c r="M153" s="49">
        <f t="shared" ref="M153:Q153" si="101">SUM(M147:M152)</f>
        <v>3305027.4206244033</v>
      </c>
      <c r="N153" s="49">
        <f t="shared" si="101"/>
        <v>3270304.77347606</v>
      </c>
      <c r="P153" s="49">
        <f t="shared" si="101"/>
        <v>5030665.8169302074</v>
      </c>
      <c r="Q153" s="49">
        <f t="shared" si="101"/>
        <v>5138678.9897198416</v>
      </c>
      <c r="U153" s="114" t="s">
        <v>290</v>
      </c>
      <c r="V153" s="115">
        <v>8307097.4255680004</v>
      </c>
      <c r="W153" s="116">
        <v>8586907.2163420003</v>
      </c>
      <c r="X153" s="103"/>
      <c r="Y153" s="110"/>
      <c r="Z153" s="76"/>
    </row>
    <row r="154" spans="1:26" x14ac:dyDescent="0.25">
      <c r="A154" s="6">
        <f t="shared" si="90"/>
        <v>146</v>
      </c>
      <c r="C154" s="5"/>
      <c r="U154" s="95" t="s">
        <v>291</v>
      </c>
      <c r="V154" s="117">
        <v>7080912.1631103745</v>
      </c>
      <c r="W154" s="118">
        <v>7278446.8537812959</v>
      </c>
      <c r="X154" s="117"/>
      <c r="Y154" s="119"/>
    </row>
    <row r="155" spans="1:26" x14ac:dyDescent="0.25">
      <c r="A155" s="6">
        <f t="shared" si="90"/>
        <v>147</v>
      </c>
      <c r="B155" s="6" t="s">
        <v>289</v>
      </c>
      <c r="C155" s="5" t="s">
        <v>223</v>
      </c>
      <c r="L155" s="47">
        <f>SUM(L142:L144,L153)</f>
        <v>3942058.7140405159</v>
      </c>
      <c r="M155" s="47">
        <f t="shared" ref="M155:N155" si="102">SUM(M142:M144,M153)</f>
        <v>3823200.1506244033</v>
      </c>
      <c r="N155" s="47">
        <f t="shared" si="102"/>
        <v>3788477.50347606</v>
      </c>
      <c r="P155" s="47">
        <f t="shared" ref="P155:Q155" si="103">SUM(P142:P144,P153)</f>
        <v>5557634.858107307</v>
      </c>
      <c r="Q155" s="47">
        <f t="shared" si="103"/>
        <v>5738217.8812775631</v>
      </c>
      <c r="U155" s="120" t="s">
        <v>292</v>
      </c>
      <c r="V155" s="121">
        <f>(V154-V153)/V153</f>
        <v>-0.1476069437543385</v>
      </c>
      <c r="W155" s="121">
        <f>(W154-W153)/W153</f>
        <v>-0.15237853741688676</v>
      </c>
    </row>
    <row r="156" spans="1:26" ht="13" x14ac:dyDescent="0.3">
      <c r="A156" s="6">
        <f t="shared" si="90"/>
        <v>148</v>
      </c>
      <c r="V156" s="122" t="s">
        <v>293</v>
      </c>
      <c r="W156" s="123"/>
      <c r="X156" s="123"/>
    </row>
    <row r="157" spans="1:26" x14ac:dyDescent="0.25">
      <c r="A157" s="6">
        <f t="shared" si="90"/>
        <v>149</v>
      </c>
      <c r="C157" s="39" t="s">
        <v>294</v>
      </c>
      <c r="L157" s="47">
        <f>SUM(L140,L155)</f>
        <v>5235633.9966895087</v>
      </c>
      <c r="M157" s="47">
        <f t="shared" ref="M157:Q157" si="104">SUM(M140,M155)</f>
        <v>5147033.1319507053</v>
      </c>
      <c r="N157" s="47">
        <f t="shared" si="104"/>
        <v>5087802.1085896008</v>
      </c>
      <c r="P157" s="47">
        <f>SUM(P140,P155)</f>
        <v>7537327.1830736278</v>
      </c>
      <c r="Q157" s="47">
        <f t="shared" si="104"/>
        <v>7747809.7942658477</v>
      </c>
      <c r="S157" s="35">
        <v>7537327.1830736287</v>
      </c>
      <c r="T157" s="35">
        <v>7747809.7942658477</v>
      </c>
      <c r="V157" s="124"/>
      <c r="W157" s="124"/>
      <c r="X157" s="123"/>
    </row>
    <row r="158" spans="1:26" x14ac:dyDescent="0.25">
      <c r="A158" s="6">
        <f t="shared" si="90"/>
        <v>150</v>
      </c>
      <c r="C158" s="39" t="s">
        <v>278</v>
      </c>
      <c r="P158" s="35">
        <v>7537327.1830736287</v>
      </c>
      <c r="Q158" s="35">
        <v>7747809.7942658477</v>
      </c>
      <c r="R158" s="78"/>
      <c r="S158" s="47">
        <f>S157-M157</f>
        <v>2390294.0511229234</v>
      </c>
      <c r="T158" s="47">
        <f>T157-N157-S158</f>
        <v>269713.6345533235</v>
      </c>
      <c r="V158" s="125">
        <v>3617724.91227197</v>
      </c>
      <c r="W158" s="125">
        <v>351952.98689238075</v>
      </c>
      <c r="X158" s="123"/>
    </row>
    <row r="159" spans="1:26" s="85" customFormat="1" x14ac:dyDescent="0.25">
      <c r="A159" s="6">
        <f t="shared" si="90"/>
        <v>151</v>
      </c>
      <c r="B159" s="84"/>
      <c r="C159" s="85" t="s">
        <v>45</v>
      </c>
      <c r="L159" s="89">
        <v>0</v>
      </c>
      <c r="M159" s="89">
        <v>0</v>
      </c>
      <c r="N159" s="89">
        <v>0</v>
      </c>
      <c r="P159" s="89">
        <f>P157-P158</f>
        <v>0</v>
      </c>
      <c r="Q159" s="89">
        <f>Q157-Q158</f>
        <v>0</v>
      </c>
      <c r="S159" s="89">
        <f>S157-P157</f>
        <v>0</v>
      </c>
      <c r="T159" s="89">
        <f>T157-Q157</f>
        <v>0</v>
      </c>
      <c r="V159" s="126"/>
      <c r="W159" s="126"/>
      <c r="X159" s="126"/>
    </row>
    <row r="160" spans="1:26" ht="13" x14ac:dyDescent="0.3">
      <c r="A160" s="6">
        <f t="shared" si="90"/>
        <v>152</v>
      </c>
      <c r="V160" s="127" t="s">
        <v>295</v>
      </c>
      <c r="W160" s="128"/>
      <c r="X160" s="123"/>
    </row>
    <row r="161" spans="1:24" x14ac:dyDescent="0.25">
      <c r="A161" s="6">
        <f t="shared" si="90"/>
        <v>153</v>
      </c>
      <c r="V161" s="128">
        <f>(S158-V158)/V158</f>
        <v>-0.33928253001917907</v>
      </c>
      <c r="W161" s="128">
        <f>(T158-W158)/W158</f>
        <v>-0.23366573207746119</v>
      </c>
      <c r="X161" s="123"/>
    </row>
    <row r="162" spans="1:24" x14ac:dyDescent="0.25">
      <c r="A162" s="6">
        <f t="shared" si="90"/>
        <v>154</v>
      </c>
      <c r="B162" s="6" t="s">
        <v>296</v>
      </c>
      <c r="C162" s="52" t="s">
        <v>219</v>
      </c>
      <c r="D162" s="42">
        <v>12</v>
      </c>
      <c r="E162" s="42">
        <v>12</v>
      </c>
      <c r="F162" s="42">
        <v>12</v>
      </c>
      <c r="H162" s="80">
        <v>5000</v>
      </c>
      <c r="I162" s="72">
        <f t="shared" ref="I162:J163" si="105">H162*(1+S162)</f>
        <v>9717.09</v>
      </c>
      <c r="J162" s="72">
        <f t="shared" si="105"/>
        <v>9717.09</v>
      </c>
      <c r="L162" s="32">
        <f>D162*$H162</f>
        <v>60000</v>
      </c>
      <c r="M162" s="32">
        <f t="shared" ref="M162:N163" si="106">E162*$H162</f>
        <v>60000</v>
      </c>
      <c r="N162" s="32">
        <f t="shared" si="106"/>
        <v>60000</v>
      </c>
      <c r="P162" s="32">
        <f>E162*I162</f>
        <v>116605.08</v>
      </c>
      <c r="Q162" s="32">
        <f>F162*J162</f>
        <v>116605.08</v>
      </c>
      <c r="S162" s="73">
        <v>0.94341799999999987</v>
      </c>
      <c r="T162" s="73">
        <v>0</v>
      </c>
    </row>
    <row r="163" spans="1:24" x14ac:dyDescent="0.25">
      <c r="A163" s="6">
        <f t="shared" si="90"/>
        <v>155</v>
      </c>
      <c r="B163" s="6" t="s">
        <v>296</v>
      </c>
      <c r="C163" s="5" t="s">
        <v>225</v>
      </c>
      <c r="D163" s="42">
        <v>0</v>
      </c>
      <c r="E163" s="42">
        <v>0</v>
      </c>
      <c r="F163" s="42">
        <v>0</v>
      </c>
      <c r="H163" s="71">
        <v>0</v>
      </c>
      <c r="I163" s="72">
        <f t="shared" si="105"/>
        <v>0</v>
      </c>
      <c r="J163" s="72">
        <f t="shared" si="105"/>
        <v>0</v>
      </c>
      <c r="L163" s="32">
        <f t="shared" ref="L163" si="107">D163*$H163</f>
        <v>0</v>
      </c>
      <c r="M163" s="32">
        <f t="shared" si="106"/>
        <v>0</v>
      </c>
      <c r="N163" s="32">
        <f t="shared" si="106"/>
        <v>0</v>
      </c>
      <c r="P163" s="32">
        <f t="shared" ref="P163:Q163" si="108">E163*I163</f>
        <v>0</v>
      </c>
      <c r="Q163" s="32">
        <f t="shared" si="108"/>
        <v>0</v>
      </c>
      <c r="S163" s="73">
        <v>0</v>
      </c>
      <c r="T163" s="73">
        <f>S163</f>
        <v>0</v>
      </c>
    </row>
    <row r="164" spans="1:24" x14ac:dyDescent="0.25">
      <c r="A164" s="6">
        <f t="shared" si="90"/>
        <v>156</v>
      </c>
      <c r="B164" s="6" t="s">
        <v>296</v>
      </c>
      <c r="C164" s="5" t="s">
        <v>228</v>
      </c>
      <c r="D164" s="78"/>
      <c r="E164" s="78"/>
      <c r="F164" s="78"/>
      <c r="H164" s="80"/>
      <c r="I164" s="72"/>
      <c r="J164" s="72"/>
      <c r="L164" s="80">
        <v>0</v>
      </c>
      <c r="M164" s="111">
        <v>0</v>
      </c>
      <c r="N164" s="111">
        <v>0</v>
      </c>
      <c r="P164" s="32">
        <f>M164</f>
        <v>0</v>
      </c>
      <c r="Q164" s="32">
        <f>N164</f>
        <v>0</v>
      </c>
      <c r="S164" s="76"/>
      <c r="T164" s="76"/>
    </row>
    <row r="165" spans="1:24" x14ac:dyDescent="0.25">
      <c r="A165" s="6">
        <f t="shared" si="90"/>
        <v>157</v>
      </c>
      <c r="C165" s="5"/>
      <c r="D165" s="78"/>
      <c r="E165" s="78"/>
      <c r="F165" s="78"/>
      <c r="H165" s="80"/>
      <c r="I165" s="72"/>
      <c r="J165" s="72"/>
      <c r="S165" s="76"/>
      <c r="T165" s="76"/>
    </row>
    <row r="166" spans="1:24" x14ac:dyDescent="0.25">
      <c r="A166" s="6">
        <f t="shared" si="90"/>
        <v>158</v>
      </c>
      <c r="B166" s="6" t="s">
        <v>296</v>
      </c>
      <c r="C166" s="5" t="s">
        <v>226</v>
      </c>
      <c r="D166" s="78"/>
      <c r="E166" s="78"/>
      <c r="F166" s="78"/>
      <c r="H166" s="78"/>
      <c r="I166" s="5"/>
      <c r="J166" s="5"/>
      <c r="S166" s="76"/>
      <c r="T166" s="76"/>
    </row>
    <row r="167" spans="1:24" x14ac:dyDescent="0.25">
      <c r="A167" s="6">
        <f t="shared" si="90"/>
        <v>159</v>
      </c>
      <c r="B167" s="6" t="s">
        <v>296</v>
      </c>
      <c r="C167" s="5" t="s">
        <v>175</v>
      </c>
      <c r="D167" s="42">
        <v>252308.87295246124</v>
      </c>
      <c r="E167" s="42">
        <v>300000</v>
      </c>
      <c r="F167" s="42">
        <v>300000</v>
      </c>
      <c r="H167" s="74">
        <v>2.1749999999999999E-2</v>
      </c>
      <c r="I167" s="75">
        <f>H167*(1+S167)</f>
        <v>0.19420404647898312</v>
      </c>
      <c r="J167" s="75">
        <f>I167*(1+T167)</f>
        <v>0.15370857562100679</v>
      </c>
      <c r="L167" s="32">
        <f t="shared" ref="L167:N172" si="109">D167*$H167</f>
        <v>5487.7179867160321</v>
      </c>
      <c r="M167" s="32">
        <f t="shared" si="109"/>
        <v>6525</v>
      </c>
      <c r="N167" s="32">
        <f t="shared" si="109"/>
        <v>6525</v>
      </c>
      <c r="P167" s="32">
        <f>E167*I167</f>
        <v>58261.213943694936</v>
      </c>
      <c r="Q167" s="32">
        <f>F167*J167</f>
        <v>46112.572686302039</v>
      </c>
      <c r="S167" s="76">
        <f>(S$178-(SUM(P162,P163, P164)-SUM(M162,M163, M164)))/(M177-SUM(M162,M163, M164))</f>
        <v>7.9289216771946274</v>
      </c>
      <c r="T167" s="76">
        <f>((Q178-SUM(Q162:Q164)))/((I167*F167)+(I168*F168)+(I169*F169)+(I170*F170)+(I171*F171)+(I172*F172))-1</f>
        <v>-0.20852022186035546</v>
      </c>
    </row>
    <row r="168" spans="1:24" x14ac:dyDescent="0.25">
      <c r="A168" s="6">
        <f t="shared" si="90"/>
        <v>160</v>
      </c>
      <c r="B168" s="6" t="s">
        <v>296</v>
      </c>
      <c r="C168" s="5" t="s">
        <v>176</v>
      </c>
      <c r="D168" s="42">
        <v>250000</v>
      </c>
      <c r="E168" s="42">
        <v>300000</v>
      </c>
      <c r="F168" s="42">
        <v>300000</v>
      </c>
      <c r="H168" s="74">
        <v>1.3140000000000001E-2</v>
      </c>
      <c r="I168" s="75">
        <f t="shared" ref="I168:J172" si="110">H168*(1+S168)</f>
        <v>0.1173260308383374</v>
      </c>
      <c r="J168" s="75">
        <f t="shared" si="110"/>
        <v>9.2861180857932379E-2</v>
      </c>
      <c r="L168" s="32">
        <f t="shared" si="109"/>
        <v>3285</v>
      </c>
      <c r="M168" s="32">
        <f t="shared" si="109"/>
        <v>3942</v>
      </c>
      <c r="N168" s="32">
        <f t="shared" si="109"/>
        <v>3942</v>
      </c>
      <c r="P168" s="32">
        <f t="shared" ref="P168:Q172" si="111">E168*I168</f>
        <v>35197.809251501218</v>
      </c>
      <c r="Q168" s="32">
        <f t="shared" si="111"/>
        <v>27858.354257379713</v>
      </c>
      <c r="S168" s="76">
        <f>S167</f>
        <v>7.9289216771946274</v>
      </c>
      <c r="T168" s="76">
        <f>T167</f>
        <v>-0.20852022186035546</v>
      </c>
    </row>
    <row r="169" spans="1:24" x14ac:dyDescent="0.25">
      <c r="A169" s="6">
        <f t="shared" si="90"/>
        <v>161</v>
      </c>
      <c r="B169" s="6" t="s">
        <v>296</v>
      </c>
      <c r="C169" s="5" t="s">
        <v>177</v>
      </c>
      <c r="D169" s="42">
        <v>500000</v>
      </c>
      <c r="E169" s="42">
        <v>600000</v>
      </c>
      <c r="F169" s="42">
        <v>600000</v>
      </c>
      <c r="H169" s="74">
        <v>8.3599999999999994E-3</v>
      </c>
      <c r="I169" s="75">
        <f t="shared" si="110"/>
        <v>7.4645785221347072E-2</v>
      </c>
      <c r="J169" s="75">
        <f t="shared" si="110"/>
        <v>5.9080629526051337E-2</v>
      </c>
      <c r="L169" s="32">
        <f t="shared" si="109"/>
        <v>4180</v>
      </c>
      <c r="M169" s="32">
        <f t="shared" si="109"/>
        <v>5016</v>
      </c>
      <c r="N169" s="32">
        <f t="shared" si="109"/>
        <v>5016</v>
      </c>
      <c r="P169" s="32">
        <f t="shared" si="111"/>
        <v>44787.471132808241</v>
      </c>
      <c r="Q169" s="32">
        <f>F169*J169</f>
        <v>35448.377715630799</v>
      </c>
      <c r="S169" s="76">
        <f t="shared" ref="S169:T172" si="112">S168</f>
        <v>7.9289216771946274</v>
      </c>
      <c r="T169" s="76">
        <f t="shared" si="112"/>
        <v>-0.20852022186035546</v>
      </c>
    </row>
    <row r="170" spans="1:24" x14ac:dyDescent="0.25">
      <c r="A170" s="6">
        <f t="shared" si="90"/>
        <v>162</v>
      </c>
      <c r="B170" s="6" t="s">
        <v>296</v>
      </c>
      <c r="C170" s="5" t="s">
        <v>180</v>
      </c>
      <c r="D170" s="42">
        <v>1000000</v>
      </c>
      <c r="E170" s="42">
        <v>1200000</v>
      </c>
      <c r="F170" s="42">
        <v>1200000</v>
      </c>
      <c r="H170" s="74">
        <v>5.3600000000000002E-3</v>
      </c>
      <c r="I170" s="75">
        <f t="shared" si="110"/>
        <v>4.78590201897632E-2</v>
      </c>
      <c r="J170" s="75">
        <f t="shared" si="110"/>
        <v>3.7879446681774544E-2</v>
      </c>
      <c r="L170" s="32">
        <f t="shared" si="109"/>
        <v>5360</v>
      </c>
      <c r="M170" s="32">
        <f t="shared" si="109"/>
        <v>6432</v>
      </c>
      <c r="N170" s="32">
        <f t="shared" si="109"/>
        <v>6432</v>
      </c>
      <c r="P170" s="32">
        <f t="shared" si="111"/>
        <v>57430.824227715842</v>
      </c>
      <c r="Q170" s="32">
        <f t="shared" si="111"/>
        <v>45455.336018129456</v>
      </c>
      <c r="S170" s="76">
        <f t="shared" si="112"/>
        <v>7.9289216771946274</v>
      </c>
      <c r="T170" s="76">
        <f t="shared" si="112"/>
        <v>-0.20852022186035546</v>
      </c>
    </row>
    <row r="171" spans="1:24" x14ac:dyDescent="0.25">
      <c r="A171" s="6">
        <f t="shared" si="90"/>
        <v>163</v>
      </c>
      <c r="B171" s="6" t="s">
        <v>296</v>
      </c>
      <c r="C171" s="5" t="s">
        <v>181</v>
      </c>
      <c r="D171" s="42">
        <v>2867124.9308776855</v>
      </c>
      <c r="E171" s="42">
        <v>3600000</v>
      </c>
      <c r="F171" s="42">
        <v>3600000</v>
      </c>
      <c r="H171" s="74">
        <v>3.8600000000000001E-3</v>
      </c>
      <c r="I171" s="75">
        <f t="shared" si="110"/>
        <v>3.4465637673971261E-2</v>
      </c>
      <c r="J171" s="75">
        <f t="shared" si="110"/>
        <v>2.7278855259636147E-2</v>
      </c>
      <c r="L171" s="32">
        <f t="shared" si="109"/>
        <v>11067.102233187867</v>
      </c>
      <c r="M171" s="32">
        <f t="shared" si="109"/>
        <v>13896</v>
      </c>
      <c r="N171" s="32">
        <f t="shared" si="109"/>
        <v>13896</v>
      </c>
      <c r="P171" s="32">
        <f t="shared" si="111"/>
        <v>124076.29562629655</v>
      </c>
      <c r="Q171" s="32">
        <f t="shared" si="111"/>
        <v>98203.878934690132</v>
      </c>
      <c r="S171" s="76">
        <f t="shared" si="112"/>
        <v>7.9289216771946274</v>
      </c>
      <c r="T171" s="76">
        <f t="shared" si="112"/>
        <v>-0.20852022186035546</v>
      </c>
    </row>
    <row r="172" spans="1:24" x14ac:dyDescent="0.25">
      <c r="A172" s="6">
        <f t="shared" si="90"/>
        <v>164</v>
      </c>
      <c r="B172" s="6" t="s">
        <v>296</v>
      </c>
      <c r="C172" s="5" t="s">
        <v>182</v>
      </c>
      <c r="D172" s="42">
        <v>8354387.7878570519</v>
      </c>
      <c r="E172" s="42">
        <v>33295144</v>
      </c>
      <c r="F172" s="42">
        <v>45695658</v>
      </c>
      <c r="H172" s="74">
        <v>2.5999999999999999E-3</v>
      </c>
      <c r="I172" s="75">
        <f t="shared" si="110"/>
        <v>2.3215196360706028E-2</v>
      </c>
      <c r="J172" s="75">
        <f t="shared" si="110"/>
        <v>1.8374358465039889E-2</v>
      </c>
      <c r="L172" s="32">
        <f t="shared" si="109"/>
        <v>21721.408248428335</v>
      </c>
      <c r="M172" s="32">
        <f t="shared" si="109"/>
        <v>86567.374400000001</v>
      </c>
      <c r="N172" s="32">
        <f t="shared" si="109"/>
        <v>118808.7108</v>
      </c>
      <c r="P172" s="32">
        <f t="shared" si="111"/>
        <v>772953.30581798311</v>
      </c>
      <c r="Q172" s="32">
        <f t="shared" si="111"/>
        <v>839628.4003878677</v>
      </c>
      <c r="S172" s="76">
        <f t="shared" si="112"/>
        <v>7.9289216771946274</v>
      </c>
      <c r="T172" s="76">
        <f t="shared" si="112"/>
        <v>-0.20852022186035546</v>
      </c>
    </row>
    <row r="173" spans="1:24" x14ac:dyDescent="0.25">
      <c r="A173" s="6">
        <f t="shared" si="90"/>
        <v>165</v>
      </c>
      <c r="B173" s="6" t="s">
        <v>296</v>
      </c>
      <c r="C173" s="52" t="s">
        <v>222</v>
      </c>
      <c r="D173" s="34">
        <f>SUM(D167:D172)</f>
        <v>13223821.591687199</v>
      </c>
      <c r="E173" s="34">
        <f t="shared" ref="E173:F173" si="113">SUM(E167:E172)</f>
        <v>39295144</v>
      </c>
      <c r="F173" s="34">
        <f t="shared" si="113"/>
        <v>51695658</v>
      </c>
      <c r="L173" s="49">
        <f>SUM(L167:L172)</f>
        <v>51101.228468332236</v>
      </c>
      <c r="M173" s="49">
        <f t="shared" ref="M173:N173" si="114">SUM(M167:M172)</f>
        <v>122378.3744</v>
      </c>
      <c r="N173" s="49">
        <f t="shared" si="114"/>
        <v>154619.7108</v>
      </c>
      <c r="P173" s="49">
        <f t="shared" ref="P173:Q173" si="115">SUM(P167:P172)</f>
        <v>1092706.92</v>
      </c>
      <c r="Q173" s="49">
        <f t="shared" si="115"/>
        <v>1092706.92</v>
      </c>
    </row>
    <row r="174" spans="1:24" x14ac:dyDescent="0.25">
      <c r="A174" s="6">
        <f t="shared" si="90"/>
        <v>166</v>
      </c>
      <c r="C174" s="5"/>
    </row>
    <row r="175" spans="1:24" x14ac:dyDescent="0.25">
      <c r="A175" s="6">
        <f t="shared" si="90"/>
        <v>167</v>
      </c>
      <c r="B175" s="6" t="s">
        <v>296</v>
      </c>
      <c r="C175" s="5" t="s">
        <v>223</v>
      </c>
      <c r="I175" s="55"/>
      <c r="J175" s="55"/>
      <c r="L175" s="47">
        <f>SUM(L162:L164,L173)</f>
        <v>111101.22846833224</v>
      </c>
      <c r="M175" s="47">
        <f t="shared" ref="M175:N175" si="116">SUM(M162:M164,M173)</f>
        <v>182378.3744</v>
      </c>
      <c r="N175" s="47">
        <f t="shared" si="116"/>
        <v>214619.7108</v>
      </c>
      <c r="P175" s="47">
        <f t="shared" ref="P175:Q175" si="117">SUM(P162:P164,P173)</f>
        <v>1209312</v>
      </c>
      <c r="Q175" s="47">
        <f t="shared" si="117"/>
        <v>1209312</v>
      </c>
    </row>
    <row r="176" spans="1:24" x14ac:dyDescent="0.25">
      <c r="A176" s="6">
        <f t="shared" si="90"/>
        <v>168</v>
      </c>
    </row>
    <row r="177" spans="1:20" x14ac:dyDescent="0.25">
      <c r="A177" s="6">
        <f t="shared" si="90"/>
        <v>169</v>
      </c>
      <c r="C177" s="39" t="s">
        <v>297</v>
      </c>
      <c r="L177" s="47">
        <f>L175</f>
        <v>111101.22846833224</v>
      </c>
      <c r="M177" s="47">
        <f t="shared" ref="M177:Q177" si="118">M175</f>
        <v>182378.3744</v>
      </c>
      <c r="N177" s="47">
        <f t="shared" si="118"/>
        <v>214619.7108</v>
      </c>
      <c r="O177" s="47"/>
      <c r="P177" s="47">
        <f t="shared" si="118"/>
        <v>1209312</v>
      </c>
      <c r="Q177" s="47">
        <f t="shared" si="118"/>
        <v>1209312</v>
      </c>
      <c r="S177" s="35">
        <v>1209312</v>
      </c>
      <c r="T177" s="35">
        <v>1209312</v>
      </c>
    </row>
    <row r="178" spans="1:20" x14ac:dyDescent="0.25">
      <c r="A178" s="6">
        <f t="shared" si="90"/>
        <v>170</v>
      </c>
      <c r="C178" s="39" t="s">
        <v>278</v>
      </c>
      <c r="P178" s="35">
        <v>1209312</v>
      </c>
      <c r="Q178" s="35">
        <v>1209312</v>
      </c>
      <c r="R178" s="78"/>
      <c r="S178" s="47">
        <f>S177-M177</f>
        <v>1026933.6256</v>
      </c>
      <c r="T178" s="47">
        <f>T177-N177-S178</f>
        <v>-32241.336400000029</v>
      </c>
    </row>
    <row r="179" spans="1:20" x14ac:dyDescent="0.25">
      <c r="A179" s="6">
        <f t="shared" si="90"/>
        <v>171</v>
      </c>
      <c r="B179" s="84"/>
      <c r="C179" s="85" t="s">
        <v>45</v>
      </c>
      <c r="D179" s="85"/>
      <c r="E179" s="85"/>
      <c r="F179" s="85"/>
      <c r="G179" s="85"/>
      <c r="H179" s="85"/>
      <c r="I179" s="85"/>
      <c r="J179" s="85"/>
      <c r="K179" s="85"/>
      <c r="L179" s="89">
        <v>0</v>
      </c>
      <c r="M179" s="89">
        <v>0</v>
      </c>
      <c r="N179" s="89">
        <v>0</v>
      </c>
      <c r="O179" s="85"/>
      <c r="P179" s="89">
        <f>P177-P178</f>
        <v>0</v>
      </c>
      <c r="Q179" s="89">
        <f>Q177-Q178</f>
        <v>0</v>
      </c>
      <c r="R179" s="85"/>
      <c r="S179" s="89">
        <f>S177-P177</f>
        <v>0</v>
      </c>
      <c r="T179" s="89">
        <f>T177-Q177</f>
        <v>0</v>
      </c>
    </row>
    <row r="180" spans="1:20" x14ac:dyDescent="0.25">
      <c r="A180" s="6">
        <f t="shared" si="90"/>
        <v>172</v>
      </c>
    </row>
    <row r="181" spans="1:20" x14ac:dyDescent="0.25">
      <c r="A181" s="6">
        <f t="shared" si="90"/>
        <v>173</v>
      </c>
      <c r="C181" s="39" t="s">
        <v>15</v>
      </c>
      <c r="D181" s="42">
        <v>32051526.995555006</v>
      </c>
      <c r="E181" s="42">
        <v>32030387</v>
      </c>
      <c r="F181" s="42">
        <v>31663047.999999996</v>
      </c>
      <c r="L181" s="111">
        <v>1567244.8334440321</v>
      </c>
      <c r="M181" s="111">
        <v>1566717.298042424</v>
      </c>
      <c r="N181" s="111">
        <v>1557550.4529530378</v>
      </c>
      <c r="P181" s="111">
        <v>1689958.6180424246</v>
      </c>
      <c r="Q181" s="111">
        <v>1826835.4929530383</v>
      </c>
      <c r="S181" s="129">
        <f>P181-M181</f>
        <v>123241.32000000053</v>
      </c>
      <c r="T181" s="129">
        <f>Q181-N181-S181</f>
        <v>146043.71999999997</v>
      </c>
    </row>
    <row r="182" spans="1:20" x14ac:dyDescent="0.25">
      <c r="A182" s="6">
        <f t="shared" si="90"/>
        <v>174</v>
      </c>
    </row>
    <row r="183" spans="1:20" x14ac:dyDescent="0.25">
      <c r="A183" s="6">
        <f t="shared" si="90"/>
        <v>175</v>
      </c>
      <c r="C183" s="130" t="s">
        <v>298</v>
      </c>
      <c r="D183" s="130"/>
      <c r="E183" s="51"/>
      <c r="F183" s="51"/>
      <c r="G183" s="51"/>
      <c r="H183" s="130"/>
      <c r="I183" s="130"/>
      <c r="J183" s="130"/>
      <c r="K183" s="130"/>
      <c r="L183" s="131">
        <f>SUM(L11,L13,L17,L27,L31,L49,L61,L79,L91,L108,L119,L140,L155,L175,L181)</f>
        <v>553786176.89101911</v>
      </c>
      <c r="M183" s="131">
        <f>SUM(M11,M13,M17,M27,M31,M49,M61,M79,M91,M108,M119,M140,M155,M175,M181)</f>
        <v>534879148.63677239</v>
      </c>
      <c r="N183" s="131">
        <f>SUM(N11,N13,N17,N27,N31,N49,N61,N79,N91,N108,N119,N140,N155,N175,N181)</f>
        <v>532130123.82999486</v>
      </c>
      <c r="O183" s="131"/>
      <c r="P183" s="131">
        <f>SUM(P11,P13,P17,P27,P31,P49,P61,P79,P91,P108,P119,P140,P155,P175,P181)</f>
        <v>701428420.63677275</v>
      </c>
      <c r="Q183" s="131">
        <f>SUM(Q11,Q13,Q17,Q27,Q31,Q49,Q61,Q79,Q91,Q108,Q119,Q140,Q155,Q175,Q181)</f>
        <v>718708840.82999504</v>
      </c>
      <c r="R183" s="131">
        <f>SUM(R11,R13,R17,R27,R31,R49,R61,R79,R91,R108,R119,R140,R155,R175,R181)</f>
        <v>0</v>
      </c>
      <c r="S183" s="131">
        <f>SUM(S20,S34,S64,S94,S122,S158,S178,S181)</f>
        <v>166549272.00000021</v>
      </c>
      <c r="T183" s="131">
        <f>SUM(T20,T34,T64,T94,T122,T158,T178,T181)</f>
        <v>20029444.999999944</v>
      </c>
    </row>
    <row r="184" spans="1:20" x14ac:dyDescent="0.25">
      <c r="A184" s="6">
        <f t="shared" si="90"/>
        <v>176</v>
      </c>
      <c r="C184" s="39" t="s">
        <v>45</v>
      </c>
      <c r="I184" s="94">
        <f>I65</f>
        <v>-1.4812997446540521E-3</v>
      </c>
      <c r="J184" s="94">
        <f>J65</f>
        <v>-1.3414248068102097E-3</v>
      </c>
      <c r="L184" s="89">
        <v>0</v>
      </c>
      <c r="M184" s="89">
        <v>0</v>
      </c>
      <c r="N184" s="89">
        <v>0</v>
      </c>
      <c r="P184" s="89">
        <v>-9.2189431190490723E-2</v>
      </c>
      <c r="Q184" s="89">
        <v>0.19021642208099365</v>
      </c>
      <c r="S184" s="89">
        <v>0</v>
      </c>
      <c r="T184" s="89">
        <v>-5.5879354476928711E-8</v>
      </c>
    </row>
    <row r="185" spans="1:20" x14ac:dyDescent="0.25">
      <c r="A185" s="6">
        <f t="shared" si="90"/>
        <v>177</v>
      </c>
    </row>
    <row r="186" spans="1:20" x14ac:dyDescent="0.25">
      <c r="A186" s="6">
        <f t="shared" si="90"/>
        <v>178</v>
      </c>
      <c r="C186" s="39" t="s">
        <v>299</v>
      </c>
      <c r="D186" s="79">
        <f>SUM(D9,D15,D24,D29,D38,D51,D68,D81,D98,D110,D126,D142,D162)</f>
        <v>10550780.561777582</v>
      </c>
      <c r="E186" s="79">
        <f>SUM(E9,E15,E24,E29,E38,E51,E68,E81,E98,E110,E126,E142,E162)</f>
        <v>10629744</v>
      </c>
      <c r="F186" s="79">
        <f>SUM(F9,F15,F24,F29,F38,F51,F68,F81,F98,F110,F126,F142,F162)</f>
        <v>10632323</v>
      </c>
      <c r="Q186" s="47"/>
    </row>
    <row r="187" spans="1:20" x14ac:dyDescent="0.25">
      <c r="A187" s="6">
        <f t="shared" si="90"/>
        <v>179</v>
      </c>
      <c r="C187" s="39" t="s">
        <v>45</v>
      </c>
      <c r="D187" s="132">
        <v>0</v>
      </c>
      <c r="E187" s="132">
        <v>0</v>
      </c>
      <c r="F187" s="132">
        <v>0</v>
      </c>
    </row>
    <row r="188" spans="1:20" x14ac:dyDescent="0.25">
      <c r="A188" s="6">
        <f t="shared" si="90"/>
        <v>180</v>
      </c>
      <c r="C188" s="39" t="s">
        <v>300</v>
      </c>
      <c r="D188" s="110">
        <f>SUM(D39,D52,D69,D82,D99,D111,D127,D143,D163)</f>
        <v>7102101.6864575474</v>
      </c>
      <c r="E188" s="110">
        <f>SUM(E39,E52,E69,E82,E99,E111,E127,E143,E163)</f>
        <v>7073400</v>
      </c>
      <c r="F188" s="110">
        <f>SUM(F39,F52,F69,F82,F99,F111,F127,F143,F163)</f>
        <v>7073400</v>
      </c>
    </row>
    <row r="189" spans="1:20" x14ac:dyDescent="0.25">
      <c r="A189" s="6">
        <f t="shared" si="90"/>
        <v>181</v>
      </c>
      <c r="C189" s="39" t="s">
        <v>45</v>
      </c>
      <c r="D189" s="132">
        <v>9.3132257461547852E-10</v>
      </c>
      <c r="E189" s="132">
        <v>0</v>
      </c>
      <c r="F189" s="132">
        <v>0</v>
      </c>
    </row>
    <row r="190" spans="1:20" x14ac:dyDescent="0.25">
      <c r="A190" s="6">
        <f t="shared" si="90"/>
        <v>182</v>
      </c>
      <c r="C190" s="39" t="s">
        <v>301</v>
      </c>
      <c r="D190" s="79">
        <f>SUM(D10,D16,D25,D30,D47,D59,D77,D89,D106,D117,D138,D153,D173,D181)</f>
        <v>1125932647.1213756</v>
      </c>
      <c r="E190" s="79">
        <f>SUM(E10,E16,E25,E30,E47,E59,E77,E89,E106,E117,E138,E153,E173,E181)</f>
        <v>1093874403.72</v>
      </c>
      <c r="F190" s="79">
        <f>SUM(F10,F16,F25,F30,F47,F59,F77,F89,F106,F117,F138,F153,F173,F181)</f>
        <v>1096711282.72</v>
      </c>
    </row>
    <row r="191" spans="1:20" x14ac:dyDescent="0.25">
      <c r="A191" s="6">
        <f t="shared" si="90"/>
        <v>183</v>
      </c>
      <c r="C191" s="39" t="s">
        <v>45</v>
      </c>
      <c r="D191" s="132">
        <v>0</v>
      </c>
      <c r="E191" s="132">
        <v>0</v>
      </c>
      <c r="F191" s="132">
        <v>0</v>
      </c>
    </row>
    <row r="193" spans="2:2" ht="13" x14ac:dyDescent="0.3">
      <c r="B193" s="16"/>
    </row>
  </sheetData>
  <mergeCells count="6">
    <mergeCell ref="V124:W124"/>
    <mergeCell ref="D6:F6"/>
    <mergeCell ref="H6:J6"/>
    <mergeCell ref="L6:N6"/>
    <mergeCell ref="P6:Q6"/>
    <mergeCell ref="S6:T6"/>
  </mergeCells>
  <pageMargins left="0.7" right="0.7" top="0.75" bottom="0.75" header="0.3" footer="0.3"/>
  <pageSetup scale="52" fitToHeight="3" orientation="landscape" blackAndWhite="1" r:id="rId1"/>
  <headerFooter>
    <oddFooter>&amp;R&amp;A
 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56C-CA97-4A48-93BA-7637E39A7AA5}">
  <dimension ref="A1:P54"/>
  <sheetViews>
    <sheetView zoomScale="70" zoomScaleNormal="70" workbookViewId="0">
      <pane ySplit="4" topLeftCell="A5" activePane="bottomLeft" state="frozen"/>
      <selection pane="bottomLeft" activeCell="O38" sqref="O38"/>
    </sheetView>
  </sheetViews>
  <sheetFormatPr defaultColWidth="8.7265625" defaultRowHeight="14.5" x14ac:dyDescent="0.35"/>
  <cols>
    <col min="1" max="1" width="8.7265625" style="1"/>
    <col min="2" max="2" width="52.26953125" style="14" customWidth="1"/>
    <col min="3" max="3" width="52.81640625" bestFit="1" customWidth="1"/>
    <col min="4" max="4" width="16.453125" bestFit="1" customWidth="1"/>
    <col min="5" max="5" width="20.54296875" bestFit="1" customWidth="1"/>
    <col min="6" max="6" width="16.453125" bestFit="1" customWidth="1"/>
    <col min="7" max="7" width="14.81640625" bestFit="1" customWidth="1"/>
    <col min="8" max="8" width="13.54296875" customWidth="1"/>
    <col min="9" max="9" width="11.81640625" customWidth="1"/>
    <col min="10" max="10" width="13.54296875" customWidth="1"/>
    <col min="11" max="15" width="15.1796875" customWidth="1"/>
    <col min="16" max="16" width="13.81640625" customWidth="1"/>
  </cols>
  <sheetData>
    <row r="1" spans="1:16" ht="15.5" x14ac:dyDescent="0.35">
      <c r="A1" s="233" t="s">
        <v>191</v>
      </c>
      <c r="B1" s="233"/>
      <c r="C1" s="7" t="s">
        <v>257</v>
      </c>
    </row>
    <row r="2" spans="1:16" ht="26" x14ac:dyDescent="0.6">
      <c r="B2" s="8" t="s">
        <v>48</v>
      </c>
      <c r="C2" s="8"/>
      <c r="D2" s="8"/>
    </row>
    <row r="3" spans="1:16" x14ac:dyDescent="0.35">
      <c r="A3" s="3" t="s">
        <v>25</v>
      </c>
      <c r="B3" s="9" t="s">
        <v>26</v>
      </c>
      <c r="C3" s="3" t="s">
        <v>27</v>
      </c>
      <c r="D3" s="3" t="s">
        <v>28</v>
      </c>
      <c r="E3" s="3" t="s">
        <v>49</v>
      </c>
      <c r="F3" s="3" t="s">
        <v>50</v>
      </c>
      <c r="G3" s="3" t="s">
        <v>51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35</v>
      </c>
      <c r="O3" s="3" t="s">
        <v>36</v>
      </c>
      <c r="P3" s="3" t="s">
        <v>239</v>
      </c>
    </row>
    <row r="4" spans="1:16" ht="46.5" x14ac:dyDescent="0.35">
      <c r="A4" s="59" t="s">
        <v>37</v>
      </c>
      <c r="B4" s="10" t="s">
        <v>52</v>
      </c>
      <c r="C4" s="4" t="s">
        <v>38</v>
      </c>
      <c r="D4" s="4" t="s">
        <v>53</v>
      </c>
      <c r="E4" s="4" t="s">
        <v>54</v>
      </c>
      <c r="F4" s="4" t="s">
        <v>55</v>
      </c>
      <c r="G4" s="4" t="s">
        <v>24</v>
      </c>
      <c r="H4" s="11" t="s">
        <v>39</v>
      </c>
      <c r="I4" s="11" t="s">
        <v>40</v>
      </c>
      <c r="J4" s="11" t="s">
        <v>41</v>
      </c>
      <c r="K4" s="11" t="s">
        <v>42</v>
      </c>
      <c r="L4" s="11" t="s">
        <v>43</v>
      </c>
      <c r="M4" s="11" t="s">
        <v>44</v>
      </c>
      <c r="N4" s="11" t="s">
        <v>240</v>
      </c>
      <c r="O4" s="11" t="s">
        <v>15</v>
      </c>
      <c r="P4" s="60" t="s">
        <v>23</v>
      </c>
    </row>
    <row r="5" spans="1:16" ht="15.5" x14ac:dyDescent="0.35">
      <c r="A5" s="1">
        <v>1</v>
      </c>
      <c r="B5" s="10" t="s">
        <v>56</v>
      </c>
      <c r="C5" s="4" t="s">
        <v>57</v>
      </c>
      <c r="D5" s="4" t="s">
        <v>58</v>
      </c>
      <c r="E5" s="4" t="s">
        <v>59</v>
      </c>
      <c r="F5" s="4" t="s">
        <v>59</v>
      </c>
      <c r="G5" s="4" t="s">
        <v>60</v>
      </c>
      <c r="H5" s="12">
        <v>0.89338239282879039</v>
      </c>
      <c r="I5" s="12">
        <v>6.8188149546311486E-2</v>
      </c>
      <c r="J5" s="12">
        <v>7.2144217496668142E-3</v>
      </c>
      <c r="K5" s="12">
        <v>1.0381451967640816E-2</v>
      </c>
      <c r="L5" s="12">
        <v>8.0634348252088203E-4</v>
      </c>
      <c r="M5" s="12">
        <v>1.3207423157668033E-2</v>
      </c>
      <c r="N5" s="12">
        <v>1.9438016389036934E-3</v>
      </c>
      <c r="O5" s="12">
        <v>4.8760156284982691E-3</v>
      </c>
      <c r="P5" s="13">
        <f>SUM(Table134[[#This Row],[Residential (16,23,53)]:[Contracts]])</f>
        <v>1.0000000000000004</v>
      </c>
    </row>
    <row r="6" spans="1:16" ht="15.5" x14ac:dyDescent="0.35">
      <c r="A6" s="1">
        <f t="shared" ref="A6:A54" si="0">A5+1</f>
        <v>2</v>
      </c>
      <c r="B6" s="10" t="s">
        <v>61</v>
      </c>
      <c r="C6" s="4" t="s">
        <v>62</v>
      </c>
      <c r="D6" s="4" t="s">
        <v>63</v>
      </c>
      <c r="E6" s="4" t="s">
        <v>64</v>
      </c>
      <c r="F6" s="4" t="s">
        <v>64</v>
      </c>
      <c r="G6" s="4" t="s">
        <v>60</v>
      </c>
      <c r="H6" s="12">
        <v>0.63129318479690255</v>
      </c>
      <c r="I6" s="12">
        <v>0.2433433677540251</v>
      </c>
      <c r="J6" s="12">
        <v>6.6158463095488035E-2</v>
      </c>
      <c r="K6" s="12">
        <v>2.6708645411972005E-2</v>
      </c>
      <c r="L6" s="12">
        <v>2.4217816936771257E-3</v>
      </c>
      <c r="M6" s="12">
        <v>2.6636075348496074E-2</v>
      </c>
      <c r="N6" s="12">
        <v>2.4665874095028168E-3</v>
      </c>
      <c r="O6" s="12">
        <v>9.7189448993624267E-4</v>
      </c>
      <c r="P6" s="13">
        <f>SUM(Table134[[#This Row],[Residential (16,23,53)]:[Contracts]])</f>
        <v>1</v>
      </c>
    </row>
    <row r="7" spans="1:16" ht="15.5" x14ac:dyDescent="0.35">
      <c r="A7" s="1">
        <f t="shared" si="0"/>
        <v>3</v>
      </c>
      <c r="B7" s="10" t="s">
        <v>66</v>
      </c>
      <c r="C7" s="4" t="s">
        <v>67</v>
      </c>
      <c r="D7" s="4" t="s">
        <v>68</v>
      </c>
      <c r="E7" s="4" t="s">
        <v>2</v>
      </c>
      <c r="F7" s="4" t="s">
        <v>2</v>
      </c>
      <c r="G7" s="4" t="s">
        <v>60</v>
      </c>
      <c r="H7" s="12">
        <v>0</v>
      </c>
      <c r="I7" s="12">
        <v>0.84368804170333256</v>
      </c>
      <c r="J7" s="12">
        <v>0.1233517587476801</v>
      </c>
      <c r="K7" s="12">
        <v>1.6752526353153111E-2</v>
      </c>
      <c r="L7" s="12">
        <v>7.6253602628426871E-3</v>
      </c>
      <c r="M7" s="12">
        <v>8.5823129329916821E-3</v>
      </c>
      <c r="N7" s="12">
        <v>0</v>
      </c>
      <c r="O7" s="12">
        <v>0</v>
      </c>
      <c r="P7" s="13">
        <f>SUM(Table134[[#This Row],[Residential (16,23,53)]:[Contracts]])</f>
        <v>1.0000000000000002</v>
      </c>
    </row>
    <row r="8" spans="1:16" ht="15.5" x14ac:dyDescent="0.35">
      <c r="A8" s="1">
        <f t="shared" si="0"/>
        <v>4</v>
      </c>
      <c r="B8" s="10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60</v>
      </c>
      <c r="H8" s="12">
        <v>0.51208217930255562</v>
      </c>
      <c r="I8" s="12">
        <v>0.20727784526432427</v>
      </c>
      <c r="J8" s="12">
        <v>7.7870793494187962E-2</v>
      </c>
      <c r="K8" s="12">
        <v>7.3279871923063136E-2</v>
      </c>
      <c r="L8" s="12">
        <v>6.9672618165697161E-3</v>
      </c>
      <c r="M8" s="12">
        <v>8.2310862889885719E-2</v>
      </c>
      <c r="N8" s="12">
        <v>1.1744703400733025E-2</v>
      </c>
      <c r="O8" s="12">
        <v>2.8466481908680421E-2</v>
      </c>
      <c r="P8" s="13">
        <f>SUM(Table134[[#This Row],[Residential (16,23,53)]:[Contracts]])</f>
        <v>1</v>
      </c>
    </row>
    <row r="9" spans="1:16" ht="15.5" x14ac:dyDescent="0.35">
      <c r="A9" s="1">
        <f t="shared" si="0"/>
        <v>5</v>
      </c>
      <c r="B9" s="10" t="s">
        <v>69</v>
      </c>
      <c r="C9" s="4" t="s">
        <v>74</v>
      </c>
      <c r="D9" s="4" t="s">
        <v>75</v>
      </c>
      <c r="E9" s="4" t="s">
        <v>72</v>
      </c>
      <c r="F9" s="4" t="s">
        <v>73</v>
      </c>
      <c r="G9" s="4" t="s">
        <v>60</v>
      </c>
      <c r="H9" s="12">
        <v>0.62371798347816998</v>
      </c>
      <c r="I9" s="12">
        <v>0.25246404729542565</v>
      </c>
      <c r="J9" s="12">
        <v>7.2332193821617985E-2</v>
      </c>
      <c r="K9" s="12">
        <v>2.415937117010403E-2</v>
      </c>
      <c r="L9" s="12">
        <v>6.1765755945891957E-3</v>
      </c>
      <c r="M9" s="12">
        <v>2.1149828640093113E-2</v>
      </c>
      <c r="N9" s="12">
        <v>0</v>
      </c>
      <c r="O9" s="12">
        <v>0</v>
      </c>
      <c r="P9" s="13">
        <f>SUM(Table134[[#This Row],[Residential (16,23,53)]:[Contracts]])</f>
        <v>0.99999999999999989</v>
      </c>
    </row>
    <row r="10" spans="1:16" ht="15.5" x14ac:dyDescent="0.35">
      <c r="A10" s="1">
        <f t="shared" si="0"/>
        <v>6</v>
      </c>
      <c r="B10" s="10" t="s">
        <v>76</v>
      </c>
      <c r="C10" s="4" t="s">
        <v>77</v>
      </c>
      <c r="D10" s="4" t="s">
        <v>78</v>
      </c>
      <c r="E10" s="4"/>
      <c r="F10" s="4" t="s">
        <v>79</v>
      </c>
      <c r="G10" s="4" t="s">
        <v>60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</v>
      </c>
      <c r="P10" s="13">
        <f>SUM(Table134[[#This Row],[Residential (16,23,53)]:[Contracts]])</f>
        <v>1</v>
      </c>
    </row>
    <row r="11" spans="1:16" ht="15.5" x14ac:dyDescent="0.35">
      <c r="A11" s="1">
        <f t="shared" si="0"/>
        <v>7</v>
      </c>
      <c r="B11" s="10" t="s">
        <v>80</v>
      </c>
      <c r="C11" s="4" t="s">
        <v>81</v>
      </c>
      <c r="D11" s="4" t="s">
        <v>82</v>
      </c>
      <c r="E11" s="4" t="s">
        <v>59</v>
      </c>
      <c r="F11" s="4" t="s">
        <v>59</v>
      </c>
      <c r="G11" s="4" t="s">
        <v>60</v>
      </c>
      <c r="H11" s="12">
        <v>0.93181218993296577</v>
      </c>
      <c r="I11" s="12">
        <v>6.6374022992721909E-2</v>
      </c>
      <c r="J11" s="12">
        <v>1.5240663982857856E-3</v>
      </c>
      <c r="K11" s="12">
        <v>1.3306327125115006E-4</v>
      </c>
      <c r="L11" s="12">
        <v>1.2962445017071833E-4</v>
      </c>
      <c r="M11" s="12">
        <v>1.5570217669732565E-5</v>
      </c>
      <c r="N11" s="12">
        <v>1.1462736934772441E-6</v>
      </c>
      <c r="O11" s="12">
        <v>1.0316463241295196E-5</v>
      </c>
      <c r="P11" s="13">
        <f>SUM(Table134[[#This Row],[Residential (16,23,53)]:[Contracts]])</f>
        <v>1</v>
      </c>
    </row>
    <row r="12" spans="1:16" ht="15.5" x14ac:dyDescent="0.35">
      <c r="A12" s="1">
        <f t="shared" si="0"/>
        <v>8</v>
      </c>
      <c r="B12" s="10" t="s">
        <v>83</v>
      </c>
      <c r="C12" s="4" t="s">
        <v>84</v>
      </c>
      <c r="D12" s="4" t="s">
        <v>85</v>
      </c>
      <c r="E12" s="4" t="s">
        <v>59</v>
      </c>
      <c r="F12" s="4" t="s">
        <v>59</v>
      </c>
      <c r="G12" s="4" t="s">
        <v>60</v>
      </c>
      <c r="H12" s="12">
        <v>0.66497031146147101</v>
      </c>
      <c r="I12" s="12">
        <v>0.2391214504814751</v>
      </c>
      <c r="J12" s="12">
        <v>7.2862685222853843E-2</v>
      </c>
      <c r="K12" s="12">
        <v>0</v>
      </c>
      <c r="L12" s="12">
        <v>2.3045552834200057E-2</v>
      </c>
      <c r="M12" s="12">
        <v>0</v>
      </c>
      <c r="N12" s="12">
        <v>0</v>
      </c>
      <c r="O12" s="12">
        <v>0</v>
      </c>
      <c r="P12" s="13">
        <f>SUM(Table134[[#This Row],[Residential (16,23,53)]:[Contracts]])</f>
        <v>1</v>
      </c>
    </row>
    <row r="13" spans="1:16" ht="15.5" x14ac:dyDescent="0.35">
      <c r="A13" s="1">
        <f t="shared" si="0"/>
        <v>9</v>
      </c>
      <c r="B13" s="10" t="s">
        <v>56</v>
      </c>
      <c r="C13" s="4" t="s">
        <v>86</v>
      </c>
      <c r="D13" s="4" t="s">
        <v>87</v>
      </c>
      <c r="E13" s="4" t="s">
        <v>64</v>
      </c>
      <c r="F13" s="4" t="s">
        <v>64</v>
      </c>
      <c r="G13" s="4" t="s">
        <v>65</v>
      </c>
      <c r="H13" s="12">
        <v>0.90300028729663828</v>
      </c>
      <c r="I13" s="12">
        <v>7.7110526980322669E-2</v>
      </c>
      <c r="J13" s="12">
        <v>4.0503045603304741E-3</v>
      </c>
      <c r="K13" s="12">
        <v>5.2832548864183773E-3</v>
      </c>
      <c r="L13" s="12">
        <v>4.6099604481922068E-4</v>
      </c>
      <c r="M13" s="12">
        <v>6.6561772928641271E-3</v>
      </c>
      <c r="N13" s="12">
        <v>9.7913629748820315E-4</v>
      </c>
      <c r="O13" s="12">
        <v>2.4593166411187931E-3</v>
      </c>
      <c r="P13" s="13">
        <f>SUM(Table134[[#This Row],[Residential (16,23,53)]:[Contracts]])</f>
        <v>1.0000000000000002</v>
      </c>
    </row>
    <row r="14" spans="1:16" ht="15.5" x14ac:dyDescent="0.35">
      <c r="A14" s="1">
        <f t="shared" si="0"/>
        <v>10</v>
      </c>
      <c r="B14" s="10" t="s">
        <v>56</v>
      </c>
      <c r="C14" s="4" t="s">
        <v>88</v>
      </c>
      <c r="D14" s="4" t="s">
        <v>89</v>
      </c>
      <c r="E14" s="4" t="s">
        <v>59</v>
      </c>
      <c r="F14" s="4" t="s">
        <v>59</v>
      </c>
      <c r="G14" s="4" t="s">
        <v>60</v>
      </c>
      <c r="H14" s="12">
        <v>0.93202915614516624</v>
      </c>
      <c r="I14" s="12">
        <v>6.6388331197742234E-2</v>
      </c>
      <c r="J14" s="12">
        <v>1.41683754102585E-3</v>
      </c>
      <c r="K14" s="12">
        <v>3.8600200052224924E-5</v>
      </c>
      <c r="L14" s="12">
        <v>1.2248875363107017E-4</v>
      </c>
      <c r="M14" s="12">
        <v>4.5861623824425658E-6</v>
      </c>
      <c r="N14" s="12">
        <v>0</v>
      </c>
      <c r="O14" s="12">
        <v>0</v>
      </c>
      <c r="P14" s="13">
        <f>SUM(Table134[[#This Row],[Residential (16,23,53)]:[Contracts]])</f>
        <v>1</v>
      </c>
    </row>
    <row r="15" spans="1:16" ht="15.5" x14ac:dyDescent="0.35">
      <c r="A15" s="1">
        <f t="shared" si="0"/>
        <v>11</v>
      </c>
      <c r="B15" s="10" t="s">
        <v>83</v>
      </c>
      <c r="C15" s="4" t="s">
        <v>90</v>
      </c>
      <c r="D15" s="4" t="s">
        <v>91</v>
      </c>
      <c r="E15" s="4" t="s">
        <v>59</v>
      </c>
      <c r="F15" s="4" t="s">
        <v>59</v>
      </c>
      <c r="G15" s="4" t="s">
        <v>60</v>
      </c>
      <c r="H15" s="12">
        <v>0.93208223342774676</v>
      </c>
      <c r="I15" s="12">
        <v>6.6393258492455948E-2</v>
      </c>
      <c r="J15" s="12">
        <v>1.5245080797972722E-3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3">
        <f>SUM(Table134[[#This Row],[Residential (16,23,53)]:[Contracts]])</f>
        <v>1</v>
      </c>
    </row>
    <row r="16" spans="1:16" ht="15.5" x14ac:dyDescent="0.35">
      <c r="A16" s="1">
        <f t="shared" si="0"/>
        <v>12</v>
      </c>
      <c r="B16" s="10" t="s">
        <v>76</v>
      </c>
      <c r="C16" s="4" t="s">
        <v>92</v>
      </c>
      <c r="D16" s="4" t="s">
        <v>93</v>
      </c>
      <c r="E16" s="4" t="s">
        <v>59</v>
      </c>
      <c r="F16" s="4" t="s">
        <v>59</v>
      </c>
      <c r="G16" s="4" t="s">
        <v>60</v>
      </c>
      <c r="H16" s="12">
        <v>0</v>
      </c>
      <c r="I16" s="12">
        <v>0</v>
      </c>
      <c r="J16" s="12">
        <v>0</v>
      </c>
      <c r="K16" s="12">
        <v>0.78210669270252897</v>
      </c>
      <c r="L16" s="12">
        <v>0</v>
      </c>
      <c r="M16" s="12">
        <v>7.5394764072939463E-2</v>
      </c>
      <c r="N16" s="12">
        <v>0</v>
      </c>
      <c r="O16" s="12">
        <v>0.14249854322453148</v>
      </c>
      <c r="P16" s="13">
        <f>SUM(Table134[[#This Row],[Residential (16,23,53)]:[Contracts]])</f>
        <v>0.99999999999999989</v>
      </c>
    </row>
    <row r="17" spans="1:16" ht="15.5" x14ac:dyDescent="0.35">
      <c r="A17" s="1">
        <f t="shared" si="0"/>
        <v>13</v>
      </c>
      <c r="B17" s="10" t="s">
        <v>94</v>
      </c>
      <c r="C17" s="4" t="s">
        <v>95</v>
      </c>
      <c r="D17" s="4" t="s">
        <v>96</v>
      </c>
      <c r="E17" s="4" t="s">
        <v>64</v>
      </c>
      <c r="F17" s="4" t="s">
        <v>64</v>
      </c>
      <c r="G17" s="4" t="s">
        <v>65</v>
      </c>
      <c r="H17" s="12">
        <v>0.60762721946002329</v>
      </c>
      <c r="I17" s="12">
        <v>0.28663014448153828</v>
      </c>
      <c r="J17" s="12">
        <v>5.6868415116647593E-2</v>
      </c>
      <c r="K17" s="12">
        <v>2.2848911960604956E-2</v>
      </c>
      <c r="L17" s="12">
        <v>2.4452601960109118E-3</v>
      </c>
      <c r="M17" s="12">
        <v>2.0959290978246295E-2</v>
      </c>
      <c r="N17" s="12">
        <v>1.8799948346334958E-3</v>
      </c>
      <c r="O17" s="12">
        <v>7.4076297229506548E-4</v>
      </c>
      <c r="P17" s="13">
        <f>SUM(Table134[[#This Row],[Residential (16,23,53)]:[Contracts]])</f>
        <v>1</v>
      </c>
    </row>
    <row r="18" spans="1:16" ht="15.5" x14ac:dyDescent="0.35">
      <c r="A18" s="1">
        <f t="shared" si="0"/>
        <v>14</v>
      </c>
      <c r="B18" s="10" t="s">
        <v>94</v>
      </c>
      <c r="C18" s="4" t="s">
        <v>97</v>
      </c>
      <c r="D18" s="4" t="s">
        <v>98</v>
      </c>
      <c r="E18" s="4" t="s">
        <v>64</v>
      </c>
      <c r="F18" s="4" t="s">
        <v>64</v>
      </c>
      <c r="G18" s="4" t="s">
        <v>65</v>
      </c>
      <c r="H18" s="12">
        <v>0.60860523097153107</v>
      </c>
      <c r="I18" s="12">
        <v>0.26833808965045014</v>
      </c>
      <c r="J18" s="12">
        <v>6.5754983074458428E-2</v>
      </c>
      <c r="K18" s="12">
        <v>2.7669852802523782E-2</v>
      </c>
      <c r="L18" s="12">
        <v>2.9921038562686483E-3</v>
      </c>
      <c r="M18" s="12">
        <v>2.3655548836757079E-2</v>
      </c>
      <c r="N18" s="12">
        <v>2.0705674659709486E-3</v>
      </c>
      <c r="O18" s="12">
        <v>9.1362334203991225E-4</v>
      </c>
      <c r="P18" s="13">
        <f>SUM(Table134[[#This Row],[Residential (16,23,53)]:[Contracts]])</f>
        <v>1</v>
      </c>
    </row>
    <row r="19" spans="1:16" ht="15.5" x14ac:dyDescent="0.35">
      <c r="A19" s="1">
        <f t="shared" si="0"/>
        <v>15</v>
      </c>
      <c r="B19" s="10" t="s">
        <v>76</v>
      </c>
      <c r="C19" s="4" t="s">
        <v>76</v>
      </c>
      <c r="D19" s="4" t="s">
        <v>99</v>
      </c>
      <c r="E19" s="4" t="s">
        <v>100</v>
      </c>
      <c r="F19" s="4" t="s">
        <v>64</v>
      </c>
      <c r="G19" s="4" t="s">
        <v>65</v>
      </c>
      <c r="H19" s="12">
        <v>0.60534990976680514</v>
      </c>
      <c r="I19" s="12">
        <v>0.31325593167316002</v>
      </c>
      <c r="J19" s="12">
        <v>4.2238502398413036E-2</v>
      </c>
      <c r="K19" s="12">
        <v>1.912597212780116E-2</v>
      </c>
      <c r="L19" s="12">
        <v>1.8311501175644334E-3</v>
      </c>
      <c r="M19" s="12">
        <v>1.5516392421782987E-2</v>
      </c>
      <c r="N19" s="12">
        <v>1.6117956097185904E-3</v>
      </c>
      <c r="O19" s="12">
        <v>1.0703458847545696E-3</v>
      </c>
      <c r="P19" s="13">
        <f>SUM(Table134[[#This Row],[Residential (16,23,53)]:[Contracts]])</f>
        <v>1</v>
      </c>
    </row>
    <row r="20" spans="1:16" ht="15.5" x14ac:dyDescent="0.35">
      <c r="A20" s="1">
        <f t="shared" si="0"/>
        <v>16</v>
      </c>
      <c r="B20" s="10" t="s">
        <v>94</v>
      </c>
      <c r="C20" s="4" t="s">
        <v>101</v>
      </c>
      <c r="D20" s="4" t="s">
        <v>102</v>
      </c>
      <c r="E20" s="4" t="s">
        <v>64</v>
      </c>
      <c r="F20" s="4" t="s">
        <v>64</v>
      </c>
      <c r="G20" s="4" t="s">
        <v>65</v>
      </c>
      <c r="H20" s="12">
        <v>0.58148113408053537</v>
      </c>
      <c r="I20" s="12">
        <v>0.33311663617053616</v>
      </c>
      <c r="J20" s="12">
        <v>4.3961421760739555E-2</v>
      </c>
      <c r="K20" s="12">
        <v>2.0028387533683693E-2</v>
      </c>
      <c r="L20" s="12">
        <v>1.743923904029508E-3</v>
      </c>
      <c r="M20" s="12">
        <v>1.6908107206321528E-2</v>
      </c>
      <c r="N20" s="12">
        <v>1.5353660121411338E-3</v>
      </c>
      <c r="O20" s="12">
        <v>1.2250233320130336E-3</v>
      </c>
      <c r="P20" s="13">
        <f>SUM(Table134[[#This Row],[Residential (16,23,53)]:[Contracts]])</f>
        <v>1</v>
      </c>
    </row>
    <row r="21" spans="1:16" ht="15.5" x14ac:dyDescent="0.35">
      <c r="A21" s="1">
        <f t="shared" si="0"/>
        <v>17</v>
      </c>
      <c r="B21" s="10" t="s">
        <v>103</v>
      </c>
      <c r="C21" s="4" t="s">
        <v>104</v>
      </c>
      <c r="D21" s="4" t="s">
        <v>105</v>
      </c>
      <c r="E21" s="4" t="s">
        <v>64</v>
      </c>
      <c r="F21" s="4" t="s">
        <v>64</v>
      </c>
      <c r="G21" s="4" t="s">
        <v>65</v>
      </c>
      <c r="H21" s="12">
        <v>0.63721992061136845</v>
      </c>
      <c r="I21" s="12">
        <v>0.27113309128328072</v>
      </c>
      <c r="J21" s="12">
        <v>4.7249071502853228E-2</v>
      </c>
      <c r="K21" s="12">
        <v>2.0929060461099814E-2</v>
      </c>
      <c r="L21" s="12">
        <v>2.2340244428676478E-3</v>
      </c>
      <c r="M21" s="12">
        <v>1.808513161861237E-2</v>
      </c>
      <c r="N21" s="12">
        <v>1.7706385919177409E-3</v>
      </c>
      <c r="O21" s="12">
        <v>1.3790614879999731E-3</v>
      </c>
      <c r="P21" s="13">
        <f>SUM(Table134[[#This Row],[Residential (16,23,53)]:[Contracts]])</f>
        <v>0.99999999999999989</v>
      </c>
    </row>
    <row r="22" spans="1:16" ht="46.5" x14ac:dyDescent="0.35">
      <c r="A22" s="1">
        <f t="shared" si="0"/>
        <v>18</v>
      </c>
      <c r="B22" s="10" t="s">
        <v>106</v>
      </c>
      <c r="C22" s="4" t="s">
        <v>107</v>
      </c>
      <c r="D22" s="4" t="s">
        <v>108</v>
      </c>
      <c r="E22" s="4"/>
      <c r="F22" s="4" t="s">
        <v>79</v>
      </c>
      <c r="G22" s="4" t="s">
        <v>60</v>
      </c>
      <c r="H22" s="12">
        <v>0.68754812836898582</v>
      </c>
      <c r="I22" s="12">
        <v>0.23361635314472012</v>
      </c>
      <c r="J22" s="12">
        <v>4.9703479243547052E-2</v>
      </c>
      <c r="K22" s="12">
        <v>1.1790825357775045E-2</v>
      </c>
      <c r="L22" s="12">
        <v>5.8204074285199961E-3</v>
      </c>
      <c r="M22" s="12">
        <v>1.1520806456451952E-2</v>
      </c>
      <c r="N22" s="12">
        <v>0</v>
      </c>
      <c r="O22" s="12">
        <v>0</v>
      </c>
      <c r="P22" s="13">
        <f>SUM(Table134[[#This Row],[Residential (16,23,53)]:[Contracts]])</f>
        <v>0.99999999999999989</v>
      </c>
    </row>
    <row r="23" spans="1:16" ht="15.5" x14ac:dyDescent="0.35">
      <c r="A23" s="1">
        <f t="shared" si="0"/>
        <v>19</v>
      </c>
      <c r="B23" s="10" t="s">
        <v>46</v>
      </c>
      <c r="C23" s="4" t="s">
        <v>46</v>
      </c>
      <c r="D23" s="4" t="s">
        <v>109</v>
      </c>
      <c r="E23" s="4" t="s">
        <v>64</v>
      </c>
      <c r="F23" s="4" t="s">
        <v>64</v>
      </c>
      <c r="G23" s="4" t="s">
        <v>65</v>
      </c>
      <c r="H23" s="12">
        <v>0.6489216103114861</v>
      </c>
      <c r="I23" s="12">
        <v>0.26339888925755456</v>
      </c>
      <c r="J23" s="12">
        <v>4.5238846571840075E-2</v>
      </c>
      <c r="K23" s="12">
        <v>2.0021972445745644E-2</v>
      </c>
      <c r="L23" s="12">
        <v>2.138999108584917E-3</v>
      </c>
      <c r="M23" s="12">
        <v>1.727877288235314E-2</v>
      </c>
      <c r="N23" s="12">
        <v>1.6846617828345401E-3</v>
      </c>
      <c r="O23" s="12">
        <v>1.316247639601134E-3</v>
      </c>
      <c r="P23" s="13">
        <f>SUM(Table134[[#This Row],[Residential (16,23,53)]:[Contracts]])</f>
        <v>1</v>
      </c>
    </row>
    <row r="24" spans="1:16" ht="15.5" x14ac:dyDescent="0.35">
      <c r="A24" s="1">
        <f t="shared" si="0"/>
        <v>20</v>
      </c>
      <c r="B24" s="10" t="s">
        <v>76</v>
      </c>
      <c r="C24" s="4" t="s">
        <v>110</v>
      </c>
      <c r="D24" s="4" t="s">
        <v>111</v>
      </c>
      <c r="E24" s="4"/>
      <c r="F24" s="4" t="s">
        <v>79</v>
      </c>
      <c r="G24" s="4" t="s">
        <v>60</v>
      </c>
      <c r="H24" s="12">
        <v>0.68674197603104103</v>
      </c>
      <c r="I24" s="12">
        <v>0.26031525021366381</v>
      </c>
      <c r="J24" s="12">
        <v>5.1668484798709648E-2</v>
      </c>
      <c r="K24" s="12">
        <v>9.8903878736158611E-4</v>
      </c>
      <c r="L24" s="12">
        <v>2.852501692239329E-4</v>
      </c>
      <c r="M24" s="12">
        <v>0</v>
      </c>
      <c r="N24" s="12">
        <v>0</v>
      </c>
      <c r="O24" s="12">
        <v>0</v>
      </c>
      <c r="P24" s="13">
        <f>SUM(Table134[[#This Row],[Residential (16,23,53)]:[Contracts]])</f>
        <v>1</v>
      </c>
    </row>
    <row r="25" spans="1:16" ht="15.5" x14ac:dyDescent="0.35">
      <c r="A25" s="1">
        <f t="shared" si="0"/>
        <v>21</v>
      </c>
      <c r="B25" s="10" t="s">
        <v>112</v>
      </c>
      <c r="C25" s="4" t="s">
        <v>113</v>
      </c>
      <c r="D25" s="4" t="s">
        <v>114</v>
      </c>
      <c r="E25" s="4" t="s">
        <v>64</v>
      </c>
      <c r="F25" s="4" t="s">
        <v>64</v>
      </c>
      <c r="G25" s="4" t="s">
        <v>65</v>
      </c>
      <c r="H25" s="12">
        <v>0.68754812836898582</v>
      </c>
      <c r="I25" s="12">
        <v>0.23361635314472012</v>
      </c>
      <c r="J25" s="12">
        <v>4.9703479243547059E-2</v>
      </c>
      <c r="K25" s="12">
        <v>1.1790825357775045E-2</v>
      </c>
      <c r="L25" s="12">
        <v>5.8204074285199952E-3</v>
      </c>
      <c r="M25" s="12">
        <v>1.1520806456451952E-2</v>
      </c>
      <c r="N25" s="12">
        <v>0</v>
      </c>
      <c r="O25" s="12">
        <v>0</v>
      </c>
      <c r="P25" s="13">
        <f>SUM(Table134[[#This Row],[Residential (16,23,53)]:[Contracts]])</f>
        <v>0.99999999999999989</v>
      </c>
    </row>
    <row r="26" spans="1:16" ht="15.5" x14ac:dyDescent="0.35">
      <c r="A26" s="1">
        <f t="shared" si="0"/>
        <v>22</v>
      </c>
      <c r="B26" s="10" t="s">
        <v>115</v>
      </c>
      <c r="C26" s="4" t="s">
        <v>116</v>
      </c>
      <c r="D26" s="4" t="s">
        <v>117</v>
      </c>
      <c r="E26" s="4"/>
      <c r="F26" s="4" t="s">
        <v>79</v>
      </c>
      <c r="G26" s="4" t="s">
        <v>60</v>
      </c>
      <c r="H26" s="12">
        <v>0.63347136461795439</v>
      </c>
      <c r="I26" s="12">
        <v>0.24418298653337103</v>
      </c>
      <c r="J26" s="12">
        <v>6.6386732674151003E-2</v>
      </c>
      <c r="K26" s="12">
        <v>2.6800799475860247E-2</v>
      </c>
      <c r="L26" s="12">
        <v>2.4301376780964052E-3</v>
      </c>
      <c r="M26" s="12">
        <v>2.672797902056688E-2</v>
      </c>
      <c r="N26" s="12">
        <v>0</v>
      </c>
      <c r="O26" s="12">
        <v>0</v>
      </c>
      <c r="P26" s="13">
        <f>SUM(Table134[[#This Row],[Residential (16,23,53)]:[Contracts]])</f>
        <v>0.99999999999999989</v>
      </c>
    </row>
    <row r="27" spans="1:16" ht="15.5" x14ac:dyDescent="0.35">
      <c r="A27" s="1">
        <f t="shared" si="0"/>
        <v>23</v>
      </c>
      <c r="B27" s="10" t="s">
        <v>115</v>
      </c>
      <c r="C27" s="4" t="s">
        <v>118</v>
      </c>
      <c r="D27" s="4" t="s">
        <v>119</v>
      </c>
      <c r="E27" s="4" t="s">
        <v>64</v>
      </c>
      <c r="F27" s="4" t="s">
        <v>64</v>
      </c>
      <c r="G27" s="4" t="s">
        <v>65</v>
      </c>
      <c r="H27" s="12">
        <v>0.63129318479690255</v>
      </c>
      <c r="I27" s="12">
        <v>0.2433433677540251</v>
      </c>
      <c r="J27" s="12">
        <v>6.6158463095488035E-2</v>
      </c>
      <c r="K27" s="12">
        <v>2.6708645411972005E-2</v>
      </c>
      <c r="L27" s="12">
        <v>2.4217816936771257E-3</v>
      </c>
      <c r="M27" s="12">
        <v>2.6636075348496074E-2</v>
      </c>
      <c r="N27" s="12">
        <v>2.4665874095028168E-3</v>
      </c>
      <c r="O27" s="12">
        <v>9.7189448993624267E-4</v>
      </c>
      <c r="P27" s="13">
        <f>SUM(Table134[[#This Row],[Residential (16,23,53)]:[Contracts]])</f>
        <v>1</v>
      </c>
    </row>
    <row r="28" spans="1:16" ht="15.5" x14ac:dyDescent="0.35">
      <c r="A28" s="1">
        <f t="shared" si="0"/>
        <v>24</v>
      </c>
      <c r="B28" s="10" t="s">
        <v>94</v>
      </c>
      <c r="C28" s="4" t="s">
        <v>120</v>
      </c>
      <c r="D28" s="4" t="s">
        <v>121</v>
      </c>
      <c r="E28" s="4" t="s">
        <v>64</v>
      </c>
      <c r="F28" s="4" t="s">
        <v>64</v>
      </c>
      <c r="G28" s="4" t="s">
        <v>65</v>
      </c>
      <c r="H28" s="12">
        <v>0.77041874049415238</v>
      </c>
      <c r="I28" s="12">
        <v>0.2251965078456715</v>
      </c>
      <c r="J28" s="12">
        <v>3.8849543264113965E-3</v>
      </c>
      <c r="K28" s="12">
        <v>3.4040931597512755E-5</v>
      </c>
      <c r="L28" s="12">
        <v>4.657564021671479E-4</v>
      </c>
      <c r="M28" s="12">
        <v>0</v>
      </c>
      <c r="N28" s="12">
        <v>0</v>
      </c>
      <c r="O28" s="12">
        <v>0</v>
      </c>
      <c r="P28" s="13">
        <f>SUM(Table134[[#This Row],[Residential (16,23,53)]:[Contracts]])</f>
        <v>1</v>
      </c>
    </row>
    <row r="29" spans="1:16" ht="15.5" x14ac:dyDescent="0.35">
      <c r="A29" s="1">
        <f t="shared" si="0"/>
        <v>25</v>
      </c>
      <c r="B29" s="10" t="s">
        <v>115</v>
      </c>
      <c r="C29" s="4" t="s">
        <v>122</v>
      </c>
      <c r="D29" s="4" t="s">
        <v>123</v>
      </c>
      <c r="E29" s="4" t="s">
        <v>59</v>
      </c>
      <c r="F29" s="4" t="s">
        <v>59</v>
      </c>
      <c r="G29" s="4" t="s">
        <v>60</v>
      </c>
      <c r="H29" s="12">
        <v>4.5969860414014517E-3</v>
      </c>
      <c r="I29" s="12">
        <v>0.56113793542769952</v>
      </c>
      <c r="J29" s="12">
        <v>0.25274760845754096</v>
      </c>
      <c r="K29" s="12">
        <v>0.12487598023908361</v>
      </c>
      <c r="L29" s="12">
        <v>2.3656599793610338E-2</v>
      </c>
      <c r="M29" s="12">
        <v>3.2984890040664086E-2</v>
      </c>
      <c r="N29" s="12">
        <v>0</v>
      </c>
      <c r="O29" s="12">
        <v>0</v>
      </c>
      <c r="P29" s="13">
        <f>SUM(Table134[[#This Row],[Residential (16,23,53)]:[Contracts]])</f>
        <v>1</v>
      </c>
    </row>
    <row r="30" spans="1:16" ht="15.5" x14ac:dyDescent="0.35">
      <c r="A30" s="1">
        <f t="shared" si="0"/>
        <v>26</v>
      </c>
      <c r="B30" s="10" t="s">
        <v>76</v>
      </c>
      <c r="C30" s="4" t="s">
        <v>124</v>
      </c>
      <c r="D30" s="4" t="s">
        <v>125</v>
      </c>
      <c r="E30" s="4" t="s">
        <v>59</v>
      </c>
      <c r="F30" s="4" t="s">
        <v>59</v>
      </c>
      <c r="G30" s="4" t="s">
        <v>60</v>
      </c>
      <c r="H30" s="12">
        <v>0.77041874049415238</v>
      </c>
      <c r="I30" s="12">
        <v>0.2251965078456715</v>
      </c>
      <c r="J30" s="12">
        <v>3.8849543264113965E-3</v>
      </c>
      <c r="K30" s="12">
        <v>3.4040931597512748E-5</v>
      </c>
      <c r="L30" s="12">
        <v>4.6575640216714784E-4</v>
      </c>
      <c r="M30" s="12">
        <v>0</v>
      </c>
      <c r="N30" s="12">
        <v>0</v>
      </c>
      <c r="O30" s="12">
        <v>0</v>
      </c>
      <c r="P30" s="13">
        <f>SUM(Table134[[#This Row],[Residential (16,23,53)]:[Contracts]])</f>
        <v>1</v>
      </c>
    </row>
    <row r="31" spans="1:16" ht="15.5" x14ac:dyDescent="0.35">
      <c r="A31" s="1">
        <f t="shared" si="0"/>
        <v>27</v>
      </c>
      <c r="B31" s="10" t="s">
        <v>76</v>
      </c>
      <c r="C31" s="4" t="s">
        <v>126</v>
      </c>
      <c r="D31" s="4" t="s">
        <v>127</v>
      </c>
      <c r="E31" s="4" t="s">
        <v>59</v>
      </c>
      <c r="F31" s="4" t="s">
        <v>59</v>
      </c>
      <c r="G31" s="4" t="s">
        <v>60</v>
      </c>
      <c r="H31" s="12">
        <v>0.92676821974544221</v>
      </c>
      <c r="I31" s="12">
        <v>7.2669181486638521E-2</v>
      </c>
      <c r="J31" s="12">
        <v>5.0414694787558935E-4</v>
      </c>
      <c r="K31" s="12">
        <v>4.1751300031104706E-6</v>
      </c>
      <c r="L31" s="12">
        <v>5.4276690040436121E-5</v>
      </c>
      <c r="M31" s="12">
        <v>0</v>
      </c>
      <c r="N31" s="12">
        <v>0</v>
      </c>
      <c r="O31" s="12">
        <v>0</v>
      </c>
      <c r="P31" s="13">
        <f>SUM(Table134[[#This Row],[Residential (16,23,53)]:[Contracts]])</f>
        <v>0.99999999999999978</v>
      </c>
    </row>
    <row r="32" spans="1:16" ht="15.5" x14ac:dyDescent="0.35">
      <c r="A32" s="1">
        <f t="shared" si="0"/>
        <v>28</v>
      </c>
      <c r="B32" s="10" t="s">
        <v>128</v>
      </c>
      <c r="C32" s="4" t="s">
        <v>129</v>
      </c>
      <c r="D32" s="4" t="s">
        <v>130</v>
      </c>
      <c r="E32" s="4" t="s">
        <v>64</v>
      </c>
      <c r="F32" s="4" t="s">
        <v>64</v>
      </c>
      <c r="G32" s="4" t="s">
        <v>65</v>
      </c>
      <c r="H32" s="12">
        <v>0.68129420346177416</v>
      </c>
      <c r="I32" s="12">
        <v>0.23642482085489319</v>
      </c>
      <c r="J32" s="12">
        <v>4.2350183259607488E-2</v>
      </c>
      <c r="K32" s="12">
        <v>1.8288165969812083E-2</v>
      </c>
      <c r="L32" s="12">
        <v>2.1877180622316907E-3</v>
      </c>
      <c r="M32" s="12">
        <v>1.6601308502756939E-2</v>
      </c>
      <c r="N32" s="12">
        <v>1.4603694211284685E-3</v>
      </c>
      <c r="O32" s="12">
        <v>1.3932304677959717E-3</v>
      </c>
      <c r="P32" s="13">
        <f>SUM(Table134[[#This Row],[Residential (16,23,53)]:[Contracts]])</f>
        <v>1</v>
      </c>
    </row>
    <row r="33" spans="1:16" ht="15.5" x14ac:dyDescent="0.35">
      <c r="A33" s="1">
        <f t="shared" si="0"/>
        <v>29</v>
      </c>
      <c r="B33" s="10" t="s">
        <v>128</v>
      </c>
      <c r="C33" s="4" t="s">
        <v>131</v>
      </c>
      <c r="D33" s="4" t="s">
        <v>132</v>
      </c>
      <c r="E33" s="4" t="s">
        <v>64</v>
      </c>
      <c r="F33" s="4" t="s">
        <v>64</v>
      </c>
      <c r="G33" s="4" t="s">
        <v>65</v>
      </c>
      <c r="H33" s="12">
        <v>0.66888582374851968</v>
      </c>
      <c r="I33" s="12">
        <v>0.22981882272362975</v>
      </c>
      <c r="J33" s="12">
        <v>5.1940557888163791E-2</v>
      </c>
      <c r="K33" s="12">
        <v>2.2709675678362885E-2</v>
      </c>
      <c r="L33" s="12">
        <v>2.5733625506168031E-3</v>
      </c>
      <c r="M33" s="12">
        <v>2.0527083771751976E-2</v>
      </c>
      <c r="N33" s="12">
        <v>1.8953848147475589E-3</v>
      </c>
      <c r="O33" s="12">
        <v>1.6492888242072017E-3</v>
      </c>
      <c r="P33" s="13">
        <f>SUM(Table134[[#This Row],[Residential (16,23,53)]:[Contracts]])</f>
        <v>0.99999999999999967</v>
      </c>
    </row>
    <row r="34" spans="1:16" ht="15.5" x14ac:dyDescent="0.35">
      <c r="A34" s="1">
        <f t="shared" si="0"/>
        <v>30</v>
      </c>
      <c r="B34" s="10" t="s">
        <v>133</v>
      </c>
      <c r="C34" s="4" t="s">
        <v>134</v>
      </c>
      <c r="D34" s="4" t="s">
        <v>135</v>
      </c>
      <c r="E34" s="4" t="s">
        <v>2</v>
      </c>
      <c r="F34" s="4" t="s">
        <v>2</v>
      </c>
      <c r="G34" s="4" t="s">
        <v>60</v>
      </c>
      <c r="H34" s="12">
        <v>0.93459164967713448</v>
      </c>
      <c r="I34" s="12">
        <v>6.5035740638100512E-2</v>
      </c>
      <c r="J34" s="12">
        <v>3.296395449346213E-4</v>
      </c>
      <c r="K34" s="12">
        <v>2.8549503869581076E-5</v>
      </c>
      <c r="L34" s="12">
        <v>1.4420635960695397E-5</v>
      </c>
      <c r="M34" s="12">
        <v>0</v>
      </c>
      <c r="N34" s="12">
        <v>0</v>
      </c>
      <c r="O34" s="12">
        <v>0</v>
      </c>
      <c r="P34" s="13">
        <f>SUM(Table134[[#This Row],[Residential (16,23,53)]:[Contracts]])</f>
        <v>0.99999999999999978</v>
      </c>
    </row>
    <row r="35" spans="1:16" ht="15.5" x14ac:dyDescent="0.35">
      <c r="A35" s="1">
        <f t="shared" si="0"/>
        <v>31</v>
      </c>
      <c r="B35" s="10" t="s">
        <v>115</v>
      </c>
      <c r="C35" s="4" t="s">
        <v>241</v>
      </c>
      <c r="D35" s="4" t="s">
        <v>242</v>
      </c>
      <c r="E35" s="4"/>
      <c r="F35" s="4" t="s">
        <v>79</v>
      </c>
      <c r="G35" s="4" t="s">
        <v>60</v>
      </c>
      <c r="H35" s="12">
        <v>0.67522345610211465</v>
      </c>
      <c r="I35" s="12">
        <v>0.25594905955976094</v>
      </c>
      <c r="J35" s="12">
        <v>6.0205988229070889E-2</v>
      </c>
      <c r="K35" s="12">
        <v>6.1422269491593871E-3</v>
      </c>
      <c r="L35" s="12">
        <v>3.5425242147937277E-4</v>
      </c>
      <c r="M35" s="12">
        <v>2.1250167384149034E-3</v>
      </c>
      <c r="N35" s="12">
        <v>0</v>
      </c>
      <c r="O35" s="12">
        <v>0</v>
      </c>
      <c r="P35" s="13">
        <f>SUM(Table134[[#This Row],[Residential (16,23,53)]:[Contracts]])</f>
        <v>1</v>
      </c>
    </row>
    <row r="36" spans="1:16" ht="15.5" x14ac:dyDescent="0.35">
      <c r="A36" s="1">
        <f t="shared" si="0"/>
        <v>32</v>
      </c>
      <c r="B36" s="10" t="s">
        <v>136</v>
      </c>
      <c r="C36" s="4" t="s">
        <v>137</v>
      </c>
      <c r="D36" s="4" t="s">
        <v>138</v>
      </c>
      <c r="E36" s="4" t="s">
        <v>64</v>
      </c>
      <c r="F36" s="4" t="s">
        <v>64</v>
      </c>
      <c r="G36" s="4" t="s">
        <v>65</v>
      </c>
      <c r="H36" s="12">
        <v>0.60671406615494217</v>
      </c>
      <c r="I36" s="12">
        <v>0.31095451649280198</v>
      </c>
      <c r="J36" s="12">
        <v>4.2728569164910496E-2</v>
      </c>
      <c r="K36" s="12">
        <v>1.9213396991103183E-2</v>
      </c>
      <c r="L36" s="12">
        <v>1.9070315348038277E-3</v>
      </c>
      <c r="M36" s="12">
        <v>1.5732055901353299E-2</v>
      </c>
      <c r="N36" s="12">
        <v>1.6317061710559931E-3</v>
      </c>
      <c r="O36" s="12">
        <v>1.1186575890291194E-3</v>
      </c>
      <c r="P36" s="13">
        <f>SUM(Table134[[#This Row],[Residential (16,23,53)]:[Contracts]])</f>
        <v>1.0000000000000002</v>
      </c>
    </row>
    <row r="37" spans="1:16" ht="15.5" x14ac:dyDescent="0.35">
      <c r="A37" s="1">
        <f t="shared" si="0"/>
        <v>33</v>
      </c>
      <c r="B37" s="10" t="s">
        <v>83</v>
      </c>
      <c r="C37" s="4" t="s">
        <v>139</v>
      </c>
      <c r="D37" s="4" t="s">
        <v>140</v>
      </c>
      <c r="E37" s="4" t="s">
        <v>64</v>
      </c>
      <c r="F37" s="4" t="s">
        <v>64</v>
      </c>
      <c r="G37" s="4" t="s">
        <v>65</v>
      </c>
      <c r="H37" s="12">
        <v>0.60804581476758912</v>
      </c>
      <c r="I37" s="12">
        <v>0.30921609189459415</v>
      </c>
      <c r="J37" s="12">
        <v>4.2925913996723727E-2</v>
      </c>
      <c r="K37" s="12">
        <v>1.9288295153657542E-2</v>
      </c>
      <c r="L37" s="12">
        <v>1.9213065767398397E-3</v>
      </c>
      <c r="M37" s="12">
        <v>1.5834780620190104E-2</v>
      </c>
      <c r="N37" s="12">
        <v>1.637771336645719E-3</v>
      </c>
      <c r="O37" s="12">
        <v>1.1300256538600072E-3</v>
      </c>
      <c r="P37" s="13">
        <f>SUM(Table134[[#This Row],[Residential (16,23,53)]:[Contracts]])</f>
        <v>1</v>
      </c>
    </row>
    <row r="38" spans="1:16" ht="15.5" x14ac:dyDescent="0.35">
      <c r="A38" s="1">
        <f t="shared" si="0"/>
        <v>34</v>
      </c>
      <c r="B38" s="10" t="s">
        <v>141</v>
      </c>
      <c r="C38" s="4" t="s">
        <v>141</v>
      </c>
      <c r="D38" s="4" t="s">
        <v>142</v>
      </c>
      <c r="E38" s="4" t="s">
        <v>64</v>
      </c>
      <c r="F38" s="4" t="s">
        <v>64</v>
      </c>
      <c r="G38" s="4" t="s">
        <v>65</v>
      </c>
      <c r="H38" s="12">
        <v>0.68754812836898582</v>
      </c>
      <c r="I38" s="12">
        <v>0.23361635314472012</v>
      </c>
      <c r="J38" s="12">
        <v>4.9703479243547052E-2</v>
      </c>
      <c r="K38" s="12">
        <v>1.1790825357775045E-2</v>
      </c>
      <c r="L38" s="12">
        <v>5.8204074285199961E-3</v>
      </c>
      <c r="M38" s="12">
        <v>1.1520806456451952E-2</v>
      </c>
      <c r="N38" s="12">
        <v>0</v>
      </c>
      <c r="O38" s="12">
        <v>0</v>
      </c>
      <c r="P38" s="13">
        <f>SUM(Table134[[#This Row],[Residential (16,23,53)]:[Contracts]])</f>
        <v>0.99999999999999989</v>
      </c>
    </row>
    <row r="39" spans="1:16" ht="15.5" x14ac:dyDescent="0.35">
      <c r="A39" s="1">
        <f t="shared" si="0"/>
        <v>35</v>
      </c>
      <c r="B39" s="10" t="s">
        <v>47</v>
      </c>
      <c r="C39" s="4" t="s">
        <v>47</v>
      </c>
      <c r="D39" s="4" t="s">
        <v>143</v>
      </c>
      <c r="E39" s="4" t="s">
        <v>64</v>
      </c>
      <c r="F39" s="4" t="s">
        <v>64</v>
      </c>
      <c r="G39" s="4" t="s">
        <v>65</v>
      </c>
      <c r="H39" s="12">
        <v>0.62068920794557203</v>
      </c>
      <c r="I39" s="12">
        <v>0.29340658526612801</v>
      </c>
      <c r="J39" s="12">
        <v>4.4289194792648652E-2</v>
      </c>
      <c r="K39" s="12">
        <v>1.9568155502472227E-2</v>
      </c>
      <c r="L39" s="12">
        <v>1.9558357039728596E-3</v>
      </c>
      <c r="M39" s="12">
        <v>1.6510527330435436E-2</v>
      </c>
      <c r="N39" s="12">
        <v>2.4833688312235658E-3</v>
      </c>
      <c r="O39" s="12">
        <v>1.0971246275473783E-3</v>
      </c>
      <c r="P39" s="13">
        <f>SUM(Table134[[#This Row],[Residential (16,23,53)]:[Contracts]])</f>
        <v>1.0000000000000002</v>
      </c>
    </row>
    <row r="40" spans="1:16" ht="15.5" x14ac:dyDescent="0.35">
      <c r="A40" s="1">
        <f t="shared" si="0"/>
        <v>36</v>
      </c>
      <c r="B40" s="10" t="s">
        <v>66</v>
      </c>
      <c r="C40" s="4" t="s">
        <v>144</v>
      </c>
      <c r="D40" s="4" t="s">
        <v>145</v>
      </c>
      <c r="E40" s="4" t="s">
        <v>2</v>
      </c>
      <c r="F40" s="4" t="s">
        <v>2</v>
      </c>
      <c r="G40" s="4" t="s">
        <v>60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3">
        <f>SUM(Table134[[#This Row],[Residential (16,23,53)]:[Contracts]])</f>
        <v>1</v>
      </c>
    </row>
    <row r="41" spans="1:16" ht="15.5" x14ac:dyDescent="0.35">
      <c r="A41" s="1">
        <f t="shared" si="0"/>
        <v>37</v>
      </c>
      <c r="B41" s="10" t="s">
        <v>146</v>
      </c>
      <c r="C41" s="4" t="s">
        <v>147</v>
      </c>
      <c r="D41" s="4" t="s">
        <v>148</v>
      </c>
      <c r="E41" s="4" t="s">
        <v>64</v>
      </c>
      <c r="F41" s="4" t="s">
        <v>64</v>
      </c>
      <c r="G41" s="4" t="s">
        <v>65</v>
      </c>
      <c r="H41" s="12">
        <v>0.63307553281900797</v>
      </c>
      <c r="I41" s="12">
        <v>0.28123600967954543</v>
      </c>
      <c r="J41" s="12">
        <v>4.429956268486205E-2</v>
      </c>
      <c r="K41" s="12">
        <v>1.9587273500710677E-2</v>
      </c>
      <c r="L41" s="12">
        <v>2.0575565715736047E-3</v>
      </c>
      <c r="M41" s="12">
        <v>1.668477328858739E-2</v>
      </c>
      <c r="N41" s="12">
        <v>1.8234911548977643E-3</v>
      </c>
      <c r="O41" s="12">
        <v>1.2358003008154138E-3</v>
      </c>
      <c r="P41" s="13">
        <f>SUM(Table134[[#This Row],[Residential (16,23,53)]:[Contracts]])</f>
        <v>1.0000000000000002</v>
      </c>
    </row>
    <row r="42" spans="1:16" ht="15.5" x14ac:dyDescent="0.35">
      <c r="A42" s="1">
        <f t="shared" si="0"/>
        <v>38</v>
      </c>
      <c r="B42" s="10" t="s">
        <v>115</v>
      </c>
      <c r="C42" s="4" t="s">
        <v>149</v>
      </c>
      <c r="D42" s="4" t="s">
        <v>150</v>
      </c>
      <c r="E42" s="4" t="s">
        <v>59</v>
      </c>
      <c r="F42" s="4" t="s">
        <v>59</v>
      </c>
      <c r="G42" s="4" t="s">
        <v>60</v>
      </c>
      <c r="H42" s="12">
        <v>0.50517514675810393</v>
      </c>
      <c r="I42" s="12">
        <v>0.48674169662837291</v>
      </c>
      <c r="J42" s="12">
        <v>7.4495589053119819E-3</v>
      </c>
      <c r="K42" s="12">
        <v>0</v>
      </c>
      <c r="L42" s="12">
        <v>6.3359770821111623E-4</v>
      </c>
      <c r="M42" s="12">
        <v>0</v>
      </c>
      <c r="N42" s="12">
        <v>0</v>
      </c>
      <c r="O42" s="12">
        <v>0</v>
      </c>
      <c r="P42" s="13">
        <f>SUM(Table134[[#This Row],[Residential (16,23,53)]:[Contracts]])</f>
        <v>1</v>
      </c>
    </row>
    <row r="43" spans="1:16" ht="31" x14ac:dyDescent="0.35">
      <c r="A43" s="1">
        <f t="shared" si="0"/>
        <v>39</v>
      </c>
      <c r="B43" s="10" t="s">
        <v>151</v>
      </c>
      <c r="C43" s="4" t="s">
        <v>152</v>
      </c>
      <c r="D43" s="4" t="s">
        <v>153</v>
      </c>
      <c r="E43" s="4" t="s">
        <v>64</v>
      </c>
      <c r="F43" s="4" t="s">
        <v>64</v>
      </c>
      <c r="G43" s="4" t="s">
        <v>65</v>
      </c>
      <c r="H43" s="12">
        <v>0.6666195046442287</v>
      </c>
      <c r="I43" s="12">
        <v>0.23027021224343008</v>
      </c>
      <c r="J43" s="12">
        <v>5.3026453302826806E-2</v>
      </c>
      <c r="K43" s="12">
        <v>1.8769610103320216E-2</v>
      </c>
      <c r="L43" s="12">
        <v>5.9412022817597965E-3</v>
      </c>
      <c r="M43" s="12">
        <v>2.0162045008973707E-2</v>
      </c>
      <c r="N43" s="12">
        <v>9.3031579380530255E-4</v>
      </c>
      <c r="O43" s="12">
        <v>4.2806566216553443E-3</v>
      </c>
      <c r="P43" s="13">
        <f>SUM(Table134[[#This Row],[Residential (16,23,53)]:[Contracts]])</f>
        <v>1</v>
      </c>
    </row>
    <row r="44" spans="1:16" ht="15.5" x14ac:dyDescent="0.35">
      <c r="A44" s="1">
        <f t="shared" si="0"/>
        <v>40</v>
      </c>
      <c r="B44" s="10" t="s">
        <v>154</v>
      </c>
      <c r="C44" s="4" t="s">
        <v>155</v>
      </c>
      <c r="D44" s="4" t="s">
        <v>156</v>
      </c>
      <c r="E44" s="4" t="s">
        <v>2</v>
      </c>
      <c r="F44" s="4" t="s">
        <v>2</v>
      </c>
      <c r="G44" s="4" t="s">
        <v>60</v>
      </c>
      <c r="H44" s="12">
        <v>0.69671373817129401</v>
      </c>
      <c r="I44" s="12">
        <v>0.2296378855065872</v>
      </c>
      <c r="J44" s="12">
        <v>4.1855663742793016E-2</v>
      </c>
      <c r="K44" s="12">
        <v>1.6618139408075487E-2</v>
      </c>
      <c r="L44" s="12">
        <v>2.6896460511527838E-3</v>
      </c>
      <c r="M44" s="12">
        <v>9.4542518668172485E-3</v>
      </c>
      <c r="N44" s="12">
        <v>2.0062116590208079E-4</v>
      </c>
      <c r="O44" s="12">
        <v>2.8300540873783019E-3</v>
      </c>
      <c r="P44" s="13">
        <f>SUM(Table134[[#This Row],[Residential (16,23,53)]:[Contracts]])</f>
        <v>1</v>
      </c>
    </row>
    <row r="45" spans="1:16" ht="46.5" x14ac:dyDescent="0.35">
      <c r="A45" s="1">
        <f t="shared" si="0"/>
        <v>41</v>
      </c>
      <c r="B45" s="10" t="s">
        <v>157</v>
      </c>
      <c r="C45" s="4" t="s">
        <v>158</v>
      </c>
      <c r="D45" s="4" t="s">
        <v>159</v>
      </c>
      <c r="E45" s="4" t="s">
        <v>64</v>
      </c>
      <c r="F45" s="4" t="s">
        <v>64</v>
      </c>
      <c r="G45" s="4" t="s">
        <v>65</v>
      </c>
      <c r="H45" s="12">
        <v>0.60974551448306857</v>
      </c>
      <c r="I45" s="12">
        <v>0.30733873567228648</v>
      </c>
      <c r="J45" s="12">
        <v>4.3022173568158899E-2</v>
      </c>
      <c r="K45" s="12">
        <v>1.9304499795744185E-2</v>
      </c>
      <c r="L45" s="12">
        <v>1.9353381955729621E-3</v>
      </c>
      <c r="M45" s="12">
        <v>1.5882031116759593E-2</v>
      </c>
      <c r="N45" s="12">
        <v>1.6365954723686184E-3</v>
      </c>
      <c r="O45" s="12">
        <v>1.135111696040461E-3</v>
      </c>
      <c r="P45" s="13">
        <f>SUM(Table134[[#This Row],[Residential (16,23,53)]:[Contracts]])</f>
        <v>0.99999999999999978</v>
      </c>
    </row>
    <row r="46" spans="1:16" ht="15.5" x14ac:dyDescent="0.35">
      <c r="A46" s="1">
        <f t="shared" si="0"/>
        <v>42</v>
      </c>
      <c r="B46" s="10" t="s">
        <v>133</v>
      </c>
      <c r="C46" s="4" t="s">
        <v>160</v>
      </c>
      <c r="D46" s="4" t="s">
        <v>161</v>
      </c>
      <c r="E46" s="4" t="s">
        <v>2</v>
      </c>
      <c r="F46" s="4" t="s">
        <v>2</v>
      </c>
      <c r="G46" s="4" t="s">
        <v>60</v>
      </c>
      <c r="H46" s="12">
        <v>0</v>
      </c>
      <c r="I46" s="12">
        <v>2.7861047152563E-4</v>
      </c>
      <c r="J46" s="12">
        <v>0.26621009608420337</v>
      </c>
      <c r="K46" s="12">
        <v>0.38757116527184454</v>
      </c>
      <c r="L46" s="12">
        <v>1.9741757701216587E-2</v>
      </c>
      <c r="M46" s="12">
        <v>0.22879012812806526</v>
      </c>
      <c r="N46" s="12">
        <v>6.4481191530507322E-3</v>
      </c>
      <c r="O46" s="12">
        <v>9.0960123190093931E-2</v>
      </c>
      <c r="P46" s="13">
        <f>SUM(Table134[[#This Row],[Residential (16,23,53)]:[Contracts]])</f>
        <v>1</v>
      </c>
    </row>
    <row r="47" spans="1:16" ht="15.5" x14ac:dyDescent="0.35">
      <c r="A47" s="1">
        <f t="shared" si="0"/>
        <v>43</v>
      </c>
      <c r="B47" s="10" t="s">
        <v>56</v>
      </c>
      <c r="C47" s="4" t="s">
        <v>162</v>
      </c>
      <c r="D47" s="4" t="s">
        <v>163</v>
      </c>
      <c r="E47" s="4" t="s">
        <v>59</v>
      </c>
      <c r="F47" s="4" t="s">
        <v>59</v>
      </c>
      <c r="G47" s="4" t="s">
        <v>60</v>
      </c>
      <c r="H47" s="12">
        <v>0.80043746749914535</v>
      </c>
      <c r="I47" s="12">
        <v>0.20274029936617508</v>
      </c>
      <c r="J47" s="12">
        <v>-3.1777668653203586E-3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3">
        <f>SUM(Table134[[#This Row],[Residential (16,23,53)]:[Contracts]])</f>
        <v>1</v>
      </c>
    </row>
    <row r="48" spans="1:16" ht="31" x14ac:dyDescent="0.35">
      <c r="A48" s="1">
        <f t="shared" si="0"/>
        <v>44</v>
      </c>
      <c r="B48" s="10" t="s">
        <v>164</v>
      </c>
      <c r="C48" s="4" t="s">
        <v>165</v>
      </c>
      <c r="D48" s="4" t="s">
        <v>166</v>
      </c>
      <c r="E48" s="4" t="s">
        <v>72</v>
      </c>
      <c r="F48" s="4" t="s">
        <v>167</v>
      </c>
      <c r="G48" s="4" t="s">
        <v>60</v>
      </c>
      <c r="H48" s="12">
        <v>0.56369829687262651</v>
      </c>
      <c r="I48" s="12">
        <v>0.2138148128122988</v>
      </c>
      <c r="J48" s="12">
        <v>6.9367924585059665E-2</v>
      </c>
      <c r="K48" s="12">
        <v>5.308935153667043E-2</v>
      </c>
      <c r="L48" s="12">
        <v>6.5352381032996038E-3</v>
      </c>
      <c r="M48" s="12">
        <v>6.2657276428133499E-2</v>
      </c>
      <c r="N48" s="12">
        <v>5.5053526603802382E-3</v>
      </c>
      <c r="O48" s="12">
        <v>2.5331747001531135E-2</v>
      </c>
      <c r="P48" s="13">
        <f>SUM(Table134[[#This Row],[Residential (16,23,53)]:[Contracts]])</f>
        <v>0.99999999999999978</v>
      </c>
    </row>
    <row r="49" spans="1:16" ht="15.5" x14ac:dyDescent="0.35">
      <c r="A49" s="1">
        <f t="shared" si="0"/>
        <v>45</v>
      </c>
      <c r="B49" s="10" t="s">
        <v>243</v>
      </c>
      <c r="C49" s="4" t="s">
        <v>244</v>
      </c>
      <c r="D49" s="4" t="s">
        <v>245</v>
      </c>
      <c r="E49" s="4" t="s">
        <v>64</v>
      </c>
      <c r="F49" s="4" t="s">
        <v>64</v>
      </c>
      <c r="G49" s="4" t="s">
        <v>60</v>
      </c>
      <c r="H49" s="12">
        <v>0.81426296405212995</v>
      </c>
      <c r="I49" s="12">
        <v>0.14800595424965457</v>
      </c>
      <c r="J49" s="12">
        <v>2.16898650705394E-2</v>
      </c>
      <c r="K49" s="12">
        <v>8.3756013396633182E-3</v>
      </c>
      <c r="L49" s="12">
        <v>1.4096352506617511E-3</v>
      </c>
      <c r="M49" s="12">
        <v>4.7349110422434905E-3</v>
      </c>
      <c r="N49" s="12">
        <v>1.0088371979777901E-4</v>
      </c>
      <c r="O49" s="12">
        <v>1.4201852753097986E-3</v>
      </c>
      <c r="P49" s="13">
        <f>SUM(Table134[[#This Row],[Residential (16,23,53)]:[Contracts]])</f>
        <v>1</v>
      </c>
    </row>
    <row r="50" spans="1:16" ht="15.5" x14ac:dyDescent="0.35">
      <c r="A50" s="1">
        <f t="shared" si="0"/>
        <v>46</v>
      </c>
      <c r="B50" s="10" t="s">
        <v>246</v>
      </c>
      <c r="C50" s="4" t="s">
        <v>247</v>
      </c>
      <c r="D50" s="4" t="s">
        <v>248</v>
      </c>
      <c r="E50" s="4" t="s">
        <v>64</v>
      </c>
      <c r="F50" s="4" t="s">
        <v>79</v>
      </c>
      <c r="G50" s="4" t="s">
        <v>60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1</v>
      </c>
      <c r="O50" s="12">
        <v>0</v>
      </c>
      <c r="P50" s="13">
        <f>SUM(Table134[[#This Row],[Residential (16,23,53)]:[Contracts]])</f>
        <v>1</v>
      </c>
    </row>
    <row r="51" spans="1:16" ht="15.5" x14ac:dyDescent="0.35">
      <c r="A51" s="1">
        <f t="shared" si="0"/>
        <v>47</v>
      </c>
      <c r="B51" s="10" t="s">
        <v>115</v>
      </c>
      <c r="C51" s="4" t="s">
        <v>249</v>
      </c>
      <c r="D51" s="4" t="s">
        <v>250</v>
      </c>
      <c r="E51" s="4" t="s">
        <v>64</v>
      </c>
      <c r="F51" s="4" t="s">
        <v>64</v>
      </c>
      <c r="G51" s="4" t="s">
        <v>65</v>
      </c>
      <c r="H51" s="12">
        <v>0.63285417493685303</v>
      </c>
      <c r="I51" s="12">
        <v>0.24394507961601611</v>
      </c>
      <c r="J51" s="12">
        <v>6.6322052234502035E-2</v>
      </c>
      <c r="K51" s="12">
        <v>2.6774687519099991E-2</v>
      </c>
      <c r="L51" s="12">
        <v>2.4277700005937591E-3</v>
      </c>
      <c r="M51" s="12">
        <v>2.6701938012607295E-2</v>
      </c>
      <c r="N51" s="12">
        <v>0</v>
      </c>
      <c r="O51" s="12">
        <v>9.7429768032764659E-4</v>
      </c>
      <c r="P51" s="13">
        <f>SUM(Table134[[#This Row],[Residential (16,23,53)]:[Contracts]])</f>
        <v>0.99999999999999989</v>
      </c>
    </row>
    <row r="52" spans="1:16" ht="46.5" x14ac:dyDescent="0.35">
      <c r="A52" s="1">
        <f t="shared" si="0"/>
        <v>48</v>
      </c>
      <c r="B52" s="10" t="s">
        <v>157</v>
      </c>
      <c r="C52" s="4" t="s">
        <v>251</v>
      </c>
      <c r="D52" s="4" t="s">
        <v>252</v>
      </c>
      <c r="E52" s="4" t="s">
        <v>64</v>
      </c>
      <c r="F52" s="4" t="s">
        <v>64</v>
      </c>
      <c r="G52" s="4" t="s">
        <v>65</v>
      </c>
      <c r="H52" s="61">
        <v>0.61074505707825455</v>
      </c>
      <c r="I52" s="61">
        <v>0.30784254939482858</v>
      </c>
      <c r="J52" s="61">
        <v>4.3092698884044683E-2</v>
      </c>
      <c r="K52" s="61">
        <v>1.9336145243502769E-2</v>
      </c>
      <c r="L52" s="61">
        <v>1.938510753495271E-3</v>
      </c>
      <c r="M52" s="61">
        <v>1.5908066185853505E-2</v>
      </c>
      <c r="N52" s="61">
        <v>0</v>
      </c>
      <c r="O52" s="61">
        <v>1.1369724600207391E-3</v>
      </c>
      <c r="P52" s="62">
        <f>SUM(Table134[[#This Row],[Residential (16,23,53)]:[Contracts]])</f>
        <v>1</v>
      </c>
    </row>
    <row r="53" spans="1:16" ht="15.5" x14ac:dyDescent="0.35">
      <c r="A53" s="1">
        <f t="shared" si="0"/>
        <v>49</v>
      </c>
      <c r="B53" s="10" t="s">
        <v>76</v>
      </c>
      <c r="C53" s="4" t="s">
        <v>253</v>
      </c>
      <c r="D53" s="4" t="s">
        <v>254</v>
      </c>
      <c r="E53" s="4" t="s">
        <v>100</v>
      </c>
      <c r="F53" s="4" t="s">
        <v>64</v>
      </c>
      <c r="G53" s="4" t="s">
        <v>65</v>
      </c>
      <c r="H53" s="61">
        <v>0.60632718526206353</v>
      </c>
      <c r="I53" s="61">
        <v>0.31376165132526412</v>
      </c>
      <c r="J53" s="61">
        <v>4.2306692139064489E-2</v>
      </c>
      <c r="K53" s="61">
        <v>1.9156849053000826E-2</v>
      </c>
      <c r="L53" s="61">
        <v>1.8341063220821221E-3</v>
      </c>
      <c r="M53" s="61">
        <v>1.5541442049847625E-2</v>
      </c>
      <c r="N53" s="61">
        <v>0</v>
      </c>
      <c r="O53" s="61">
        <v>1.0720738486771615E-3</v>
      </c>
      <c r="P53" s="62">
        <f>SUM(Table134[[#This Row],[Residential (16,23,53)]:[Contracts]])</f>
        <v>0.99999999999999989</v>
      </c>
    </row>
    <row r="54" spans="1:16" ht="15.5" x14ac:dyDescent="0.35">
      <c r="A54" s="1">
        <f t="shared" si="0"/>
        <v>50</v>
      </c>
      <c r="B54" s="10" t="s">
        <v>103</v>
      </c>
      <c r="C54" s="4" t="s">
        <v>255</v>
      </c>
      <c r="D54" s="4" t="s">
        <v>256</v>
      </c>
      <c r="E54" s="4" t="s">
        <v>64</v>
      </c>
      <c r="F54" s="4" t="s">
        <v>64</v>
      </c>
      <c r="G54" s="4" t="s">
        <v>65</v>
      </c>
      <c r="H54" s="61">
        <v>0.6383502081250334</v>
      </c>
      <c r="I54" s="61">
        <v>0.27161402155194658</v>
      </c>
      <c r="J54" s="61">
        <v>4.7332880928491868E-2</v>
      </c>
      <c r="K54" s="61">
        <v>2.0966183995607689E-2</v>
      </c>
      <c r="L54" s="61">
        <v>2.2379871092114319E-3</v>
      </c>
      <c r="M54" s="61">
        <v>1.8117210650968881E-2</v>
      </c>
      <c r="N54" s="61">
        <v>0</v>
      </c>
      <c r="O54" s="61">
        <v>1.3815076387401557E-3</v>
      </c>
      <c r="P54" s="62">
        <f>SUM(Table134[[#This Row],[Residential (16,23,53)]:[Contracts]])</f>
        <v>0.99999999999999989</v>
      </c>
    </row>
  </sheetData>
  <mergeCells count="1">
    <mergeCell ref="A1:B1"/>
  </mergeCells>
  <pageMargins left="0.7" right="0.7" top="0.75" bottom="0.75" header="0.3" footer="0.3"/>
  <pageSetup scale="55" orientation="landscape" horizontalDpi="1200" verticalDpi="1200" r:id="rId1"/>
  <headerFooter>
    <oddFooter>&amp;R&amp;A
 Page &amp;P of &amp;N</oddFooter>
  </headerFooter>
  <colBreaks count="1" manualBreakCount="1">
    <brk id="10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zoomScale="90" zoomScaleNormal="90" workbookViewId="0">
      <selection activeCell="C38" sqref="C38"/>
    </sheetView>
  </sheetViews>
  <sheetFormatPr defaultColWidth="9.1796875" defaultRowHeight="12.75" customHeight="1" x14ac:dyDescent="0.25"/>
  <cols>
    <col min="1" max="1" width="4.453125" style="39" customWidth="1"/>
    <col min="2" max="2" width="27.54296875" style="39" customWidth="1"/>
    <col min="3" max="3" width="11.54296875" style="39" customWidth="1"/>
    <col min="4" max="5" width="15.7265625" style="39" customWidth="1"/>
    <col min="6" max="7" width="13.453125" style="39" customWidth="1"/>
    <col min="8" max="16384" width="9.1796875" style="39"/>
  </cols>
  <sheetData>
    <row r="1" spans="1:7" ht="12.75" customHeight="1" x14ac:dyDescent="0.3">
      <c r="A1" s="44" t="s">
        <v>0</v>
      </c>
    </row>
    <row r="2" spans="1:7" ht="12.75" customHeight="1" x14ac:dyDescent="0.3">
      <c r="A2" s="44" t="str">
        <f>'Rate Summary'!$A$2</f>
        <v>2025 Gas Schedule 141LNG LNG Tracker Filing</v>
      </c>
      <c r="B2" s="6"/>
      <c r="C2" s="6"/>
    </row>
    <row r="3" spans="1:7" ht="12.75" customHeight="1" x14ac:dyDescent="0.3">
      <c r="A3" s="44" t="s">
        <v>212</v>
      </c>
    </row>
    <row r="4" spans="1:7" ht="12.75" customHeight="1" x14ac:dyDescent="0.3">
      <c r="A4" s="44" t="str">
        <f>'Rate Summary'!$A$4</f>
        <v>Proposed Rates Effective November 1, 2025</v>
      </c>
    </row>
    <row r="5" spans="1:7" ht="12.75" customHeight="1" x14ac:dyDescent="0.3">
      <c r="A5" s="44"/>
    </row>
    <row r="6" spans="1:7" ht="12.75" customHeight="1" x14ac:dyDescent="0.3">
      <c r="A6" s="44"/>
      <c r="B6" s="44"/>
      <c r="C6" s="44"/>
      <c r="D6" s="45" t="s">
        <v>193</v>
      </c>
      <c r="E6" s="40" t="s">
        <v>303</v>
      </c>
      <c r="F6" s="44"/>
      <c r="G6" s="45" t="s">
        <v>232</v>
      </c>
    </row>
    <row r="7" spans="1:7" ht="12.75" customHeight="1" x14ac:dyDescent="0.3">
      <c r="A7" s="44"/>
      <c r="B7" s="45"/>
      <c r="C7" s="45"/>
      <c r="D7" s="45" t="s">
        <v>168</v>
      </c>
      <c r="E7" s="40" t="s">
        <v>192</v>
      </c>
      <c r="F7" s="45" t="s">
        <v>1</v>
      </c>
      <c r="G7" s="45" t="s">
        <v>3</v>
      </c>
    </row>
    <row r="8" spans="1:7" ht="12.75" customHeight="1" x14ac:dyDescent="0.3">
      <c r="A8" s="45" t="s">
        <v>21</v>
      </c>
      <c r="B8" s="45"/>
      <c r="C8" s="45"/>
      <c r="D8" s="45" t="s">
        <v>2</v>
      </c>
      <c r="E8" s="40" t="s">
        <v>312</v>
      </c>
      <c r="F8" s="45" t="s">
        <v>3</v>
      </c>
      <c r="G8" s="45" t="s">
        <v>233</v>
      </c>
    </row>
    <row r="9" spans="1:7" ht="12.75" customHeight="1" x14ac:dyDescent="0.3">
      <c r="A9" s="46" t="s">
        <v>22</v>
      </c>
      <c r="B9" s="46" t="s">
        <v>4</v>
      </c>
      <c r="C9" s="46" t="s">
        <v>5</v>
      </c>
      <c r="D9" s="46" t="s">
        <v>6</v>
      </c>
      <c r="E9" s="40" t="s">
        <v>308</v>
      </c>
      <c r="F9" s="46" t="s">
        <v>7</v>
      </c>
      <c r="G9" s="46" t="s">
        <v>23</v>
      </c>
    </row>
    <row r="10" spans="1:7" ht="12.75" customHeight="1" x14ac:dyDescent="0.25">
      <c r="B10" s="6" t="s">
        <v>17</v>
      </c>
      <c r="C10" s="6" t="s">
        <v>18</v>
      </c>
      <c r="D10" s="6" t="s">
        <v>19</v>
      </c>
      <c r="E10" s="148" t="s">
        <v>20</v>
      </c>
      <c r="F10" s="6" t="s">
        <v>234</v>
      </c>
      <c r="G10" s="6" t="s">
        <v>235</v>
      </c>
    </row>
    <row r="11" spans="1:7" ht="12.75" customHeight="1" x14ac:dyDescent="0.25">
      <c r="A11" s="6">
        <v>1</v>
      </c>
      <c r="B11" s="39" t="s">
        <v>8</v>
      </c>
      <c r="C11" s="6" t="s">
        <v>9</v>
      </c>
      <c r="D11" s="35">
        <f>'Rate Spread'!E11</f>
        <v>39299611.127648667</v>
      </c>
      <c r="E11" s="42">
        <f>SUM('Forecast Therms'!N8:N10)</f>
        <v>546254779</v>
      </c>
      <c r="F11" s="55">
        <f>ROUND(D11/E11,5)</f>
        <v>7.1940000000000004E-2</v>
      </c>
      <c r="G11" s="56">
        <f>ROUND(F11*19,2)</f>
        <v>1.37</v>
      </c>
    </row>
    <row r="12" spans="1:7" ht="12.75" customHeight="1" x14ac:dyDescent="0.25">
      <c r="A12" s="6">
        <f>A11+1</f>
        <v>2</v>
      </c>
      <c r="B12" s="39" t="s">
        <v>10</v>
      </c>
      <c r="C12" s="6">
        <v>31</v>
      </c>
      <c r="D12" s="35">
        <f>'Rate Spread'!E12</f>
        <v>13353293.322790876</v>
      </c>
      <c r="E12" s="42">
        <f>'Forecast Therms'!N11</f>
        <v>235562136</v>
      </c>
      <c r="F12" s="55">
        <f t="shared" ref="F12" si="0">ROUND(D12/E12,5)</f>
        <v>5.6689999999999997E-2</v>
      </c>
    </row>
    <row r="13" spans="1:7" ht="12.75" customHeight="1" x14ac:dyDescent="0.25">
      <c r="A13" s="6">
        <f t="shared" ref="A13:A36" si="1">A12+1</f>
        <v>3</v>
      </c>
      <c r="C13" s="6"/>
      <c r="D13" s="35"/>
      <c r="E13" s="42"/>
      <c r="F13" s="55"/>
    </row>
    <row r="14" spans="1:7" ht="12.75" customHeight="1" x14ac:dyDescent="0.25">
      <c r="A14" s="6">
        <f t="shared" si="1"/>
        <v>4</v>
      </c>
      <c r="B14" s="39" t="s">
        <v>11</v>
      </c>
      <c r="C14" s="6">
        <v>41</v>
      </c>
      <c r="D14" s="35"/>
      <c r="E14" s="42"/>
      <c r="F14" s="55"/>
    </row>
    <row r="15" spans="1:7" ht="12.75" customHeight="1" x14ac:dyDescent="0.25">
      <c r="A15" s="6">
        <f t="shared" si="1"/>
        <v>5</v>
      </c>
      <c r="B15" s="39" t="s">
        <v>199</v>
      </c>
      <c r="C15" s="6">
        <v>41</v>
      </c>
      <c r="D15" s="35">
        <f>'Rate Spread (Blocks)'!K12</f>
        <v>551799.19725365529</v>
      </c>
      <c r="E15" s="42">
        <f>'Rate Spread (Blocks)'!F12</f>
        <v>11744887.697940024</v>
      </c>
      <c r="F15" s="55">
        <f t="shared" ref="F15:F17" si="2">ROUND(D15/E15,5)</f>
        <v>4.6980000000000001E-2</v>
      </c>
    </row>
    <row r="16" spans="1:7" ht="12.75" customHeight="1" x14ac:dyDescent="0.25">
      <c r="A16" s="6">
        <f t="shared" si="1"/>
        <v>6</v>
      </c>
      <c r="B16" s="39" t="s">
        <v>200</v>
      </c>
      <c r="C16" s="6">
        <v>41</v>
      </c>
      <c r="D16" s="35">
        <f>'Rate Spread (Blocks)'!K13</f>
        <v>1348996.3203922051</v>
      </c>
      <c r="E16" s="42">
        <f>'Rate Spread (Blocks)'!F13</f>
        <v>28712997.929102313</v>
      </c>
      <c r="F16" s="55">
        <f t="shared" si="2"/>
        <v>4.6980000000000001E-2</v>
      </c>
    </row>
    <row r="17" spans="1:6" ht="12.75" customHeight="1" x14ac:dyDescent="0.25">
      <c r="A17" s="6">
        <f t="shared" si="1"/>
        <v>7</v>
      </c>
      <c r="B17" s="39" t="s">
        <v>209</v>
      </c>
      <c r="C17" s="6">
        <v>41</v>
      </c>
      <c r="D17" s="35">
        <f>'Rate Spread (Blocks)'!K14</f>
        <v>940209.09769106878</v>
      </c>
      <c r="E17" s="42">
        <f>'Rate Spread (Blocks)'!F14</f>
        <v>23146440.372957673</v>
      </c>
      <c r="F17" s="55">
        <f t="shared" si="2"/>
        <v>4.0620000000000003E-2</v>
      </c>
    </row>
    <row r="18" spans="1:6" ht="12.75" customHeight="1" x14ac:dyDescent="0.25">
      <c r="A18" s="6">
        <f t="shared" si="1"/>
        <v>8</v>
      </c>
      <c r="C18" s="6"/>
      <c r="D18" s="35"/>
      <c r="E18" s="42"/>
      <c r="F18" s="55"/>
    </row>
    <row r="19" spans="1:6" ht="12.75" customHeight="1" x14ac:dyDescent="0.25">
      <c r="A19" s="6">
        <f t="shared" si="1"/>
        <v>9</v>
      </c>
      <c r="B19" s="39" t="s">
        <v>12</v>
      </c>
      <c r="C19" s="6">
        <v>85</v>
      </c>
      <c r="D19" s="35"/>
      <c r="E19" s="42"/>
      <c r="F19" s="55"/>
    </row>
    <row r="20" spans="1:6" ht="12.75" customHeight="1" x14ac:dyDescent="0.25">
      <c r="A20" s="6">
        <f t="shared" si="1"/>
        <v>10</v>
      </c>
      <c r="B20" s="39" t="s">
        <v>201</v>
      </c>
      <c r="C20" s="6">
        <v>85</v>
      </c>
      <c r="D20" s="35">
        <f>'Rate Spread (Blocks)'!K18</f>
        <v>402144.31254943658</v>
      </c>
      <c r="E20" s="42">
        <f>'Rate Spread (Blocks)'!F18</f>
        <v>7431887.8885917719</v>
      </c>
      <c r="F20" s="55">
        <f t="shared" ref="F20:F22" si="3">ROUND(D20/E20,5)</f>
        <v>5.4109999999999998E-2</v>
      </c>
    </row>
    <row r="21" spans="1:6" ht="12.75" customHeight="1" x14ac:dyDescent="0.25">
      <c r="A21" s="6">
        <f t="shared" si="1"/>
        <v>11</v>
      </c>
      <c r="B21" s="39" t="s">
        <v>202</v>
      </c>
      <c r="C21" s="6">
        <v>85</v>
      </c>
      <c r="D21" s="35">
        <f>'Rate Spread (Blocks)'!K19</f>
        <v>110658.46410696693</v>
      </c>
      <c r="E21" s="42">
        <f>'Rate Spread (Blocks)'!F19</f>
        <v>4303750.7571457708</v>
      </c>
      <c r="F21" s="55">
        <f t="shared" si="3"/>
        <v>2.571E-2</v>
      </c>
    </row>
    <row r="22" spans="1:6" ht="12.75" customHeight="1" x14ac:dyDescent="0.25">
      <c r="A22" s="6">
        <f t="shared" si="1"/>
        <v>12</v>
      </c>
      <c r="B22" s="39" t="s">
        <v>208</v>
      </c>
      <c r="C22" s="6">
        <v>85</v>
      </c>
      <c r="D22" s="35">
        <f>'Rate Spread (Blocks)'!K20</f>
        <v>161149.82726356419</v>
      </c>
      <c r="E22" s="42">
        <f>'Rate Spread (Blocks)'!F20</f>
        <v>6551201.3542624563</v>
      </c>
      <c r="F22" s="55">
        <f t="shared" si="3"/>
        <v>2.46E-2</v>
      </c>
    </row>
    <row r="23" spans="1:6" ht="12.75" customHeight="1" x14ac:dyDescent="0.25">
      <c r="A23" s="6">
        <f t="shared" si="1"/>
        <v>13</v>
      </c>
      <c r="C23" s="6"/>
      <c r="D23" s="35"/>
      <c r="E23" s="42"/>
      <c r="F23" s="55"/>
    </row>
    <row r="24" spans="1:6" ht="12.75" customHeight="1" x14ac:dyDescent="0.25">
      <c r="A24" s="6">
        <f t="shared" si="1"/>
        <v>14</v>
      </c>
      <c r="B24" s="39" t="s">
        <v>13</v>
      </c>
      <c r="C24" s="6">
        <v>86</v>
      </c>
      <c r="D24" s="35"/>
      <c r="E24" s="42"/>
      <c r="F24" s="55"/>
    </row>
    <row r="25" spans="1:6" ht="12.75" customHeight="1" x14ac:dyDescent="0.25">
      <c r="A25" s="6">
        <f t="shared" si="1"/>
        <v>15</v>
      </c>
      <c r="B25" s="39" t="s">
        <v>206</v>
      </c>
      <c r="C25" s="6">
        <v>86</v>
      </c>
      <c r="D25" s="35">
        <f>'Rate Spread (Blocks)'!K24</f>
        <v>78174.111631023872</v>
      </c>
      <c r="E25" s="42">
        <f>'Rate Spread (Blocks)'!F24</f>
        <v>604507.26766950381</v>
      </c>
      <c r="F25" s="55">
        <f t="shared" ref="F25:F26" si="4">ROUND(D25/E25,5)</f>
        <v>0.12931999999999999</v>
      </c>
    </row>
    <row r="26" spans="1:6" ht="12.75" customHeight="1" x14ac:dyDescent="0.25">
      <c r="A26" s="6">
        <f t="shared" si="1"/>
        <v>16</v>
      </c>
      <c r="B26" s="39" t="s">
        <v>207</v>
      </c>
      <c r="C26" s="6">
        <v>86</v>
      </c>
      <c r="D26" s="35">
        <f>'Rate Spread (Blocks)'!K25</f>
        <v>254514.9600241255</v>
      </c>
      <c r="E26" s="42">
        <f>'Rate Spread (Blocks)'!F25</f>
        <v>2776226.7323304964</v>
      </c>
      <c r="F26" s="55">
        <f t="shared" si="4"/>
        <v>9.1679999999999998E-2</v>
      </c>
    </row>
    <row r="27" spans="1:6" ht="12.75" customHeight="1" x14ac:dyDescent="0.25">
      <c r="A27" s="6">
        <f t="shared" si="1"/>
        <v>17</v>
      </c>
      <c r="C27" s="6"/>
      <c r="D27" s="35"/>
      <c r="E27" s="42"/>
      <c r="F27" s="55"/>
    </row>
    <row r="28" spans="1:6" ht="12.75" customHeight="1" x14ac:dyDescent="0.25">
      <c r="A28" s="6">
        <f t="shared" si="1"/>
        <v>18</v>
      </c>
      <c r="B28" s="39" t="s">
        <v>14</v>
      </c>
      <c r="C28" s="6">
        <v>87</v>
      </c>
      <c r="D28" s="35"/>
      <c r="E28" s="42"/>
      <c r="F28" s="55"/>
    </row>
    <row r="29" spans="1:6" ht="12.75" customHeight="1" x14ac:dyDescent="0.25">
      <c r="A29" s="6">
        <f t="shared" si="1"/>
        <v>19</v>
      </c>
      <c r="B29" s="39" t="s">
        <v>201</v>
      </c>
      <c r="C29" s="6">
        <v>87</v>
      </c>
      <c r="D29" s="35">
        <f>'Rate Spread (Blocks)'!K30</f>
        <v>149304.45423281769</v>
      </c>
      <c r="E29" s="42">
        <f>'Rate Spread (Blocks)'!F30</f>
        <v>952994.58602274116</v>
      </c>
      <c r="F29" s="55">
        <f>ROUND(D29/E29,5)</f>
        <v>0.15667</v>
      </c>
    </row>
    <row r="30" spans="1:6" ht="12.75" customHeight="1" x14ac:dyDescent="0.25">
      <c r="A30" s="6">
        <f t="shared" si="1"/>
        <v>20</v>
      </c>
      <c r="B30" s="39" t="s">
        <v>202</v>
      </c>
      <c r="C30" s="6">
        <v>87</v>
      </c>
      <c r="D30" s="35">
        <f>'Rate Spread (Blocks)'!K31</f>
        <v>90220.055607057555</v>
      </c>
      <c r="E30" s="42">
        <f>'Rate Spread (Blocks)'!F31</f>
        <v>952994.58602274116</v>
      </c>
      <c r="F30" s="55">
        <f t="shared" ref="F30:F34" si="5">ROUND(D30/E30,5)</f>
        <v>9.4670000000000004E-2</v>
      </c>
    </row>
    <row r="31" spans="1:6" ht="12.75" customHeight="1" x14ac:dyDescent="0.25">
      <c r="A31" s="6">
        <f t="shared" si="1"/>
        <v>21</v>
      </c>
      <c r="B31" s="39" t="s">
        <v>203</v>
      </c>
      <c r="C31" s="6">
        <v>87</v>
      </c>
      <c r="D31" s="35">
        <f>'Rate Spread (Blocks)'!K32</f>
        <v>114830.61998226505</v>
      </c>
      <c r="E31" s="42">
        <f>'Rate Spread (Blocks)'!F32</f>
        <v>1905989.1720454823</v>
      </c>
      <c r="F31" s="55">
        <f t="shared" si="5"/>
        <v>6.0249999999999998E-2</v>
      </c>
    </row>
    <row r="32" spans="1:6" ht="12.75" customHeight="1" x14ac:dyDescent="0.25">
      <c r="A32" s="6">
        <f t="shared" si="1"/>
        <v>22</v>
      </c>
      <c r="B32" s="39" t="s">
        <v>180</v>
      </c>
      <c r="C32" s="6">
        <v>87</v>
      </c>
      <c r="D32" s="35">
        <f>'Rate Spread (Blocks)'!K33</f>
        <v>95941.724178651319</v>
      </c>
      <c r="E32" s="42">
        <f>'Rate Spread (Blocks)'!F33</f>
        <v>2483779.2127034636</v>
      </c>
      <c r="F32" s="55">
        <f t="shared" si="5"/>
        <v>3.8629999999999998E-2</v>
      </c>
    </row>
    <row r="33" spans="1:6" ht="12.75" customHeight="1" x14ac:dyDescent="0.25">
      <c r="A33" s="6">
        <f t="shared" si="1"/>
        <v>23</v>
      </c>
      <c r="B33" s="39" t="s">
        <v>181</v>
      </c>
      <c r="C33" s="6">
        <v>87</v>
      </c>
      <c r="D33" s="35">
        <f>'Rate Spread (Blocks)'!K34</f>
        <v>87171.011802068519</v>
      </c>
      <c r="E33" s="42">
        <f>'Rate Spread (Blocks)'!F34</f>
        <v>3135375.0320179653</v>
      </c>
      <c r="F33" s="55">
        <f t="shared" si="5"/>
        <v>2.7799999999999998E-2</v>
      </c>
    </row>
    <row r="34" spans="1:6" ht="12.75" customHeight="1" x14ac:dyDescent="0.25">
      <c r="A34" s="6">
        <f t="shared" si="1"/>
        <v>24</v>
      </c>
      <c r="B34" s="39" t="s">
        <v>204</v>
      </c>
      <c r="C34" s="6">
        <v>87</v>
      </c>
      <c r="D34" s="35">
        <f>'Rate Spread (Blocks)'!K35</f>
        <v>121050.70901970365</v>
      </c>
      <c r="E34" s="42">
        <f>'Rate Spread (Blocks)'!F35</f>
        <v>6458191.411187605</v>
      </c>
      <c r="F34" s="55">
        <f t="shared" si="5"/>
        <v>1.874E-2</v>
      </c>
    </row>
    <row r="35" spans="1:6" ht="12.75" customHeight="1" x14ac:dyDescent="0.25">
      <c r="A35" s="6">
        <f t="shared" si="1"/>
        <v>25</v>
      </c>
      <c r="C35" s="6"/>
      <c r="D35" s="35"/>
      <c r="E35" s="42"/>
      <c r="F35" s="55"/>
    </row>
    <row r="36" spans="1:6" ht="12.75" customHeight="1" x14ac:dyDescent="0.25">
      <c r="A36" s="6">
        <f t="shared" si="1"/>
        <v>26</v>
      </c>
      <c r="B36" s="39" t="s">
        <v>16</v>
      </c>
      <c r="D36" s="49">
        <f>SUM(D11:D34)</f>
        <v>57159069.31617415</v>
      </c>
      <c r="E36" s="34">
        <f>SUM(E11:E34)</f>
        <v>882978139</v>
      </c>
    </row>
    <row r="37" spans="1:6" ht="12.75" customHeight="1" x14ac:dyDescent="0.25">
      <c r="A37" s="6"/>
    </row>
  </sheetData>
  <printOptions horizontalCentered="1"/>
  <pageMargins left="0.45" right="0.45" top="0.75" bottom="0.75" header="0.3" footer="0.3"/>
  <pageSetup orientation="landscape" blackAndWhite="1" r:id="rId1"/>
  <headerFooter>
    <oddFooter>&amp;L&amp;F
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9"/>
  <sheetViews>
    <sheetView zoomScale="90" zoomScaleNormal="90" workbookViewId="0">
      <pane ySplit="9" topLeftCell="A10" activePane="bottomLeft" state="frozen"/>
      <selection activeCell="B34" sqref="B34"/>
      <selection pane="bottomLeft" activeCell="K41" sqref="K41"/>
    </sheetView>
  </sheetViews>
  <sheetFormatPr defaultColWidth="8.81640625" defaultRowHeight="12.5" x14ac:dyDescent="0.25"/>
  <cols>
    <col min="1" max="1" width="4.54296875" style="5" customWidth="1"/>
    <col min="2" max="2" width="3.1796875" style="5" customWidth="1"/>
    <col min="3" max="3" width="25.7265625" style="5" customWidth="1"/>
    <col min="4" max="4" width="11.81640625" style="5" customWidth="1"/>
    <col min="5" max="5" width="9.81640625" style="5" bestFit="1" customWidth="1"/>
    <col min="6" max="6" width="12.1796875" style="5" customWidth="1"/>
    <col min="7" max="7" width="13.453125" style="5" bestFit="1" customWidth="1"/>
    <col min="8" max="8" width="13.26953125" style="5" bestFit="1" customWidth="1"/>
    <col min="9" max="9" width="12.7265625" style="5" bestFit="1" customWidth="1"/>
    <col min="10" max="10" width="11.54296875" style="5" bestFit="1" customWidth="1"/>
    <col min="11" max="11" width="13.7265625" style="5" customWidth="1"/>
    <col min="12" max="12" width="9.453125" style="5" customWidth="1"/>
    <col min="13" max="16384" width="8.81640625" style="5"/>
  </cols>
  <sheetData>
    <row r="1" spans="1:11" ht="13" x14ac:dyDescent="0.3">
      <c r="A1" s="44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3" x14ac:dyDescent="0.3">
      <c r="A2" s="44" t="str">
        <f>'Rate Summary'!$A$2</f>
        <v>2025 Gas Schedule 141LNG LNG Tracker Filing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3" x14ac:dyDescent="0.3">
      <c r="A3" s="44" t="s">
        <v>236</v>
      </c>
    </row>
    <row r="4" spans="1:11" ht="13" x14ac:dyDescent="0.3">
      <c r="A4" s="44" t="str">
        <f>'Rate Summary'!$A$4</f>
        <v>Proposed Rates Effective November 1, 2025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13" x14ac:dyDescent="0.3">
      <c r="A5" s="44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3" x14ac:dyDescent="0.3">
      <c r="D6" s="40"/>
      <c r="E6" s="40"/>
      <c r="F6" s="40" t="s">
        <v>303</v>
      </c>
      <c r="K6" s="40" t="s">
        <v>193</v>
      </c>
    </row>
    <row r="7" spans="1:11" ht="13" x14ac:dyDescent="0.3">
      <c r="A7" s="17"/>
      <c r="B7" s="17"/>
      <c r="C7" s="17"/>
      <c r="D7" s="40"/>
      <c r="E7" s="40"/>
      <c r="F7" s="40" t="s">
        <v>192</v>
      </c>
      <c r="G7" s="40"/>
      <c r="H7" s="40"/>
      <c r="I7" s="40" t="s">
        <v>193</v>
      </c>
      <c r="J7" s="40"/>
      <c r="K7" s="40" t="s">
        <v>168</v>
      </c>
    </row>
    <row r="8" spans="1:11" ht="13" x14ac:dyDescent="0.3">
      <c r="A8" s="17" t="s">
        <v>21</v>
      </c>
      <c r="B8" s="17"/>
      <c r="C8" s="17"/>
      <c r="D8" s="40"/>
      <c r="E8" s="40"/>
      <c r="F8" s="40" t="s">
        <v>312</v>
      </c>
      <c r="G8" s="40"/>
      <c r="H8" s="40" t="s">
        <v>218</v>
      </c>
      <c r="I8" s="40" t="s">
        <v>2</v>
      </c>
      <c r="J8" s="40" t="s">
        <v>205</v>
      </c>
      <c r="K8" s="40" t="s">
        <v>2</v>
      </c>
    </row>
    <row r="9" spans="1:11" ht="15" x14ac:dyDescent="0.3">
      <c r="A9" s="41" t="s">
        <v>22</v>
      </c>
      <c r="B9" s="227" t="s">
        <v>186</v>
      </c>
      <c r="C9" s="227"/>
      <c r="D9" s="40" t="s">
        <v>313</v>
      </c>
      <c r="E9" s="40" t="s">
        <v>302</v>
      </c>
      <c r="F9" s="40" t="s">
        <v>308</v>
      </c>
      <c r="G9" s="2" t="s">
        <v>316</v>
      </c>
      <c r="H9" s="2" t="s">
        <v>2</v>
      </c>
      <c r="I9" s="2" t="s">
        <v>6</v>
      </c>
      <c r="J9" s="2" t="s">
        <v>194</v>
      </c>
      <c r="K9" s="2" t="s">
        <v>6</v>
      </c>
    </row>
    <row r="10" spans="1:11" x14ac:dyDescent="0.25">
      <c r="B10" s="29"/>
      <c r="C10" s="29" t="s">
        <v>17</v>
      </c>
      <c r="D10" s="43" t="s">
        <v>18</v>
      </c>
      <c r="E10" s="6" t="s">
        <v>19</v>
      </c>
      <c r="F10" s="29" t="s">
        <v>20</v>
      </c>
      <c r="G10" s="58" t="s">
        <v>184</v>
      </c>
      <c r="H10" s="29" t="s">
        <v>210</v>
      </c>
      <c r="I10" s="29" t="s">
        <v>211</v>
      </c>
      <c r="J10" s="29" t="s">
        <v>269</v>
      </c>
      <c r="K10" s="29" t="s">
        <v>270</v>
      </c>
    </row>
    <row r="11" spans="1:11" x14ac:dyDescent="0.25">
      <c r="A11" s="29">
        <v>1</v>
      </c>
      <c r="B11" s="5" t="s">
        <v>214</v>
      </c>
      <c r="D11" s="30"/>
      <c r="E11" s="30"/>
      <c r="F11" s="30"/>
      <c r="G11" s="31"/>
    </row>
    <row r="12" spans="1:11" x14ac:dyDescent="0.25">
      <c r="A12" s="29">
        <f t="shared" ref="A12:A36" si="0">A11+1</f>
        <v>2</v>
      </c>
      <c r="C12" s="5" t="s">
        <v>199</v>
      </c>
      <c r="D12" s="57">
        <f>'Exh JDT-5 (Rate Design)'!E44</f>
        <v>11140115.685099758</v>
      </c>
      <c r="E12" s="134">
        <f>D12/$D$15</f>
        <v>0.18465548550801439</v>
      </c>
      <c r="F12" s="146">
        <f>$F$15*E12</f>
        <v>11744887.697940024</v>
      </c>
      <c r="G12" s="54">
        <f>'Exh JDT-5 (Rate Design)'!I44</f>
        <v>0.20784116717040874</v>
      </c>
      <c r="H12" s="32">
        <f>ROUND(F12*G12,0)</f>
        <v>2441071</v>
      </c>
      <c r="J12" s="37">
        <f>$I$15/$H$15</f>
        <v>0.22604799174364665</v>
      </c>
      <c r="K12" s="32">
        <f>H12*J12</f>
        <v>551799.19725365529</v>
      </c>
    </row>
    <row r="13" spans="1:11" x14ac:dyDescent="0.25">
      <c r="A13" s="29">
        <f t="shared" si="0"/>
        <v>3</v>
      </c>
      <c r="C13" s="5" t="s">
        <v>200</v>
      </c>
      <c r="D13" s="57">
        <f>'Exh JDT-5 (Rate Design)'!E45</f>
        <v>27234497.836222988</v>
      </c>
      <c r="E13" s="134">
        <f t="shared" ref="E13:E14" si="1">D13/$D$15</f>
        <v>0.4514315257283335</v>
      </c>
      <c r="F13" s="146">
        <f t="shared" ref="F13:F14" si="2">$F$15*E13</f>
        <v>28712997.929102313</v>
      </c>
      <c r="G13" s="54">
        <f>'Exh JDT-5 (Rate Design)'!I45</f>
        <v>0.20784116717040874</v>
      </c>
      <c r="H13" s="32">
        <f t="shared" ref="H13:H14" si="3">ROUND(F13*G13,0)</f>
        <v>5967743</v>
      </c>
      <c r="J13" s="37">
        <f t="shared" ref="J13:J14" si="4">$I$15/$H$15</f>
        <v>0.22604799174364665</v>
      </c>
      <c r="K13" s="32">
        <f t="shared" ref="K13:K14" si="5">H13*J13</f>
        <v>1348996.3203922051</v>
      </c>
    </row>
    <row r="14" spans="1:11" x14ac:dyDescent="0.25">
      <c r="A14" s="29">
        <f t="shared" si="0"/>
        <v>4</v>
      </c>
      <c r="C14" s="5" t="s">
        <v>209</v>
      </c>
      <c r="D14" s="57">
        <f>'Exh JDT-5 (Rate Design)'!E46</f>
        <v>21954575.478677247</v>
      </c>
      <c r="E14" s="134">
        <f t="shared" si="1"/>
        <v>0.36391298876365225</v>
      </c>
      <c r="F14" s="146">
        <f t="shared" si="2"/>
        <v>23146440.372957673</v>
      </c>
      <c r="G14" s="54">
        <f>'Exh JDT-5 (Rate Design)'!I46</f>
        <v>0.17969647202225275</v>
      </c>
      <c r="H14" s="32">
        <f t="shared" si="3"/>
        <v>4159334</v>
      </c>
      <c r="J14" s="37">
        <f t="shared" si="4"/>
        <v>0.22604799174364665</v>
      </c>
      <c r="K14" s="32">
        <f t="shared" si="5"/>
        <v>940209.09769106878</v>
      </c>
    </row>
    <row r="15" spans="1:11" x14ac:dyDescent="0.25">
      <c r="A15" s="29">
        <f t="shared" si="0"/>
        <v>5</v>
      </c>
      <c r="C15" s="5" t="s">
        <v>16</v>
      </c>
      <c r="D15" s="34">
        <f>SUM(D12:D14)</f>
        <v>60329188.999999985</v>
      </c>
      <c r="E15" s="135">
        <f>SUM(E12:E14)</f>
        <v>1.0000000000000002</v>
      </c>
      <c r="F15" s="145">
        <f>'Forecast Therms'!N12</f>
        <v>63604326</v>
      </c>
      <c r="G15" s="38"/>
      <c r="H15" s="33">
        <f>SUM(H12:H14)</f>
        <v>12568148</v>
      </c>
      <c r="I15" s="35">
        <f>'Rate Spread'!E13</f>
        <v>2841004.615336929</v>
      </c>
      <c r="J15" s="37">
        <f>$I$15/$H$15</f>
        <v>0.22604799174364665</v>
      </c>
      <c r="K15" s="33">
        <f>SUM(K12:K14)</f>
        <v>2841004.6153369294</v>
      </c>
    </row>
    <row r="16" spans="1:11" x14ac:dyDescent="0.25">
      <c r="A16" s="29">
        <f t="shared" si="0"/>
        <v>6</v>
      </c>
      <c r="E16" s="133"/>
    </row>
    <row r="17" spans="1:12" x14ac:dyDescent="0.25">
      <c r="A17" s="29">
        <f t="shared" si="0"/>
        <v>7</v>
      </c>
      <c r="B17" s="5" t="s">
        <v>215</v>
      </c>
      <c r="D17" s="30"/>
      <c r="E17" s="133"/>
      <c r="F17" s="30"/>
      <c r="G17" s="31"/>
    </row>
    <row r="18" spans="1:12" x14ac:dyDescent="0.25">
      <c r="A18" s="29">
        <f t="shared" si="0"/>
        <v>8</v>
      </c>
      <c r="C18" s="5" t="s">
        <v>201</v>
      </c>
      <c r="D18" s="57">
        <f>'Exh JDT-5 (Rate Design)'!E74</f>
        <v>6774073.2879818697</v>
      </c>
      <c r="E18" s="134">
        <f>D18/$D$21</f>
        <v>0.40640634951647042</v>
      </c>
      <c r="F18" s="146">
        <f>$F$21*E18</f>
        <v>7431887.8885917719</v>
      </c>
      <c r="G18" s="54">
        <f>'Exh JDT-5 (Rate Design)'!I74</f>
        <v>0.18154063220850225</v>
      </c>
      <c r="H18" s="32">
        <f t="shared" ref="H18:H20" si="6">ROUND(F18*G18,0)</f>
        <v>1349190</v>
      </c>
      <c r="J18" s="37">
        <f t="shared" ref="J18:J20" si="7">$I$21/$H$21</f>
        <v>0.29806351407098819</v>
      </c>
      <c r="K18" s="32">
        <f>H18*J18</f>
        <v>402144.31254943658</v>
      </c>
    </row>
    <row r="19" spans="1:12" x14ac:dyDescent="0.25">
      <c r="A19" s="29">
        <f t="shared" si="0"/>
        <v>9</v>
      </c>
      <c r="C19" s="5" t="s">
        <v>202</v>
      </c>
      <c r="D19" s="57">
        <f>'Exh JDT-5 (Rate Design)'!E75</f>
        <v>3922815.2360674441</v>
      </c>
      <c r="E19" s="134">
        <f t="shared" ref="E19:E20" si="8">D19/$D$21</f>
        <v>0.23534688098904846</v>
      </c>
      <c r="F19" s="146">
        <f t="shared" ref="F19:F20" si="9">$F$21*E19</f>
        <v>4303750.7571457708</v>
      </c>
      <c r="G19" s="54">
        <f>'Exh JDT-5 (Rate Design)'!I75</f>
        <v>8.626378215288695E-2</v>
      </c>
      <c r="H19" s="32">
        <f t="shared" si="6"/>
        <v>371258</v>
      </c>
      <c r="J19" s="37">
        <f t="shared" si="7"/>
        <v>0.29806351407098819</v>
      </c>
      <c r="K19" s="32">
        <f t="shared" ref="K19:K20" si="10">H19*J19</f>
        <v>110658.46410696693</v>
      </c>
    </row>
    <row r="20" spans="1:12" x14ac:dyDescent="0.25">
      <c r="A20" s="29">
        <f t="shared" si="0"/>
        <v>10</v>
      </c>
      <c r="C20" s="5" t="s">
        <v>208</v>
      </c>
      <c r="D20" s="57">
        <f>'Exh JDT-5 (Rate Design)'!E76</f>
        <v>5971338.4759506863</v>
      </c>
      <c r="E20" s="134">
        <f t="shared" si="8"/>
        <v>0.35824676949448109</v>
      </c>
      <c r="F20" s="146">
        <f t="shared" si="9"/>
        <v>6551201.3542624563</v>
      </c>
      <c r="G20" s="54">
        <f>'Exh JDT-5 (Rate Design)'!I76</f>
        <v>8.2527720135143118E-2</v>
      </c>
      <c r="H20" s="32">
        <f t="shared" si="6"/>
        <v>540656</v>
      </c>
      <c r="J20" s="37">
        <f t="shared" si="7"/>
        <v>0.29806351407098819</v>
      </c>
      <c r="K20" s="32">
        <f t="shared" si="10"/>
        <v>161149.82726356419</v>
      </c>
    </row>
    <row r="21" spans="1:12" x14ac:dyDescent="0.25">
      <c r="A21" s="29">
        <f t="shared" si="0"/>
        <v>11</v>
      </c>
      <c r="C21" s="5" t="s">
        <v>16</v>
      </c>
      <c r="D21" s="34">
        <f>SUM(D18:D20)</f>
        <v>16668227</v>
      </c>
      <c r="E21" s="135">
        <f>SUM(E18:E20)</f>
        <v>1</v>
      </c>
      <c r="F21" s="145">
        <f>'Forecast Therms'!N13</f>
        <v>18286840</v>
      </c>
      <c r="G21" s="31"/>
      <c r="H21" s="33">
        <f>SUM(H18:H20)</f>
        <v>2261104</v>
      </c>
      <c r="I21" s="35">
        <f>'Rate Spread'!E14</f>
        <v>673952.60391996766</v>
      </c>
      <c r="J21" s="37">
        <f>$I$21/$H$21</f>
        <v>0.29806351407098819</v>
      </c>
      <c r="K21" s="33">
        <f>SUM(K18:K20)</f>
        <v>673952.60391996766</v>
      </c>
    </row>
    <row r="22" spans="1:12" x14ac:dyDescent="0.25">
      <c r="A22" s="29">
        <f t="shared" si="0"/>
        <v>12</v>
      </c>
      <c r="E22" s="133"/>
    </row>
    <row r="23" spans="1:12" x14ac:dyDescent="0.25">
      <c r="A23" s="29">
        <f t="shared" si="0"/>
        <v>13</v>
      </c>
      <c r="B23" s="5" t="s">
        <v>216</v>
      </c>
      <c r="D23" s="30"/>
      <c r="E23" s="133"/>
      <c r="F23" s="30"/>
      <c r="G23" s="31"/>
    </row>
    <row r="24" spans="1:12" x14ac:dyDescent="0.25">
      <c r="A24" s="29">
        <f t="shared" si="0"/>
        <v>14</v>
      </c>
      <c r="C24" s="5" t="s">
        <v>206</v>
      </c>
      <c r="D24" s="57">
        <f>'Exh JDT-5 (Rate Design)'!E104</f>
        <v>837636.37749550154</v>
      </c>
      <c r="E24" s="134">
        <f>D24/$D$26</f>
        <v>0.17880947382121865</v>
      </c>
      <c r="F24" s="146">
        <f>$F$26*E24</f>
        <v>604507.26766950381</v>
      </c>
      <c r="G24" s="54">
        <f>'Exh JDT-5 (Rate Design)'!I104</f>
        <v>0.240440872374836</v>
      </c>
      <c r="H24" s="32">
        <f t="shared" ref="H24:H25" si="11">ROUND(F24*G24,0)</f>
        <v>145348</v>
      </c>
      <c r="J24" s="37">
        <f t="shared" ref="J24" si="12">$I$26/$H$26</f>
        <v>0.53784098598552355</v>
      </c>
      <c r="K24" s="32">
        <f>H24*J24</f>
        <v>78174.111631023872</v>
      </c>
    </row>
    <row r="25" spans="1:12" x14ac:dyDescent="0.25">
      <c r="A25" s="29">
        <f t="shared" si="0"/>
        <v>15</v>
      </c>
      <c r="C25" s="5" t="s">
        <v>207</v>
      </c>
      <c r="D25" s="57">
        <f>'Exh JDT-5 (Rate Design)'!E105</f>
        <v>3846882.6225044997</v>
      </c>
      <c r="E25" s="134">
        <f>D25/$D$26</f>
        <v>0.82119052617878141</v>
      </c>
      <c r="F25" s="146">
        <f>$F$26*E25</f>
        <v>2776226.7323304964</v>
      </c>
      <c r="G25" s="54">
        <f>'Exh JDT-5 (Rate Design)'!I105</f>
        <v>0.17045298338371895</v>
      </c>
      <c r="H25" s="32">
        <f t="shared" si="11"/>
        <v>473216</v>
      </c>
      <c r="J25" s="37">
        <f>$I$26/$H$26</f>
        <v>0.53784098598552355</v>
      </c>
      <c r="K25" s="32">
        <f>H25*J25</f>
        <v>254514.9600241255</v>
      </c>
    </row>
    <row r="26" spans="1:12" x14ac:dyDescent="0.25">
      <c r="A26" s="29">
        <f t="shared" si="0"/>
        <v>16</v>
      </c>
      <c r="C26" s="5" t="s">
        <v>16</v>
      </c>
      <c r="D26" s="34">
        <f>SUM(D24:D25)</f>
        <v>4684519.0000000009</v>
      </c>
      <c r="E26" s="135">
        <f>SUM(E24:E25)</f>
        <v>1</v>
      </c>
      <c r="F26" s="145">
        <f>'Forecast Therms'!N14</f>
        <v>3380734</v>
      </c>
      <c r="G26" s="31"/>
      <c r="H26" s="33">
        <f>SUM(H24:H25)</f>
        <v>618564</v>
      </c>
      <c r="I26" s="35">
        <f>'Rate Spread'!E15</f>
        <v>332689.0716551494</v>
      </c>
      <c r="J26" s="37">
        <f>$I$26/$H$26</f>
        <v>0.53784098598552355</v>
      </c>
      <c r="K26" s="33">
        <f>SUM(K24:K25)</f>
        <v>332689.07165514934</v>
      </c>
      <c r="L26" s="31"/>
    </row>
    <row r="27" spans="1:12" x14ac:dyDescent="0.25">
      <c r="A27" s="29">
        <f t="shared" si="0"/>
        <v>17</v>
      </c>
      <c r="E27" s="133"/>
    </row>
    <row r="28" spans="1:12" x14ac:dyDescent="0.25">
      <c r="A28" s="29">
        <f t="shared" si="0"/>
        <v>18</v>
      </c>
      <c r="D28" s="30"/>
      <c r="E28" s="133"/>
      <c r="F28" s="30"/>
      <c r="G28" s="31"/>
    </row>
    <row r="29" spans="1:12" x14ac:dyDescent="0.25">
      <c r="A29" s="29">
        <f t="shared" si="0"/>
        <v>19</v>
      </c>
      <c r="B29" s="5" t="s">
        <v>217</v>
      </c>
      <c r="D29" s="30"/>
      <c r="E29" s="133"/>
      <c r="F29" s="30"/>
      <c r="G29" s="31"/>
    </row>
    <row r="30" spans="1:12" x14ac:dyDescent="0.25">
      <c r="A30" s="29">
        <f t="shared" si="0"/>
        <v>20</v>
      </c>
      <c r="C30" s="5" t="s">
        <v>201</v>
      </c>
      <c r="D30" s="57">
        <f>'Exh JDT-5 (Rate Design)'!E132</f>
        <v>1200000</v>
      </c>
      <c r="E30" s="134">
        <f>D30/$D$36</f>
        <v>5.9977037791081683E-2</v>
      </c>
      <c r="F30" s="146">
        <f>$F$36*E30</f>
        <v>952994.58602274116</v>
      </c>
      <c r="G30" s="54">
        <f>'Exh JDT-5 (Rate Design)'!I132</f>
        <v>0.31590188242627204</v>
      </c>
      <c r="H30" s="32">
        <f t="shared" ref="H30:H35" si="13">ROUND(F30*G30,0)</f>
        <v>301053</v>
      </c>
      <c r="J30" s="37">
        <f t="shared" ref="J30:J35" si="14">$I$36/$H$36</f>
        <v>0.49594076203465071</v>
      </c>
      <c r="K30" s="32">
        <f>H30*J30</f>
        <v>149304.45423281769</v>
      </c>
    </row>
    <row r="31" spans="1:12" x14ac:dyDescent="0.25">
      <c r="A31" s="29">
        <f t="shared" si="0"/>
        <v>21</v>
      </c>
      <c r="C31" s="5" t="s">
        <v>202</v>
      </c>
      <c r="D31" s="57">
        <f>'Exh JDT-5 (Rate Design)'!E133</f>
        <v>1200000</v>
      </c>
      <c r="E31" s="134">
        <f t="shared" ref="E31:E35" si="15">D31/$D$36</f>
        <v>5.9977037791081683E-2</v>
      </c>
      <c r="F31" s="146">
        <f t="shared" ref="F31:F35" si="16">$F$36*E31</f>
        <v>952994.58602274116</v>
      </c>
      <c r="G31" s="54">
        <f>'Exh JDT-5 (Rate Design)'!I133</f>
        <v>0.19088973246159188</v>
      </c>
      <c r="H31" s="32">
        <f t="shared" si="13"/>
        <v>181917</v>
      </c>
      <c r="J31" s="37">
        <f t="shared" si="14"/>
        <v>0.49594076203465071</v>
      </c>
      <c r="K31" s="32">
        <f t="shared" ref="K31:K34" si="17">H31*J31</f>
        <v>90220.055607057555</v>
      </c>
    </row>
    <row r="32" spans="1:12" x14ac:dyDescent="0.25">
      <c r="A32" s="29">
        <f t="shared" si="0"/>
        <v>22</v>
      </c>
      <c r="C32" s="5" t="s">
        <v>203</v>
      </c>
      <c r="D32" s="57">
        <f>'Exh JDT-5 (Rate Design)'!E134</f>
        <v>2400000</v>
      </c>
      <c r="E32" s="134">
        <f t="shared" si="15"/>
        <v>0.11995407558216337</v>
      </c>
      <c r="F32" s="146">
        <f t="shared" si="16"/>
        <v>1905989.1720454823</v>
      </c>
      <c r="G32" s="54">
        <f>'Exh JDT-5 (Rate Design)'!I134</f>
        <v>0.12148081929479028</v>
      </c>
      <c r="H32" s="32">
        <f t="shared" si="13"/>
        <v>231541</v>
      </c>
      <c r="J32" s="37">
        <f t="shared" si="14"/>
        <v>0.49594076203465071</v>
      </c>
      <c r="K32" s="32">
        <f t="shared" si="17"/>
        <v>114830.61998226505</v>
      </c>
    </row>
    <row r="33" spans="1:11" x14ac:dyDescent="0.25">
      <c r="A33" s="29">
        <f t="shared" si="0"/>
        <v>23</v>
      </c>
      <c r="C33" s="5" t="s">
        <v>180</v>
      </c>
      <c r="D33" s="57">
        <f>'Exh JDT-5 (Rate Design)'!E135</f>
        <v>3127546.681753166</v>
      </c>
      <c r="E33" s="134">
        <f t="shared" si="15"/>
        <v>0.15631748793740147</v>
      </c>
      <c r="F33" s="146">
        <f t="shared" si="16"/>
        <v>2483779.2127034636</v>
      </c>
      <c r="G33" s="54">
        <f>'Exh JDT-5 (Rate Design)'!I135</f>
        <v>7.788715102511487E-2</v>
      </c>
      <c r="H33" s="32">
        <f t="shared" si="13"/>
        <v>193454</v>
      </c>
      <c r="J33" s="37">
        <f t="shared" si="14"/>
        <v>0.49594076203465071</v>
      </c>
      <c r="K33" s="32">
        <f t="shared" si="17"/>
        <v>95941.724178651319</v>
      </c>
    </row>
    <row r="34" spans="1:11" x14ac:dyDescent="0.25">
      <c r="A34" s="29">
        <f t="shared" si="0"/>
        <v>24</v>
      </c>
      <c r="C34" s="5" t="s">
        <v>181</v>
      </c>
      <c r="D34" s="57">
        <f>'Exh JDT-5 (Rate Design)'!E136</f>
        <v>3948028.7649102928</v>
      </c>
      <c r="E34" s="134">
        <f t="shared" si="15"/>
        <v>0.1973258920277518</v>
      </c>
      <c r="F34" s="146">
        <f t="shared" si="16"/>
        <v>3135375.0320179653</v>
      </c>
      <c r="G34" s="54">
        <f>'Exh JDT-5 (Rate Design)'!I136</f>
        <v>5.6059874384502266E-2</v>
      </c>
      <c r="H34" s="32">
        <f t="shared" si="13"/>
        <v>175769</v>
      </c>
      <c r="J34" s="37">
        <f t="shared" si="14"/>
        <v>0.49594076203465071</v>
      </c>
      <c r="K34" s="32">
        <f t="shared" si="17"/>
        <v>87171.011802068519</v>
      </c>
    </row>
    <row r="35" spans="1:11" x14ac:dyDescent="0.25">
      <c r="A35" s="29">
        <f t="shared" si="0"/>
        <v>25</v>
      </c>
      <c r="C35" s="5" t="s">
        <v>204</v>
      </c>
      <c r="D35" s="57">
        <f>'Exh JDT-5 (Rate Design)'!E137</f>
        <v>8132081.5533365402</v>
      </c>
      <c r="E35" s="134">
        <f t="shared" si="15"/>
        <v>0.40644846887051994</v>
      </c>
      <c r="F35" s="146">
        <f t="shared" si="16"/>
        <v>6458191.411187605</v>
      </c>
      <c r="G35" s="54">
        <f>'Exh JDT-5 (Rate Design)'!I137</f>
        <v>3.7794370919554475E-2</v>
      </c>
      <c r="H35" s="32">
        <f t="shared" si="13"/>
        <v>244083</v>
      </c>
      <c r="J35" s="37">
        <f t="shared" si="14"/>
        <v>0.49594076203465071</v>
      </c>
      <c r="K35" s="32">
        <f>H35*J35</f>
        <v>121050.70901970365</v>
      </c>
    </row>
    <row r="36" spans="1:11" x14ac:dyDescent="0.25">
      <c r="A36" s="29">
        <f t="shared" si="0"/>
        <v>26</v>
      </c>
      <c r="C36" s="5" t="s">
        <v>16</v>
      </c>
      <c r="D36" s="34">
        <f>SUM(D30:D35)</f>
        <v>20007657</v>
      </c>
      <c r="E36" s="135">
        <f>SUM(E30:E35)</f>
        <v>1</v>
      </c>
      <c r="F36" s="145">
        <f>'Forecast Therms'!N15</f>
        <v>15889324</v>
      </c>
      <c r="G36" s="31"/>
      <c r="H36" s="33">
        <f>SUM(H30:H35)</f>
        <v>1327817</v>
      </c>
      <c r="I36" s="35">
        <f>'Rate Spread'!E16</f>
        <v>658518.57482256379</v>
      </c>
      <c r="J36" s="37">
        <f>$I$36/$H$36</f>
        <v>0.49594076203465071</v>
      </c>
      <c r="K36" s="33">
        <f>SUM(K30:K35)</f>
        <v>658518.57482256391</v>
      </c>
    </row>
    <row r="37" spans="1:11" x14ac:dyDescent="0.25">
      <c r="A37" s="29"/>
      <c r="D37" s="42"/>
      <c r="E37" s="42"/>
      <c r="F37" s="42"/>
      <c r="G37" s="31"/>
      <c r="H37" s="32"/>
      <c r="I37" s="35"/>
      <c r="J37" s="37"/>
      <c r="K37" s="32"/>
    </row>
    <row r="38" spans="1:11" ht="14.5" x14ac:dyDescent="0.25">
      <c r="B38" s="147" t="s">
        <v>309</v>
      </c>
      <c r="C38" s="5" t="s">
        <v>314</v>
      </c>
    </row>
    <row r="39" spans="1:11" ht="14.5" x14ac:dyDescent="0.25">
      <c r="B39" s="147" t="s">
        <v>317</v>
      </c>
      <c r="C39" s="5" t="s">
        <v>315</v>
      </c>
    </row>
  </sheetData>
  <mergeCells count="1">
    <mergeCell ref="B9:C9"/>
  </mergeCells>
  <phoneticPr fontId="19" type="noConversion"/>
  <printOptions horizontalCentered="1"/>
  <pageMargins left="0.75" right="0.75" top="1" bottom="1" header="0.5" footer="0.5"/>
  <pageSetup scale="93" orientation="landscape" blackAndWhite="1" horizontalDpi="300" verticalDpi="300" r:id="rId1"/>
  <headerFooter alignWithMargins="0">
    <oddFooter>&amp;L&amp;F
&amp;A&amp;R Page &amp;P of &amp;N</oddFooter>
  </headerFooter>
  <rowBreaks count="1" manualBreakCount="1"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4"/>
  <sheetViews>
    <sheetView zoomScale="90" zoomScaleNormal="90" workbookViewId="0">
      <selection activeCell="G13" sqref="G13"/>
    </sheetView>
  </sheetViews>
  <sheetFormatPr defaultColWidth="9.1796875" defaultRowHeight="12.5" x14ac:dyDescent="0.25"/>
  <cols>
    <col min="1" max="1" width="4.453125" style="39" customWidth="1"/>
    <col min="2" max="2" width="31.26953125" style="39" customWidth="1"/>
    <col min="3" max="3" width="11.54296875" style="39" customWidth="1"/>
    <col min="4" max="4" width="14.7265625" style="39" customWidth="1"/>
    <col min="5" max="5" width="17.81640625" style="39" customWidth="1"/>
    <col min="6" max="16384" width="9.1796875" style="39"/>
  </cols>
  <sheetData>
    <row r="1" spans="1:6" ht="12.75" customHeight="1" x14ac:dyDescent="0.3">
      <c r="A1" s="44" t="s">
        <v>0</v>
      </c>
    </row>
    <row r="2" spans="1:6" ht="12.75" customHeight="1" x14ac:dyDescent="0.3">
      <c r="A2" s="44" t="str">
        <f>'Rate Summary'!$A$2</f>
        <v>2025 Gas Schedule 141LNG LNG Tracker Filing</v>
      </c>
      <c r="B2" s="6"/>
      <c r="C2" s="6"/>
      <c r="D2" s="6"/>
      <c r="E2" s="6"/>
    </row>
    <row r="3" spans="1:6" ht="12.75" customHeight="1" x14ac:dyDescent="0.3">
      <c r="A3" s="44" t="s">
        <v>213</v>
      </c>
    </row>
    <row r="4" spans="1:6" ht="12.75" customHeight="1" x14ac:dyDescent="0.3">
      <c r="A4" s="44" t="str">
        <f>'Rate Summary'!$A$4</f>
        <v>Proposed Rates Effective November 1, 2025</v>
      </c>
    </row>
    <row r="5" spans="1:6" ht="12.75" customHeight="1" x14ac:dyDescent="0.25"/>
    <row r="6" spans="1:6" ht="12.75" customHeight="1" x14ac:dyDescent="0.3">
      <c r="A6" s="44"/>
      <c r="B6" s="44"/>
      <c r="C6" s="44"/>
      <c r="D6" s="45"/>
      <c r="E6" s="44"/>
    </row>
    <row r="7" spans="1:6" ht="12.75" customHeight="1" x14ac:dyDescent="0.3">
      <c r="A7" s="44"/>
      <c r="B7" s="45"/>
      <c r="C7" s="45"/>
      <c r="D7" s="45" t="s">
        <v>197</v>
      </c>
      <c r="E7" s="45" t="s">
        <v>168</v>
      </c>
    </row>
    <row r="8" spans="1:6" ht="13" x14ac:dyDescent="0.3">
      <c r="A8" s="45" t="s">
        <v>21</v>
      </c>
      <c r="B8" s="45"/>
      <c r="C8" s="45"/>
      <c r="D8" s="45" t="s">
        <v>198</v>
      </c>
      <c r="E8" s="45" t="s">
        <v>2</v>
      </c>
    </row>
    <row r="9" spans="1:6" ht="15" x14ac:dyDescent="0.3">
      <c r="A9" s="46" t="s">
        <v>22</v>
      </c>
      <c r="B9" s="46" t="s">
        <v>4</v>
      </c>
      <c r="C9" s="46" t="s">
        <v>5</v>
      </c>
      <c r="D9" s="46" t="s">
        <v>310</v>
      </c>
      <c r="E9" s="46" t="s">
        <v>6</v>
      </c>
    </row>
    <row r="10" spans="1:6" ht="12.75" customHeight="1" x14ac:dyDescent="0.25">
      <c r="B10" s="6" t="s">
        <v>17</v>
      </c>
      <c r="C10" s="6" t="s">
        <v>18</v>
      </c>
      <c r="D10" s="6" t="s">
        <v>19</v>
      </c>
      <c r="E10" s="6" t="s">
        <v>20</v>
      </c>
      <c r="F10" s="6"/>
    </row>
    <row r="11" spans="1:6" ht="12.75" customHeight="1" x14ac:dyDescent="0.25">
      <c r="A11" s="6">
        <v>1</v>
      </c>
      <c r="B11" s="39" t="s">
        <v>8</v>
      </c>
      <c r="C11" s="6" t="s">
        <v>9</v>
      </c>
      <c r="D11" s="50">
        <f>'C-COS Allocation Factors (PSE)'!H22</f>
        <v>0.68754812836898582</v>
      </c>
      <c r="E11" s="47">
        <f>$E$19*D11</f>
        <v>39299611.127648667</v>
      </c>
    </row>
    <row r="12" spans="1:6" ht="12.75" customHeight="1" x14ac:dyDescent="0.25">
      <c r="A12" s="6">
        <f>A11+1</f>
        <v>2</v>
      </c>
      <c r="B12" s="39" t="s">
        <v>10</v>
      </c>
      <c r="C12" s="6">
        <v>31</v>
      </c>
      <c r="D12" s="50">
        <f>'C-COS Allocation Factors (PSE)'!I22</f>
        <v>0.23361635314472012</v>
      </c>
      <c r="E12" s="47">
        <f t="shared" ref="E12:E16" si="0">$E$19*D12</f>
        <v>13353293.322790876</v>
      </c>
    </row>
    <row r="13" spans="1:6" ht="12.75" customHeight="1" x14ac:dyDescent="0.25">
      <c r="A13" s="6">
        <f t="shared" ref="A13:A19" si="1">A12+1</f>
        <v>3</v>
      </c>
      <c r="B13" s="39" t="s">
        <v>11</v>
      </c>
      <c r="C13" s="6">
        <v>41</v>
      </c>
      <c r="D13" s="50">
        <f>'C-COS Allocation Factors (PSE)'!J22</f>
        <v>4.9703479243547052E-2</v>
      </c>
      <c r="E13" s="47">
        <f t="shared" si="0"/>
        <v>2841004.615336929</v>
      </c>
    </row>
    <row r="14" spans="1:6" ht="12.75" customHeight="1" x14ac:dyDescent="0.25">
      <c r="A14" s="6">
        <f t="shared" si="1"/>
        <v>4</v>
      </c>
      <c r="B14" s="39" t="s">
        <v>12</v>
      </c>
      <c r="C14" s="6">
        <v>85</v>
      </c>
      <c r="D14" s="50">
        <f>'C-COS Allocation Factors (PSE)'!K22</f>
        <v>1.1790825357775045E-2</v>
      </c>
      <c r="E14" s="47">
        <f t="shared" si="0"/>
        <v>673952.60391996766</v>
      </c>
    </row>
    <row r="15" spans="1:6" ht="12.75" customHeight="1" x14ac:dyDescent="0.25">
      <c r="A15" s="6">
        <f t="shared" si="1"/>
        <v>5</v>
      </c>
      <c r="B15" s="39" t="s">
        <v>13</v>
      </c>
      <c r="C15" s="6">
        <v>86</v>
      </c>
      <c r="D15" s="50">
        <f>'C-COS Allocation Factors (PSE)'!L22</f>
        <v>5.8204074285199961E-3</v>
      </c>
      <c r="E15" s="47">
        <f t="shared" si="0"/>
        <v>332689.0716551494</v>
      </c>
    </row>
    <row r="16" spans="1:6" ht="12.75" customHeight="1" x14ac:dyDescent="0.25">
      <c r="A16" s="6">
        <f t="shared" si="1"/>
        <v>6</v>
      </c>
      <c r="B16" s="39" t="s">
        <v>14</v>
      </c>
      <c r="C16" s="6">
        <v>87</v>
      </c>
      <c r="D16" s="50">
        <f>'C-COS Allocation Factors (PSE)'!M22</f>
        <v>1.1520806456451952E-2</v>
      </c>
      <c r="E16" s="47">
        <f t="shared" si="0"/>
        <v>658518.57482256379</v>
      </c>
    </row>
    <row r="17" spans="1:5" ht="12.75" customHeight="1" x14ac:dyDescent="0.25">
      <c r="A17" s="6">
        <f t="shared" si="1"/>
        <v>7</v>
      </c>
      <c r="B17" s="39" t="s">
        <v>16</v>
      </c>
      <c r="D17" s="48">
        <f>SUM(D11:D16)</f>
        <v>0.99999999999999989</v>
      </c>
      <c r="E17" s="49">
        <f>SUM(E11:E16)</f>
        <v>57159069.316174157</v>
      </c>
    </row>
    <row r="18" spans="1:5" ht="12.75" customHeight="1" x14ac:dyDescent="0.25">
      <c r="A18" s="6">
        <f t="shared" si="1"/>
        <v>8</v>
      </c>
      <c r="E18" s="36"/>
    </row>
    <row r="19" spans="1:5" ht="12.75" customHeight="1" x14ac:dyDescent="0.25">
      <c r="A19" s="6">
        <f t="shared" si="1"/>
        <v>9</v>
      </c>
      <c r="B19" s="39" t="s">
        <v>196</v>
      </c>
      <c r="E19" s="149">
        <v>57159069.31617415</v>
      </c>
    </row>
    <row r="20" spans="1:5" ht="12.75" customHeight="1" x14ac:dyDescent="0.25"/>
    <row r="21" spans="1:5" ht="12.75" customHeight="1" x14ac:dyDescent="0.25">
      <c r="B21" s="228" t="s">
        <v>311</v>
      </c>
      <c r="C21" s="228"/>
      <c r="D21" s="228"/>
      <c r="E21" s="228"/>
    </row>
    <row r="22" spans="1:5" ht="12.75" customHeight="1" x14ac:dyDescent="0.25">
      <c r="B22" s="228"/>
      <c r="C22" s="228"/>
      <c r="D22" s="228"/>
      <c r="E22" s="228"/>
    </row>
    <row r="23" spans="1:5" ht="12.75" customHeight="1" x14ac:dyDescent="0.25"/>
    <row r="24" spans="1:5" ht="12.75" customHeight="1" x14ac:dyDescent="0.25"/>
  </sheetData>
  <mergeCells count="1">
    <mergeCell ref="B21:E22"/>
  </mergeCells>
  <printOptions horizontalCentered="1"/>
  <pageMargins left="0.45" right="0.45" top="0.75" bottom="0.75" header="0.3" footer="0.3"/>
  <pageSetup orientation="landscape" blackAndWhite="1" r:id="rId1"/>
  <headerFooter>
    <oddFooter>&amp;L&amp;F
&amp;A&amp;RPage &amp;P of &amp;N</oddFoot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039C-7C9B-48F3-B53C-14C69ECEF8C9}">
  <sheetPr>
    <tabColor rgb="FFFFC000"/>
  </sheetPr>
  <dimension ref="A1"/>
  <sheetViews>
    <sheetView workbookViewId="0">
      <selection activeCell="M24" sqref="M24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BF5B-76F2-4FA9-8F66-5D90DEE4CE20}">
  <sheetPr>
    <pageSetUpPr fitToPage="1"/>
  </sheetPr>
  <dimension ref="A1:X41"/>
  <sheetViews>
    <sheetView zoomScale="85" zoomScaleNormal="85" workbookViewId="0">
      <pane xSplit="3" ySplit="9" topLeftCell="F10" activePane="bottomRight" state="frozenSplit"/>
      <selection activeCell="W39" sqref="W39"/>
      <selection pane="topRight" activeCell="W39" sqref="W39"/>
      <selection pane="bottomLeft" activeCell="W39" sqref="W39"/>
      <selection pane="bottomRight" activeCell="H31" sqref="H31"/>
    </sheetView>
  </sheetViews>
  <sheetFormatPr defaultRowHeight="14.5" x14ac:dyDescent="0.35"/>
  <cols>
    <col min="1" max="1" width="5" bestFit="1" customWidth="1"/>
    <col min="2" max="2" width="37.54296875" customWidth="1"/>
    <col min="3" max="3" width="8.453125" bestFit="1" customWidth="1"/>
    <col min="4" max="4" width="14.26953125" bestFit="1" customWidth="1"/>
    <col min="5" max="5" width="14.7265625" customWidth="1"/>
    <col min="6" max="6" width="10" bestFit="1" customWidth="1"/>
    <col min="7" max="7" width="14.26953125" bestFit="1" customWidth="1"/>
    <col min="8" max="8" width="14.7265625" customWidth="1"/>
    <col min="9" max="9" width="13.7265625" bestFit="1" customWidth="1"/>
    <col min="10" max="10" width="13.453125" bestFit="1" customWidth="1"/>
    <col min="11" max="11" width="12.26953125" bestFit="1" customWidth="1"/>
    <col min="12" max="13" width="12.54296875" bestFit="1" customWidth="1"/>
    <col min="14" max="14" width="9.54296875" bestFit="1" customWidth="1"/>
    <col min="15" max="15" width="12.54296875" bestFit="1" customWidth="1"/>
    <col min="16" max="16" width="11.54296875" bestFit="1" customWidth="1"/>
    <col min="17" max="17" width="12.54296875" bestFit="1" customWidth="1"/>
    <col min="18" max="18" width="9.453125" bestFit="1" customWidth="1"/>
    <col min="19" max="19" width="11.54296875" bestFit="1" customWidth="1"/>
    <col min="20" max="20" width="12.54296875" bestFit="1" customWidth="1"/>
    <col min="21" max="21" width="16.54296875" bestFit="1" customWidth="1"/>
    <col min="22" max="22" width="12.54296875" bestFit="1" customWidth="1"/>
    <col min="23" max="23" width="16.54296875" bestFit="1" customWidth="1"/>
    <col min="24" max="24" width="8.81640625" bestFit="1" customWidth="1"/>
  </cols>
  <sheetData>
    <row r="1" spans="1:24" x14ac:dyDescent="0.35">
      <c r="A1" s="157" t="s">
        <v>0</v>
      </c>
      <c r="B1" s="158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x14ac:dyDescent="0.35">
      <c r="A2" s="157" t="s">
        <v>325</v>
      </c>
      <c r="B2" s="158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</row>
    <row r="3" spans="1:24" x14ac:dyDescent="0.35">
      <c r="A3" s="158" t="s">
        <v>326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</row>
    <row r="4" spans="1:24" x14ac:dyDescent="0.35">
      <c r="A4" s="158" t="s">
        <v>238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1:24" x14ac:dyDescent="0.35">
      <c r="F5" s="1"/>
      <c r="P5" s="1"/>
      <c r="Q5" s="1"/>
      <c r="R5" s="1"/>
      <c r="S5" s="1"/>
    </row>
    <row r="6" spans="1:24" x14ac:dyDescent="0.35">
      <c r="F6" s="1"/>
      <c r="G6" s="1" t="s">
        <v>303</v>
      </c>
      <c r="P6" s="1"/>
      <c r="Q6" s="1"/>
      <c r="R6" s="1"/>
      <c r="S6" s="1"/>
      <c r="U6" s="159" t="s">
        <v>327</v>
      </c>
      <c r="V6" s="159" t="s">
        <v>193</v>
      </c>
      <c r="W6" s="1" t="str">
        <f>U6</f>
        <v>12ME Oct. 2026</v>
      </c>
    </row>
    <row r="7" spans="1:24" x14ac:dyDescent="0.35">
      <c r="B7" s="1"/>
      <c r="C7" s="1"/>
      <c r="D7" s="1" t="s">
        <v>328</v>
      </c>
      <c r="E7" s="1" t="str">
        <f>D7</f>
        <v>UG-240005</v>
      </c>
      <c r="F7" s="1" t="s">
        <v>329</v>
      </c>
      <c r="G7" s="1" t="s">
        <v>192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 t="s">
        <v>330</v>
      </c>
      <c r="V7" s="1" t="s">
        <v>419</v>
      </c>
      <c r="W7" s="1" t="s">
        <v>330</v>
      </c>
      <c r="X7" s="1"/>
    </row>
    <row r="8" spans="1:24" x14ac:dyDescent="0.35">
      <c r="A8" t="s">
        <v>21</v>
      </c>
      <c r="B8" s="1"/>
      <c r="C8" s="1" t="s">
        <v>305</v>
      </c>
      <c r="D8" s="1" t="s">
        <v>331</v>
      </c>
      <c r="E8" s="1" t="s">
        <v>332</v>
      </c>
      <c r="F8" s="1" t="s">
        <v>305</v>
      </c>
      <c r="G8" s="159" t="s">
        <v>312</v>
      </c>
      <c r="H8" s="1" t="s">
        <v>332</v>
      </c>
      <c r="I8" s="1" t="s">
        <v>333</v>
      </c>
      <c r="J8" s="1" t="s">
        <v>334</v>
      </c>
      <c r="K8" s="1" t="s">
        <v>335</v>
      </c>
      <c r="L8" s="1" t="s">
        <v>336</v>
      </c>
      <c r="M8" s="1" t="s">
        <v>337</v>
      </c>
      <c r="N8" s="1" t="s">
        <v>338</v>
      </c>
      <c r="O8" s="1" t="s">
        <v>339</v>
      </c>
      <c r="P8" s="1" t="s">
        <v>340</v>
      </c>
      <c r="Q8" s="1" t="s">
        <v>193</v>
      </c>
      <c r="R8" s="1" t="s">
        <v>341</v>
      </c>
      <c r="S8" s="1" t="s">
        <v>342</v>
      </c>
      <c r="T8" s="1" t="s">
        <v>343</v>
      </c>
      <c r="U8" s="1" t="s">
        <v>344</v>
      </c>
      <c r="V8" s="1" t="s">
        <v>2</v>
      </c>
      <c r="W8" s="1" t="s">
        <v>344</v>
      </c>
      <c r="X8" s="1" t="s">
        <v>345</v>
      </c>
    </row>
    <row r="9" spans="1:24" ht="16.5" x14ac:dyDescent="0.35">
      <c r="A9" t="s">
        <v>22</v>
      </c>
      <c r="B9" s="160" t="s">
        <v>4</v>
      </c>
      <c r="C9" s="160" t="s">
        <v>306</v>
      </c>
      <c r="D9" s="160" t="s">
        <v>346</v>
      </c>
      <c r="E9" s="160" t="s">
        <v>347</v>
      </c>
      <c r="F9" s="160" t="s">
        <v>348</v>
      </c>
      <c r="G9" s="161" t="s">
        <v>308</v>
      </c>
      <c r="H9" s="160" t="s">
        <v>2</v>
      </c>
      <c r="I9" s="160" t="s">
        <v>2</v>
      </c>
      <c r="J9" s="160" t="s">
        <v>2</v>
      </c>
      <c r="K9" s="160" t="s">
        <v>2</v>
      </c>
      <c r="L9" s="160" t="s">
        <v>2</v>
      </c>
      <c r="M9" s="160" t="s">
        <v>2</v>
      </c>
      <c r="N9" s="160" t="s">
        <v>2</v>
      </c>
      <c r="O9" s="160" t="s">
        <v>2</v>
      </c>
      <c r="P9" s="160" t="s">
        <v>2</v>
      </c>
      <c r="Q9" s="160" t="s">
        <v>2</v>
      </c>
      <c r="R9" s="160" t="s">
        <v>2</v>
      </c>
      <c r="S9" s="160" t="s">
        <v>2</v>
      </c>
      <c r="T9" s="160" t="s">
        <v>2</v>
      </c>
      <c r="U9" s="1" t="s">
        <v>349</v>
      </c>
      <c r="V9" s="160" t="s">
        <v>194</v>
      </c>
      <c r="W9" s="1" t="s">
        <v>350</v>
      </c>
      <c r="X9" s="160" t="s">
        <v>194</v>
      </c>
    </row>
    <row r="10" spans="1:24" x14ac:dyDescent="0.35">
      <c r="B10" s="1" t="s">
        <v>25</v>
      </c>
      <c r="C10" s="1" t="s">
        <v>26</v>
      </c>
      <c r="D10" s="162" t="s">
        <v>27</v>
      </c>
      <c r="E10" s="163" t="s">
        <v>28</v>
      </c>
      <c r="F10" s="1" t="s">
        <v>351</v>
      </c>
      <c r="G10" s="1" t="s">
        <v>352</v>
      </c>
      <c r="H10" s="1" t="s">
        <v>353</v>
      </c>
      <c r="I10" s="1" t="s">
        <v>29</v>
      </c>
      <c r="J10" s="1" t="s">
        <v>30</v>
      </c>
      <c r="K10" s="1" t="s">
        <v>31</v>
      </c>
      <c r="L10" s="1" t="s">
        <v>32</v>
      </c>
      <c r="M10" s="163" t="s">
        <v>33</v>
      </c>
      <c r="N10" s="163" t="s">
        <v>34</v>
      </c>
      <c r="O10" s="163" t="s">
        <v>35</v>
      </c>
      <c r="P10" s="163" t="s">
        <v>36</v>
      </c>
      <c r="Q10" s="163" t="s">
        <v>239</v>
      </c>
      <c r="R10" s="163" t="s">
        <v>354</v>
      </c>
      <c r="S10" s="163" t="s">
        <v>355</v>
      </c>
      <c r="T10" s="163" t="s">
        <v>356</v>
      </c>
      <c r="U10" s="163" t="s">
        <v>357</v>
      </c>
      <c r="V10" s="1" t="s">
        <v>358</v>
      </c>
      <c r="W10" s="1" t="s">
        <v>359</v>
      </c>
      <c r="X10" s="1" t="s">
        <v>360</v>
      </c>
    </row>
    <row r="11" spans="1:24" x14ac:dyDescent="0.35">
      <c r="A11" s="1">
        <v>1</v>
      </c>
      <c r="B11" t="s">
        <v>8</v>
      </c>
      <c r="C11" s="1" t="s">
        <v>361</v>
      </c>
      <c r="D11" s="222">
        <v>539959592</v>
      </c>
      <c r="E11" s="170">
        <v>473120415.12787223</v>
      </c>
      <c r="F11" s="166">
        <f t="shared" ref="F11:F16" si="0">(E11)/D11</f>
        <v>0.8762144837087591</v>
      </c>
      <c r="G11" s="222">
        <v>546248623</v>
      </c>
      <c r="H11" s="167">
        <f>F11*G11</f>
        <v>478630955.17856556</v>
      </c>
      <c r="I11" s="170">
        <v>302250288.07999998</v>
      </c>
      <c r="J11" s="170">
        <v>-32135806.489999998</v>
      </c>
      <c r="K11" s="170">
        <v>4363591.6951616537</v>
      </c>
      <c r="L11" s="170">
        <v>23466840.844079997</v>
      </c>
      <c r="M11" s="170">
        <v>37439880.620420001</v>
      </c>
      <c r="N11" s="170">
        <v>0</v>
      </c>
      <c r="O11" s="170">
        <v>11553158.37645</v>
      </c>
      <c r="P11" s="170">
        <v>469773.81578</v>
      </c>
      <c r="Q11" s="165">
        <f>'Sch. 141LNG'!F9</f>
        <v>25531660.63902</v>
      </c>
      <c r="R11" s="170">
        <v>0</v>
      </c>
      <c r="S11" s="170">
        <v>6456658.7238600003</v>
      </c>
      <c r="T11" s="170">
        <v>30595385.370000001</v>
      </c>
      <c r="U11" s="168">
        <f t="shared" ref="U11:U24" si="1">SUM(H11:T11)</f>
        <v>888622386.85333717</v>
      </c>
      <c r="V11" s="165">
        <f>'Sch. 141LNG'!H9</f>
        <v>13765465.299600001</v>
      </c>
      <c r="W11" s="167">
        <f>U11+V11</f>
        <v>902387852.15293717</v>
      </c>
      <c r="X11" s="169">
        <f>V11/U11</f>
        <v>1.549079283084945E-2</v>
      </c>
    </row>
    <row r="12" spans="1:24" x14ac:dyDescent="0.35">
      <c r="A12" s="1">
        <f>A11+1</f>
        <v>2</v>
      </c>
      <c r="B12" t="s">
        <v>362</v>
      </c>
      <c r="C12" s="1">
        <v>16</v>
      </c>
      <c r="D12" s="222">
        <v>6995.9999999999991</v>
      </c>
      <c r="E12" s="170">
        <v>5715.6238899497412</v>
      </c>
      <c r="F12" s="166">
        <f t="shared" si="0"/>
        <v>0.81698454687674982</v>
      </c>
      <c r="G12" s="222">
        <v>6156</v>
      </c>
      <c r="H12" s="167">
        <f t="shared" ref="H12:H24" si="2">F12*G12</f>
        <v>5029.3568705732723</v>
      </c>
      <c r="I12" s="170">
        <v>3406.24</v>
      </c>
      <c r="J12" s="170">
        <v>-362.16</v>
      </c>
      <c r="K12" s="170">
        <v>0</v>
      </c>
      <c r="L12" s="170">
        <v>264.46175999999997</v>
      </c>
      <c r="M12" s="170"/>
      <c r="N12" s="170"/>
      <c r="O12" s="170">
        <v>130.19940000000003</v>
      </c>
      <c r="P12" s="170">
        <v>5.2941599999999998</v>
      </c>
      <c r="Q12" s="165">
        <f>'Sch. 141LNG'!F10</f>
        <v>287.73143999999996</v>
      </c>
      <c r="R12" s="170">
        <v>0</v>
      </c>
      <c r="S12" s="170">
        <v>72.763919999999999</v>
      </c>
      <c r="T12" s="170"/>
      <c r="U12" s="168">
        <f t="shared" si="1"/>
        <v>8833.8875505732703</v>
      </c>
      <c r="V12" s="165">
        <f>'Sch. 141LNG'!H10</f>
        <v>155.13120000000004</v>
      </c>
      <c r="W12" s="167">
        <f t="shared" ref="W12:W24" si="3">U12+V12</f>
        <v>8989.0187505732702</v>
      </c>
      <c r="X12" s="169">
        <f t="shared" ref="X12:X36" si="4">V12/U12</f>
        <v>1.7560920841689101E-2</v>
      </c>
    </row>
    <row r="13" spans="1:24" x14ac:dyDescent="0.35">
      <c r="A13" s="1">
        <f t="shared" ref="A13:A36" si="5">A12+1</f>
        <v>3</v>
      </c>
      <c r="B13" t="s">
        <v>10</v>
      </c>
      <c r="C13" s="1">
        <v>31</v>
      </c>
      <c r="D13" s="222">
        <v>228527070</v>
      </c>
      <c r="E13" s="170">
        <v>173926777.33942217</v>
      </c>
      <c r="F13" s="166">
        <f t="shared" si="0"/>
        <v>0.76107735219036488</v>
      </c>
      <c r="G13" s="222">
        <v>235562136</v>
      </c>
      <c r="H13" s="167">
        <f t="shared" si="2"/>
        <v>179281006.74318662</v>
      </c>
      <c r="I13" s="170">
        <v>128828932.18000001</v>
      </c>
      <c r="J13" s="170">
        <v>-13855764.84</v>
      </c>
      <c r="K13" s="170">
        <v>0</v>
      </c>
      <c r="L13" s="170">
        <v>10119749.36256</v>
      </c>
      <c r="M13" s="170">
        <v>11222180.15904</v>
      </c>
      <c r="N13" s="170">
        <v>0</v>
      </c>
      <c r="O13" s="170">
        <v>6126971.1573599996</v>
      </c>
      <c r="P13" s="170">
        <v>186094.08744</v>
      </c>
      <c r="Q13" s="165">
        <f>'Sch. 141LNG'!F11</f>
        <v>9347105.5564799998</v>
      </c>
      <c r="R13" s="170">
        <v>0</v>
      </c>
      <c r="S13" s="170">
        <v>1137765.1168800001</v>
      </c>
      <c r="T13" s="170">
        <v>4612306.62</v>
      </c>
      <c r="U13" s="168">
        <f t="shared" si="1"/>
        <v>337006346.14294666</v>
      </c>
      <c r="V13" s="165">
        <f>'Sch. 141LNG'!H11</f>
        <v>4006911.9333599992</v>
      </c>
      <c r="W13" s="167">
        <f t="shared" si="3"/>
        <v>341013258.07630664</v>
      </c>
      <c r="X13" s="169">
        <f t="shared" si="4"/>
        <v>1.1889722491042953E-2</v>
      </c>
    </row>
    <row r="14" spans="1:24" x14ac:dyDescent="0.35">
      <c r="A14" s="1">
        <f t="shared" si="5"/>
        <v>4</v>
      </c>
      <c r="B14" t="s">
        <v>11</v>
      </c>
      <c r="C14" s="1">
        <v>41</v>
      </c>
      <c r="D14" s="222">
        <v>60329188.999999985</v>
      </c>
      <c r="E14" s="170">
        <v>23891172.867297288</v>
      </c>
      <c r="F14" s="166">
        <f t="shared" si="0"/>
        <v>0.39601349302569433</v>
      </c>
      <c r="G14" s="222">
        <v>63604326</v>
      </c>
      <c r="H14" s="167">
        <f t="shared" si="2"/>
        <v>25188171.310804989</v>
      </c>
      <c r="I14" s="170">
        <v>33400310.390000001</v>
      </c>
      <c r="J14" s="170">
        <v>-3738662.28</v>
      </c>
      <c r="K14" s="170">
        <v>0</v>
      </c>
      <c r="L14" s="170">
        <v>2732441.8449599999</v>
      </c>
      <c r="M14" s="170">
        <v>1191945.0692399999</v>
      </c>
      <c r="N14" s="170">
        <v>0</v>
      </c>
      <c r="O14" s="170">
        <v>636679.30325999996</v>
      </c>
      <c r="P14" s="170">
        <v>38162.595599999993</v>
      </c>
      <c r="Q14" s="165">
        <f>'Sch. 141LNG'!F17</f>
        <v>1764314.3288030881</v>
      </c>
      <c r="R14" s="170">
        <v>0</v>
      </c>
      <c r="S14" s="170">
        <v>124664.47895999999</v>
      </c>
      <c r="T14" s="170">
        <v>144581.94</v>
      </c>
      <c r="U14" s="168">
        <f t="shared" si="1"/>
        <v>61482608.981628068</v>
      </c>
      <c r="V14" s="165">
        <f>'Sch. 141LNG'!H17</f>
        <v>1076605.5459049018</v>
      </c>
      <c r="W14" s="167">
        <f t="shared" si="3"/>
        <v>62559214.527532972</v>
      </c>
      <c r="X14" s="169">
        <f t="shared" si="4"/>
        <v>1.7510732933057667E-2</v>
      </c>
    </row>
    <row r="15" spans="1:24" x14ac:dyDescent="0.35">
      <c r="A15" s="1">
        <f t="shared" si="5"/>
        <v>5</v>
      </c>
      <c r="B15" t="s">
        <v>12</v>
      </c>
      <c r="C15" s="1">
        <v>85</v>
      </c>
      <c r="D15" s="222">
        <v>16668227</v>
      </c>
      <c r="E15" s="170">
        <v>2837821.1504219277</v>
      </c>
      <c r="F15" s="166">
        <f t="shared" si="0"/>
        <v>0.17025332990856962</v>
      </c>
      <c r="G15" s="222">
        <v>18286840</v>
      </c>
      <c r="H15" s="167">
        <f t="shared" si="2"/>
        <v>3113395.4035052271</v>
      </c>
      <c r="I15" s="170">
        <v>9057075.8300000001</v>
      </c>
      <c r="J15" s="170">
        <v>-1073254.6399999999</v>
      </c>
      <c r="K15" s="170">
        <v>0</v>
      </c>
      <c r="L15" s="170">
        <v>708615.05</v>
      </c>
      <c r="M15" s="170">
        <v>132792.14304276259</v>
      </c>
      <c r="N15" s="170">
        <v>0</v>
      </c>
      <c r="O15" s="170">
        <v>93994.357600000003</v>
      </c>
      <c r="P15" s="170">
        <v>9326.2884000000013</v>
      </c>
      <c r="Q15" s="165">
        <f>'Sch. 141LNG'!F23</f>
        <v>891638.54677008442</v>
      </c>
      <c r="R15" s="170">
        <v>0</v>
      </c>
      <c r="S15" s="170">
        <v>14446.6036</v>
      </c>
      <c r="T15" s="170"/>
      <c r="U15" s="168">
        <f t="shared" si="1"/>
        <v>12948029.582918072</v>
      </c>
      <c r="V15" s="165">
        <f>'Sch. 141LNG'!H23</f>
        <v>-217690.10783730945</v>
      </c>
      <c r="W15" s="167">
        <f t="shared" si="3"/>
        <v>12730339.475080762</v>
      </c>
      <c r="X15" s="169">
        <f t="shared" si="4"/>
        <v>-1.6812605071933197E-2</v>
      </c>
    </row>
    <row r="16" spans="1:24" x14ac:dyDescent="0.35">
      <c r="A16" s="1">
        <f t="shared" si="5"/>
        <v>6</v>
      </c>
      <c r="B16" t="s">
        <v>13</v>
      </c>
      <c r="C16" s="1">
        <v>86</v>
      </c>
      <c r="D16" s="222">
        <v>4684519.0000000009</v>
      </c>
      <c r="E16" s="170">
        <v>1197487.6867841617</v>
      </c>
      <c r="F16" s="166">
        <f t="shared" si="0"/>
        <v>0.25562660473448001</v>
      </c>
      <c r="G16" s="222">
        <v>3380734</v>
      </c>
      <c r="H16" s="167">
        <f t="shared" si="2"/>
        <v>864205.55393041752</v>
      </c>
      <c r="I16" s="170">
        <v>1708560.07</v>
      </c>
      <c r="J16" s="170">
        <v>-198482.89</v>
      </c>
      <c r="K16" s="170">
        <v>0</v>
      </c>
      <c r="L16" s="170">
        <v>131003.4425</v>
      </c>
      <c r="M16" s="170">
        <v>55613.0743</v>
      </c>
      <c r="N16" s="170">
        <v>0</v>
      </c>
      <c r="O16" s="170">
        <v>20047.752620000003</v>
      </c>
      <c r="P16" s="170">
        <v>439.49541999999997</v>
      </c>
      <c r="Q16" s="165">
        <f>'Sch. 141LNG'!F28</f>
        <v>140332.55919059174</v>
      </c>
      <c r="R16" s="170">
        <v>0</v>
      </c>
      <c r="S16" s="170">
        <v>6457.2019399999999</v>
      </c>
      <c r="T16" s="170">
        <v>6003.23</v>
      </c>
      <c r="U16" s="168">
        <f t="shared" si="1"/>
        <v>2734179.489901009</v>
      </c>
      <c r="V16" s="165">
        <f>'Sch. 141LNG'!H28</f>
        <v>192366.78748448839</v>
      </c>
      <c r="W16" s="167">
        <f t="shared" si="3"/>
        <v>2926546.2773854975</v>
      </c>
      <c r="X16" s="169">
        <f t="shared" si="4"/>
        <v>7.035631281523988E-2</v>
      </c>
    </row>
    <row r="17" spans="1:24" x14ac:dyDescent="0.35">
      <c r="A17" s="1">
        <f t="shared" si="5"/>
        <v>7</v>
      </c>
      <c r="B17" t="s">
        <v>14</v>
      </c>
      <c r="C17" s="1">
        <v>87</v>
      </c>
      <c r="D17" s="222">
        <v>20007657</v>
      </c>
      <c r="E17" s="170">
        <v>1963352.1562075664</v>
      </c>
      <c r="F17" s="166">
        <f>(E17)/D17</f>
        <v>9.8130038725052438E-2</v>
      </c>
      <c r="G17" s="222">
        <v>15889324</v>
      </c>
      <c r="H17" s="167">
        <f t="shared" si="2"/>
        <v>1559219.9794349051</v>
      </c>
      <c r="I17" s="170">
        <v>7795461.25</v>
      </c>
      <c r="J17" s="170">
        <v>-932385.53</v>
      </c>
      <c r="K17" s="170">
        <v>0</v>
      </c>
      <c r="L17" s="170">
        <v>615711.30500000005</v>
      </c>
      <c r="M17" s="170">
        <v>45328.856255529361</v>
      </c>
      <c r="N17" s="170">
        <v>0</v>
      </c>
      <c r="O17" s="170">
        <v>53388.128640000003</v>
      </c>
      <c r="P17" s="170">
        <v>3364.4615964476297</v>
      </c>
      <c r="Q17" s="165">
        <f>'Sch. 141LNG'!F37</f>
        <v>299551.22296195134</v>
      </c>
      <c r="R17" s="170">
        <v>0</v>
      </c>
      <c r="S17" s="170">
        <v>20497.22796</v>
      </c>
      <c r="T17" s="170"/>
      <c r="U17" s="168">
        <f t="shared" si="1"/>
        <v>9460136.901848834</v>
      </c>
      <c r="V17" s="165">
        <f>'Sch. 141LNG'!H37</f>
        <v>358948.60782723466</v>
      </c>
      <c r="W17" s="167">
        <f t="shared" si="3"/>
        <v>9819085.509676069</v>
      </c>
      <c r="X17" s="169">
        <f t="shared" si="4"/>
        <v>3.7943278363876939E-2</v>
      </c>
    </row>
    <row r="18" spans="1:24" x14ac:dyDescent="0.35">
      <c r="A18" s="1">
        <f t="shared" si="5"/>
        <v>8</v>
      </c>
      <c r="B18" t="s">
        <v>363</v>
      </c>
      <c r="C18" s="1" t="s">
        <v>279</v>
      </c>
      <c r="D18" s="222">
        <v>0</v>
      </c>
      <c r="E18" s="170">
        <v>0</v>
      </c>
      <c r="F18" s="166">
        <f>F13</f>
        <v>0.76107735219036488</v>
      </c>
      <c r="G18" s="222">
        <v>0</v>
      </c>
      <c r="H18" s="167">
        <f t="shared" si="2"/>
        <v>0</v>
      </c>
      <c r="I18" s="170"/>
      <c r="J18" s="170"/>
      <c r="K18" s="170">
        <v>0</v>
      </c>
      <c r="L18" s="170"/>
      <c r="M18" s="170">
        <v>0</v>
      </c>
      <c r="N18" s="170">
        <v>0</v>
      </c>
      <c r="O18" s="170">
        <v>0</v>
      </c>
      <c r="P18" s="170"/>
      <c r="Q18" s="165"/>
      <c r="R18" s="170">
        <v>0</v>
      </c>
      <c r="S18" s="170">
        <v>0</v>
      </c>
      <c r="T18" s="170">
        <v>0</v>
      </c>
      <c r="U18" s="168">
        <f t="shared" si="1"/>
        <v>0</v>
      </c>
      <c r="V18" s="165"/>
      <c r="W18" s="167">
        <f t="shared" si="3"/>
        <v>0</v>
      </c>
      <c r="X18" s="169">
        <f>IF(U18=0,0,V18/U18)</f>
        <v>0</v>
      </c>
    </row>
    <row r="19" spans="1:24" x14ac:dyDescent="0.35">
      <c r="A19" s="1">
        <f t="shared" si="5"/>
        <v>9</v>
      </c>
      <c r="B19" t="s">
        <v>364</v>
      </c>
      <c r="C19" s="1" t="s">
        <v>282</v>
      </c>
      <c r="D19" s="222">
        <v>21757669</v>
      </c>
      <c r="E19" s="170">
        <v>6238567.0116822571</v>
      </c>
      <c r="F19" s="166">
        <f t="shared" ref="F19:F25" si="6">(E19)/D19</f>
        <v>0.28672956701759994</v>
      </c>
      <c r="G19" s="222">
        <v>19656658</v>
      </c>
      <c r="H19" s="167">
        <f>F19*G19</f>
        <v>5636145.0373530416</v>
      </c>
      <c r="I19" s="170"/>
      <c r="J19" s="170"/>
      <c r="K19" s="170">
        <v>0</v>
      </c>
      <c r="L19" s="170"/>
      <c r="M19" s="170">
        <v>368365.77091999998</v>
      </c>
      <c r="N19" s="170">
        <v>0</v>
      </c>
      <c r="O19" s="170">
        <v>196763.14658</v>
      </c>
      <c r="P19" s="170"/>
      <c r="Q19" s="165"/>
      <c r="R19" s="170">
        <v>0</v>
      </c>
      <c r="S19" s="170">
        <v>38527.049679999996</v>
      </c>
      <c r="T19" s="170">
        <v>38700.67</v>
      </c>
      <c r="U19" s="168">
        <f t="shared" si="1"/>
        <v>6278501.6745330421</v>
      </c>
      <c r="V19" s="165"/>
      <c r="W19" s="167">
        <f t="shared" si="3"/>
        <v>6278501.6745330421</v>
      </c>
      <c r="X19" s="169">
        <f t="shared" si="4"/>
        <v>0</v>
      </c>
    </row>
    <row r="20" spans="1:24" x14ac:dyDescent="0.35">
      <c r="A20" s="1">
        <f t="shared" si="5"/>
        <v>10</v>
      </c>
      <c r="B20" t="s">
        <v>365</v>
      </c>
      <c r="C20" s="1" t="s">
        <v>284</v>
      </c>
      <c r="D20" s="222">
        <v>62744436</v>
      </c>
      <c r="E20" s="170">
        <v>9522385.7939065918</v>
      </c>
      <c r="F20" s="166">
        <f t="shared" si="6"/>
        <v>0.15176462489688475</v>
      </c>
      <c r="G20" s="222">
        <v>47347484</v>
      </c>
      <c r="H20" s="167">
        <f t="shared" si="2"/>
        <v>7185673.149071252</v>
      </c>
      <c r="I20" s="170"/>
      <c r="J20" s="170"/>
      <c r="K20" s="170">
        <v>0</v>
      </c>
      <c r="L20" s="170"/>
      <c r="M20" s="170">
        <v>335642.28226568195</v>
      </c>
      <c r="N20" s="170">
        <v>0</v>
      </c>
      <c r="O20" s="170">
        <v>243366.06776000003</v>
      </c>
      <c r="P20" s="170"/>
      <c r="Q20" s="165"/>
      <c r="R20" s="170">
        <v>0</v>
      </c>
      <c r="S20" s="170">
        <v>37404.512360000001</v>
      </c>
      <c r="T20" s="170"/>
      <c r="U20" s="168">
        <f t="shared" si="1"/>
        <v>7802086.0114569338</v>
      </c>
      <c r="V20" s="165"/>
      <c r="W20" s="167">
        <f t="shared" si="3"/>
        <v>7802086.0114569338</v>
      </c>
      <c r="X20" s="169">
        <f t="shared" si="4"/>
        <v>0</v>
      </c>
    </row>
    <row r="21" spans="1:24" x14ac:dyDescent="0.35">
      <c r="A21" s="1">
        <f t="shared" si="5"/>
        <v>11</v>
      </c>
      <c r="B21" t="s">
        <v>366</v>
      </c>
      <c r="C21" s="1" t="s">
        <v>286</v>
      </c>
      <c r="D21" s="222">
        <v>1176527</v>
      </c>
      <c r="E21" s="170">
        <v>251480.2343800581</v>
      </c>
      <c r="F21" s="166">
        <f t="shared" si="6"/>
        <v>0.21374795000884647</v>
      </c>
      <c r="G21" s="222">
        <v>455222</v>
      </c>
      <c r="H21" s="167">
        <f t="shared" si="2"/>
        <v>97302.769298927102</v>
      </c>
      <c r="I21" s="170"/>
      <c r="J21" s="170"/>
      <c r="K21" s="170">
        <v>0</v>
      </c>
      <c r="L21" s="170"/>
      <c r="M21" s="170">
        <v>7488.4018999999998</v>
      </c>
      <c r="N21" s="170">
        <v>0</v>
      </c>
      <c r="O21" s="170">
        <v>2699.4664600000001</v>
      </c>
      <c r="P21" s="170"/>
      <c r="Q21" s="165"/>
      <c r="R21" s="170">
        <v>0</v>
      </c>
      <c r="S21" s="170">
        <v>869.47402</v>
      </c>
      <c r="T21" s="170">
        <v>733.33</v>
      </c>
      <c r="U21" s="168">
        <f t="shared" si="1"/>
        <v>109093.44167892709</v>
      </c>
      <c r="V21" s="165"/>
      <c r="W21" s="167">
        <f t="shared" si="3"/>
        <v>109093.44167892709</v>
      </c>
      <c r="X21" s="169">
        <f t="shared" si="4"/>
        <v>0</v>
      </c>
    </row>
    <row r="22" spans="1:24" x14ac:dyDescent="0.35">
      <c r="A22" s="1">
        <f t="shared" si="5"/>
        <v>12</v>
      </c>
      <c r="B22" t="s">
        <v>367</v>
      </c>
      <c r="C22" s="1" t="s">
        <v>289</v>
      </c>
      <c r="D22" s="222">
        <v>66693986.720000006</v>
      </c>
      <c r="E22" s="170">
        <v>5573975.0268660607</v>
      </c>
      <c r="F22" s="166">
        <f>(E22)/D22</f>
        <v>8.3575376146985569E-2</v>
      </c>
      <c r="G22" s="222">
        <v>58818514</v>
      </c>
      <c r="H22" s="167">
        <f t="shared" si="2"/>
        <v>4915779.4319567364</v>
      </c>
      <c r="I22" s="170"/>
      <c r="J22" s="170"/>
      <c r="K22" s="170">
        <v>0</v>
      </c>
      <c r="L22" s="170"/>
      <c r="M22" s="170">
        <v>130854.29849492673</v>
      </c>
      <c r="N22" s="170">
        <v>0</v>
      </c>
      <c r="O22" s="170">
        <v>197630.20704000001</v>
      </c>
      <c r="P22" s="170"/>
      <c r="Q22" s="165"/>
      <c r="R22" s="170">
        <v>0</v>
      </c>
      <c r="S22" s="170">
        <v>0</v>
      </c>
      <c r="T22" s="170"/>
      <c r="U22" s="168">
        <f t="shared" si="1"/>
        <v>5244263.9374916628</v>
      </c>
      <c r="V22" s="165"/>
      <c r="W22" s="167">
        <f t="shared" si="3"/>
        <v>5244263.9374916628</v>
      </c>
      <c r="X22" s="169">
        <f t="shared" si="4"/>
        <v>0</v>
      </c>
    </row>
    <row r="23" spans="1:24" x14ac:dyDescent="0.35">
      <c r="A23" s="1">
        <f t="shared" si="5"/>
        <v>13</v>
      </c>
      <c r="B23" t="s">
        <v>368</v>
      </c>
      <c r="C23" s="1" t="s">
        <v>296</v>
      </c>
      <c r="D23" s="222">
        <v>39295144</v>
      </c>
      <c r="E23" s="170">
        <v>1209312</v>
      </c>
      <c r="F23" s="166">
        <f>(E23)/D23</f>
        <v>3.0775100353366818E-2</v>
      </c>
      <c r="G23" s="222">
        <v>32055817</v>
      </c>
      <c r="H23" s="167">
        <f t="shared" si="2"/>
        <v>986520.98508416209</v>
      </c>
      <c r="I23" s="170"/>
      <c r="J23" s="170"/>
      <c r="K23" s="170">
        <v>47867.806325999962</v>
      </c>
      <c r="L23" s="170"/>
      <c r="M23" s="170">
        <v>51381.003929999999</v>
      </c>
      <c r="N23" s="170">
        <v>0</v>
      </c>
      <c r="O23" s="170">
        <v>25644.653599999998</v>
      </c>
      <c r="P23" s="170">
        <v>3602455.7639899999</v>
      </c>
      <c r="Q23" s="165"/>
      <c r="R23" s="170">
        <v>0</v>
      </c>
      <c r="S23" s="170">
        <v>320.55817000000002</v>
      </c>
      <c r="T23" s="170"/>
      <c r="U23" s="168">
        <f t="shared" si="1"/>
        <v>4714190.7711001616</v>
      </c>
      <c r="V23" s="165"/>
      <c r="W23" s="167">
        <f t="shared" si="3"/>
        <v>4714190.7711001616</v>
      </c>
      <c r="X23" s="169">
        <f t="shared" si="4"/>
        <v>0</v>
      </c>
    </row>
    <row r="24" spans="1:24" x14ac:dyDescent="0.35">
      <c r="A24" s="1">
        <f t="shared" si="5"/>
        <v>14</v>
      </c>
      <c r="B24" t="s">
        <v>15</v>
      </c>
      <c r="D24" s="222">
        <v>32030387</v>
      </c>
      <c r="E24" s="170">
        <v>1689958.6180424246</v>
      </c>
      <c r="F24" s="171">
        <f t="shared" si="6"/>
        <v>5.2761105198086571E-2</v>
      </c>
      <c r="G24" s="222">
        <v>27870368</v>
      </c>
      <c r="H24" s="167">
        <f t="shared" si="2"/>
        <v>1470471.4179573855</v>
      </c>
      <c r="I24" s="170"/>
      <c r="J24" s="170"/>
      <c r="K24" s="170">
        <v>0</v>
      </c>
      <c r="L24" s="170"/>
      <c r="M24" s="170"/>
      <c r="N24" s="170"/>
      <c r="O24" s="170">
        <v>18115.7392</v>
      </c>
      <c r="P24" s="170"/>
      <c r="Q24" s="165"/>
      <c r="R24" s="170">
        <v>0</v>
      </c>
      <c r="S24" s="170">
        <v>0</v>
      </c>
      <c r="T24" s="170"/>
      <c r="U24" s="168">
        <f t="shared" si="1"/>
        <v>1488587.1571573855</v>
      </c>
      <c r="V24" s="165"/>
      <c r="W24" s="167">
        <f t="shared" si="3"/>
        <v>1488587.1571573855</v>
      </c>
      <c r="X24" s="169">
        <f t="shared" si="4"/>
        <v>0</v>
      </c>
    </row>
    <row r="25" spans="1:24" x14ac:dyDescent="0.35">
      <c r="A25" s="1">
        <f t="shared" si="5"/>
        <v>15</v>
      </c>
      <c r="B25" t="s">
        <v>16</v>
      </c>
      <c r="D25" s="172">
        <f>SUM(D11:D24)</f>
        <v>1093881399.72</v>
      </c>
      <c r="E25" s="173">
        <f>SUM(E11:E24)</f>
        <v>701428420.63677275</v>
      </c>
      <c r="F25" s="166">
        <f t="shared" si="6"/>
        <v>0.64122894933245678</v>
      </c>
      <c r="G25" s="172">
        <f>SUM(G11:G24)</f>
        <v>1069182202</v>
      </c>
      <c r="H25" s="173">
        <f>SUM(H11:H24)</f>
        <v>708933876.3170197</v>
      </c>
      <c r="I25" s="173">
        <f t="shared" ref="I25:L25" si="7">SUM(I11:I24)</f>
        <v>483044034.03999996</v>
      </c>
      <c r="J25" s="173">
        <f t="shared" si="7"/>
        <v>-51934718.829999998</v>
      </c>
      <c r="K25" s="173">
        <f t="shared" si="7"/>
        <v>4411459.5014876537</v>
      </c>
      <c r="L25" s="173">
        <f t="shared" si="7"/>
        <v>37774626.310859993</v>
      </c>
      <c r="M25" s="173">
        <f>SUM(M11:M24)</f>
        <v>50981471.679808907</v>
      </c>
      <c r="N25" s="173">
        <f>SUM(N11:N24)</f>
        <v>0</v>
      </c>
      <c r="O25" s="173">
        <f>SUM(O11:O24)</f>
        <v>19168588.555970002</v>
      </c>
      <c r="P25" s="173">
        <f>SUM(P11:P24)</f>
        <v>4309621.8023864478</v>
      </c>
      <c r="Q25" s="173">
        <f>SUM(Q11:Q24)</f>
        <v>37974890.584665716</v>
      </c>
      <c r="R25" s="173">
        <f t="shared" ref="R25:U25" si="8">SUM(R11:R24)</f>
        <v>0</v>
      </c>
      <c r="S25" s="173">
        <f t="shared" si="8"/>
        <v>7837683.7113500005</v>
      </c>
      <c r="T25" s="173">
        <f t="shared" si="8"/>
        <v>35397711.159999996</v>
      </c>
      <c r="U25" s="174">
        <f t="shared" si="8"/>
        <v>1337899244.8335488</v>
      </c>
      <c r="V25" s="173">
        <f>SUM(V11:V24)</f>
        <v>19182763.197539318</v>
      </c>
      <c r="W25" s="173">
        <f>SUM(W11:W24)</f>
        <v>1357082008.0310879</v>
      </c>
      <c r="X25" s="175">
        <f t="shared" si="4"/>
        <v>1.4337972961428715E-2</v>
      </c>
    </row>
    <row r="26" spans="1:24" x14ac:dyDescent="0.35">
      <c r="A26" s="1"/>
      <c r="D26" s="176"/>
      <c r="E26" s="167"/>
      <c r="G26" s="176"/>
      <c r="M26" s="167"/>
      <c r="N26" s="167"/>
      <c r="T26" s="167"/>
      <c r="U26" s="167"/>
      <c r="X26" s="169"/>
    </row>
    <row r="27" spans="1:24" s="181" customFormat="1" x14ac:dyDescent="0.35">
      <c r="A27" s="1"/>
      <c r="B27" s="177" t="s">
        <v>369</v>
      </c>
      <c r="C27" s="178"/>
      <c r="D27" s="179"/>
      <c r="E27" s="180"/>
      <c r="V27" s="180"/>
      <c r="W27" s="180"/>
      <c r="X27" s="169"/>
    </row>
    <row r="28" spans="1:24" s="181" customFormat="1" x14ac:dyDescent="0.35">
      <c r="A28" s="1">
        <f>A25+1</f>
        <v>16</v>
      </c>
      <c r="B28" s="182" t="s">
        <v>8</v>
      </c>
      <c r="C28" s="183" t="s">
        <v>370</v>
      </c>
      <c r="D28" s="184">
        <f>D11+D12</f>
        <v>539966588</v>
      </c>
      <c r="E28" s="185">
        <f>E11+E12</f>
        <v>473126130.75176215</v>
      </c>
      <c r="F28" s="166">
        <f t="shared" ref="F28:F36" si="9">(E28)/D28</f>
        <v>0.87621371630453948</v>
      </c>
      <c r="G28" s="184">
        <f>G11+G12</f>
        <v>546254779</v>
      </c>
      <c r="H28" s="185">
        <f>H11+H12</f>
        <v>478635984.53543615</v>
      </c>
      <c r="I28" s="185">
        <f t="shared" ref="I28:T28" si="10">I11+I12</f>
        <v>302253694.31999999</v>
      </c>
      <c r="J28" s="185">
        <f t="shared" si="10"/>
        <v>-32136168.649999999</v>
      </c>
      <c r="K28" s="185">
        <f t="shared" si="10"/>
        <v>4363591.6951616537</v>
      </c>
      <c r="L28" s="185">
        <f t="shared" si="10"/>
        <v>23467105.305839997</v>
      </c>
      <c r="M28" s="185">
        <f t="shared" si="10"/>
        <v>37439880.620420001</v>
      </c>
      <c r="N28" s="185">
        <f t="shared" si="10"/>
        <v>0</v>
      </c>
      <c r="O28" s="185">
        <f t="shared" si="10"/>
        <v>11553288.575850001</v>
      </c>
      <c r="P28" s="185">
        <f t="shared" si="10"/>
        <v>469779.10993999999</v>
      </c>
      <c r="Q28" s="185">
        <f t="shared" si="10"/>
        <v>25531948.37046</v>
      </c>
      <c r="R28" s="185">
        <f t="shared" si="10"/>
        <v>0</v>
      </c>
      <c r="S28" s="185">
        <f t="shared" si="10"/>
        <v>6456731.4877800001</v>
      </c>
      <c r="T28" s="185">
        <f t="shared" si="10"/>
        <v>30595385.370000001</v>
      </c>
      <c r="U28" s="185">
        <f>U11+U12</f>
        <v>888631220.74088776</v>
      </c>
      <c r="V28" s="167">
        <f>SUM(V11:V12)</f>
        <v>13765620.430800002</v>
      </c>
      <c r="W28" s="167">
        <f>SUM(W11:W12)</f>
        <v>902396841.17168772</v>
      </c>
      <c r="X28" s="169">
        <f t="shared" si="4"/>
        <v>1.5490813410002687E-2</v>
      </c>
    </row>
    <row r="29" spans="1:24" s="181" customFormat="1" x14ac:dyDescent="0.35">
      <c r="A29" s="1">
        <f t="shared" si="5"/>
        <v>17</v>
      </c>
      <c r="B29" s="182" t="s">
        <v>371</v>
      </c>
      <c r="C29" s="183" t="s">
        <v>372</v>
      </c>
      <c r="D29" s="184">
        <f t="shared" ref="D29:E33" si="11">D13+D18</f>
        <v>228527070</v>
      </c>
      <c r="E29" s="185">
        <f t="shared" si="11"/>
        <v>173926777.33942217</v>
      </c>
      <c r="F29" s="166">
        <f t="shared" si="9"/>
        <v>0.76107735219036488</v>
      </c>
      <c r="G29" s="184">
        <f t="shared" ref="G29:U33" si="12">G13+G18</f>
        <v>235562136</v>
      </c>
      <c r="H29" s="185">
        <f t="shared" si="12"/>
        <v>179281006.74318662</v>
      </c>
      <c r="I29" s="185">
        <f t="shared" si="12"/>
        <v>128828932.18000001</v>
      </c>
      <c r="J29" s="185">
        <f t="shared" si="12"/>
        <v>-13855764.84</v>
      </c>
      <c r="K29" s="185">
        <f t="shared" si="12"/>
        <v>0</v>
      </c>
      <c r="L29" s="185">
        <f t="shared" si="12"/>
        <v>10119749.36256</v>
      </c>
      <c r="M29" s="185">
        <f t="shared" si="12"/>
        <v>11222180.15904</v>
      </c>
      <c r="N29" s="185">
        <f t="shared" si="12"/>
        <v>0</v>
      </c>
      <c r="O29" s="185">
        <f t="shared" si="12"/>
        <v>6126971.1573599996</v>
      </c>
      <c r="P29" s="185">
        <f t="shared" si="12"/>
        <v>186094.08744</v>
      </c>
      <c r="Q29" s="185">
        <f t="shared" si="12"/>
        <v>9347105.5564799998</v>
      </c>
      <c r="R29" s="185">
        <f t="shared" si="12"/>
        <v>0</v>
      </c>
      <c r="S29" s="185">
        <f t="shared" si="12"/>
        <v>1137765.1168800001</v>
      </c>
      <c r="T29" s="185">
        <f t="shared" si="12"/>
        <v>4612306.62</v>
      </c>
      <c r="U29" s="185">
        <f t="shared" si="12"/>
        <v>337006346.14294666</v>
      </c>
      <c r="V29" s="167">
        <f t="shared" ref="V29:W33" si="13">SUM(V13,V18)</f>
        <v>4006911.9333599992</v>
      </c>
      <c r="W29" s="167">
        <f t="shared" si="13"/>
        <v>341013258.07630664</v>
      </c>
      <c r="X29" s="169">
        <f t="shared" si="4"/>
        <v>1.1889722491042953E-2</v>
      </c>
    </row>
    <row r="30" spans="1:24" s="181" customFormat="1" x14ac:dyDescent="0.35">
      <c r="A30" s="1">
        <f t="shared" si="5"/>
        <v>18</v>
      </c>
      <c r="B30" s="182" t="s">
        <v>373</v>
      </c>
      <c r="C30" s="183" t="s">
        <v>374</v>
      </c>
      <c r="D30" s="184">
        <f t="shared" si="11"/>
        <v>82086857.999999985</v>
      </c>
      <c r="E30" s="185">
        <f t="shared" si="11"/>
        <v>30129739.878979545</v>
      </c>
      <c r="F30" s="166">
        <f t="shared" si="9"/>
        <v>0.36704705982265212</v>
      </c>
      <c r="G30" s="184">
        <f t="shared" si="12"/>
        <v>83260984</v>
      </c>
      <c r="H30" s="185">
        <f t="shared" si="12"/>
        <v>30824316.348158032</v>
      </c>
      <c r="I30" s="185">
        <f t="shared" si="12"/>
        <v>33400310.390000001</v>
      </c>
      <c r="J30" s="185">
        <f t="shared" si="12"/>
        <v>-3738662.28</v>
      </c>
      <c r="K30" s="185">
        <f t="shared" si="12"/>
        <v>0</v>
      </c>
      <c r="L30" s="185">
        <f t="shared" si="12"/>
        <v>2732441.8449599999</v>
      </c>
      <c r="M30" s="185">
        <f t="shared" si="12"/>
        <v>1560310.8401599999</v>
      </c>
      <c r="N30" s="185">
        <f t="shared" si="12"/>
        <v>0</v>
      </c>
      <c r="O30" s="185">
        <f t="shared" si="12"/>
        <v>833442.4498399999</v>
      </c>
      <c r="P30" s="185">
        <f t="shared" si="12"/>
        <v>38162.595599999993</v>
      </c>
      <c r="Q30" s="185">
        <f t="shared" si="12"/>
        <v>1764314.3288030881</v>
      </c>
      <c r="R30" s="185">
        <f t="shared" si="12"/>
        <v>0</v>
      </c>
      <c r="S30" s="185">
        <f t="shared" si="12"/>
        <v>163191.52863999997</v>
      </c>
      <c r="T30" s="185">
        <f t="shared" si="12"/>
        <v>183282.61</v>
      </c>
      <c r="U30" s="185">
        <f t="shared" si="12"/>
        <v>67761110.656161115</v>
      </c>
      <c r="V30" s="167">
        <f t="shared" si="13"/>
        <v>1076605.5459049018</v>
      </c>
      <c r="W30" s="167">
        <f t="shared" si="13"/>
        <v>68837716.202066019</v>
      </c>
      <c r="X30" s="169">
        <f t="shared" si="4"/>
        <v>1.5888251173566213E-2</v>
      </c>
    </row>
    <row r="31" spans="1:24" s="181" customFormat="1" x14ac:dyDescent="0.35">
      <c r="A31" s="1">
        <f t="shared" si="5"/>
        <v>19</v>
      </c>
      <c r="B31" s="182" t="s">
        <v>12</v>
      </c>
      <c r="C31" s="183" t="s">
        <v>375</v>
      </c>
      <c r="D31" s="184">
        <f t="shared" si="11"/>
        <v>79412663</v>
      </c>
      <c r="E31" s="185">
        <f t="shared" si="11"/>
        <v>12360206.94432852</v>
      </c>
      <c r="F31" s="166">
        <f t="shared" si="9"/>
        <v>0.15564528977360348</v>
      </c>
      <c r="G31" s="184">
        <f t="shared" si="12"/>
        <v>65634324</v>
      </c>
      <c r="H31" s="185">
        <f t="shared" si="12"/>
        <v>10299068.552576479</v>
      </c>
      <c r="I31" s="185">
        <f t="shared" si="12"/>
        <v>9057075.8300000001</v>
      </c>
      <c r="J31" s="185">
        <f t="shared" si="12"/>
        <v>-1073254.6399999999</v>
      </c>
      <c r="K31" s="185">
        <f t="shared" si="12"/>
        <v>0</v>
      </c>
      <c r="L31" s="185">
        <f t="shared" si="12"/>
        <v>708615.05</v>
      </c>
      <c r="M31" s="185">
        <f t="shared" si="12"/>
        <v>468434.42530844454</v>
      </c>
      <c r="N31" s="185">
        <f t="shared" si="12"/>
        <v>0</v>
      </c>
      <c r="O31" s="185">
        <f t="shared" si="12"/>
        <v>337360.42536000005</v>
      </c>
      <c r="P31" s="185">
        <f t="shared" si="12"/>
        <v>9326.2884000000013</v>
      </c>
      <c r="Q31" s="185">
        <f t="shared" si="12"/>
        <v>891638.54677008442</v>
      </c>
      <c r="R31" s="185">
        <f t="shared" si="12"/>
        <v>0</v>
      </c>
      <c r="S31" s="185">
        <f t="shared" si="12"/>
        <v>51851.115960000003</v>
      </c>
      <c r="T31" s="185">
        <f t="shared" si="12"/>
        <v>0</v>
      </c>
      <c r="U31" s="185">
        <f t="shared" si="12"/>
        <v>20750115.594375007</v>
      </c>
      <c r="V31" s="167">
        <f t="shared" si="13"/>
        <v>-217690.10783730945</v>
      </c>
      <c r="W31" s="167">
        <f t="shared" si="13"/>
        <v>20532425.486537695</v>
      </c>
      <c r="X31" s="169">
        <f t="shared" si="4"/>
        <v>-1.0491031090753125E-2</v>
      </c>
    </row>
    <row r="32" spans="1:24" s="181" customFormat="1" x14ac:dyDescent="0.35">
      <c r="A32" s="1">
        <f t="shared" si="5"/>
        <v>20</v>
      </c>
      <c r="B32" s="182" t="s">
        <v>376</v>
      </c>
      <c r="C32" s="183" t="s">
        <v>377</v>
      </c>
      <c r="D32" s="184">
        <f t="shared" si="11"/>
        <v>5861046.0000000009</v>
      </c>
      <c r="E32" s="185">
        <f t="shared" si="11"/>
        <v>1448967.9211642197</v>
      </c>
      <c r="F32" s="166">
        <f t="shared" si="9"/>
        <v>0.24722002201726781</v>
      </c>
      <c r="G32" s="184">
        <f t="shared" si="12"/>
        <v>3835956</v>
      </c>
      <c r="H32" s="185">
        <f t="shared" si="12"/>
        <v>961508.32322934456</v>
      </c>
      <c r="I32" s="185">
        <f t="shared" si="12"/>
        <v>1708560.07</v>
      </c>
      <c r="J32" s="185">
        <f t="shared" si="12"/>
        <v>-198482.89</v>
      </c>
      <c r="K32" s="185">
        <f t="shared" si="12"/>
        <v>0</v>
      </c>
      <c r="L32" s="185">
        <f t="shared" si="12"/>
        <v>131003.4425</v>
      </c>
      <c r="M32" s="185">
        <f t="shared" si="12"/>
        <v>63101.476199999997</v>
      </c>
      <c r="N32" s="185">
        <f t="shared" si="12"/>
        <v>0</v>
      </c>
      <c r="O32" s="185">
        <f t="shared" si="12"/>
        <v>22747.219080000003</v>
      </c>
      <c r="P32" s="185">
        <f t="shared" si="12"/>
        <v>439.49541999999997</v>
      </c>
      <c r="Q32" s="185">
        <f t="shared" si="12"/>
        <v>140332.55919059174</v>
      </c>
      <c r="R32" s="185">
        <f t="shared" si="12"/>
        <v>0</v>
      </c>
      <c r="S32" s="185">
        <f t="shared" si="12"/>
        <v>7326.6759599999996</v>
      </c>
      <c r="T32" s="185">
        <f t="shared" si="12"/>
        <v>6736.5599999999995</v>
      </c>
      <c r="U32" s="185">
        <f t="shared" si="12"/>
        <v>2843272.9315799363</v>
      </c>
      <c r="V32" s="167">
        <f t="shared" si="13"/>
        <v>192366.78748448839</v>
      </c>
      <c r="W32" s="167">
        <f t="shared" si="13"/>
        <v>3035639.7190644247</v>
      </c>
      <c r="X32" s="169">
        <f t="shared" si="4"/>
        <v>6.7656813859791831E-2</v>
      </c>
    </row>
    <row r="33" spans="1:24" s="181" customFormat="1" x14ac:dyDescent="0.35">
      <c r="A33" s="1">
        <f t="shared" si="5"/>
        <v>21</v>
      </c>
      <c r="B33" s="182" t="s">
        <v>378</v>
      </c>
      <c r="C33" s="183" t="s">
        <v>379</v>
      </c>
      <c r="D33" s="184">
        <f t="shared" si="11"/>
        <v>86701643.719999999</v>
      </c>
      <c r="E33" s="185">
        <f t="shared" si="11"/>
        <v>7537327.1830736268</v>
      </c>
      <c r="F33" s="166">
        <f t="shared" si="9"/>
        <v>8.6934074830405383E-2</v>
      </c>
      <c r="G33" s="184">
        <f t="shared" si="12"/>
        <v>74707838</v>
      </c>
      <c r="H33" s="185">
        <f t="shared" si="12"/>
        <v>6474999.4113916419</v>
      </c>
      <c r="I33" s="185">
        <f t="shared" si="12"/>
        <v>7795461.25</v>
      </c>
      <c r="J33" s="185">
        <f t="shared" si="12"/>
        <v>-932385.53</v>
      </c>
      <c r="K33" s="185">
        <f t="shared" si="12"/>
        <v>0</v>
      </c>
      <c r="L33" s="185">
        <f t="shared" si="12"/>
        <v>615711.30500000005</v>
      </c>
      <c r="M33" s="185">
        <f t="shared" si="12"/>
        <v>176183.1547504561</v>
      </c>
      <c r="N33" s="185">
        <f t="shared" si="12"/>
        <v>0</v>
      </c>
      <c r="O33" s="185">
        <f t="shared" si="12"/>
        <v>251018.33568000002</v>
      </c>
      <c r="P33" s="185">
        <f t="shared" si="12"/>
        <v>3364.4615964476297</v>
      </c>
      <c r="Q33" s="185">
        <f t="shared" si="12"/>
        <v>299551.22296195134</v>
      </c>
      <c r="R33" s="185">
        <f t="shared" si="12"/>
        <v>0</v>
      </c>
      <c r="S33" s="185">
        <f t="shared" si="12"/>
        <v>20497.22796</v>
      </c>
      <c r="T33" s="185">
        <f t="shared" si="12"/>
        <v>0</v>
      </c>
      <c r="U33" s="185">
        <f t="shared" si="12"/>
        <v>14704400.839340497</v>
      </c>
      <c r="V33" s="167">
        <f t="shared" si="13"/>
        <v>358948.60782723466</v>
      </c>
      <c r="W33" s="167">
        <f t="shared" si="13"/>
        <v>15063349.447167732</v>
      </c>
      <c r="X33" s="169">
        <f t="shared" si="4"/>
        <v>2.4410964564220473E-2</v>
      </c>
    </row>
    <row r="34" spans="1:24" s="181" customFormat="1" x14ac:dyDescent="0.35">
      <c r="A34" s="1">
        <f t="shared" si="5"/>
        <v>22</v>
      </c>
      <c r="B34" s="182" t="s">
        <v>380</v>
      </c>
      <c r="C34" s="183" t="s">
        <v>296</v>
      </c>
      <c r="D34" s="184">
        <f>D23</f>
        <v>39295144</v>
      </c>
      <c r="E34" s="185">
        <f>E23</f>
        <v>1209312</v>
      </c>
      <c r="F34" s="166">
        <f t="shared" si="9"/>
        <v>3.0775100353366818E-2</v>
      </c>
      <c r="G34" s="184">
        <f>G23</f>
        <v>32055817</v>
      </c>
      <c r="H34" s="185">
        <f>H23</f>
        <v>986520.98508416209</v>
      </c>
      <c r="I34" s="185">
        <f t="shared" ref="I34:W35" si="14">I23</f>
        <v>0</v>
      </c>
      <c r="J34" s="185">
        <f t="shared" si="14"/>
        <v>0</v>
      </c>
      <c r="K34" s="185">
        <f t="shared" si="14"/>
        <v>47867.806325999962</v>
      </c>
      <c r="L34" s="185">
        <f t="shared" si="14"/>
        <v>0</v>
      </c>
      <c r="M34" s="185">
        <f t="shared" si="14"/>
        <v>51381.003929999999</v>
      </c>
      <c r="N34" s="185">
        <f t="shared" si="14"/>
        <v>0</v>
      </c>
      <c r="O34" s="185">
        <f t="shared" si="14"/>
        <v>25644.653599999998</v>
      </c>
      <c r="P34" s="185">
        <f t="shared" si="14"/>
        <v>3602455.7639899999</v>
      </c>
      <c r="Q34" s="185">
        <f t="shared" si="14"/>
        <v>0</v>
      </c>
      <c r="R34" s="185">
        <f t="shared" si="14"/>
        <v>0</v>
      </c>
      <c r="S34" s="185">
        <f t="shared" si="14"/>
        <v>320.55817000000002</v>
      </c>
      <c r="T34" s="185">
        <f t="shared" si="14"/>
        <v>0</v>
      </c>
      <c r="U34" s="185">
        <f t="shared" si="14"/>
        <v>4714190.7711001616</v>
      </c>
      <c r="V34" s="167">
        <f t="shared" si="14"/>
        <v>0</v>
      </c>
      <c r="W34" s="167">
        <f t="shared" si="14"/>
        <v>4714190.7711001616</v>
      </c>
      <c r="X34" s="169">
        <f t="shared" si="4"/>
        <v>0</v>
      </c>
    </row>
    <row r="35" spans="1:24" s="181" customFormat="1" x14ac:dyDescent="0.35">
      <c r="A35" s="1">
        <f t="shared" si="5"/>
        <v>23</v>
      </c>
      <c r="B35" s="182" t="s">
        <v>15</v>
      </c>
      <c r="C35" s="182"/>
      <c r="D35" s="184">
        <f>D24</f>
        <v>32030387</v>
      </c>
      <c r="E35" s="185">
        <f>E24</f>
        <v>1689958.6180424246</v>
      </c>
      <c r="F35" s="166">
        <f t="shared" si="9"/>
        <v>5.2761105198086571E-2</v>
      </c>
      <c r="G35" s="184">
        <f>G24</f>
        <v>27870368</v>
      </c>
      <c r="H35" s="185">
        <f>H24</f>
        <v>1470471.4179573855</v>
      </c>
      <c r="I35" s="185">
        <f t="shared" si="14"/>
        <v>0</v>
      </c>
      <c r="J35" s="185">
        <f t="shared" si="14"/>
        <v>0</v>
      </c>
      <c r="K35" s="185">
        <f t="shared" si="14"/>
        <v>0</v>
      </c>
      <c r="L35" s="185">
        <f t="shared" si="14"/>
        <v>0</v>
      </c>
      <c r="M35" s="185">
        <f t="shared" si="14"/>
        <v>0</v>
      </c>
      <c r="N35" s="185">
        <f t="shared" si="14"/>
        <v>0</v>
      </c>
      <c r="O35" s="185">
        <f t="shared" si="14"/>
        <v>18115.7392</v>
      </c>
      <c r="P35" s="185">
        <f t="shared" si="14"/>
        <v>0</v>
      </c>
      <c r="Q35" s="185">
        <f t="shared" si="14"/>
        <v>0</v>
      </c>
      <c r="R35" s="185">
        <f t="shared" si="14"/>
        <v>0</v>
      </c>
      <c r="S35" s="185">
        <f t="shared" si="14"/>
        <v>0</v>
      </c>
      <c r="T35" s="185">
        <f t="shared" si="14"/>
        <v>0</v>
      </c>
      <c r="U35" s="185">
        <f>U24</f>
        <v>1488587.1571573855</v>
      </c>
      <c r="V35" s="167">
        <f>V24</f>
        <v>0</v>
      </c>
      <c r="W35" s="167">
        <f>W24</f>
        <v>1488587.1571573855</v>
      </c>
      <c r="X35" s="169">
        <f t="shared" si="4"/>
        <v>0</v>
      </c>
    </row>
    <row r="36" spans="1:24" s="181" customFormat="1" x14ac:dyDescent="0.35">
      <c r="A36" s="1">
        <f t="shared" si="5"/>
        <v>24</v>
      </c>
      <c r="B36" s="182" t="s">
        <v>16</v>
      </c>
      <c r="C36" s="182"/>
      <c r="D36" s="186">
        <f>SUM(D28:D35)</f>
        <v>1093881399.72</v>
      </c>
      <c r="E36" s="187">
        <f>SUM(E28:E35)</f>
        <v>701428420.63677287</v>
      </c>
      <c r="F36" s="188">
        <f t="shared" si="9"/>
        <v>0.64122894933245689</v>
      </c>
      <c r="G36" s="186">
        <f>SUM(G28:G35)</f>
        <v>1069182202</v>
      </c>
      <c r="H36" s="187">
        <f>SUM(H28:H35)</f>
        <v>708933876.3170197</v>
      </c>
      <c r="I36" s="187">
        <f t="shared" ref="I36:T36" si="15">SUM(I28:I35)</f>
        <v>483044034.03999996</v>
      </c>
      <c r="J36" s="187">
        <f t="shared" si="15"/>
        <v>-51934718.829999998</v>
      </c>
      <c r="K36" s="187">
        <f t="shared" si="15"/>
        <v>4411459.5014876537</v>
      </c>
      <c r="L36" s="187">
        <f t="shared" si="15"/>
        <v>37774626.310859993</v>
      </c>
      <c r="M36" s="187">
        <f t="shared" si="15"/>
        <v>50981471.6798089</v>
      </c>
      <c r="N36" s="187">
        <f t="shared" si="15"/>
        <v>0</v>
      </c>
      <c r="O36" s="187">
        <f t="shared" si="15"/>
        <v>19168588.555970002</v>
      </c>
      <c r="P36" s="187">
        <f t="shared" si="15"/>
        <v>4309621.8023864478</v>
      </c>
      <c r="Q36" s="187">
        <f t="shared" si="15"/>
        <v>37974890.584665716</v>
      </c>
      <c r="R36" s="187">
        <f t="shared" si="15"/>
        <v>0</v>
      </c>
      <c r="S36" s="187">
        <f t="shared" si="15"/>
        <v>7837683.7113500005</v>
      </c>
      <c r="T36" s="187">
        <f t="shared" si="15"/>
        <v>35397711.160000004</v>
      </c>
      <c r="U36" s="187">
        <f>SUM(U28:U35)</f>
        <v>1337899244.8335481</v>
      </c>
      <c r="V36" s="173">
        <f>SUM(V28:V35)</f>
        <v>19182763.197539318</v>
      </c>
      <c r="W36" s="173">
        <f>SUM(W28:W35)</f>
        <v>1357082008.0310876</v>
      </c>
      <c r="X36" s="175">
        <f t="shared" si="4"/>
        <v>1.4337972961428722E-2</v>
      </c>
    </row>
    <row r="37" spans="1:24" s="181" customFormat="1" x14ac:dyDescent="0.35">
      <c r="V37" s="189"/>
      <c r="W37" s="189"/>
    </row>
    <row r="38" spans="1:24" ht="16.5" x14ac:dyDescent="0.35">
      <c r="B38" t="s">
        <v>381</v>
      </c>
    </row>
    <row r="39" spans="1:24" ht="16.5" x14ac:dyDescent="0.35">
      <c r="B39" t="s">
        <v>382</v>
      </c>
    </row>
    <row r="41" spans="1:24" x14ac:dyDescent="0.35"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1"/>
    </row>
  </sheetData>
  <printOptions horizontalCentered="1"/>
  <pageMargins left="0.45" right="0.45" top="0.75" bottom="0.75" header="0.3" footer="0.3"/>
  <pageSetup paperSize="5" scale="52" orientation="landscape" blackAndWhite="1" r:id="rId1"/>
  <headerFooter>
    <oddFooter>&amp;L&amp;F 
&amp;A&amp;C&amp;P&amp;R&amp;D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CFD5-3FA2-4798-AC7A-B3707C9B621B}">
  <sheetPr>
    <pageSetUpPr fitToPage="1"/>
  </sheetPr>
  <dimension ref="B1:H48"/>
  <sheetViews>
    <sheetView zoomScale="85" zoomScaleNormal="85" workbookViewId="0">
      <selection activeCell="G22" sqref="G22"/>
    </sheetView>
  </sheetViews>
  <sheetFormatPr defaultColWidth="9.1796875" defaultRowHeight="14.5" x14ac:dyDescent="0.35"/>
  <cols>
    <col min="1" max="1" width="2.1796875" style="192" customWidth="1"/>
    <col min="2" max="2" width="2.453125" style="192" customWidth="1"/>
    <col min="3" max="3" width="34.81640625" style="192" customWidth="1"/>
    <col min="4" max="5" width="11.81640625" style="192" customWidth="1"/>
    <col min="6" max="6" width="2.7265625" style="192" customWidth="1"/>
    <col min="7" max="8" width="11.81640625" style="192" customWidth="1"/>
    <col min="9" max="16384" width="9.1796875" style="192"/>
  </cols>
  <sheetData>
    <row r="1" spans="2:8" x14ac:dyDescent="0.35">
      <c r="B1" s="157" t="s">
        <v>0</v>
      </c>
      <c r="C1" s="157"/>
      <c r="D1" s="157"/>
      <c r="E1" s="157"/>
      <c r="F1" s="157"/>
      <c r="G1" s="157"/>
      <c r="H1" s="157"/>
    </row>
    <row r="2" spans="2:8" x14ac:dyDescent="0.35">
      <c r="B2" s="157" t="str">
        <f>'Rate Impacts Sch 141LNG'!A2</f>
        <v>2025 Gas Schedule 141LNG Liquefied Natural Gas Rate Adjustment</v>
      </c>
      <c r="C2" s="157"/>
      <c r="D2" s="157"/>
      <c r="E2" s="157"/>
      <c r="F2" s="157"/>
      <c r="G2" s="157"/>
      <c r="H2" s="157"/>
    </row>
    <row r="3" spans="2:8" x14ac:dyDescent="0.35">
      <c r="B3" s="157" t="s">
        <v>383</v>
      </c>
      <c r="C3" s="157"/>
      <c r="D3" s="157"/>
      <c r="E3" s="157"/>
      <c r="F3" s="157"/>
      <c r="G3" s="157"/>
      <c r="H3" s="157"/>
    </row>
    <row r="4" spans="2:8" x14ac:dyDescent="0.35">
      <c r="B4" s="157" t="str">
        <f>'Rate Impacts Sch 141LNG'!A4</f>
        <v>Proposed Rates Effective November 1, 2025</v>
      </c>
      <c r="C4" s="157"/>
      <c r="D4" s="157"/>
      <c r="E4" s="157"/>
      <c r="F4" s="157"/>
      <c r="G4" s="157"/>
      <c r="H4" s="157"/>
    </row>
    <row r="6" spans="2:8" x14ac:dyDescent="0.35">
      <c r="G6" s="157" t="s">
        <v>384</v>
      </c>
      <c r="H6" s="157"/>
    </row>
    <row r="7" spans="2:8" x14ac:dyDescent="0.35">
      <c r="D7" s="193" t="s">
        <v>385</v>
      </c>
      <c r="E7" s="193"/>
      <c r="F7" s="194"/>
      <c r="G7" s="193" t="s">
        <v>386</v>
      </c>
      <c r="H7" s="193"/>
    </row>
    <row r="8" spans="2:8" ht="16.5" x14ac:dyDescent="0.35">
      <c r="D8" s="195" t="s">
        <v>387</v>
      </c>
      <c r="E8" s="195" t="s">
        <v>388</v>
      </c>
      <c r="F8" s="196"/>
      <c r="G8" s="195" t="s">
        <v>195</v>
      </c>
      <c r="H8" s="195" t="s">
        <v>388</v>
      </c>
    </row>
    <row r="9" spans="2:8" x14ac:dyDescent="0.35">
      <c r="B9" s="192" t="s">
        <v>389</v>
      </c>
      <c r="D9" s="197">
        <v>64</v>
      </c>
      <c r="E9" s="198"/>
      <c r="F9" s="197"/>
      <c r="G9" s="197">
        <v>64</v>
      </c>
      <c r="H9" s="198"/>
    </row>
    <row r="10" spans="2:8" x14ac:dyDescent="0.35">
      <c r="D10" s="197"/>
      <c r="E10" s="198"/>
      <c r="F10" s="197"/>
      <c r="G10" s="197"/>
      <c r="H10" s="198"/>
    </row>
    <row r="11" spans="2:8" x14ac:dyDescent="0.35">
      <c r="B11" s="192" t="s">
        <v>390</v>
      </c>
      <c r="D11" s="197"/>
      <c r="E11" s="198"/>
      <c r="F11" s="197"/>
      <c r="G11" s="197"/>
      <c r="H11" s="198"/>
    </row>
    <row r="12" spans="2:8" x14ac:dyDescent="0.35">
      <c r="C12" s="192" t="s">
        <v>391</v>
      </c>
      <c r="D12" s="223">
        <v>14.000000000000002</v>
      </c>
      <c r="E12" s="198">
        <f>D12</f>
        <v>14.000000000000002</v>
      </c>
      <c r="F12" s="199"/>
      <c r="G12" s="200">
        <f>$D$12</f>
        <v>14.000000000000002</v>
      </c>
      <c r="H12" s="198">
        <f>G12</f>
        <v>14.000000000000002</v>
      </c>
    </row>
    <row r="13" spans="2:8" x14ac:dyDescent="0.35">
      <c r="C13" s="192" t="s">
        <v>392</v>
      </c>
      <c r="D13" s="201">
        <f>SUM(D12:D12)</f>
        <v>14.000000000000002</v>
      </c>
      <c r="E13" s="201">
        <f>SUM(E12:E12)</f>
        <v>14.000000000000002</v>
      </c>
      <c r="F13" s="199"/>
      <c r="G13" s="201">
        <f>SUM(G12:G12)</f>
        <v>14.000000000000002</v>
      </c>
      <c r="H13" s="201">
        <f>SUM(H12:H12)</f>
        <v>14.000000000000002</v>
      </c>
    </row>
    <row r="14" spans="2:8" x14ac:dyDescent="0.35">
      <c r="D14" s="200"/>
      <c r="E14" s="200"/>
      <c r="F14" s="199"/>
      <c r="G14" s="200"/>
      <c r="H14" s="200"/>
    </row>
    <row r="15" spans="2:8" x14ac:dyDescent="0.35">
      <c r="C15" s="192" t="s">
        <v>393</v>
      </c>
      <c r="D15" s="223">
        <v>-8.9499999999999993</v>
      </c>
      <c r="E15" s="198">
        <f>D15</f>
        <v>-8.9499999999999993</v>
      </c>
      <c r="F15" s="199"/>
      <c r="G15" s="202">
        <f>$D$15</f>
        <v>-8.9499999999999993</v>
      </c>
      <c r="H15" s="198">
        <f>G15</f>
        <v>-8.9499999999999993</v>
      </c>
    </row>
    <row r="16" spans="2:8" x14ac:dyDescent="0.35">
      <c r="D16" s="199"/>
      <c r="E16" s="198"/>
      <c r="F16" s="199"/>
      <c r="G16" s="200"/>
      <c r="H16" s="198"/>
    </row>
    <row r="17" spans="2:8" x14ac:dyDescent="0.35">
      <c r="B17" s="192" t="s">
        <v>394</v>
      </c>
      <c r="E17" s="198"/>
      <c r="H17" s="198"/>
    </row>
    <row r="18" spans="2:8" x14ac:dyDescent="0.35">
      <c r="C18" s="192" t="s">
        <v>395</v>
      </c>
      <c r="D18" s="224">
        <v>0.61957776856730451</v>
      </c>
      <c r="E18" s="198"/>
      <c r="F18" s="204"/>
      <c r="G18" s="205">
        <f>$D$18</f>
        <v>0.61957776856730451</v>
      </c>
      <c r="H18" s="198"/>
    </row>
    <row r="19" spans="2:8" x14ac:dyDescent="0.35">
      <c r="C19" s="192" t="s">
        <v>396</v>
      </c>
      <c r="D19" s="224">
        <v>4.2959999999999998E-2</v>
      </c>
      <c r="E19" s="198"/>
      <c r="F19" s="204"/>
      <c r="G19" s="206">
        <f>$D$19</f>
        <v>4.2959999999999998E-2</v>
      </c>
      <c r="H19" s="198"/>
    </row>
    <row r="20" spans="2:8" x14ac:dyDescent="0.35">
      <c r="C20" s="192" t="s">
        <v>397</v>
      </c>
      <c r="D20" s="224">
        <v>6.8540000000000004E-2</v>
      </c>
      <c r="E20" s="198"/>
      <c r="F20" s="204"/>
      <c r="G20" s="206">
        <f>$D$20</f>
        <v>6.8540000000000004E-2</v>
      </c>
      <c r="H20" s="198"/>
    </row>
    <row r="21" spans="2:8" x14ac:dyDescent="0.35">
      <c r="C21" s="192" t="s">
        <v>398</v>
      </c>
      <c r="D21" s="224">
        <v>0</v>
      </c>
      <c r="E21" s="198"/>
      <c r="F21" s="204"/>
      <c r="G21" s="206">
        <f>D21</f>
        <v>0</v>
      </c>
      <c r="H21" s="198"/>
    </row>
    <row r="22" spans="2:8" x14ac:dyDescent="0.35">
      <c r="C22" s="192" t="s">
        <v>399</v>
      </c>
      <c r="D22" s="224">
        <v>2.1150000000000002E-2</v>
      </c>
      <c r="E22" s="198"/>
      <c r="F22" s="204"/>
      <c r="G22" s="206">
        <f>$D$22</f>
        <v>2.1150000000000002E-2</v>
      </c>
      <c r="H22" s="198"/>
    </row>
    <row r="23" spans="2:8" x14ac:dyDescent="0.35">
      <c r="C23" s="192" t="s">
        <v>400</v>
      </c>
      <c r="D23" s="224">
        <v>8.5999999999999998E-4</v>
      </c>
      <c r="E23" s="198"/>
      <c r="F23" s="204"/>
      <c r="G23" s="206">
        <f>$D$23</f>
        <v>8.5999999999999998E-4</v>
      </c>
      <c r="H23" s="198"/>
    </row>
    <row r="24" spans="2:8" x14ac:dyDescent="0.35">
      <c r="C24" s="192" t="s">
        <v>401</v>
      </c>
      <c r="D24" s="203">
        <f>'Sch. 141LNG'!$D$9</f>
        <v>4.6739999999999997E-2</v>
      </c>
      <c r="E24" s="198"/>
      <c r="F24" s="204"/>
      <c r="G24" s="203">
        <f>'Sch. 141LNG'!$E$9</f>
        <v>7.1940000000000004E-2</v>
      </c>
      <c r="H24" s="198"/>
    </row>
    <row r="25" spans="2:8" x14ac:dyDescent="0.35">
      <c r="C25" s="192" t="s">
        <v>402</v>
      </c>
      <c r="D25" s="224">
        <v>0</v>
      </c>
      <c r="E25" s="198"/>
      <c r="F25" s="204"/>
      <c r="G25" s="206">
        <f>$D$25</f>
        <v>0</v>
      </c>
      <c r="H25" s="198"/>
    </row>
    <row r="26" spans="2:8" x14ac:dyDescent="0.35">
      <c r="C26" s="192" t="s">
        <v>403</v>
      </c>
      <c r="D26" s="224">
        <v>1.1820000000000001E-2</v>
      </c>
      <c r="E26" s="198"/>
      <c r="F26" s="204"/>
      <c r="G26" s="206">
        <f>$D$26</f>
        <v>1.1820000000000001E-2</v>
      </c>
      <c r="H26" s="198"/>
    </row>
    <row r="27" spans="2:8" x14ac:dyDescent="0.35">
      <c r="C27" s="192" t="s">
        <v>404</v>
      </c>
      <c r="D27" s="224">
        <v>5.6009999999999997E-2</v>
      </c>
      <c r="E27" s="198"/>
      <c r="F27" s="204"/>
      <c r="G27" s="206">
        <f>$D$27</f>
        <v>5.6009999999999997E-2</v>
      </c>
      <c r="H27" s="198"/>
    </row>
    <row r="28" spans="2:8" x14ac:dyDescent="0.35">
      <c r="C28" s="192" t="s">
        <v>392</v>
      </c>
      <c r="D28" s="207">
        <f>SUM(D18:D27)</f>
        <v>0.86765776856730459</v>
      </c>
      <c r="E28" s="198">
        <f>ROUND(D28*D$9,2)</f>
        <v>55.53</v>
      </c>
      <c r="F28" s="204"/>
      <c r="G28" s="207">
        <f>SUM(G18:G27)</f>
        <v>0.89285776856730459</v>
      </c>
      <c r="H28" s="198">
        <f>ROUND(G28*G$9,2)</f>
        <v>57.14</v>
      </c>
    </row>
    <row r="30" spans="2:8" x14ac:dyDescent="0.35">
      <c r="C30" s="192" t="s">
        <v>405</v>
      </c>
      <c r="D30" s="224">
        <v>0.16114999999999999</v>
      </c>
      <c r="E30" s="198">
        <f>ROUND(D30*D$9,2)</f>
        <v>10.31</v>
      </c>
      <c r="F30" s="204"/>
      <c r="G30" s="206">
        <f>$D$30</f>
        <v>0.16114999999999999</v>
      </c>
      <c r="H30" s="198">
        <f>ROUND(G30*G$9,2)</f>
        <v>10.31</v>
      </c>
    </row>
    <row r="31" spans="2:8" x14ac:dyDescent="0.35">
      <c r="D31" s="224"/>
      <c r="E31" s="198"/>
      <c r="F31" s="204"/>
      <c r="G31" s="205"/>
      <c r="H31" s="198"/>
    </row>
    <row r="32" spans="2:8" x14ac:dyDescent="0.35">
      <c r="C32" s="192" t="s">
        <v>406</v>
      </c>
      <c r="D32" s="224">
        <v>0.55332000000000003</v>
      </c>
      <c r="E32" s="198"/>
      <c r="F32" s="204"/>
      <c r="G32" s="206">
        <f>$D$32</f>
        <v>0.55332000000000003</v>
      </c>
      <c r="H32" s="198"/>
    </row>
    <row r="33" spans="2:8" x14ac:dyDescent="0.35">
      <c r="C33" s="192" t="s">
        <v>407</v>
      </c>
      <c r="D33" s="224">
        <v>-5.883E-2</v>
      </c>
      <c r="E33" s="198"/>
      <c r="F33" s="204"/>
      <c r="G33" s="206">
        <f>$D$33</f>
        <v>-5.883E-2</v>
      </c>
      <c r="H33" s="198"/>
    </row>
    <row r="34" spans="2:8" x14ac:dyDescent="0.35">
      <c r="C34" s="192" t="s">
        <v>392</v>
      </c>
      <c r="D34" s="207">
        <f>SUM(D32:D33)</f>
        <v>0.49449000000000004</v>
      </c>
      <c r="E34" s="198">
        <f>ROUND(D34*D$9,2)</f>
        <v>31.65</v>
      </c>
      <c r="F34" s="204"/>
      <c r="G34" s="207">
        <f>SUM(G32:G33)</f>
        <v>0.49449000000000004</v>
      </c>
      <c r="H34" s="198">
        <f>ROUND(G34*G$9,2)</f>
        <v>31.65</v>
      </c>
    </row>
    <row r="35" spans="2:8" x14ac:dyDescent="0.35">
      <c r="C35" s="192" t="s">
        <v>408</v>
      </c>
      <c r="D35" s="207">
        <f>D28+D30+D34</f>
        <v>1.5232977685673046</v>
      </c>
      <c r="E35" s="208">
        <f>SUM(E28,E30,E34)</f>
        <v>97.490000000000009</v>
      </c>
      <c r="F35" s="205"/>
      <c r="G35" s="207">
        <f>G28+G30+G34</f>
        <v>1.5484977685673047</v>
      </c>
      <c r="H35" s="208">
        <f>SUM(H28,H30,H34)</f>
        <v>99.1</v>
      </c>
    </row>
    <row r="36" spans="2:8" x14ac:dyDescent="0.35">
      <c r="E36" s="198"/>
      <c r="H36" s="198"/>
    </row>
    <row r="37" spans="2:8" x14ac:dyDescent="0.35">
      <c r="B37" s="192" t="s">
        <v>409</v>
      </c>
      <c r="D37" s="200"/>
      <c r="E37" s="198">
        <f>E13+E15+E35</f>
        <v>102.54</v>
      </c>
      <c r="F37" s="200"/>
      <c r="G37" s="200"/>
      <c r="H37" s="198">
        <f>H13+H15+H35</f>
        <v>104.14999999999999</v>
      </c>
    </row>
    <row r="38" spans="2:8" x14ac:dyDescent="0.35">
      <c r="B38" s="192" t="s">
        <v>410</v>
      </c>
      <c r="D38" s="200"/>
      <c r="E38" s="198"/>
      <c r="F38" s="200"/>
      <c r="G38" s="200"/>
      <c r="H38" s="198">
        <f>H37-$E37</f>
        <v>1.6099999999999852</v>
      </c>
    </row>
    <row r="39" spans="2:8" x14ac:dyDescent="0.35">
      <c r="B39" s="192" t="s">
        <v>411</v>
      </c>
      <c r="D39" s="209"/>
      <c r="E39" s="209"/>
      <c r="F39" s="209"/>
      <c r="G39" s="209"/>
      <c r="H39" s="210">
        <f>H38/$E37</f>
        <v>1.5701189779598061E-2</v>
      </c>
    </row>
    <row r="40" spans="2:8" x14ac:dyDescent="0.35">
      <c r="E40" s="198"/>
    </row>
    <row r="41" spans="2:8" x14ac:dyDescent="0.35">
      <c r="B41" s="192" t="s">
        <v>412</v>
      </c>
      <c r="D41" s="205">
        <f>D28+D30</f>
        <v>1.0288077685673045</v>
      </c>
      <c r="E41" s="198"/>
      <c r="F41" s="205"/>
      <c r="G41" s="205">
        <f>G28+G30</f>
        <v>1.0540077685673046</v>
      </c>
    </row>
    <row r="43" spans="2:8" ht="16.5" x14ac:dyDescent="0.35">
      <c r="B43" s="192" t="s">
        <v>413</v>
      </c>
    </row>
    <row r="48" spans="2:8" ht="14.25" customHeight="1" x14ac:dyDescent="0.35"/>
  </sheetData>
  <printOptions horizontalCentered="1"/>
  <pageMargins left="0.5" right="0.5" top="1" bottom="1" header="0.5" footer="0.5"/>
  <pageSetup scale="73" orientation="landscape" blackAndWhite="1" r:id="rId1"/>
  <headerFooter alignWithMargins="0">
    <oddFooter>&amp;L&amp;F  
&amp;A&amp;C&amp;P&amp;R&amp;D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4ABA-B94C-4FFC-BCC2-5292CFEA8C0D}">
  <sheetPr>
    <pageSetUpPr fitToPage="1"/>
  </sheetPr>
  <dimension ref="A1:J42"/>
  <sheetViews>
    <sheetView zoomScale="85" zoomScaleNormal="85" workbookViewId="0">
      <selection activeCell="N26" sqref="N26"/>
    </sheetView>
  </sheetViews>
  <sheetFormatPr defaultColWidth="9.1796875" defaultRowHeight="14.5" x14ac:dyDescent="0.35"/>
  <cols>
    <col min="1" max="1" width="28.54296875" customWidth="1"/>
    <col min="2" max="2" width="9.26953125" bestFit="1" customWidth="1"/>
    <col min="3" max="3" width="16.54296875" bestFit="1" customWidth="1"/>
    <col min="4" max="5" width="13.7265625" customWidth="1"/>
    <col min="6" max="8" width="14.453125" customWidth="1"/>
    <col min="9" max="9" width="9.81640625" bestFit="1" customWidth="1"/>
  </cols>
  <sheetData>
    <row r="1" spans="1:10" s="192" customFormat="1" x14ac:dyDescent="0.35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157"/>
    </row>
    <row r="2" spans="1:10" s="192" customFormat="1" x14ac:dyDescent="0.35">
      <c r="A2" s="229" t="s">
        <v>414</v>
      </c>
      <c r="B2" s="229"/>
      <c r="C2" s="229"/>
      <c r="D2" s="229"/>
      <c r="E2" s="229"/>
      <c r="F2" s="229"/>
      <c r="G2" s="229"/>
      <c r="H2" s="229"/>
      <c r="I2" s="229"/>
      <c r="J2" s="157"/>
    </row>
    <row r="3" spans="1:10" s="192" customFormat="1" x14ac:dyDescent="0.35">
      <c r="A3" s="229" t="s">
        <v>415</v>
      </c>
      <c r="B3" s="229"/>
      <c r="C3" s="229"/>
      <c r="D3" s="229"/>
      <c r="E3" s="229"/>
      <c r="F3" s="229"/>
      <c r="G3" s="229"/>
      <c r="H3" s="229"/>
      <c r="I3" s="229"/>
      <c r="J3" s="157"/>
    </row>
    <row r="4" spans="1:10" s="192" customFormat="1" x14ac:dyDescent="0.35">
      <c r="A4" s="229" t="s">
        <v>238</v>
      </c>
      <c r="B4" s="229"/>
      <c r="C4" s="229"/>
      <c r="D4" s="229"/>
      <c r="E4" s="229"/>
      <c r="F4" s="229"/>
      <c r="G4" s="229"/>
      <c r="H4" s="229"/>
      <c r="I4" s="229"/>
      <c r="J4" s="196"/>
    </row>
    <row r="5" spans="1:10" x14ac:dyDescent="0.35">
      <c r="D5" s="1"/>
      <c r="E5" s="1"/>
    </row>
    <row r="6" spans="1:10" x14ac:dyDescent="0.35">
      <c r="A6" s="1"/>
      <c r="B6" s="1"/>
      <c r="C6" s="1" t="s">
        <v>303</v>
      </c>
      <c r="D6" s="1" t="s">
        <v>416</v>
      </c>
      <c r="E6" s="1" t="s">
        <v>1</v>
      </c>
      <c r="F6" s="196" t="s">
        <v>303</v>
      </c>
      <c r="G6" s="196" t="s">
        <v>303</v>
      </c>
      <c r="H6" s="1" t="s">
        <v>417</v>
      </c>
      <c r="I6" s="1"/>
    </row>
    <row r="7" spans="1:10" x14ac:dyDescent="0.35">
      <c r="A7" s="1"/>
      <c r="B7" s="1" t="s">
        <v>305</v>
      </c>
      <c r="C7" s="1" t="s">
        <v>418</v>
      </c>
      <c r="D7" s="1" t="s">
        <v>417</v>
      </c>
      <c r="E7" s="1" t="s">
        <v>417</v>
      </c>
      <c r="F7" s="196" t="s">
        <v>2</v>
      </c>
      <c r="G7" s="196" t="s">
        <v>2</v>
      </c>
      <c r="H7" s="1" t="s">
        <v>2</v>
      </c>
      <c r="I7" s="1" t="s">
        <v>345</v>
      </c>
    </row>
    <row r="8" spans="1:10" x14ac:dyDescent="0.35">
      <c r="A8" s="160" t="s">
        <v>4</v>
      </c>
      <c r="B8" s="160" t="s">
        <v>306</v>
      </c>
      <c r="C8" s="211" t="s">
        <v>327</v>
      </c>
      <c r="D8" s="160" t="s">
        <v>195</v>
      </c>
      <c r="E8" s="160" t="s">
        <v>195</v>
      </c>
      <c r="F8" s="195" t="s">
        <v>385</v>
      </c>
      <c r="G8" s="195" t="s">
        <v>350</v>
      </c>
      <c r="H8" s="160" t="s">
        <v>194</v>
      </c>
      <c r="I8" s="160" t="s">
        <v>194</v>
      </c>
    </row>
    <row r="9" spans="1:10" x14ac:dyDescent="0.35">
      <c r="A9" t="s">
        <v>8</v>
      </c>
      <c r="B9" s="212" t="s">
        <v>361</v>
      </c>
      <c r="C9" s="164">
        <f>SUM('Forecast Therms'!N9:N10)</f>
        <v>546248623</v>
      </c>
      <c r="D9" s="213">
        <v>4.6739999999999997E-2</v>
      </c>
      <c r="E9" s="214">
        <f>'Rate Summary'!$D$8</f>
        <v>7.1940000000000004E-2</v>
      </c>
      <c r="F9" s="168">
        <f>C9*D9</f>
        <v>25531660.63902</v>
      </c>
      <c r="G9" s="168">
        <f>C9*E9</f>
        <v>39297125.938620001</v>
      </c>
      <c r="H9" s="167">
        <f>G9-F9</f>
        <v>13765465.299600001</v>
      </c>
      <c r="I9" s="215">
        <f>IF(F9=0,1,H9/F9)</f>
        <v>0.53915275994865219</v>
      </c>
    </row>
    <row r="10" spans="1:10" x14ac:dyDescent="0.35">
      <c r="A10" t="s">
        <v>362</v>
      </c>
      <c r="B10" s="212">
        <v>16</v>
      </c>
      <c r="C10" s="164">
        <f>'Forecast Therms'!N8</f>
        <v>6156</v>
      </c>
      <c r="D10" s="213">
        <v>4.6739999999999997E-2</v>
      </c>
      <c r="E10" s="214">
        <f>'Rate Summary'!$D$8</f>
        <v>7.1940000000000004E-2</v>
      </c>
      <c r="F10" s="168">
        <f t="shared" ref="F10:F36" si="0">C10*D10</f>
        <v>287.73143999999996</v>
      </c>
      <c r="G10" s="168">
        <f t="shared" ref="G10:G36" si="1">C10*E10</f>
        <v>442.86264</v>
      </c>
      <c r="H10" s="167">
        <f t="shared" ref="H10:H36" si="2">G10-F10</f>
        <v>155.13120000000004</v>
      </c>
      <c r="I10" s="215">
        <f t="shared" ref="I10:I39" si="3">IF(F10=0,1,H10/F10)</f>
        <v>0.5391527599486523</v>
      </c>
    </row>
    <row r="11" spans="1:10" x14ac:dyDescent="0.35">
      <c r="A11" t="s">
        <v>10</v>
      </c>
      <c r="B11" s="212">
        <v>31</v>
      </c>
      <c r="C11" s="164">
        <f>'Forecast Therms'!N11</f>
        <v>235562136</v>
      </c>
      <c r="D11" s="213">
        <v>3.968E-2</v>
      </c>
      <c r="E11" s="214">
        <f>'Rate Summary'!$D$12</f>
        <v>5.6689999999999997E-2</v>
      </c>
      <c r="F11" s="168">
        <f t="shared" si="0"/>
        <v>9347105.5564799998</v>
      </c>
      <c r="G11" s="168">
        <f t="shared" si="1"/>
        <v>13354017.489839999</v>
      </c>
      <c r="H11" s="167">
        <f t="shared" si="2"/>
        <v>4006911.9333599992</v>
      </c>
      <c r="I11" s="215">
        <f t="shared" si="3"/>
        <v>0.42867943548387089</v>
      </c>
    </row>
    <row r="12" spans="1:10" x14ac:dyDescent="0.35">
      <c r="B12" s="212"/>
      <c r="C12" s="164"/>
      <c r="D12" s="213"/>
      <c r="E12" s="214"/>
      <c r="F12" s="168"/>
      <c r="G12" s="168"/>
      <c r="H12" s="167"/>
      <c r="I12" s="215"/>
    </row>
    <row r="13" spans="1:10" x14ac:dyDescent="0.35">
      <c r="A13" t="s">
        <v>11</v>
      </c>
      <c r="B13" s="212">
        <v>41</v>
      </c>
      <c r="C13" s="164"/>
      <c r="D13" s="213"/>
      <c r="E13" s="214"/>
      <c r="F13" s="168"/>
      <c r="G13" s="168"/>
      <c r="H13" s="167"/>
      <c r="I13" s="215"/>
    </row>
    <row r="14" spans="1:10" x14ac:dyDescent="0.35">
      <c r="A14" t="s">
        <v>199</v>
      </c>
      <c r="B14" s="212">
        <v>41</v>
      </c>
      <c r="C14" s="164">
        <f>'Rate Spread (Blocks)'!F12</f>
        <v>11744887.697940024</v>
      </c>
      <c r="D14" s="213">
        <v>2.9180000000000001E-2</v>
      </c>
      <c r="E14" s="214">
        <f>'Rate Summary'!D14</f>
        <v>4.6980000000000001E-2</v>
      </c>
      <c r="F14" s="168">
        <f t="shared" ref="F14:F16" si="4">C14*D14</f>
        <v>342715.82302588993</v>
      </c>
      <c r="G14" s="168">
        <f t="shared" ref="G14:G16" si="5">C14*E14</f>
        <v>551774.82404922228</v>
      </c>
      <c r="H14" s="167">
        <f t="shared" ref="H14:H16" si="6">G14-F14</f>
        <v>209059.00102333236</v>
      </c>
      <c r="I14" s="215">
        <f t="shared" si="3"/>
        <v>0.61000685400959531</v>
      </c>
    </row>
    <row r="15" spans="1:10" x14ac:dyDescent="0.35">
      <c r="A15" t="s">
        <v>200</v>
      </c>
      <c r="B15" s="212">
        <v>41</v>
      </c>
      <c r="C15" s="164">
        <f>'Rate Spread (Blocks)'!F13</f>
        <v>28712997.929102313</v>
      </c>
      <c r="D15" s="213">
        <v>2.9180000000000001E-2</v>
      </c>
      <c r="E15" s="214">
        <f>'Rate Summary'!D15</f>
        <v>4.6980000000000001E-2</v>
      </c>
      <c r="F15" s="168">
        <f t="shared" si="4"/>
        <v>837845.27957120549</v>
      </c>
      <c r="G15" s="168">
        <f t="shared" si="5"/>
        <v>1348936.6427092266</v>
      </c>
      <c r="H15" s="167">
        <f t="shared" si="6"/>
        <v>511091.36313802109</v>
      </c>
      <c r="I15" s="215">
        <f t="shared" si="3"/>
        <v>0.61000685400959553</v>
      </c>
    </row>
    <row r="16" spans="1:10" x14ac:dyDescent="0.35">
      <c r="A16" t="s">
        <v>209</v>
      </c>
      <c r="B16" s="212">
        <v>41</v>
      </c>
      <c r="C16" s="164">
        <f>'Rate Spread (Blocks)'!F14</f>
        <v>23146440.372957673</v>
      </c>
      <c r="D16" s="213">
        <v>2.5219999999999999E-2</v>
      </c>
      <c r="E16" s="214">
        <f>'Rate Summary'!D16</f>
        <v>4.0620000000000003E-2</v>
      </c>
      <c r="F16" s="168">
        <f t="shared" si="4"/>
        <v>583753.22620599251</v>
      </c>
      <c r="G16" s="168">
        <f t="shared" si="5"/>
        <v>940208.40794954076</v>
      </c>
      <c r="H16" s="167">
        <f t="shared" si="6"/>
        <v>356455.18174354825</v>
      </c>
      <c r="I16" s="215">
        <f t="shared" si="3"/>
        <v>0.61062648691514687</v>
      </c>
    </row>
    <row r="17" spans="1:9" x14ac:dyDescent="0.35">
      <c r="A17" t="s">
        <v>16</v>
      </c>
      <c r="B17" s="212">
        <v>41</v>
      </c>
      <c r="C17" s="172">
        <f>SUM(C14:C16)</f>
        <v>63604326.000000015</v>
      </c>
      <c r="D17" s="213"/>
      <c r="E17" s="214"/>
      <c r="F17" s="174">
        <f>SUM(F14:F16)</f>
        <v>1764314.3288030881</v>
      </c>
      <c r="G17" s="174">
        <f t="shared" ref="G17:H17" si="7">SUM(G14:G16)</f>
        <v>2840919.8747079894</v>
      </c>
      <c r="H17" s="174">
        <f t="shared" si="7"/>
        <v>1076605.5459049018</v>
      </c>
      <c r="I17" s="215">
        <f t="shared" si="3"/>
        <v>0.61021187003297295</v>
      </c>
    </row>
    <row r="18" spans="1:9" x14ac:dyDescent="0.35">
      <c r="B18" s="212"/>
      <c r="C18" s="164"/>
      <c r="D18" s="213"/>
      <c r="E18" s="214"/>
      <c r="F18" s="168"/>
      <c r="G18" s="168"/>
      <c r="H18" s="167"/>
      <c r="I18" s="215"/>
    </row>
    <row r="19" spans="1:9" x14ac:dyDescent="0.35">
      <c r="A19" t="s">
        <v>12</v>
      </c>
      <c r="B19" s="212">
        <v>85</v>
      </c>
      <c r="C19" s="164"/>
      <c r="D19" s="213"/>
      <c r="E19" s="214"/>
      <c r="F19" s="168"/>
      <c r="G19" s="168"/>
      <c r="H19" s="167"/>
      <c r="I19" s="215"/>
    </row>
    <row r="20" spans="1:9" x14ac:dyDescent="0.35">
      <c r="A20" t="s">
        <v>201</v>
      </c>
      <c r="B20" s="212">
        <v>85</v>
      </c>
      <c r="C20" s="216">
        <f>'Rate Spread (Blocks)'!F18</f>
        <v>7431887.8885917719</v>
      </c>
      <c r="D20" s="213">
        <v>7.1590000000000001E-2</v>
      </c>
      <c r="E20" s="214">
        <f>'Rate Summary'!D18</f>
        <v>5.4109999999999998E-2</v>
      </c>
      <c r="F20" s="168">
        <f t="shared" ref="F20:F22" si="8">C20*D20</f>
        <v>532048.85394428496</v>
      </c>
      <c r="G20" s="168">
        <f t="shared" ref="G20:G22" si="9">C20*E20</f>
        <v>402139.45365170075</v>
      </c>
      <c r="H20" s="167">
        <f t="shared" ref="H20:H22" si="10">G20-F20</f>
        <v>-129909.40029258421</v>
      </c>
      <c r="I20" s="215">
        <f t="shared" si="3"/>
        <v>-0.24416817991339579</v>
      </c>
    </row>
    <row r="21" spans="1:9" x14ac:dyDescent="0.35">
      <c r="A21" t="s">
        <v>202</v>
      </c>
      <c r="B21" s="212">
        <v>85</v>
      </c>
      <c r="C21" s="216">
        <f>'Rate Spread (Blocks)'!F19</f>
        <v>4303750.7571457708</v>
      </c>
      <c r="D21" s="213">
        <v>3.4020000000000002E-2</v>
      </c>
      <c r="E21" s="214">
        <f>'Rate Summary'!D19</f>
        <v>2.571E-2</v>
      </c>
      <c r="F21" s="168">
        <f t="shared" si="8"/>
        <v>146413.60075809914</v>
      </c>
      <c r="G21" s="168">
        <f t="shared" si="9"/>
        <v>110649.43196621777</v>
      </c>
      <c r="H21" s="167">
        <f t="shared" si="10"/>
        <v>-35764.16879188137</v>
      </c>
      <c r="I21" s="215">
        <f t="shared" si="3"/>
        <v>-0.244268077601411</v>
      </c>
    </row>
    <row r="22" spans="1:9" x14ac:dyDescent="0.35">
      <c r="A22" t="s">
        <v>208</v>
      </c>
      <c r="B22" s="212">
        <v>85</v>
      </c>
      <c r="C22" s="216">
        <f>'Rate Spread (Blocks)'!F20</f>
        <v>6551201.3542624563</v>
      </c>
      <c r="D22" s="213">
        <v>3.2539999999999999E-2</v>
      </c>
      <c r="E22" s="214">
        <f>'Rate Summary'!D20</f>
        <v>2.46E-2</v>
      </c>
      <c r="F22" s="168">
        <f t="shared" si="8"/>
        <v>213176.09206770032</v>
      </c>
      <c r="G22" s="168">
        <f t="shared" si="9"/>
        <v>161159.55331485643</v>
      </c>
      <c r="H22" s="167">
        <f t="shared" si="10"/>
        <v>-52016.538752843888</v>
      </c>
      <c r="I22" s="215">
        <f t="shared" si="3"/>
        <v>-0.24400737553779958</v>
      </c>
    </row>
    <row r="23" spans="1:9" x14ac:dyDescent="0.35">
      <c r="A23" t="s">
        <v>16</v>
      </c>
      <c r="B23" s="212"/>
      <c r="C23" s="172">
        <f>SUM(C20:C22)</f>
        <v>18286840</v>
      </c>
      <c r="D23" s="213"/>
      <c r="E23" s="214"/>
      <c r="F23" s="174">
        <f>SUM(F20:F22)</f>
        <v>891638.54677008442</v>
      </c>
      <c r="G23" s="174">
        <f t="shared" ref="G23:H23" si="11">SUM(G20:G22)</f>
        <v>673948.43893277494</v>
      </c>
      <c r="H23" s="174">
        <f t="shared" si="11"/>
        <v>-217690.10783730945</v>
      </c>
      <c r="I23" s="215">
        <f t="shared" si="3"/>
        <v>-0.24414613816986813</v>
      </c>
    </row>
    <row r="24" spans="1:9" x14ac:dyDescent="0.35">
      <c r="B24" s="212"/>
      <c r="C24" s="164"/>
      <c r="D24" s="213"/>
      <c r="E24" s="214"/>
      <c r="F24" s="168"/>
      <c r="G24" s="168"/>
      <c r="H24" s="167"/>
      <c r="I24" s="215"/>
    </row>
    <row r="25" spans="1:9" x14ac:dyDescent="0.35">
      <c r="A25" t="s">
        <v>13</v>
      </c>
      <c r="B25" s="212">
        <v>86</v>
      </c>
      <c r="C25" s="164"/>
      <c r="D25" s="213"/>
      <c r="E25" s="214"/>
      <c r="F25" s="168"/>
      <c r="G25" s="168"/>
      <c r="H25" s="167"/>
      <c r="I25" s="215"/>
    </row>
    <row r="26" spans="1:9" x14ac:dyDescent="0.35">
      <c r="A26" t="s">
        <v>206</v>
      </c>
      <c r="B26" s="212">
        <v>86</v>
      </c>
      <c r="C26" s="164">
        <f>'Rate Spread (Blocks)'!F24</f>
        <v>604507.26766950381</v>
      </c>
      <c r="D26" s="213">
        <v>5.4550000000000001E-2</v>
      </c>
      <c r="E26" s="214">
        <f>'Rate Summary'!D22</f>
        <v>0.12931999999999999</v>
      </c>
      <c r="F26" s="168">
        <f t="shared" ref="F26:F27" si="12">C26*D26</f>
        <v>32975.871451371437</v>
      </c>
      <c r="G26" s="168">
        <f t="shared" ref="G26:G27" si="13">C26*E26</f>
        <v>78174.879855020234</v>
      </c>
      <c r="H26" s="167">
        <f t="shared" ref="H26:H27" si="14">G26-F26</f>
        <v>45199.008403648797</v>
      </c>
      <c r="I26" s="215">
        <f t="shared" si="3"/>
        <v>1.370669110907424</v>
      </c>
    </row>
    <row r="27" spans="1:9" x14ac:dyDescent="0.35">
      <c r="A27" t="s">
        <v>207</v>
      </c>
      <c r="B27" s="212">
        <v>86</v>
      </c>
      <c r="C27" s="164">
        <f>'Rate Spread (Blocks)'!F25</f>
        <v>2776226.7323304964</v>
      </c>
      <c r="D27" s="213">
        <v>3.8670000000000003E-2</v>
      </c>
      <c r="E27" s="214">
        <f>'Rate Summary'!D23</f>
        <v>9.1679999999999998E-2</v>
      </c>
      <c r="F27" s="168">
        <f t="shared" si="12"/>
        <v>107356.6877392203</v>
      </c>
      <c r="G27" s="168">
        <f t="shared" si="13"/>
        <v>254524.4668200599</v>
      </c>
      <c r="H27" s="167">
        <f t="shared" si="14"/>
        <v>147167.77908083959</v>
      </c>
      <c r="I27" s="215">
        <f t="shared" si="3"/>
        <v>1.3708301008533745</v>
      </c>
    </row>
    <row r="28" spans="1:9" x14ac:dyDescent="0.35">
      <c r="A28" t="s">
        <v>16</v>
      </c>
      <c r="B28" s="212"/>
      <c r="C28" s="172">
        <f>SUM(C26:C27)</f>
        <v>3380734</v>
      </c>
      <c r="D28" s="213"/>
      <c r="E28" s="214"/>
      <c r="F28" s="174">
        <f>SUM(F26:F27)</f>
        <v>140332.55919059174</v>
      </c>
      <c r="G28" s="174">
        <f t="shared" ref="G28:H28" si="15">SUM(G26:G27)</f>
        <v>332699.34667508013</v>
      </c>
      <c r="H28" s="174">
        <f t="shared" si="15"/>
        <v>192366.78748448839</v>
      </c>
      <c r="I28" s="215">
        <f t="shared" si="3"/>
        <v>1.3707922708316516</v>
      </c>
    </row>
    <row r="29" spans="1:9" x14ac:dyDescent="0.35">
      <c r="B29" s="212"/>
      <c r="C29" s="164"/>
      <c r="D29" s="213"/>
      <c r="E29" s="214"/>
      <c r="F29" s="168"/>
      <c r="G29" s="168"/>
      <c r="H29" s="167"/>
      <c r="I29" s="215"/>
    </row>
    <row r="30" spans="1:9" x14ac:dyDescent="0.35">
      <c r="A30" t="s">
        <v>14</v>
      </c>
      <c r="B30" s="212">
        <v>87</v>
      </c>
      <c r="D30" s="217"/>
      <c r="E30" s="218"/>
      <c r="I30" s="215"/>
    </row>
    <row r="31" spans="1:9" x14ac:dyDescent="0.35">
      <c r="A31" t="s">
        <v>175</v>
      </c>
      <c r="B31" s="212">
        <v>87</v>
      </c>
      <c r="C31" s="216">
        <f>'Rate Spread (Blocks)'!F30</f>
        <v>952994.58602274116</v>
      </c>
      <c r="D31" s="213">
        <v>8.208E-2</v>
      </c>
      <c r="E31" s="214">
        <f>'Rate Summary'!D25</f>
        <v>0.15667</v>
      </c>
      <c r="F31" s="167">
        <f t="shared" si="0"/>
        <v>78221.79562074659</v>
      </c>
      <c r="G31" s="167">
        <f t="shared" si="1"/>
        <v>149305.66179218286</v>
      </c>
      <c r="H31" s="167">
        <f>G31-F31</f>
        <v>71083.866171436268</v>
      </c>
      <c r="I31" s="215">
        <f t="shared" si="3"/>
        <v>0.90874756335282658</v>
      </c>
    </row>
    <row r="32" spans="1:9" x14ac:dyDescent="0.35">
      <c r="A32" t="s">
        <v>176</v>
      </c>
      <c r="B32" s="212">
        <v>87</v>
      </c>
      <c r="C32" s="216">
        <f>'Rate Spread (Blocks)'!F31</f>
        <v>952994.58602274116</v>
      </c>
      <c r="D32" s="213">
        <v>4.9599999999999998E-2</v>
      </c>
      <c r="E32" s="214">
        <f>'Rate Summary'!D26</f>
        <v>9.4670000000000004E-2</v>
      </c>
      <c r="F32" s="167">
        <f t="shared" si="0"/>
        <v>47268.53146672796</v>
      </c>
      <c r="G32" s="167">
        <f t="shared" si="1"/>
        <v>90219.997458772908</v>
      </c>
      <c r="H32" s="167">
        <f t="shared" si="2"/>
        <v>42951.465992044949</v>
      </c>
      <c r="I32" s="215">
        <f t="shared" si="3"/>
        <v>0.90866935483870981</v>
      </c>
    </row>
    <row r="33" spans="1:9" x14ac:dyDescent="0.35">
      <c r="A33" t="s">
        <v>177</v>
      </c>
      <c r="B33" s="212">
        <v>87</v>
      </c>
      <c r="C33" s="216">
        <f>'Rate Spread (Blocks)'!F32</f>
        <v>1905989.1720454823</v>
      </c>
      <c r="D33" s="213">
        <v>3.1559999999999998E-2</v>
      </c>
      <c r="E33" s="214">
        <f>'Rate Summary'!D27</f>
        <v>6.0249999999999998E-2</v>
      </c>
      <c r="F33" s="167">
        <f t="shared" si="0"/>
        <v>60153.018269755419</v>
      </c>
      <c r="G33" s="167">
        <f t="shared" si="1"/>
        <v>114835.84761574031</v>
      </c>
      <c r="H33" s="167">
        <f t="shared" si="2"/>
        <v>54682.829345984886</v>
      </c>
      <c r="I33" s="215">
        <f t="shared" si="3"/>
        <v>0.90906210392902409</v>
      </c>
    </row>
    <row r="34" spans="1:9" x14ac:dyDescent="0.35">
      <c r="A34" t="s">
        <v>180</v>
      </c>
      <c r="B34" s="212">
        <v>87</v>
      </c>
      <c r="C34" s="216">
        <f>'Rate Spread (Blocks)'!F33</f>
        <v>2483779.2127034636</v>
      </c>
      <c r="D34" s="213">
        <v>2.0240000000000001E-2</v>
      </c>
      <c r="E34" s="214">
        <f>'Rate Summary'!D28</f>
        <v>3.8629999999999998E-2</v>
      </c>
      <c r="F34" s="167">
        <f t="shared" si="0"/>
        <v>50271.691265118105</v>
      </c>
      <c r="G34" s="167">
        <f t="shared" si="1"/>
        <v>95948.390986734797</v>
      </c>
      <c r="H34" s="167">
        <f t="shared" si="2"/>
        <v>45676.699721616693</v>
      </c>
      <c r="I34" s="215">
        <f t="shared" si="3"/>
        <v>0.90859683794466395</v>
      </c>
    </row>
    <row r="35" spans="1:9" x14ac:dyDescent="0.35">
      <c r="A35" t="s">
        <v>181</v>
      </c>
      <c r="B35" s="212">
        <v>87</v>
      </c>
      <c r="C35" s="216">
        <f>'Rate Spread (Blocks)'!F34</f>
        <v>3135375.0320179653</v>
      </c>
      <c r="D35" s="213">
        <v>1.457E-2</v>
      </c>
      <c r="E35" s="214">
        <f>'Rate Summary'!D29</f>
        <v>2.7799999999999998E-2</v>
      </c>
      <c r="F35" s="167">
        <f t="shared" si="0"/>
        <v>45682.414216501755</v>
      </c>
      <c r="G35" s="167">
        <f t="shared" si="1"/>
        <v>87163.425890099432</v>
      </c>
      <c r="H35" s="167">
        <f t="shared" si="2"/>
        <v>41481.011673597677</v>
      </c>
      <c r="I35" s="215">
        <f t="shared" si="3"/>
        <v>0.90803019903912141</v>
      </c>
    </row>
    <row r="36" spans="1:9" x14ac:dyDescent="0.35">
      <c r="A36" t="s">
        <v>182</v>
      </c>
      <c r="B36" s="212">
        <v>87</v>
      </c>
      <c r="C36" s="216">
        <f>'Rate Spread (Blocks)'!F35</f>
        <v>6458191.411187605</v>
      </c>
      <c r="D36" s="213">
        <v>2.7799999999999999E-3</v>
      </c>
      <c r="E36" s="214">
        <f>'Rate Summary'!D30</f>
        <v>1.874E-2</v>
      </c>
      <c r="F36" s="167">
        <f t="shared" si="0"/>
        <v>17953.772123101542</v>
      </c>
      <c r="G36" s="167">
        <f t="shared" si="1"/>
        <v>121026.50704565572</v>
      </c>
      <c r="H36" s="167">
        <f t="shared" si="2"/>
        <v>103072.73492255417</v>
      </c>
      <c r="I36" s="215">
        <f t="shared" si="3"/>
        <v>5.7410071942446042</v>
      </c>
    </row>
    <row r="37" spans="1:9" x14ac:dyDescent="0.35">
      <c r="A37" t="s">
        <v>16</v>
      </c>
      <c r="B37" s="212">
        <v>87</v>
      </c>
      <c r="C37" s="172">
        <f>SUM(C31:C36)</f>
        <v>15889324</v>
      </c>
      <c r="D37" s="214"/>
      <c r="E37" s="214"/>
      <c r="F37" s="174">
        <f>SUM(F31:F36)</f>
        <v>299551.22296195134</v>
      </c>
      <c r="G37" s="174">
        <f t="shared" ref="G37" si="16">SUM(G31:G36)</f>
        <v>658499.83078918606</v>
      </c>
      <c r="H37" s="174">
        <f>SUM(H31:H36)</f>
        <v>358948.60782723466</v>
      </c>
      <c r="I37" s="215">
        <f t="shared" si="3"/>
        <v>1.1982879064153509</v>
      </c>
    </row>
    <row r="38" spans="1:9" x14ac:dyDescent="0.35">
      <c r="B38" s="212"/>
      <c r="C38" s="164"/>
      <c r="D38" s="214"/>
      <c r="E38" s="214"/>
      <c r="F38" s="168"/>
      <c r="G38" s="168"/>
      <c r="H38" s="167"/>
      <c r="I38" s="215"/>
    </row>
    <row r="39" spans="1:9" x14ac:dyDescent="0.35">
      <c r="A39" t="s">
        <v>16</v>
      </c>
      <c r="C39" s="172">
        <f>SUM(C9:C11,C17,C23,C28,C37)</f>
        <v>882978139</v>
      </c>
      <c r="D39" s="166"/>
      <c r="E39" s="188"/>
      <c r="F39" s="219">
        <f>SUM(F9:F11,F17,F23,F28,F37)</f>
        <v>37974890.584665716</v>
      </c>
      <c r="G39" s="219">
        <f>SUM(G9:G11,G17,G23,G28,G37)</f>
        <v>57157653.782205038</v>
      </c>
      <c r="H39" s="219">
        <f>SUM(H9:H11,H17,H23,H28,H37)</f>
        <v>19182763.197539318</v>
      </c>
      <c r="I39" s="220">
        <f t="shared" si="3"/>
        <v>0.50514334346193823</v>
      </c>
    </row>
    <row r="40" spans="1:9" x14ac:dyDescent="0.35">
      <c r="F40" s="167"/>
      <c r="G40" s="167"/>
    </row>
    <row r="41" spans="1:9" x14ac:dyDescent="0.35">
      <c r="A41" s="16"/>
      <c r="C41" s="176"/>
      <c r="F41" s="167"/>
      <c r="G41" s="167"/>
    </row>
    <row r="42" spans="1:9" x14ac:dyDescent="0.35">
      <c r="A42" s="221"/>
    </row>
  </sheetData>
  <mergeCells count="4">
    <mergeCell ref="A1:I1"/>
    <mergeCell ref="A2:I2"/>
    <mergeCell ref="A3:I3"/>
    <mergeCell ref="A4:I4"/>
  </mergeCells>
  <printOptions horizontalCentered="1"/>
  <pageMargins left="0.7" right="0.7" top="0.75" bottom="0.75" header="0.3" footer="0.3"/>
  <pageSetup scale="88" orientation="landscape" blackAndWhite="1" r:id="rId1"/>
  <headerFooter>
    <oddFooter>&amp;L&amp;F 
&amp;A&amp;C&amp;P&amp;R&amp;D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"/>
  <sheetViews>
    <sheetView workbookViewId="0">
      <selection activeCell="P28" sqref="P28"/>
    </sheetView>
  </sheetViews>
  <sheetFormatPr defaultRowHeight="14.5" x14ac:dyDescent="0.35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6D2D08F0ACA094CAFAD91419FF15D67" ma:contentTypeVersion="19" ma:contentTypeDescription="" ma:contentTypeScope="" ma:versionID="7a91c3bf717eb7df18249ce690cd9e1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2025-09-30T07:00:00+00:00</OpenedDate>
    <SignificantOrder xmlns="dc463f71-b30c-4ab2-9473-d307f9d35888">false</SignificantOrder>
    <Date1 xmlns="dc463f71-b30c-4ab2-9473-d307f9d35888">2025-09-30T07:00:00+00:00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250744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9560708-16A4-43D3-89F2-5EE802C42DF8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B4361F80-ACE4-4937-BFA7-A58BAF969AF4}"/>
</file>

<file path=customXml/itemProps3.xml><?xml version="1.0" encoding="utf-8"?>
<ds:datastoreItem xmlns:ds="http://schemas.openxmlformats.org/officeDocument/2006/customXml" ds:itemID="{70BB5661-8130-4DD4-9D63-932481AFBC41}"/>
</file>

<file path=customXml/itemProps4.xml><?xml version="1.0" encoding="utf-8"?>
<ds:datastoreItem xmlns:ds="http://schemas.openxmlformats.org/officeDocument/2006/customXml" ds:itemID="{B21BCED3-A341-4AB8-A6FE-E306ABBEE8A7}"/>
</file>

<file path=customXml/itemProps5.xml><?xml version="1.0" encoding="utf-8"?>
<ds:datastoreItem xmlns:ds="http://schemas.openxmlformats.org/officeDocument/2006/customXml" ds:itemID="{0544E75A-DE58-4C5F-A0D4-FEF909C94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Rate Summary</vt:lpstr>
      <vt:lpstr>Rate Design</vt:lpstr>
      <vt:lpstr>Rate Spread (Blocks)</vt:lpstr>
      <vt:lpstr>Rate Spread</vt:lpstr>
      <vt:lpstr>Rate Impacts--&gt;</vt:lpstr>
      <vt:lpstr>Rate Impacts Sch 141LNG</vt:lpstr>
      <vt:lpstr>Typical Res Bill Sch 141LNG</vt:lpstr>
      <vt:lpstr>Sch. 141LNG</vt:lpstr>
      <vt:lpstr>Workpapers--&gt;</vt:lpstr>
      <vt:lpstr>Forecast Therms</vt:lpstr>
      <vt:lpstr>Exh JDT-5 (Rate Design)</vt:lpstr>
      <vt:lpstr>C-COS Allocation Factors (PSE)</vt:lpstr>
      <vt:lpstr>'Exh JDT-5 (Rate Design)'!Print_Area</vt:lpstr>
      <vt:lpstr>'Forecast Therms'!Print_Area</vt:lpstr>
      <vt:lpstr>'Rate Design'!Print_Area</vt:lpstr>
      <vt:lpstr>'Rate Impacts Sch 141LNG'!Print_Area</vt:lpstr>
      <vt:lpstr>'Rate Spread'!Print_Area</vt:lpstr>
      <vt:lpstr>'Rate Spread (Blocks)'!Print_Area</vt:lpstr>
      <vt:lpstr>'Rate Summary'!Print_Area</vt:lpstr>
      <vt:lpstr>'Sch. 141LNG'!Print_Area</vt:lpstr>
      <vt:lpstr>'Typical Res Bill Sch 141LNG'!Print_Area</vt:lpstr>
      <vt:lpstr>'C-COS Allocation Factors (PSE)'!Print_Titles</vt:lpstr>
      <vt:lpstr>'Exh JDT-5 (Rate Design)'!Print_Titles</vt:lpstr>
      <vt:lpstr>'Rate Summary'!Print_Titles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Paul.Schmidt@pse.com;Kelima.Yakupova@pse.com</dc:creator>
  <cp:lastModifiedBy>Waltari, Julie</cp:lastModifiedBy>
  <cp:lastPrinted>2025-09-10T02:38:36Z</cp:lastPrinted>
  <dcterms:created xsi:type="dcterms:W3CDTF">2012-11-20T18:48:04Z</dcterms:created>
  <dcterms:modified xsi:type="dcterms:W3CDTF">2025-09-25T17:32:23Z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2025-09-04T00:48:24Z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b80b95bb-2de3-4487-b076-18c071b60341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0x0101006E56B4D1795A2E4DB2F0B01679ED314A00C6D2D08F0ACA094CAFAD91419FF15D67</vt:lpwstr>
  </property>
</Properties>
</file>