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xhous10fps03rf\orport01fps01\PUBLIC\Evan Burmester\WUTC\Commodity Rebate Filings\2024\Ellensburg\"/>
    </mc:Choice>
  </mc:AlternateContent>
  <xr:revisionPtr revIDLastSave="0" documentId="13_ncr:1_{CC9287E3-1546-4712-84BE-E6CA0DFCE7B3}" xr6:coauthVersionLast="47" xr6:coauthVersionMax="47" xr10:uidLastSave="{00000000-0000-0000-0000-000000000000}"/>
  <bookViews>
    <workbookView xWindow="-120" yWindow="-120" windowWidth="25440" windowHeight="15270" xr2:uid="{52A02B41-2519-40CA-864E-E1893FB90479}"/>
    <workbookView xWindow="25080" yWindow="180" windowWidth="25440" windowHeight="15270" activeTab="3" xr2:uid="{67E0197C-2A26-4DBA-B9AA-3E37BBFD82EF}"/>
  </bookViews>
  <sheets>
    <sheet name="Rebate Calculation" sheetId="1" r:id="rId1"/>
    <sheet name="Recycling Revenue" sheetId="2" r:id="rId2"/>
    <sheet name="CRC Price" sheetId="4" r:id="rId3"/>
    <sheet name="Customers" sheetId="3" r:id="rId4"/>
    <sheet name="CRC Composition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4" i="1"/>
  <c r="C11" i="1"/>
  <c r="C10" i="1"/>
  <c r="D11" i="1"/>
  <c r="D10" i="1"/>
  <c r="X18" i="5" l="1"/>
  <c r="X16" i="5"/>
  <c r="X15" i="5"/>
  <c r="X14" i="5"/>
  <c r="X13" i="5"/>
  <c r="X12" i="5"/>
  <c r="X11" i="5"/>
  <c r="X10" i="5"/>
  <c r="X9" i="5"/>
  <c r="X8" i="5"/>
  <c r="K19" i="4"/>
  <c r="J19" i="4"/>
  <c r="I19" i="4"/>
  <c r="H19" i="4"/>
  <c r="G19" i="4"/>
  <c r="F19" i="4"/>
  <c r="E19" i="4"/>
  <c r="D19" i="4"/>
  <c r="C19" i="4"/>
  <c r="B19" i="4"/>
  <c r="D18" i="2"/>
  <c r="D19" i="2" s="1"/>
  <c r="D17" i="3"/>
  <c r="C17" i="3"/>
  <c r="C18" i="3" s="1"/>
  <c r="D18" i="3"/>
  <c r="V18" i="5" l="1"/>
  <c r="V16" i="5"/>
  <c r="V15" i="5"/>
  <c r="V14" i="5"/>
  <c r="V13" i="5"/>
  <c r="V12" i="5"/>
  <c r="V11" i="5"/>
  <c r="V10" i="5"/>
  <c r="V9" i="5"/>
  <c r="V8" i="5"/>
  <c r="K18" i="4"/>
  <c r="J18" i="4"/>
  <c r="I18" i="4"/>
  <c r="H18" i="4"/>
  <c r="G18" i="4"/>
  <c r="F18" i="4"/>
  <c r="E18" i="4"/>
  <c r="D18" i="4"/>
  <c r="C18" i="4"/>
  <c r="B18" i="4"/>
  <c r="V19" i="5" l="1"/>
  <c r="D16" i="3" l="1"/>
  <c r="E17" i="2"/>
  <c r="D17" i="2" s="1"/>
  <c r="T18" i="5" l="1"/>
  <c r="T16" i="5"/>
  <c r="T15" i="5"/>
  <c r="T14" i="5"/>
  <c r="T13" i="5"/>
  <c r="T12" i="5"/>
  <c r="T11" i="5"/>
  <c r="T10" i="5"/>
  <c r="T9" i="5"/>
  <c r="T8" i="5"/>
  <c r="K17" i="4"/>
  <c r="J17" i="4"/>
  <c r="I17" i="4"/>
  <c r="H17" i="4"/>
  <c r="G17" i="4"/>
  <c r="F17" i="4"/>
  <c r="E17" i="4"/>
  <c r="D17" i="4"/>
  <c r="C17" i="4"/>
  <c r="B17" i="4"/>
  <c r="D16" i="2" l="1"/>
  <c r="D15" i="3"/>
  <c r="C15" i="3"/>
  <c r="D15" i="2" l="1"/>
  <c r="R18" i="5"/>
  <c r="R17" i="5"/>
  <c r="R16" i="5"/>
  <c r="R15" i="5"/>
  <c r="R14" i="5"/>
  <c r="R13" i="5"/>
  <c r="R12" i="5"/>
  <c r="R11" i="5"/>
  <c r="R10" i="5"/>
  <c r="R9" i="5"/>
  <c r="R8" i="5"/>
  <c r="K16" i="4"/>
  <c r="J16" i="4"/>
  <c r="I16" i="4"/>
  <c r="H16" i="4"/>
  <c r="G16" i="4"/>
  <c r="F16" i="4"/>
  <c r="E16" i="4"/>
  <c r="D16" i="4"/>
  <c r="C16" i="4"/>
  <c r="B16" i="4"/>
  <c r="D14" i="3" l="1"/>
  <c r="P18" i="5"/>
  <c r="P12" i="5"/>
  <c r="P17" i="5"/>
  <c r="P16" i="5"/>
  <c r="P15" i="5"/>
  <c r="P14" i="5"/>
  <c r="P13" i="5"/>
  <c r="P11" i="5"/>
  <c r="P10" i="5"/>
  <c r="P9" i="5"/>
  <c r="P8" i="5"/>
  <c r="K15" i="4"/>
  <c r="J15" i="4"/>
  <c r="I15" i="4"/>
  <c r="H15" i="4"/>
  <c r="G15" i="4"/>
  <c r="F15" i="4"/>
  <c r="E15" i="4"/>
  <c r="D15" i="4"/>
  <c r="C15" i="4"/>
  <c r="B15" i="4"/>
  <c r="D14" i="2" l="1"/>
  <c r="D13" i="3" l="1"/>
  <c r="K14" i="4" l="1"/>
  <c r="J14" i="4"/>
  <c r="I14" i="4"/>
  <c r="H14" i="4"/>
  <c r="G14" i="4"/>
  <c r="F14" i="4"/>
  <c r="E14" i="4"/>
  <c r="D14" i="4"/>
  <c r="C14" i="4"/>
  <c r="B14" i="4"/>
  <c r="N18" i="5"/>
  <c r="N17" i="5"/>
  <c r="N16" i="5"/>
  <c r="N15" i="5"/>
  <c r="N14" i="5"/>
  <c r="N13" i="5"/>
  <c r="N12" i="5"/>
  <c r="N11" i="5"/>
  <c r="N10" i="5"/>
  <c r="N9" i="5"/>
  <c r="N8" i="5"/>
  <c r="D12" i="3" l="1"/>
  <c r="D13" i="2"/>
  <c r="L18" i="5" l="1"/>
  <c r="L17" i="5"/>
  <c r="L16" i="5"/>
  <c r="L15" i="5"/>
  <c r="L14" i="5"/>
  <c r="L13" i="5"/>
  <c r="L12" i="5"/>
  <c r="L11" i="5"/>
  <c r="L10" i="5"/>
  <c r="L9" i="5"/>
  <c r="L8" i="5"/>
  <c r="K13" i="4"/>
  <c r="J13" i="4"/>
  <c r="I13" i="4"/>
  <c r="H13" i="4"/>
  <c r="G13" i="4"/>
  <c r="F13" i="4"/>
  <c r="E13" i="4"/>
  <c r="D13" i="4"/>
  <c r="C13" i="4"/>
  <c r="B13" i="4"/>
  <c r="D12" i="2" l="1"/>
  <c r="E12" i="2"/>
  <c r="K12" i="4" l="1"/>
  <c r="J12" i="4"/>
  <c r="I12" i="4"/>
  <c r="H12" i="4"/>
  <c r="G12" i="4"/>
  <c r="F12" i="4"/>
  <c r="E12" i="4"/>
  <c r="D12" i="4"/>
  <c r="C12" i="4"/>
  <c r="B12" i="4"/>
  <c r="J18" i="5"/>
  <c r="J17" i="5"/>
  <c r="J16" i="5"/>
  <c r="J15" i="5"/>
  <c r="J14" i="5"/>
  <c r="J13" i="5"/>
  <c r="J12" i="5"/>
  <c r="J11" i="5"/>
  <c r="J10" i="5"/>
  <c r="J9" i="5"/>
  <c r="J8" i="5"/>
  <c r="J19" i="5" l="1"/>
  <c r="H18" i="5" l="1"/>
  <c r="H17" i="5"/>
  <c r="H16" i="5"/>
  <c r="H15" i="5"/>
  <c r="H14" i="5"/>
  <c r="H13" i="5"/>
  <c r="H12" i="5"/>
  <c r="H11" i="5"/>
  <c r="H10" i="5"/>
  <c r="H9" i="5"/>
  <c r="H8" i="5"/>
  <c r="F18" i="5"/>
  <c r="F17" i="5"/>
  <c r="F16" i="5"/>
  <c r="F15" i="5"/>
  <c r="F14" i="5"/>
  <c r="F13" i="5"/>
  <c r="F12" i="5"/>
  <c r="F11" i="5"/>
  <c r="F10" i="5"/>
  <c r="F9" i="5"/>
  <c r="F8" i="5"/>
  <c r="D18" i="5"/>
  <c r="D17" i="5"/>
  <c r="D16" i="5"/>
  <c r="D15" i="5"/>
  <c r="D14" i="5"/>
  <c r="D13" i="5"/>
  <c r="D12" i="5"/>
  <c r="D11" i="5"/>
  <c r="D10" i="5"/>
  <c r="D9" i="5"/>
  <c r="D8" i="5"/>
  <c r="B18" i="5"/>
  <c r="B17" i="5"/>
  <c r="B16" i="5"/>
  <c r="B15" i="5"/>
  <c r="B14" i="5"/>
  <c r="B13" i="5"/>
  <c r="B12" i="5"/>
  <c r="B11" i="5"/>
  <c r="B10" i="5"/>
  <c r="B9" i="5"/>
  <c r="B8" i="5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9" i="4"/>
  <c r="J9" i="4"/>
  <c r="I9" i="4"/>
  <c r="H9" i="4"/>
  <c r="G9" i="4"/>
  <c r="F9" i="4"/>
  <c r="E9" i="4"/>
  <c r="D9" i="4"/>
  <c r="C9" i="4"/>
  <c r="B9" i="4"/>
  <c r="K8" i="4"/>
  <c r="J8" i="4"/>
  <c r="I8" i="4"/>
  <c r="H8" i="4"/>
  <c r="G8" i="4"/>
  <c r="F8" i="4"/>
  <c r="E8" i="4"/>
  <c r="D8" i="4"/>
  <c r="C8" i="4"/>
  <c r="B8" i="4"/>
  <c r="E10" i="2" l="1"/>
  <c r="D10" i="2"/>
  <c r="D8" i="3"/>
  <c r="D9" i="2"/>
  <c r="E23" i="2"/>
  <c r="G23" i="1"/>
  <c r="I12" i="1"/>
  <c r="K18" i="1"/>
  <c r="J11" i="1"/>
  <c r="K11" i="1"/>
  <c r="J10" i="1"/>
  <c r="K10" i="1"/>
  <c r="K12" i="1" s="1"/>
  <c r="K16" i="1" s="1"/>
  <c r="E8" i="2"/>
  <c r="E9" i="2" s="1"/>
  <c r="X36" i="5"/>
  <c r="X31" i="5"/>
  <c r="X42" i="5" s="1"/>
  <c r="X30" i="5"/>
  <c r="X41" i="5" s="1"/>
  <c r="X29" i="5"/>
  <c r="X40" i="5" s="1"/>
  <c r="X28" i="5"/>
  <c r="X39" i="5" s="1"/>
  <c r="X27" i="5"/>
  <c r="X38" i="5" s="1"/>
  <c r="X26" i="5"/>
  <c r="X37" i="5" s="1"/>
  <c r="X25" i="5"/>
  <c r="X24" i="5"/>
  <c r="X35" i="5" s="1"/>
  <c r="X23" i="5"/>
  <c r="X34" i="5" s="1"/>
  <c r="X22" i="5"/>
  <c r="X33" i="5" s="1"/>
  <c r="V31" i="5"/>
  <c r="V42" i="5" s="1"/>
  <c r="V30" i="5"/>
  <c r="V41" i="5" s="1"/>
  <c r="V29" i="5"/>
  <c r="V40" i="5" s="1"/>
  <c r="V28" i="5"/>
  <c r="V39" i="5" s="1"/>
  <c r="V27" i="5"/>
  <c r="V38" i="5" s="1"/>
  <c r="V26" i="5"/>
  <c r="V37" i="5" s="1"/>
  <c r="V25" i="5"/>
  <c r="V36" i="5" s="1"/>
  <c r="V24" i="5"/>
  <c r="V35" i="5" s="1"/>
  <c r="V23" i="5"/>
  <c r="V34" i="5" s="1"/>
  <c r="V22" i="5"/>
  <c r="V33" i="5" s="1"/>
  <c r="T31" i="5"/>
  <c r="T42" i="5" s="1"/>
  <c r="T30" i="5"/>
  <c r="T41" i="5" s="1"/>
  <c r="T29" i="5"/>
  <c r="T40" i="5" s="1"/>
  <c r="T28" i="5"/>
  <c r="T39" i="5" s="1"/>
  <c r="T27" i="5"/>
  <c r="T38" i="5" s="1"/>
  <c r="T26" i="5"/>
  <c r="T37" i="5" s="1"/>
  <c r="T25" i="5"/>
  <c r="T36" i="5" s="1"/>
  <c r="T24" i="5"/>
  <c r="T35" i="5" s="1"/>
  <c r="T23" i="5"/>
  <c r="T34" i="5" s="1"/>
  <c r="T22" i="5"/>
  <c r="T33" i="5" s="1"/>
  <c r="R31" i="5"/>
  <c r="R42" i="5" s="1"/>
  <c r="R30" i="5"/>
  <c r="R41" i="5" s="1"/>
  <c r="R29" i="5"/>
  <c r="R40" i="5" s="1"/>
  <c r="R28" i="5"/>
  <c r="R39" i="5" s="1"/>
  <c r="R27" i="5"/>
  <c r="R38" i="5" s="1"/>
  <c r="R26" i="5"/>
  <c r="R37" i="5" s="1"/>
  <c r="R25" i="5"/>
  <c r="R36" i="5" s="1"/>
  <c r="R24" i="5"/>
  <c r="R35" i="5" s="1"/>
  <c r="R23" i="5"/>
  <c r="R34" i="5" s="1"/>
  <c r="R22" i="5"/>
  <c r="R33" i="5" s="1"/>
  <c r="P31" i="5"/>
  <c r="P42" i="5" s="1"/>
  <c r="P30" i="5"/>
  <c r="P41" i="5" s="1"/>
  <c r="P29" i="5"/>
  <c r="P40" i="5" s="1"/>
  <c r="P28" i="5"/>
  <c r="P39" i="5" s="1"/>
  <c r="P27" i="5"/>
  <c r="P38" i="5" s="1"/>
  <c r="P26" i="5"/>
  <c r="P37" i="5" s="1"/>
  <c r="P25" i="5"/>
  <c r="P24" i="5"/>
  <c r="P35" i="5" s="1"/>
  <c r="P23" i="5"/>
  <c r="P34" i="5" s="1"/>
  <c r="P22" i="5"/>
  <c r="N31" i="5"/>
  <c r="N42" i="5" s="1"/>
  <c r="N30" i="5"/>
  <c r="N41" i="5" s="1"/>
  <c r="N29" i="5"/>
  <c r="N40" i="5" s="1"/>
  <c r="N28" i="5"/>
  <c r="N39" i="5" s="1"/>
  <c r="N27" i="5"/>
  <c r="N38" i="5" s="1"/>
  <c r="N26" i="5"/>
  <c r="N37" i="5" s="1"/>
  <c r="N25" i="5"/>
  <c r="N36" i="5" s="1"/>
  <c r="N24" i="5"/>
  <c r="N35" i="5" s="1"/>
  <c r="N23" i="5"/>
  <c r="N34" i="5" s="1"/>
  <c r="N22" i="5"/>
  <c r="N33" i="5" s="1"/>
  <c r="L31" i="5"/>
  <c r="L42" i="5" s="1"/>
  <c r="L30" i="5"/>
  <c r="L41" i="5" s="1"/>
  <c r="L29" i="5"/>
  <c r="L40" i="5" s="1"/>
  <c r="L28" i="5"/>
  <c r="L39" i="5" s="1"/>
  <c r="L27" i="5"/>
  <c r="L38" i="5" s="1"/>
  <c r="L26" i="5"/>
  <c r="L25" i="5"/>
  <c r="L36" i="5" s="1"/>
  <c r="L24" i="5"/>
  <c r="L35" i="5" s="1"/>
  <c r="L23" i="5"/>
  <c r="L34" i="5" s="1"/>
  <c r="L22" i="5"/>
  <c r="L33" i="5" s="1"/>
  <c r="J31" i="5"/>
  <c r="J42" i="5" s="1"/>
  <c r="J30" i="5"/>
  <c r="J41" i="5" s="1"/>
  <c r="J29" i="5"/>
  <c r="J28" i="5"/>
  <c r="J39" i="5" s="1"/>
  <c r="J27" i="5"/>
  <c r="J38" i="5" s="1"/>
  <c r="J26" i="5"/>
  <c r="J37" i="5" s="1"/>
  <c r="J25" i="5"/>
  <c r="J36" i="5" s="1"/>
  <c r="J24" i="5"/>
  <c r="J23" i="5"/>
  <c r="J34" i="5" s="1"/>
  <c r="J22" i="5"/>
  <c r="J33" i="5" s="1"/>
  <c r="H31" i="5"/>
  <c r="H42" i="5" s="1"/>
  <c r="H30" i="5"/>
  <c r="H29" i="5"/>
  <c r="H40" i="5" s="1"/>
  <c r="H28" i="5"/>
  <c r="H39" i="5" s="1"/>
  <c r="H27" i="5"/>
  <c r="H38" i="5" s="1"/>
  <c r="H26" i="5"/>
  <c r="H37" i="5" s="1"/>
  <c r="H25" i="5"/>
  <c r="H36" i="5" s="1"/>
  <c r="H24" i="5"/>
  <c r="H35" i="5" s="1"/>
  <c r="H23" i="5"/>
  <c r="H34" i="5" s="1"/>
  <c r="H22" i="5"/>
  <c r="F31" i="5"/>
  <c r="F42" i="5" s="1"/>
  <c r="F30" i="5"/>
  <c r="F41" i="5" s="1"/>
  <c r="F29" i="5"/>
  <c r="F40" i="5" s="1"/>
  <c r="F28" i="5"/>
  <c r="F39" i="5" s="1"/>
  <c r="F27" i="5"/>
  <c r="F38" i="5" s="1"/>
  <c r="F26" i="5"/>
  <c r="F37" i="5" s="1"/>
  <c r="F25" i="5"/>
  <c r="F36" i="5" s="1"/>
  <c r="F24" i="5"/>
  <c r="F35" i="5" s="1"/>
  <c r="F23" i="5"/>
  <c r="F34" i="5" s="1"/>
  <c r="F22" i="5"/>
  <c r="F33" i="5" s="1"/>
  <c r="D31" i="5"/>
  <c r="D42" i="5" s="1"/>
  <c r="D30" i="5"/>
  <c r="D41" i="5" s="1"/>
  <c r="D29" i="5"/>
  <c r="D40" i="5" s="1"/>
  <c r="D28" i="5"/>
  <c r="D39" i="5" s="1"/>
  <c r="D27" i="5"/>
  <c r="D38" i="5" s="1"/>
  <c r="D26" i="5"/>
  <c r="D37" i="5" s="1"/>
  <c r="D25" i="5"/>
  <c r="D36" i="5" s="1"/>
  <c r="D24" i="5"/>
  <c r="D35" i="5" s="1"/>
  <c r="D23" i="5"/>
  <c r="D34" i="5" s="1"/>
  <c r="D22" i="5"/>
  <c r="D33" i="5" s="1"/>
  <c r="B31" i="5"/>
  <c r="B42" i="5" s="1"/>
  <c r="B30" i="5"/>
  <c r="B41" i="5" s="1"/>
  <c r="B29" i="5"/>
  <c r="B40" i="5" s="1"/>
  <c r="B28" i="5"/>
  <c r="B39" i="5" s="1"/>
  <c r="B27" i="5"/>
  <c r="B38" i="5" s="1"/>
  <c r="B26" i="5"/>
  <c r="B37" i="5" s="1"/>
  <c r="B25" i="5"/>
  <c r="B36" i="5" s="1"/>
  <c r="B24" i="5"/>
  <c r="B35" i="5" s="1"/>
  <c r="B23" i="5"/>
  <c r="B34" i="5" s="1"/>
  <c r="B22" i="5"/>
  <c r="B33" i="5" s="1"/>
  <c r="X19" i="5"/>
  <c r="Y8" i="5" s="1"/>
  <c r="T19" i="5"/>
  <c r="U11" i="5" s="1"/>
  <c r="R19" i="5"/>
  <c r="S16" i="5" s="1"/>
  <c r="W14" i="5"/>
  <c r="B19" i="5"/>
  <c r="C14" i="5" s="1"/>
  <c r="Z18" i="5"/>
  <c r="D19" i="5"/>
  <c r="E8" i="5" s="1"/>
  <c r="Z16" i="5"/>
  <c r="P36" i="5"/>
  <c r="Z8" i="5"/>
  <c r="K20" i="4"/>
  <c r="J20" i="4"/>
  <c r="I20" i="4"/>
  <c r="H20" i="4"/>
  <c r="G20" i="4"/>
  <c r="F20" i="4"/>
  <c r="E20" i="4"/>
  <c r="D20" i="4"/>
  <c r="C20" i="4"/>
  <c r="B20" i="4"/>
  <c r="Z17" i="5"/>
  <c r="AE17" i="5" s="1"/>
  <c r="F18" i="3"/>
  <c r="F17" i="3"/>
  <c r="F16" i="3"/>
  <c r="F14" i="3"/>
  <c r="F13" i="3"/>
  <c r="F12" i="3"/>
  <c r="F11" i="3"/>
  <c r="F10" i="3"/>
  <c r="F9" i="3"/>
  <c r="E8" i="3"/>
  <c r="F8" i="3" s="1"/>
  <c r="E7" i="3"/>
  <c r="F7" i="3" s="1"/>
  <c r="C11" i="2"/>
  <c r="C10" i="2"/>
  <c r="C8" i="2"/>
  <c r="C9" i="2" s="1"/>
  <c r="E10" i="1"/>
  <c r="E11" i="1"/>
  <c r="A23" i="1"/>
  <c r="D19" i="3"/>
  <c r="C19" i="3"/>
  <c r="F15" i="3"/>
  <c r="C12" i="2"/>
  <c r="C12" i="1"/>
  <c r="E18" i="1"/>
  <c r="D20" i="2"/>
  <c r="E12" i="1" l="1"/>
  <c r="Y16" i="5"/>
  <c r="Y15" i="5"/>
  <c r="Y18" i="5"/>
  <c r="F19" i="2" s="1"/>
  <c r="Y13" i="5"/>
  <c r="Y11" i="5"/>
  <c r="W17" i="5"/>
  <c r="W10" i="5"/>
  <c r="W11" i="5"/>
  <c r="W8" i="5"/>
  <c r="U18" i="5"/>
  <c r="F17" i="2" s="1"/>
  <c r="U14" i="5"/>
  <c r="U16" i="5"/>
  <c r="U10" i="5"/>
  <c r="S17" i="5"/>
  <c r="S18" i="5"/>
  <c r="F16" i="2" s="1"/>
  <c r="S13" i="5"/>
  <c r="S11" i="5"/>
  <c r="S10" i="5"/>
  <c r="S12" i="5"/>
  <c r="E15" i="5"/>
  <c r="E16" i="5"/>
  <c r="E17" i="5"/>
  <c r="C14" i="2"/>
  <c r="C13" i="2"/>
  <c r="E10" i="5"/>
  <c r="E14" i="5"/>
  <c r="E18" i="5"/>
  <c r="F9" i="2" s="1"/>
  <c r="G9" i="2" s="1"/>
  <c r="H9" i="2" s="1"/>
  <c r="E9" i="5"/>
  <c r="E11" i="5"/>
  <c r="E13" i="5"/>
  <c r="E12" i="5"/>
  <c r="E19" i="3"/>
  <c r="F19" i="3" s="1"/>
  <c r="Y9" i="5"/>
  <c r="Y14" i="5"/>
  <c r="Y12" i="5"/>
  <c r="Y10" i="5"/>
  <c r="Y17" i="5"/>
  <c r="W15" i="5"/>
  <c r="W9" i="5"/>
  <c r="W12" i="5"/>
  <c r="W18" i="5"/>
  <c r="F18" i="2" s="1"/>
  <c r="W16" i="5"/>
  <c r="W13" i="5"/>
  <c r="U13" i="5"/>
  <c r="U15" i="5"/>
  <c r="U17" i="5"/>
  <c r="U8" i="5"/>
  <c r="U9" i="5"/>
  <c r="U12" i="5"/>
  <c r="S9" i="5"/>
  <c r="S14" i="5"/>
  <c r="S8" i="5"/>
  <c r="S15" i="5"/>
  <c r="C8" i="5"/>
  <c r="C11" i="5"/>
  <c r="C9" i="5"/>
  <c r="C12" i="5"/>
  <c r="C10" i="5"/>
  <c r="C13" i="5"/>
  <c r="C15" i="5"/>
  <c r="C17" i="5"/>
  <c r="C18" i="5"/>
  <c r="F8" i="2" s="1"/>
  <c r="G8" i="2" s="1"/>
  <c r="H8" i="2" s="1"/>
  <c r="C16" i="5"/>
  <c r="F44" i="5"/>
  <c r="I10" i="2" s="1"/>
  <c r="V44" i="5"/>
  <c r="I18" i="2" s="1"/>
  <c r="X44" i="5"/>
  <c r="I19" i="2" s="1"/>
  <c r="B44" i="5"/>
  <c r="I8" i="2" s="1"/>
  <c r="R44" i="5"/>
  <c r="I16" i="2" s="1"/>
  <c r="D44" i="5"/>
  <c r="I9" i="2" s="1"/>
  <c r="T44" i="5"/>
  <c r="I17" i="2" s="1"/>
  <c r="L37" i="5"/>
  <c r="L44" i="5" s="1"/>
  <c r="I13" i="2" s="1"/>
  <c r="P33" i="5"/>
  <c r="P44" i="5" s="1"/>
  <c r="I15" i="2" s="1"/>
  <c r="H41" i="5"/>
  <c r="N44" i="5"/>
  <c r="I14" i="2" s="1"/>
  <c r="N19" i="5"/>
  <c r="O16" i="5" s="1"/>
  <c r="P19" i="5"/>
  <c r="Q9" i="5" s="1"/>
  <c r="Z14" i="5"/>
  <c r="AE14" i="5" s="1"/>
  <c r="Z12" i="5"/>
  <c r="AE12" i="5" s="1"/>
  <c r="Z9" i="5"/>
  <c r="AE9" i="5" s="1"/>
  <c r="H33" i="5"/>
  <c r="H19" i="5"/>
  <c r="I13" i="5" s="1"/>
  <c r="L19" i="5"/>
  <c r="M10" i="5" s="1"/>
  <c r="Z13" i="5"/>
  <c r="AE13" i="5" s="1"/>
  <c r="Z10" i="5"/>
  <c r="AE10" i="5" s="1"/>
  <c r="Z11" i="5"/>
  <c r="AE11" i="5" s="1"/>
  <c r="F19" i="5"/>
  <c r="J40" i="5"/>
  <c r="K8" i="5"/>
  <c r="Z15" i="5"/>
  <c r="AE18" i="5"/>
  <c r="AE16" i="5"/>
  <c r="J35" i="5"/>
  <c r="Y19" i="5" l="1"/>
  <c r="W19" i="5"/>
  <c r="U19" i="5"/>
  <c r="H44" i="5"/>
  <c r="I11" i="2" s="1"/>
  <c r="S19" i="5"/>
  <c r="M12" i="5"/>
  <c r="C15" i="2"/>
  <c r="E19" i="5"/>
  <c r="J9" i="2"/>
  <c r="K15" i="5"/>
  <c r="C19" i="5"/>
  <c r="J8" i="2"/>
  <c r="G11" i="5"/>
  <c r="G12" i="5"/>
  <c r="G15" i="5"/>
  <c r="G13" i="5"/>
  <c r="G10" i="5"/>
  <c r="G8" i="5"/>
  <c r="G17" i="5"/>
  <c r="G16" i="5"/>
  <c r="Z19" i="5"/>
  <c r="AA13" i="5" s="1"/>
  <c r="G9" i="5"/>
  <c r="M14" i="5"/>
  <c r="M17" i="5"/>
  <c r="M11" i="5"/>
  <c r="M18" i="5"/>
  <c r="F13" i="2" s="1"/>
  <c r="G13" i="2" s="1"/>
  <c r="H13" i="2" s="1"/>
  <c r="J13" i="2" s="1"/>
  <c r="M9" i="5"/>
  <c r="M16" i="5"/>
  <c r="M13" i="5"/>
  <c r="M15" i="5"/>
  <c r="I9" i="5"/>
  <c r="I12" i="5"/>
  <c r="I10" i="5"/>
  <c r="I14" i="5"/>
  <c r="I17" i="5"/>
  <c r="I16" i="5"/>
  <c r="M8" i="5"/>
  <c r="Q18" i="5"/>
  <c r="F15" i="2" s="1"/>
  <c r="G15" i="2" s="1"/>
  <c r="H15" i="2" s="1"/>
  <c r="J15" i="2" s="1"/>
  <c r="Q14" i="5"/>
  <c r="Q16" i="5"/>
  <c r="Q15" i="5"/>
  <c r="Q8" i="5"/>
  <c r="Q13" i="5"/>
  <c r="Q12" i="5"/>
  <c r="Q17" i="5"/>
  <c r="Q10" i="5"/>
  <c r="Q11" i="5"/>
  <c r="I18" i="5"/>
  <c r="F11" i="2" s="1"/>
  <c r="G11" i="2" s="1"/>
  <c r="H11" i="2" s="1"/>
  <c r="I11" i="5"/>
  <c r="G18" i="5"/>
  <c r="F10" i="2" s="1"/>
  <c r="G10" i="2" s="1"/>
  <c r="H10" i="2" s="1"/>
  <c r="J10" i="2" s="1"/>
  <c r="I15" i="5"/>
  <c r="I8" i="5"/>
  <c r="O13" i="5"/>
  <c r="O9" i="5"/>
  <c r="O18" i="5"/>
  <c r="F14" i="2" s="1"/>
  <c r="G14" i="2" s="1"/>
  <c r="H14" i="2" s="1"/>
  <c r="J14" i="2" s="1"/>
  <c r="O15" i="5"/>
  <c r="O11" i="5"/>
  <c r="O8" i="5"/>
  <c r="O14" i="5"/>
  <c r="O17" i="5"/>
  <c r="O10" i="5"/>
  <c r="O12" i="5"/>
  <c r="G14" i="5"/>
  <c r="AE15" i="5"/>
  <c r="J44" i="5"/>
  <c r="I12" i="2" s="1"/>
  <c r="K16" i="5"/>
  <c r="K13" i="5"/>
  <c r="K9" i="5"/>
  <c r="K17" i="5"/>
  <c r="K18" i="5"/>
  <c r="F12" i="2" s="1"/>
  <c r="G12" i="2" s="1"/>
  <c r="K14" i="5"/>
  <c r="K12" i="5"/>
  <c r="K11" i="5"/>
  <c r="K10" i="5"/>
  <c r="J11" i="2" l="1"/>
  <c r="C16" i="2"/>
  <c r="G16" i="2"/>
  <c r="H16" i="2" s="1"/>
  <c r="J16" i="2" s="1"/>
  <c r="I19" i="5"/>
  <c r="AC11" i="5"/>
  <c r="AC17" i="5"/>
  <c r="AA17" i="5"/>
  <c r="AC13" i="5"/>
  <c r="AC9" i="5"/>
  <c r="AC15" i="5"/>
  <c r="AC14" i="5"/>
  <c r="AA8" i="5"/>
  <c r="AC16" i="5"/>
  <c r="AA11" i="5"/>
  <c r="AA14" i="5"/>
  <c r="AA9" i="5"/>
  <c r="AA15" i="5"/>
  <c r="AA18" i="5"/>
  <c r="AC8" i="5"/>
  <c r="AA10" i="5"/>
  <c r="AA12" i="5"/>
  <c r="G19" i="5"/>
  <c r="K19" i="5"/>
  <c r="M19" i="5"/>
  <c r="AC12" i="5"/>
  <c r="AA16" i="5"/>
  <c r="Q19" i="5"/>
  <c r="O19" i="5"/>
  <c r="AC10" i="5"/>
  <c r="H12" i="2"/>
  <c r="C17" i="2" l="1"/>
  <c r="G17" i="2"/>
  <c r="AC19" i="5"/>
  <c r="AA19" i="5"/>
  <c r="J12" i="2"/>
  <c r="H17" i="2" l="1"/>
  <c r="E19" i="2"/>
  <c r="C18" i="2"/>
  <c r="G18" i="2"/>
  <c r="H18" i="2" s="1"/>
  <c r="J18" i="2" s="1"/>
  <c r="E20" i="2"/>
  <c r="J17" i="2" l="1"/>
  <c r="C19" i="2"/>
  <c r="C20" i="2" s="1"/>
  <c r="G19" i="2"/>
  <c r="H19" i="2" s="1"/>
  <c r="J19" i="2" s="1"/>
  <c r="H20" i="2" l="1"/>
  <c r="G20" i="2"/>
  <c r="F20" i="2" s="1"/>
  <c r="F23" i="2" s="1"/>
  <c r="G23" i="2" s="1"/>
  <c r="H23" i="2" s="1"/>
  <c r="J20" i="2"/>
  <c r="I20" i="2" l="1"/>
  <c r="I23" i="2" s="1"/>
  <c r="E14" i="1"/>
  <c r="E16" i="1" s="1"/>
  <c r="J23" i="2"/>
  <c r="K23" i="2" s="1"/>
  <c r="E23" i="1"/>
  <c r="F25" i="1" s="1"/>
  <c r="F27" i="1" s="1"/>
</calcChain>
</file>

<file path=xl/sharedStrings.xml><?xml version="1.0" encoding="utf-8"?>
<sst xmlns="http://schemas.openxmlformats.org/spreadsheetml/2006/main" count="154" uniqueCount="79">
  <si>
    <t>Residential</t>
  </si>
  <si>
    <t>Commodity</t>
  </si>
  <si>
    <t>Total</t>
  </si>
  <si>
    <t>Customers</t>
  </si>
  <si>
    <t>Credit</t>
  </si>
  <si>
    <t>Credits</t>
  </si>
  <si>
    <t xml:space="preserve">Actual Commodity Revenue </t>
  </si>
  <si>
    <t>Owe Customer (company)</t>
  </si>
  <si>
    <t>Total Customers</t>
  </si>
  <si>
    <t>Total Customers (annualized)</t>
  </si>
  <si>
    <t>Projected Value</t>
  </si>
  <si>
    <t>Residential Commodity Adjustment - as calculated</t>
  </si>
  <si>
    <t>Waste Management of Ellensburg</t>
  </si>
  <si>
    <t>2024 - 2025 Rebate Calculation</t>
  </si>
  <si>
    <t>Projected Revenue Oct. 2024- Sept. 2025</t>
  </si>
  <si>
    <t>Adjust for Under/(Over) payment in 2023-2024</t>
  </si>
  <si>
    <t>Tonnage</t>
  </si>
  <si>
    <t>Less:</t>
  </si>
  <si>
    <t>Residual</t>
  </si>
  <si>
    <t>Average</t>
  </si>
  <si>
    <t>Month</t>
  </si>
  <si>
    <t>Non-UTC</t>
  </si>
  <si>
    <t>UTC</t>
  </si>
  <si>
    <t>% Residual</t>
  </si>
  <si>
    <t>Sold</t>
  </si>
  <si>
    <t>Rate/ton</t>
  </si>
  <si>
    <t>Revenue</t>
  </si>
  <si>
    <t>Dec</t>
  </si>
  <si>
    <t>Jan., 2024</t>
  </si>
  <si>
    <t>Feb</t>
  </si>
  <si>
    <t>Mar</t>
  </si>
  <si>
    <t>Apr</t>
  </si>
  <si>
    <t>May</t>
  </si>
  <si>
    <t>Jun</t>
  </si>
  <si>
    <t>Jul</t>
  </si>
  <si>
    <t>Aug</t>
  </si>
  <si>
    <t>Oct</t>
  </si>
  <si>
    <t>Calculation of Recycling Revenue</t>
  </si>
  <si>
    <t>Sept., 2023</t>
  </si>
  <si>
    <t>Nov</t>
  </si>
  <si>
    <t>Recycling Customers - per Enspire</t>
  </si>
  <si>
    <t>%</t>
  </si>
  <si>
    <t>Cascade Recycling Center</t>
  </si>
  <si>
    <t>Monthly Price per ton of Commodities Sold</t>
  </si>
  <si>
    <t>Passback Price/ton schedule</t>
  </si>
  <si>
    <t>Natural</t>
  </si>
  <si>
    <t>Colored</t>
  </si>
  <si>
    <t>Mixed</t>
  </si>
  <si>
    <t>ONP 6</t>
  </si>
  <si>
    <t>Mixed Paper</t>
  </si>
  <si>
    <t>OCC</t>
  </si>
  <si>
    <t>Alum.</t>
  </si>
  <si>
    <t>Tin</t>
  </si>
  <si>
    <t>Glass</t>
  </si>
  <si>
    <t>PET</t>
  </si>
  <si>
    <t>HDPE</t>
  </si>
  <si>
    <t>Plastics 3-7</t>
  </si>
  <si>
    <t xml:space="preserve">Tonnage Delivered and Processed </t>
  </si>
  <si>
    <t>Stream Composition-CRC</t>
  </si>
  <si>
    <t xml:space="preserve">% </t>
  </si>
  <si>
    <t xml:space="preserve">Total </t>
  </si>
  <si>
    <t>Excluding</t>
  </si>
  <si>
    <t>Tons</t>
  </si>
  <si>
    <t>Residue</t>
  </si>
  <si>
    <t>Newspaper</t>
  </si>
  <si>
    <t>Mix Paper</t>
  </si>
  <si>
    <t>Aluminum</t>
  </si>
  <si>
    <t>Tin Cans</t>
  </si>
  <si>
    <t>HDPE Natl</t>
  </si>
  <si>
    <t>HDPE Col</t>
  </si>
  <si>
    <t>#3 - 7</t>
  </si>
  <si>
    <t>Average Rate</t>
  </si>
  <si>
    <t>1 Yard</t>
  </si>
  <si>
    <t>Weight Per Yard</t>
  </si>
  <si>
    <t>Rebate per Yard</t>
  </si>
  <si>
    <t>Sept., 2024</t>
  </si>
  <si>
    <t>Jan., 2025</t>
  </si>
  <si>
    <t>Adjust for Under/(Over) payment in 2024-2025</t>
  </si>
  <si>
    <t>2025 - 2026 Rebate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</si>
</sst>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i/>
      <u/>
      <sz val="12"/>
      <name val="Arial"/>
      <family val="2"/>
    </font>
    <font>
      <b/>
      <sz val="12"/>
      <color theme="1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u val="singleAccounting"/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i/>
      <u/>
      <sz val="10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u val="singleAccounting"/>
      <sz val="9"/>
      <color rgb="FFFF0000"/>
      <name val="Arial"/>
      <family val="2"/>
    </font>
    <font>
      <u/>
      <sz val="10"/>
      <color theme="1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b/>
      <u val="double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21">
    <xf numFmtId="0" fontId="0" fillId="0" borderId="0" xfId="0"/>
    <xf numFmtId="0" fontId="4" fillId="2" borderId="1" xfId="0" applyFont="1" applyFill="1" applyBorder="1"/>
    <xf numFmtId="0" fontId="5" fillId="2" borderId="2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7" fillId="2" borderId="4" xfId="0" applyFont="1" applyFill="1" applyBorder="1"/>
    <xf numFmtId="0" fontId="7" fillId="2" borderId="0" xfId="0" applyFont="1" applyFill="1"/>
    <xf numFmtId="0" fontId="8" fillId="2" borderId="0" xfId="0" applyFont="1" applyFill="1"/>
    <xf numFmtId="0" fontId="6" fillId="2" borderId="0" xfId="0" applyFont="1" applyFill="1"/>
    <xf numFmtId="0" fontId="6" fillId="2" borderId="5" xfId="0" applyFont="1" applyFill="1" applyBorder="1"/>
    <xf numFmtId="15" fontId="7" fillId="2" borderId="4" xfId="0" applyNumberFormat="1" applyFont="1" applyFill="1" applyBorder="1"/>
    <xf numFmtId="15" fontId="7" fillId="2" borderId="0" xfId="0" applyNumberFormat="1" applyFont="1" applyFill="1"/>
    <xf numFmtId="0" fontId="6" fillId="2" borderId="4" xfId="0" applyFont="1" applyFill="1" applyBorder="1"/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7" fillId="2" borderId="6" xfId="0" applyFont="1" applyFill="1" applyBorder="1"/>
    <xf numFmtId="0" fontId="6" fillId="2" borderId="0" xfId="0" applyFont="1" applyFill="1" applyAlignment="1">
      <alignment horizontal="center"/>
    </xf>
    <xf numFmtId="41" fontId="6" fillId="2" borderId="0" xfId="0" applyNumberFormat="1" applyFont="1" applyFill="1"/>
    <xf numFmtId="44" fontId="13" fillId="2" borderId="0" xfId="4" applyFont="1" applyFill="1" applyBorder="1"/>
    <xf numFmtId="0" fontId="5" fillId="2" borderId="4" xfId="0" applyFont="1" applyFill="1" applyBorder="1"/>
    <xf numFmtId="0" fontId="5" fillId="2" borderId="0" xfId="0" applyFont="1" applyFill="1"/>
    <xf numFmtId="41" fontId="14" fillId="2" borderId="0" xfId="0" applyNumberFormat="1" applyFont="1" applyFill="1"/>
    <xf numFmtId="44" fontId="5" fillId="2" borderId="5" xfId="4" applyFont="1" applyFill="1" applyBorder="1"/>
    <xf numFmtId="164" fontId="5" fillId="2" borderId="0" xfId="4" applyNumberFormat="1" applyFont="1" applyFill="1" applyBorder="1"/>
    <xf numFmtId="44" fontId="14" fillId="2" borderId="5" xfId="4" applyFont="1" applyFill="1" applyBorder="1"/>
    <xf numFmtId="44" fontId="7" fillId="2" borderId="7" xfId="4" applyFont="1" applyFill="1" applyBorder="1"/>
    <xf numFmtId="44" fontId="7" fillId="2" borderId="5" xfId="4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4" fillId="0" borderId="11" xfId="0" quotePrefix="1" applyFont="1" applyBorder="1" applyAlignment="1">
      <alignment horizontal="left"/>
    </xf>
    <xf numFmtId="0" fontId="15" fillId="0" borderId="0" xfId="0" applyFont="1"/>
    <xf numFmtId="0" fontId="16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10" fontId="0" fillId="0" borderId="0" xfId="1" applyNumberFormat="1" applyFont="1"/>
    <xf numFmtId="43" fontId="0" fillId="0" borderId="0" xfId="0" applyNumberFormat="1"/>
    <xf numFmtId="44" fontId="0" fillId="0" borderId="0" xfId="0" applyNumberFormat="1"/>
    <xf numFmtId="164" fontId="0" fillId="0" borderId="0" xfId="2" applyNumberFormat="1" applyFont="1"/>
    <xf numFmtId="43" fontId="0" fillId="0" borderId="0" xfId="1" applyFont="1" applyFill="1"/>
    <xf numFmtId="10" fontId="19" fillId="0" borderId="0" xfId="1" applyNumberFormat="1" applyFont="1"/>
    <xf numFmtId="43" fontId="20" fillId="0" borderId="0" xfId="1" applyFont="1"/>
    <xf numFmtId="10" fontId="21" fillId="0" borderId="0" xfId="1" applyNumberFormat="1" applyFont="1"/>
    <xf numFmtId="43" fontId="20" fillId="0" borderId="0" xfId="0" applyNumberFormat="1" applyFont="1"/>
    <xf numFmtId="44" fontId="21" fillId="0" borderId="0" xfId="0" applyNumberFormat="1" applyFont="1"/>
    <xf numFmtId="164" fontId="20" fillId="0" borderId="0" xfId="2" applyNumberFormat="1" applyFont="1"/>
    <xf numFmtId="164" fontId="0" fillId="0" borderId="0" xfId="0" applyNumberFormat="1"/>
    <xf numFmtId="43" fontId="22" fillId="0" borderId="0" xfId="1" applyFont="1"/>
    <xf numFmtId="10" fontId="22" fillId="0" borderId="0" xfId="3" applyNumberFormat="1" applyFont="1"/>
    <xf numFmtId="44" fontId="22" fillId="0" borderId="0" xfId="2" applyFont="1"/>
    <xf numFmtId="164" fontId="22" fillId="0" borderId="0" xfId="2" applyNumberFormat="1" applyFont="1"/>
    <xf numFmtId="0" fontId="23" fillId="0" borderId="0" xfId="0" applyFont="1"/>
    <xf numFmtId="165" fontId="0" fillId="0" borderId="0" xfId="3" applyNumberFormat="1" applyFont="1"/>
    <xf numFmtId="166" fontId="2" fillId="0" borderId="0" xfId="1" applyNumberFormat="1" applyFont="1"/>
    <xf numFmtId="166" fontId="0" fillId="0" borderId="0" xfId="1" applyNumberFormat="1" applyFont="1"/>
    <xf numFmtId="166" fontId="20" fillId="0" borderId="0" xfId="1" applyNumberFormat="1" applyFont="1"/>
    <xf numFmtId="165" fontId="20" fillId="0" borderId="0" xfId="3" applyNumberFormat="1" applyFont="1"/>
    <xf numFmtId="166" fontId="22" fillId="0" borderId="0" xfId="1" applyNumberFormat="1" applyFont="1"/>
    <xf numFmtId="165" fontId="22" fillId="0" borderId="0" xfId="3" applyNumberFormat="1" applyFont="1"/>
    <xf numFmtId="0" fontId="24" fillId="0" borderId="0" xfId="0" applyFont="1"/>
    <xf numFmtId="0" fontId="0" fillId="0" borderId="12" xfId="0" applyBorder="1"/>
    <xf numFmtId="0" fontId="25" fillId="0" borderId="12" xfId="0" applyFont="1" applyBorder="1"/>
    <xf numFmtId="0" fontId="25" fillId="3" borderId="12" xfId="0" applyFont="1" applyFill="1" applyBorder="1"/>
    <xf numFmtId="0" fontId="0" fillId="3" borderId="12" xfId="0" applyFill="1" applyBorder="1"/>
    <xf numFmtId="0" fontId="25" fillId="3" borderId="12" xfId="0" applyFont="1" applyFill="1" applyBorder="1" applyAlignment="1">
      <alignment horizontal="center"/>
    </xf>
    <xf numFmtId="17" fontId="25" fillId="0" borderId="12" xfId="0" applyNumberFormat="1" applyFont="1" applyBorder="1" applyAlignment="1">
      <alignment horizontal="right"/>
    </xf>
    <xf numFmtId="44" fontId="26" fillId="0" borderId="12" xfId="2" applyFont="1" applyBorder="1" applyProtection="1">
      <protection locked="0"/>
    </xf>
    <xf numFmtId="44" fontId="26" fillId="0" borderId="12" xfId="2" applyFont="1" applyFill="1" applyBorder="1" applyProtection="1">
      <protection locked="0"/>
    </xf>
    <xf numFmtId="44" fontId="26" fillId="0" borderId="12" xfId="4" applyFont="1" applyFill="1" applyBorder="1" applyProtection="1">
      <protection locked="0"/>
    </xf>
    <xf numFmtId="0" fontId="27" fillId="0" borderId="0" xfId="0" applyFont="1"/>
    <xf numFmtId="44" fontId="28" fillId="0" borderId="0" xfId="0" applyNumberFormat="1" applyFont="1"/>
    <xf numFmtId="0" fontId="25" fillId="0" borderId="0" xfId="0" applyFont="1"/>
    <xf numFmtId="0" fontId="0" fillId="0" borderId="16" xfId="0" applyBorder="1"/>
    <xf numFmtId="0" fontId="0" fillId="0" borderId="17" xfId="0" applyBorder="1"/>
    <xf numFmtId="17" fontId="29" fillId="0" borderId="18" xfId="0" applyNumberFormat="1" applyFont="1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29" fillId="0" borderId="21" xfId="0" applyFont="1" applyBorder="1" applyAlignment="1">
      <alignment horizontal="right"/>
    </xf>
    <xf numFmtId="0" fontId="0" fillId="0" borderId="22" xfId="0" applyBorder="1"/>
    <xf numFmtId="0" fontId="30" fillId="0" borderId="20" xfId="0" applyFont="1" applyBorder="1"/>
    <xf numFmtId="43" fontId="31" fillId="0" borderId="0" xfId="1" applyFont="1" applyBorder="1" applyAlignment="1" applyProtection="1">
      <alignment horizontal="right"/>
      <protection locked="0"/>
    </xf>
    <xf numFmtId="165" fontId="0" fillId="0" borderId="22" xfId="3" applyNumberFormat="1" applyFont="1" applyBorder="1"/>
    <xf numFmtId="43" fontId="31" fillId="0" borderId="0" xfId="1" applyFont="1" applyFill="1" applyBorder="1" applyAlignment="1" applyProtection="1">
      <alignment horizontal="right"/>
      <protection locked="0"/>
    </xf>
    <xf numFmtId="165" fontId="30" fillId="0" borderId="22" xfId="3" applyNumberFormat="1" applyFont="1" applyBorder="1"/>
    <xf numFmtId="43" fontId="12" fillId="0" borderId="21" xfId="6" applyFont="1" applyBorder="1" applyAlignment="1">
      <alignment horizontal="right"/>
    </xf>
    <xf numFmtId="165" fontId="12" fillId="0" borderId="22" xfId="7" applyNumberFormat="1" applyFont="1" applyBorder="1" applyAlignment="1">
      <alignment horizontal="right"/>
    </xf>
    <xf numFmtId="0" fontId="30" fillId="0" borderId="0" xfId="0" applyFont="1"/>
    <xf numFmtId="165" fontId="30" fillId="0" borderId="0" xfId="3" applyNumberFormat="1" applyFont="1"/>
    <xf numFmtId="43" fontId="32" fillId="0" borderId="0" xfId="1" applyFont="1" applyBorder="1" applyAlignment="1" applyProtection="1">
      <alignment horizontal="right"/>
      <protection locked="0"/>
    </xf>
    <xf numFmtId="165" fontId="20" fillId="0" borderId="22" xfId="3" applyNumberFormat="1" applyFont="1" applyBorder="1"/>
    <xf numFmtId="43" fontId="32" fillId="0" borderId="0" xfId="1" applyFont="1" applyFill="1" applyBorder="1" applyAlignment="1" applyProtection="1">
      <alignment horizontal="right"/>
      <protection locked="0"/>
    </xf>
    <xf numFmtId="165" fontId="33" fillId="0" borderId="0" xfId="3" applyNumberFormat="1" applyFont="1" applyBorder="1"/>
    <xf numFmtId="165" fontId="33" fillId="0" borderId="22" xfId="3" applyNumberFormat="1" applyFont="1" applyBorder="1"/>
    <xf numFmtId="43" fontId="34" fillId="0" borderId="21" xfId="6" applyFont="1" applyBorder="1" applyAlignment="1">
      <alignment horizontal="right"/>
    </xf>
    <xf numFmtId="165" fontId="35" fillId="0" borderId="22" xfId="7" applyNumberFormat="1" applyFont="1" applyBorder="1" applyAlignment="1">
      <alignment horizontal="right"/>
    </xf>
    <xf numFmtId="0" fontId="25" fillId="0" borderId="23" xfId="0" applyFont="1" applyBorder="1"/>
    <xf numFmtId="43" fontId="25" fillId="0" borderId="24" xfId="1" applyFont="1" applyBorder="1"/>
    <xf numFmtId="165" fontId="25" fillId="0" borderId="25" xfId="0" applyNumberFormat="1" applyFont="1" applyBorder="1"/>
    <xf numFmtId="43" fontId="36" fillId="0" borderId="24" xfId="1" applyFont="1" applyBorder="1" applyProtection="1">
      <protection locked="0"/>
    </xf>
    <xf numFmtId="9" fontId="25" fillId="0" borderId="25" xfId="0" applyNumberFormat="1" applyFont="1" applyBorder="1"/>
    <xf numFmtId="43" fontId="25" fillId="0" borderId="24" xfId="6" applyFont="1" applyBorder="1"/>
    <xf numFmtId="165" fontId="37" fillId="0" borderId="0" xfId="0" applyNumberFormat="1" applyFont="1"/>
    <xf numFmtId="44" fontId="0" fillId="0" borderId="0" xfId="2" applyFont="1"/>
    <xf numFmtId="0" fontId="30" fillId="0" borderId="0" xfId="0" applyFont="1" applyFill="1" applyBorder="1"/>
    <xf numFmtId="44" fontId="0" fillId="0" borderId="0" xfId="2" applyFont="1" applyFill="1" applyBorder="1"/>
    <xf numFmtId="43" fontId="0" fillId="0" borderId="0" xfId="0" applyNumberFormat="1" applyFont="1"/>
    <xf numFmtId="44" fontId="1" fillId="0" borderId="0" xfId="2" applyNumberFormat="1" applyFont="1"/>
    <xf numFmtId="43" fontId="0" fillId="0" borderId="0" xfId="1" applyFont="1" applyAlignment="1">
      <alignment horizontal="right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25" fillId="3" borderId="13" xfId="0" applyFont="1" applyFill="1" applyBorder="1" applyAlignment="1">
      <alignment horizontal="center"/>
    </xf>
    <xf numFmtId="0" fontId="25" fillId="3" borderId="14" xfId="0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44" fontId="6" fillId="2" borderId="0" xfId="2" applyFont="1" applyFill="1"/>
  </cellXfs>
  <cellStyles count="8">
    <cellStyle name="Comma" xfId="1" builtinId="3"/>
    <cellStyle name="Comma 2" xfId="6" xr:uid="{D65EE259-EDA6-4550-A6A1-8FAA346D02A7}"/>
    <cellStyle name="Currency" xfId="2" builtinId="4"/>
    <cellStyle name="Currency 2" xfId="4" xr:uid="{F7181390-2B3C-4ACA-93F9-3BBBE201C6A7}"/>
    <cellStyle name="Normal" xfId="0" builtinId="0"/>
    <cellStyle name="Normal 10 2 2" xfId="5" xr:uid="{EBEF5B1C-08A4-4D6C-BD31-5E69FCA64A0E}"/>
    <cellStyle name="Percent" xfId="3" builtinId="5"/>
    <cellStyle name="Percent 2" xfId="7" xr:uid="{FD010692-7C95-4959-9FF5-3D50B08CC1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mgmt-my.sharepoint.com/personal/eburmest_wm_com/Documents/Documents/Ellensburg%20UTC%20Recycling%20Rate%20(C).xlsx" TargetMode="External"/><Relationship Id="rId1" Type="http://schemas.openxmlformats.org/officeDocument/2006/relationships/externalLinkPath" Target="https://wmgmt-my.sharepoint.com/personal/eburmest_wm_com/Documents/Documents/Ellensburg%20UTC%20Recycling%20Rate%20(C)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xhous10fps01\WAKIRK03FPS01\Group\Finance\ACCT\Recycling%20Accounting%20Analysis\2025%20Recycling%20Acctg%20Analysis\08-2025\CRC%20Passback%20Files%20-%2008.2025\Resi%20Passback_CRC_8.2025.xlsx" TargetMode="External"/><Relationship Id="rId1" Type="http://schemas.openxmlformats.org/officeDocument/2006/relationships/externalLinkPath" Target="file:///\\Txhous10fps01\WAKIRK03FPS01\Group\Finance\ACCT\Recycling%20Accounting%20Analysis\2025%20Recycling%20Acctg%20Analysis\08-2025\CRC%20Passback%20Files%20-%2008.2025\Resi%20Passback_CRC_8.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xhous10fps03rf\orport01fps01\PUBLIC\Evan%20Burmester\WUTC\Commodity%20Rebate%20Filings\2024\Skagit\2024%20Commodity%20Rebate%20Accounting%20Workpapers.xlsx" TargetMode="External"/><Relationship Id="rId1" Type="http://schemas.openxmlformats.org/officeDocument/2006/relationships/externalLinkPath" Target="/PUBLIC/Evan%20Burmester/WUTC/Commodity%20Rebate%20Filings/2024/Skagit/2024%20Commodity%20Rebate%20Accounting%20Workpaper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Evan%20Burmester/WUTC/Commodity%20Rebate%20Filings/2024/Wenatchee/Customer%20Counts/WEN%20CC%20November%2023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Evan%20Burmester/WUTC/Commodity%20Rebate%20Filings/2024/Wenatchee/Customer%20Counts/WEN%20CC%20December%2023.csv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xhous10fps01\WAKIRK03FPS01\Group\Finance\ACCT\Recycling%20Accounting%20Analysis\2024%20Recycling%20Acctg%20Analysis\12-2024\CRC%20Passback%20Files%20-%2012.2024\2024%20CRC%20Passback_12.2024.xlsx" TargetMode="External"/><Relationship Id="rId1" Type="http://schemas.openxmlformats.org/officeDocument/2006/relationships/externalLinkPath" Target="file:///\\Txhous10fps01\WAKIRK03FPS01\Group\Finance\ACCT\Recycling%20Accounting%20Analysis\2024%20Recycling%20Acctg%20Analysis\12-2024\CRC%20Passback%20Files%20-%2012.2024\2024%20CRC%20Passback_12.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xhous10fps01\WAKIRK03FPS01\Group\Finance\ACCT\Recycling%20Accounting%20Analysis\2025%20Recycling%20Acctg%20Analysis\01-2025\CRC%20Passback%20Files%20-%201.2025\2025%20CRC%20Passback_1.2025.xlsx" TargetMode="External"/><Relationship Id="rId1" Type="http://schemas.openxmlformats.org/officeDocument/2006/relationships/externalLinkPath" Target="file:///\\Txhous10fps01\WAKIRK03FPS01\Group\Finance\ACCT\Recycling%20Accounting%20Analysis\2025%20Recycling%20Acctg%20Analysis\01-2025\CRC%20Passback%20Files%20-%201.2025\2025%20CRC%20Passback_1.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xhous10fps01\WAKIRK03FPS01\Group\Finance\ACCT\Recycling%20Accounting%20Analysis\2025%20Recycling%20Acctg%20Analysis\01-2025\CRC%20Passback%20Files%20-%202.2025\2025%20CRC%20Passback_2.2025.xlsx" TargetMode="External"/><Relationship Id="rId1" Type="http://schemas.openxmlformats.org/officeDocument/2006/relationships/externalLinkPath" Target="file:///\\Txhous10fps01\WAKIRK03FPS01\Group\Finance\ACCT\Recycling%20Accounting%20Analysis\2025%20Recycling%20Acctg%20Analysis\01-2025\CRC%20Passback%20Files%20-%202.2025\2025%20CRC%20Passback_2.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xhous10fps01\WAKIRK03FPS01\Group\Finance\ACCT\Recycling%20Accounting%20Analysis\2025%20Recycling%20Acctg%20Analysis\03-2025\CRC%20Passback%20Files%20-%203.2025\Resi%20Passback_CRC_3.2025.xlsx" TargetMode="External"/><Relationship Id="rId1" Type="http://schemas.openxmlformats.org/officeDocument/2006/relationships/externalLinkPath" Target="file:///\\Txhous10fps01\WAKIRK03FPS01\Group\Finance\ACCT\Recycling%20Accounting%20Analysis\2025%20Recycling%20Acctg%20Analysis\03-2025\CRC%20Passback%20Files%20-%203.2025\Resi%20Passback_CRC_3.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xhous10fps01\WAKIRK03FPS01\Group\Finance\ACCT\Recycling%20Accounting%20Analysis\2025%20Recycling%20Acctg%20Analysis\04-2025\CRC%20Passback%20Files%20-%2004.2025\Resi%20Passback_CRC_4.2025.xlsx" TargetMode="External"/><Relationship Id="rId1" Type="http://schemas.openxmlformats.org/officeDocument/2006/relationships/externalLinkPath" Target="file:///\\Txhous10fps01\WAKIRK03FPS01\Group\Finance\ACCT\Recycling%20Accounting%20Analysis\2025%20Recycling%20Acctg%20Analysis\04-2025\CRC%20Passback%20Files%20-%2004.2025\Resi%20Passback_CRC_4.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xhous10fps01\WAKIRK03FPS01\Group\Finance\ACCT\Recycling%20Accounting%20Analysis\2025%20Recycling%20Acctg%20Analysis\05-2025\CRC%20Passback%20Files%20-%2005.2025\Resi%20Passback_CRC_5.2025.xlsx" TargetMode="External"/><Relationship Id="rId1" Type="http://schemas.openxmlformats.org/officeDocument/2006/relationships/externalLinkPath" Target="file:///\\Txhous10fps01\WAKIRK03FPS01\Group\Finance\ACCT\Recycling%20Accounting%20Analysis\2025%20Recycling%20Acctg%20Analysis\05-2025\CRC%20Passback%20Files%20-%2005.2025\Resi%20Passback_CRC_5.2025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xhous10fps01\WAKIRK03FPS01\Group\Finance\ACCT\Recycling%20Accounting%20Analysis\2025%20Recycling%20Acctg%20Analysis\06-2025\CRC%20Passback%20Files%20-%2006.2025\Resi%20Passback_CRC_6.2025.xlsx" TargetMode="External"/><Relationship Id="rId1" Type="http://schemas.openxmlformats.org/officeDocument/2006/relationships/externalLinkPath" Target="file:///\\Txhous10fps01\WAKIRK03FPS01\Group\Finance\ACCT\Recycling%20Accounting%20Analysis\2025%20Recycling%20Acctg%20Analysis\06-2025\CRC%20Passback%20Files%20-%2006.2025\Resi%20Passback_CRC_6.202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xhous10fps01\WAKIRK03FPS01\Group\Finance\ACCT\Recycling%20Accounting%20Analysis\2025%20Recycling%20Acctg%20Analysis\07-2025\CRC%20Passback%20Files%20-%2007.2025\Resi%20Passback_CRC_7.2025.xlsx" TargetMode="External"/><Relationship Id="rId1" Type="http://schemas.openxmlformats.org/officeDocument/2006/relationships/externalLinkPath" Target="file:///\\Txhous10fps01\WAKIRK03FPS01\Group\Finance\ACCT\Recycling%20Accounting%20Analysis\2025%20Recycling%20Acctg%20Analysis\07-2025\CRC%20Passback%20Files%20-%2007.2025\Resi%20Passback_CRC_7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te Calculation"/>
      <sheetName val="Customer Summary"/>
      <sheetName val="Customer Detail"/>
      <sheetName val="MSW Route Stats"/>
      <sheetName val="Lurito Gallagher"/>
      <sheetName val="RS MSW"/>
      <sheetName val="Depreciation Summary"/>
      <sheetName val="Fixed Asset Listing"/>
      <sheetName val="MRF ROR Analysis"/>
      <sheetName val="CRC IS"/>
    </sheetNames>
    <sheetDataSet>
      <sheetData sheetId="0"/>
      <sheetData sheetId="1"/>
      <sheetData sheetId="2"/>
      <sheetData sheetId="3">
        <row r="14">
          <cell r="C14">
            <v>20.14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tion"/>
      <sheetName val="Composition"/>
      <sheetName val="RMT Customer Summary"/>
      <sheetName val="Prices"/>
      <sheetName val="Journal Entry"/>
      <sheetName val="Opus Info"/>
      <sheetName val="OPUS Data 8.2024"/>
      <sheetName val="OPUS PIVOT - Eastern WA"/>
    </sheetNames>
    <sheetDataSet>
      <sheetData sheetId="0" refreshError="1"/>
      <sheetData sheetId="1">
        <row r="6">
          <cell r="P6">
            <v>1056.885</v>
          </cell>
        </row>
        <row r="7">
          <cell r="P7">
            <v>1908.7920000000004</v>
          </cell>
        </row>
        <row r="8">
          <cell r="P8">
            <v>1993.3534999999997</v>
          </cell>
        </row>
        <row r="9">
          <cell r="P9">
            <v>133.376</v>
          </cell>
        </row>
        <row r="10">
          <cell r="P10">
            <v>1555.05</v>
          </cell>
        </row>
        <row r="11">
          <cell r="P11">
            <v>393.63450000000006</v>
          </cell>
        </row>
        <row r="12">
          <cell r="P12">
            <v>48.977999999999994</v>
          </cell>
        </row>
        <row r="13">
          <cell r="P13">
            <v>75.944500000000005</v>
          </cell>
        </row>
        <row r="15">
          <cell r="P15">
            <v>60.04</v>
          </cell>
        </row>
        <row r="16">
          <cell r="P16">
            <v>51.772500000000001</v>
          </cell>
        </row>
        <row r="18">
          <cell r="P18">
            <v>91.15</v>
          </cell>
        </row>
        <row r="19">
          <cell r="P19">
            <v>143.21199999999999</v>
          </cell>
        </row>
        <row r="20">
          <cell r="P20">
            <v>1343.72</v>
          </cell>
        </row>
      </sheetData>
      <sheetData sheetId="2" refreshError="1"/>
      <sheetData sheetId="3">
        <row r="11">
          <cell r="B11">
            <v>59.39</v>
          </cell>
          <cell r="C11">
            <v>62.07</v>
          </cell>
          <cell r="D11">
            <v>118.88</v>
          </cell>
          <cell r="E11">
            <v>1954.12</v>
          </cell>
          <cell r="F11">
            <v>177.05</v>
          </cell>
          <cell r="G11">
            <v>-8.56</v>
          </cell>
          <cell r="H11">
            <v>24.89</v>
          </cell>
          <cell r="J11">
            <v>880</v>
          </cell>
          <cell r="K11">
            <v>80</v>
          </cell>
          <cell r="L11">
            <v>-169.14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bate Analysis"/>
      <sheetName val="Commodity Revenue"/>
      <sheetName val="Tonnages Collected"/>
      <sheetName val="CRC Prices"/>
      <sheetName val="CRC Composition"/>
      <sheetName val="Customers"/>
    </sheetNames>
    <sheetDataSet>
      <sheetData sheetId="0" refreshError="1"/>
      <sheetData sheetId="1">
        <row r="20">
          <cell r="AA20">
            <v>28.078553697755954</v>
          </cell>
          <cell r="AB20">
            <v>50.07002628060097</v>
          </cell>
          <cell r="AC20">
            <v>129.00266096510651</v>
          </cell>
          <cell r="AD20">
            <v>1240.3107223300706</v>
          </cell>
          <cell r="AE20">
            <v>193.17427356336626</v>
          </cell>
          <cell r="AF20">
            <v>-35.489653400134877</v>
          </cell>
          <cell r="AG20">
            <v>120.2941311462241</v>
          </cell>
          <cell r="AH20">
            <v>659.97138092865555</v>
          </cell>
          <cell r="AI20">
            <v>183.76517314507802</v>
          </cell>
          <cell r="AJ20">
            <v>-148.53775845325015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N CC November 23"/>
    </sheetNames>
    <sheetDataSet>
      <sheetData sheetId="0">
        <row r="3">
          <cell r="D3">
            <v>3914</v>
          </cell>
          <cell r="I3">
            <v>21186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N CC December 23"/>
    </sheetNames>
    <sheetDataSet>
      <sheetData sheetId="0">
        <row r="3">
          <cell r="D3">
            <v>3918</v>
          </cell>
          <cell r="J3">
            <v>21235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tion"/>
      <sheetName val="Composition"/>
      <sheetName val="RMT Customer Summary"/>
      <sheetName val="Prices"/>
      <sheetName val="Journal Entry"/>
      <sheetName val="Opus Info"/>
      <sheetName val="OPUS Data 8.2024"/>
      <sheetName val="OPUS PIVOT - Eastern WA"/>
    </sheetNames>
    <sheetDataSet>
      <sheetData sheetId="0"/>
      <sheetData sheetId="1">
        <row r="6">
          <cell r="R6">
            <v>562.23</v>
          </cell>
          <cell r="T6">
            <v>1510.4</v>
          </cell>
          <cell r="V6">
            <v>1116.3430000000001</v>
          </cell>
          <cell r="X6">
            <v>778.2115</v>
          </cell>
        </row>
        <row r="7">
          <cell r="R7">
            <v>2414.7949999999996</v>
          </cell>
          <cell r="T7">
            <v>1884.1969999999999</v>
          </cell>
          <cell r="V7">
            <v>2054.3964999999998</v>
          </cell>
          <cell r="X7">
            <v>3321.0820000000003</v>
          </cell>
        </row>
        <row r="8">
          <cell r="R8">
            <v>1717.3360000000002</v>
          </cell>
          <cell r="T8">
            <v>1989.049</v>
          </cell>
          <cell r="V8">
            <v>1305.1540000000002</v>
          </cell>
          <cell r="X8">
            <v>1730.1455000000001</v>
          </cell>
        </row>
        <row r="9">
          <cell r="R9">
            <v>125.125</v>
          </cell>
          <cell r="T9">
            <v>133.315</v>
          </cell>
          <cell r="V9">
            <v>104.42099999999999</v>
          </cell>
          <cell r="X9">
            <v>123.65949999999999</v>
          </cell>
        </row>
        <row r="10">
          <cell r="R10">
            <v>1482.1695</v>
          </cell>
          <cell r="T10">
            <v>1335.55</v>
          </cell>
          <cell r="V10">
            <v>1127.51</v>
          </cell>
          <cell r="X10">
            <v>1645.02</v>
          </cell>
        </row>
        <row r="11">
          <cell r="R11">
            <v>349.15000000000003</v>
          </cell>
          <cell r="T11">
            <v>340.07399999999996</v>
          </cell>
          <cell r="V11">
            <v>237.62599999999998</v>
          </cell>
          <cell r="X11">
            <v>253.93599999999998</v>
          </cell>
        </row>
        <row r="12">
          <cell r="R12">
            <v>50.34</v>
          </cell>
          <cell r="T12">
            <v>49.83</v>
          </cell>
          <cell r="V12">
            <v>36.785499999999999</v>
          </cell>
          <cell r="X12">
            <v>49.14</v>
          </cell>
        </row>
        <row r="13">
          <cell r="R13">
            <v>106.75999999999999</v>
          </cell>
          <cell r="T13">
            <v>120.38200000000001</v>
          </cell>
          <cell r="V13">
            <v>73.616</v>
          </cell>
          <cell r="X13">
            <v>76.997500000000002</v>
          </cell>
        </row>
        <row r="15">
          <cell r="R15">
            <v>55.039999999999992</v>
          </cell>
          <cell r="T15">
            <v>55.853999999999999</v>
          </cell>
          <cell r="V15">
            <v>18.059999999999999</v>
          </cell>
          <cell r="X15">
            <v>92.81</v>
          </cell>
        </row>
        <row r="16">
          <cell r="R16">
            <v>22.785</v>
          </cell>
          <cell r="T16">
            <v>28.565000000000001</v>
          </cell>
          <cell r="V16">
            <v>26.630500000000001</v>
          </cell>
          <cell r="X16">
            <v>-3.285499999999999</v>
          </cell>
        </row>
        <row r="18">
          <cell r="R18">
            <v>85.9</v>
          </cell>
          <cell r="T18">
            <v>112.53</v>
          </cell>
          <cell r="V18">
            <v>56.86</v>
          </cell>
          <cell r="X18">
            <v>77.08</v>
          </cell>
        </row>
        <row r="19">
          <cell r="R19">
            <v>122.07000000000001</v>
          </cell>
          <cell r="T19">
            <v>177.72899999999998</v>
          </cell>
          <cell r="V19">
            <v>117.626</v>
          </cell>
          <cell r="X19">
            <v>150.161</v>
          </cell>
        </row>
        <row r="20">
          <cell r="R20">
            <v>1740.0744999999999</v>
          </cell>
          <cell r="T20">
            <v>1750.16</v>
          </cell>
          <cell r="V20">
            <v>1500.78</v>
          </cell>
          <cell r="X20">
            <v>1545.85</v>
          </cell>
        </row>
      </sheetData>
      <sheetData sheetId="2"/>
      <sheetData sheetId="3">
        <row r="12">
          <cell r="B12">
            <v>112.53</v>
          </cell>
          <cell r="C12">
            <v>78.58</v>
          </cell>
          <cell r="D12">
            <v>141.75</v>
          </cell>
          <cell r="E12">
            <v>1217.0999999999999</v>
          </cell>
          <cell r="F12">
            <v>180.05</v>
          </cell>
          <cell r="G12">
            <v>-27.4</v>
          </cell>
          <cell r="H12">
            <v>260</v>
          </cell>
          <cell r="J12">
            <v>820</v>
          </cell>
          <cell r="K12">
            <v>220</v>
          </cell>
          <cell r="L12">
            <v>-169.14</v>
          </cell>
        </row>
        <row r="13">
          <cell r="B13">
            <v>78.680000000000007</v>
          </cell>
          <cell r="C13">
            <v>68.180000000000007</v>
          </cell>
          <cell r="D13">
            <v>125.95</v>
          </cell>
          <cell r="E13">
            <v>1570.15</v>
          </cell>
          <cell r="F13">
            <v>179.07</v>
          </cell>
          <cell r="G13">
            <v>-17.440000000000001</v>
          </cell>
          <cell r="H13">
            <v>250</v>
          </cell>
          <cell r="J13">
            <v>855.96</v>
          </cell>
          <cell r="K13">
            <v>221.67</v>
          </cell>
          <cell r="L13">
            <v>-169.14</v>
          </cell>
        </row>
        <row r="14">
          <cell r="B14">
            <v>59.78</v>
          </cell>
          <cell r="C14">
            <v>59.92</v>
          </cell>
          <cell r="D14">
            <v>129.34</v>
          </cell>
          <cell r="E14">
            <v>1613.32</v>
          </cell>
          <cell r="F14">
            <v>179.11</v>
          </cell>
          <cell r="G14">
            <v>-15.07</v>
          </cell>
          <cell r="H14">
            <v>240</v>
          </cell>
          <cell r="J14">
            <v>1000</v>
          </cell>
          <cell r="K14">
            <v>220</v>
          </cell>
          <cell r="L14">
            <v>-169.14</v>
          </cell>
        </row>
        <row r="15">
          <cell r="B15">
            <v>59.54</v>
          </cell>
          <cell r="C15">
            <v>50.77</v>
          </cell>
          <cell r="D15">
            <v>109.86</v>
          </cell>
          <cell r="E15">
            <v>1593.44</v>
          </cell>
          <cell r="F15">
            <v>168.19</v>
          </cell>
          <cell r="G15">
            <v>-22.74</v>
          </cell>
          <cell r="H15">
            <v>210</v>
          </cell>
          <cell r="J15">
            <v>509.06</v>
          </cell>
          <cell r="K15">
            <v>200</v>
          </cell>
          <cell r="L15">
            <v>-169.14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tion"/>
      <sheetName val="Composition"/>
      <sheetName val="RMT Customer Summary"/>
      <sheetName val="Prices"/>
      <sheetName val="Journal Entry"/>
      <sheetName val="Opus Info"/>
      <sheetName val="OPUS Data 8.2024"/>
      <sheetName val="OPUS PIVOT - Eastern WA"/>
    </sheetNames>
    <sheetDataSet>
      <sheetData sheetId="0" refreshError="1"/>
      <sheetData sheetId="1">
        <row r="6">
          <cell r="B6">
            <v>1112.5955000000001</v>
          </cell>
        </row>
        <row r="7">
          <cell r="B7">
            <v>3015.5794999999998</v>
          </cell>
        </row>
        <row r="8">
          <cell r="B8">
            <v>1779.2934999999998</v>
          </cell>
        </row>
        <row r="9">
          <cell r="B9">
            <v>122.584</v>
          </cell>
        </row>
        <row r="10">
          <cell r="B10">
            <v>2057.7800000000002</v>
          </cell>
        </row>
        <row r="11">
          <cell r="B11">
            <v>305.678</v>
          </cell>
        </row>
        <row r="12">
          <cell r="B12">
            <v>56.222499999999997</v>
          </cell>
        </row>
        <row r="13">
          <cell r="B13">
            <v>80.714500000000001</v>
          </cell>
        </row>
        <row r="15">
          <cell r="B15">
            <v>16.940000000000001</v>
          </cell>
        </row>
        <row r="16">
          <cell r="B16">
            <v>36.802</v>
          </cell>
        </row>
        <row r="18">
          <cell r="B18">
            <v>77.86</v>
          </cell>
        </row>
        <row r="19">
          <cell r="B19">
            <v>166.35300000000001</v>
          </cell>
        </row>
        <row r="20">
          <cell r="B20">
            <v>1814.05</v>
          </cell>
        </row>
      </sheetData>
      <sheetData sheetId="2" refreshError="1"/>
      <sheetData sheetId="3">
        <row r="4">
          <cell r="B4">
            <v>57.19</v>
          </cell>
          <cell r="C4">
            <v>54.82</v>
          </cell>
          <cell r="D4">
            <v>103.78</v>
          </cell>
          <cell r="E4">
            <v>1949.51</v>
          </cell>
          <cell r="F4">
            <v>177.95</v>
          </cell>
          <cell r="G4">
            <v>-22.83</v>
          </cell>
          <cell r="H4">
            <v>190</v>
          </cell>
          <cell r="J4">
            <v>1400</v>
          </cell>
          <cell r="K4">
            <v>160</v>
          </cell>
          <cell r="L4">
            <v>-169.14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tion"/>
      <sheetName val="Composition"/>
      <sheetName val="RMT Customer Summary"/>
      <sheetName val="Prices"/>
      <sheetName val="Journal Entry"/>
      <sheetName val="Opus Info"/>
      <sheetName val="OPUS Data 8.2024"/>
      <sheetName val="OPUS PIVOT - Eastern WA"/>
    </sheetNames>
    <sheetDataSet>
      <sheetData sheetId="0"/>
      <sheetData sheetId="1">
        <row r="6">
          <cell r="D6">
            <v>987.08</v>
          </cell>
        </row>
        <row r="7">
          <cell r="D7">
            <v>1878.8400000000001</v>
          </cell>
        </row>
        <row r="8">
          <cell r="D8">
            <v>1575.08</v>
          </cell>
        </row>
        <row r="9">
          <cell r="D9">
            <v>108.37799999999999</v>
          </cell>
        </row>
        <row r="10">
          <cell r="D10">
            <v>1228.5899999999999</v>
          </cell>
        </row>
        <row r="11">
          <cell r="D11">
            <v>240.33599999999998</v>
          </cell>
        </row>
        <row r="12">
          <cell r="D12">
            <v>46.850499999999997</v>
          </cell>
        </row>
        <row r="13">
          <cell r="D13">
            <v>53.988</v>
          </cell>
        </row>
        <row r="15">
          <cell r="D15">
            <v>80.679500000000004</v>
          </cell>
        </row>
        <row r="16">
          <cell r="D16">
            <v>-13.051000000000002</v>
          </cell>
        </row>
        <row r="18">
          <cell r="D18">
            <v>70.069999999999993</v>
          </cell>
        </row>
        <row r="19">
          <cell r="D19">
            <v>130.25899999999999</v>
          </cell>
        </row>
        <row r="20">
          <cell r="D20">
            <v>1586.16</v>
          </cell>
        </row>
      </sheetData>
      <sheetData sheetId="2"/>
      <sheetData sheetId="3">
        <row r="5">
          <cell r="B5">
            <v>64.459999999999994</v>
          </cell>
          <cell r="C5">
            <v>51.6</v>
          </cell>
          <cell r="D5">
            <v>122.8</v>
          </cell>
          <cell r="E5">
            <v>2250.63</v>
          </cell>
          <cell r="F5">
            <v>188.1</v>
          </cell>
          <cell r="G5">
            <v>-21.16</v>
          </cell>
          <cell r="H5">
            <v>190</v>
          </cell>
          <cell r="J5">
            <v>1740</v>
          </cell>
          <cell r="K5">
            <v>180</v>
          </cell>
          <cell r="L5">
            <v>-169.14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tion"/>
      <sheetName val="Composition"/>
      <sheetName val="RMT Customer Summary"/>
      <sheetName val="Prices"/>
      <sheetName val="Journal Entry"/>
      <sheetName val="Opus Info"/>
      <sheetName val="OPUS Data 8.2024"/>
      <sheetName val="OPUS PIVOT - Eastern WA"/>
    </sheetNames>
    <sheetDataSet>
      <sheetData sheetId="0"/>
      <sheetData sheetId="1">
        <row r="6">
          <cell r="F6">
            <v>1477.7849999999999</v>
          </cell>
        </row>
        <row r="7">
          <cell r="F7">
            <v>1545.8675000000001</v>
          </cell>
        </row>
        <row r="8">
          <cell r="F8">
            <v>1996.4449999999999</v>
          </cell>
        </row>
        <row r="9">
          <cell r="F9">
            <v>121.0795</v>
          </cell>
        </row>
        <row r="10">
          <cell r="F10">
            <v>1607.7299999999998</v>
          </cell>
        </row>
        <row r="11">
          <cell r="F11">
            <v>285.40999999999997</v>
          </cell>
        </row>
        <row r="12">
          <cell r="F12">
            <v>51.177500000000002</v>
          </cell>
        </row>
        <row r="13">
          <cell r="F13">
            <v>74.35799999999999</v>
          </cell>
        </row>
        <row r="15">
          <cell r="F15">
            <v>18.7</v>
          </cell>
        </row>
        <row r="16">
          <cell r="F16">
            <v>34.724000000000004</v>
          </cell>
        </row>
        <row r="18">
          <cell r="F18">
            <v>100.31</v>
          </cell>
        </row>
        <row r="19">
          <cell r="F19">
            <v>141.833</v>
          </cell>
        </row>
        <row r="20">
          <cell r="F20">
            <v>1839.76</v>
          </cell>
        </row>
      </sheetData>
      <sheetData sheetId="2"/>
      <sheetData sheetId="3">
        <row r="6">
          <cell r="B6">
            <v>63.62</v>
          </cell>
          <cell r="C6">
            <v>62.98</v>
          </cell>
          <cell r="D6">
            <v>136.82</v>
          </cell>
          <cell r="E6">
            <v>2240.4499999999998</v>
          </cell>
          <cell r="F6">
            <v>198.24</v>
          </cell>
          <cell r="G6">
            <v>-12.91</v>
          </cell>
          <cell r="H6">
            <v>201.79</v>
          </cell>
          <cell r="J6">
            <v>1940</v>
          </cell>
          <cell r="K6">
            <v>220</v>
          </cell>
          <cell r="L6">
            <v>-169.14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tion"/>
      <sheetName val="Composition"/>
      <sheetName val="RMT Customer Summary"/>
      <sheetName val="Prices"/>
      <sheetName val="Journal Entry"/>
      <sheetName val="Opus Info"/>
      <sheetName val="OPUS Data 8.2024"/>
      <sheetName val="OPUS PIVOT - Eastern WA"/>
    </sheetNames>
    <sheetDataSet>
      <sheetData sheetId="0"/>
      <sheetData sheetId="1">
        <row r="6">
          <cell r="H6">
            <v>2027.87</v>
          </cell>
        </row>
        <row r="7">
          <cell r="H7">
            <v>1061.1554999999998</v>
          </cell>
        </row>
        <row r="8">
          <cell r="H8">
            <v>2029.0890000000002</v>
          </cell>
        </row>
        <row r="9">
          <cell r="H9">
            <v>137.78550000000001</v>
          </cell>
        </row>
        <row r="10">
          <cell r="H10">
            <v>1336.82</v>
          </cell>
        </row>
        <row r="11">
          <cell r="H11">
            <v>333.30799999999999</v>
          </cell>
        </row>
        <row r="12">
          <cell r="H12">
            <v>50.19</v>
          </cell>
        </row>
        <row r="13">
          <cell r="H13">
            <v>70.722999999999999</v>
          </cell>
        </row>
        <row r="15">
          <cell r="H15">
            <v>60.228000000000002</v>
          </cell>
        </row>
        <row r="16">
          <cell r="H16">
            <v>40.702999999999996</v>
          </cell>
        </row>
        <row r="18">
          <cell r="H18">
            <v>97.71</v>
          </cell>
        </row>
        <row r="19">
          <cell r="H19">
            <v>152.434</v>
          </cell>
        </row>
        <row r="20">
          <cell r="H20">
            <v>1663.75</v>
          </cell>
        </row>
      </sheetData>
      <sheetData sheetId="2"/>
      <sheetData sheetId="3">
        <row r="7">
          <cell r="B7">
            <v>73.400000000000006</v>
          </cell>
          <cell r="C7">
            <v>55.46</v>
          </cell>
          <cell r="D7">
            <v>120.51</v>
          </cell>
          <cell r="E7">
            <v>1929.69</v>
          </cell>
          <cell r="F7">
            <v>191.64</v>
          </cell>
          <cell r="G7">
            <v>-24.51</v>
          </cell>
          <cell r="H7">
            <v>209.04</v>
          </cell>
          <cell r="J7">
            <v>2026.64</v>
          </cell>
          <cell r="K7">
            <v>220</v>
          </cell>
          <cell r="L7">
            <v>-169.14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tion"/>
      <sheetName val="Composition"/>
      <sheetName val="RMT Customer Summary"/>
      <sheetName val="Prices"/>
      <sheetName val="Journal Entry"/>
      <sheetName val="Opus Info"/>
      <sheetName val="OPUS Data 8.2024"/>
      <sheetName val="OPUS PIVOT - Eastern WA"/>
    </sheetNames>
    <sheetDataSet>
      <sheetData sheetId="0"/>
      <sheetData sheetId="1">
        <row r="6">
          <cell r="J6">
            <v>1828.2249999999999</v>
          </cell>
        </row>
        <row r="7">
          <cell r="J7">
            <v>981.62950000000001</v>
          </cell>
        </row>
        <row r="8">
          <cell r="J8">
            <v>2100.6030000000001</v>
          </cell>
        </row>
        <row r="9">
          <cell r="J9">
            <v>155.27500000000001</v>
          </cell>
        </row>
        <row r="10">
          <cell r="J10">
            <v>1495.01</v>
          </cell>
        </row>
        <row r="11">
          <cell r="J11">
            <v>354.85699999999997</v>
          </cell>
        </row>
        <row r="12">
          <cell r="J12">
            <v>51.902000000000001</v>
          </cell>
        </row>
        <row r="13">
          <cell r="J13">
            <v>85.302500000000009</v>
          </cell>
        </row>
        <row r="15">
          <cell r="J15">
            <v>76.927999999999997</v>
          </cell>
        </row>
        <row r="16">
          <cell r="J16">
            <v>17.263999999999999</v>
          </cell>
        </row>
        <row r="18">
          <cell r="J18">
            <v>122.78</v>
          </cell>
        </row>
        <row r="19">
          <cell r="J19">
            <v>150.95999999999998</v>
          </cell>
        </row>
        <row r="20">
          <cell r="J20">
            <v>1906.77</v>
          </cell>
        </row>
      </sheetData>
      <sheetData sheetId="2"/>
      <sheetData sheetId="3">
        <row r="8">
          <cell r="B8">
            <v>65.33</v>
          </cell>
          <cell r="C8">
            <v>53.52</v>
          </cell>
          <cell r="D8">
            <v>126.24</v>
          </cell>
          <cell r="E8">
            <v>1960.9</v>
          </cell>
          <cell r="F8">
            <v>175.48</v>
          </cell>
          <cell r="G8">
            <v>-20.61</v>
          </cell>
          <cell r="H8">
            <v>210</v>
          </cell>
          <cell r="J8">
            <v>1938.13</v>
          </cell>
          <cell r="K8">
            <v>132.77000000000001</v>
          </cell>
          <cell r="L8">
            <v>-169.14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tion"/>
      <sheetName val="Composition"/>
      <sheetName val="RMT Customer Summary"/>
      <sheetName val="Prices"/>
      <sheetName val="Journal Entry"/>
      <sheetName val="Opus Info"/>
      <sheetName val="OPUS Data 8.2024"/>
      <sheetName val="OPUS PIVOT - Eastern WA"/>
    </sheetNames>
    <sheetDataSet>
      <sheetData sheetId="0" refreshError="1"/>
      <sheetData sheetId="1">
        <row r="6">
          <cell r="L6">
            <v>943.59</v>
          </cell>
        </row>
        <row r="7">
          <cell r="L7">
            <v>2089.1350000000002</v>
          </cell>
        </row>
        <row r="8">
          <cell r="L8">
            <v>2065.3090000000002</v>
          </cell>
        </row>
        <row r="9">
          <cell r="L9">
            <v>135.41800000000001</v>
          </cell>
        </row>
        <row r="10">
          <cell r="L10">
            <v>1475.77</v>
          </cell>
        </row>
        <row r="11">
          <cell r="L11">
            <v>324.96600000000001</v>
          </cell>
        </row>
        <row r="12">
          <cell r="L12">
            <v>50.813000000000002</v>
          </cell>
        </row>
        <row r="13">
          <cell r="L13">
            <v>74.174000000000007</v>
          </cell>
        </row>
        <row r="15">
          <cell r="L15">
            <v>101.45</v>
          </cell>
        </row>
        <row r="16">
          <cell r="L16">
            <v>9.0630000000000059</v>
          </cell>
        </row>
        <row r="18">
          <cell r="L18">
            <v>111.69</v>
          </cell>
        </row>
        <row r="19">
          <cell r="L19">
            <v>149.982</v>
          </cell>
        </row>
        <row r="20">
          <cell r="L20">
            <v>2024.37</v>
          </cell>
        </row>
      </sheetData>
      <sheetData sheetId="2" refreshError="1"/>
      <sheetData sheetId="3">
        <row r="9">
          <cell r="B9">
            <v>60.36</v>
          </cell>
          <cell r="C9">
            <v>57.86</v>
          </cell>
          <cell r="D9">
            <v>104.81</v>
          </cell>
          <cell r="E9">
            <v>2284.73</v>
          </cell>
          <cell r="F9">
            <v>179.34</v>
          </cell>
          <cell r="G9">
            <v>-12.11</v>
          </cell>
          <cell r="H9">
            <v>210</v>
          </cell>
          <cell r="J9">
            <v>1340</v>
          </cell>
          <cell r="K9">
            <v>100</v>
          </cell>
          <cell r="L9">
            <v>-169.14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tion"/>
      <sheetName val="Composition"/>
      <sheetName val="RMT Customer Summary"/>
      <sheetName val="Prices"/>
      <sheetName val="Journal Entry"/>
      <sheetName val="Opus Info"/>
      <sheetName val="OPUS Data 8.2024"/>
      <sheetName val="OPUS PIVOT - Eastern WA"/>
    </sheetNames>
    <sheetDataSet>
      <sheetData sheetId="0" refreshError="1"/>
      <sheetData sheetId="1">
        <row r="6">
          <cell r="N6">
            <v>1159.27</v>
          </cell>
        </row>
        <row r="7">
          <cell r="N7">
            <v>2074.2129999999997</v>
          </cell>
        </row>
        <row r="8">
          <cell r="N8">
            <v>2287.4679999999998</v>
          </cell>
        </row>
        <row r="9">
          <cell r="N9">
            <v>145.98000000000002</v>
          </cell>
        </row>
        <row r="10">
          <cell r="N10">
            <v>1786.18</v>
          </cell>
        </row>
        <row r="11">
          <cell r="N11">
            <v>378.34349999999995</v>
          </cell>
        </row>
        <row r="12">
          <cell r="N12">
            <v>51.43</v>
          </cell>
        </row>
        <row r="13">
          <cell r="N13">
            <v>96.68</v>
          </cell>
        </row>
        <row r="15">
          <cell r="N15">
            <v>60.625999999999998</v>
          </cell>
        </row>
        <row r="16">
          <cell r="N16">
            <v>13.984999999999999</v>
          </cell>
        </row>
        <row r="18">
          <cell r="N18">
            <v>117.78</v>
          </cell>
        </row>
        <row r="19">
          <cell r="N19">
            <v>168.346</v>
          </cell>
        </row>
        <row r="20">
          <cell r="N20">
            <v>1766.7505000000001</v>
          </cell>
        </row>
      </sheetData>
      <sheetData sheetId="2" refreshError="1"/>
      <sheetData sheetId="3">
        <row r="10">
          <cell r="B10">
            <v>78.09</v>
          </cell>
          <cell r="C10">
            <v>63.22</v>
          </cell>
          <cell r="D10">
            <v>117.89</v>
          </cell>
          <cell r="E10">
            <v>1967.9</v>
          </cell>
          <cell r="F10">
            <v>178.29</v>
          </cell>
          <cell r="G10">
            <v>-10.58</v>
          </cell>
          <cell r="H10">
            <v>210</v>
          </cell>
          <cell r="J10">
            <v>1180.3499999999999</v>
          </cell>
          <cell r="K10">
            <v>90</v>
          </cell>
          <cell r="L10">
            <v>-169.14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3DA5E-3DD4-4EC0-94B8-1ADFC989EE44}">
  <dimension ref="A1:L29"/>
  <sheetViews>
    <sheetView tabSelected="1" topLeftCell="A6" workbookViewId="0">
      <selection activeCell="A3" sqref="A3"/>
    </sheetView>
    <sheetView workbookViewId="1"/>
  </sheetViews>
  <sheetFormatPr defaultRowHeight="15" x14ac:dyDescent="0.25"/>
  <cols>
    <col min="1" max="1" width="54.5703125" bestFit="1" customWidth="1"/>
    <col min="3" max="3" width="12.28515625" bestFit="1" customWidth="1"/>
    <col min="4" max="4" width="13.140625" bestFit="1" customWidth="1"/>
    <col min="5" max="5" width="11.7109375" bestFit="1" customWidth="1"/>
    <col min="6" max="6" width="8.28515625" bestFit="1" customWidth="1"/>
    <col min="7" max="7" width="58.28515625" bestFit="1" customWidth="1"/>
    <col min="9" max="9" width="13.42578125" bestFit="1" customWidth="1"/>
    <col min="10" max="10" width="14" bestFit="1" customWidth="1"/>
    <col min="11" max="11" width="12.28515625" bestFit="1" customWidth="1"/>
    <col min="12" max="12" width="8.42578125" bestFit="1" customWidth="1"/>
  </cols>
  <sheetData>
    <row r="1" spans="1:12" ht="23.25" x14ac:dyDescent="0.35">
      <c r="A1" s="1" t="s">
        <v>12</v>
      </c>
      <c r="B1" s="2"/>
      <c r="C1" s="3"/>
      <c r="D1" s="3"/>
      <c r="E1" s="3"/>
      <c r="F1" s="4"/>
      <c r="G1" s="1" t="s">
        <v>12</v>
      </c>
      <c r="H1" s="2"/>
      <c r="I1" s="3"/>
      <c r="J1" s="3"/>
      <c r="K1" s="3"/>
      <c r="L1" s="4"/>
    </row>
    <row r="2" spans="1:12" ht="15.75" x14ac:dyDescent="0.25">
      <c r="A2" s="5" t="s">
        <v>78</v>
      </c>
      <c r="B2" s="6"/>
      <c r="C2" s="7"/>
      <c r="D2" s="8"/>
      <c r="E2" s="8"/>
      <c r="F2" s="9"/>
      <c r="G2" s="5" t="s">
        <v>13</v>
      </c>
      <c r="H2" s="6"/>
      <c r="I2" s="7"/>
      <c r="J2" s="8"/>
      <c r="K2" s="8"/>
      <c r="L2" s="9"/>
    </row>
    <row r="3" spans="1:12" ht="15.75" x14ac:dyDescent="0.25">
      <c r="A3" s="10"/>
      <c r="B3" s="11"/>
      <c r="C3" s="8"/>
      <c r="D3" s="8"/>
      <c r="E3" s="8"/>
      <c r="F3" s="9"/>
      <c r="G3" s="10"/>
      <c r="H3" s="11"/>
      <c r="I3" s="8"/>
      <c r="J3" s="8"/>
      <c r="K3" s="8"/>
      <c r="L3" s="9"/>
    </row>
    <row r="4" spans="1:12" ht="15.75" x14ac:dyDescent="0.25">
      <c r="A4" s="12"/>
      <c r="B4" s="8"/>
      <c r="C4" s="8"/>
      <c r="D4" s="8"/>
      <c r="E4" s="8"/>
      <c r="F4" s="9"/>
      <c r="G4" s="12"/>
      <c r="H4" s="8"/>
      <c r="I4" s="8"/>
      <c r="J4" s="8"/>
      <c r="K4" s="8"/>
      <c r="L4" s="9"/>
    </row>
    <row r="5" spans="1:12" ht="15.75" x14ac:dyDescent="0.25">
      <c r="A5" s="113" t="s">
        <v>0</v>
      </c>
      <c r="B5" s="114"/>
      <c r="C5" s="114"/>
      <c r="D5" s="114"/>
      <c r="E5" s="114"/>
      <c r="F5" s="115"/>
      <c r="G5" s="113" t="s">
        <v>0</v>
      </c>
      <c r="H5" s="114"/>
      <c r="I5" s="114"/>
      <c r="J5" s="114"/>
      <c r="K5" s="114"/>
      <c r="L5" s="115"/>
    </row>
    <row r="6" spans="1:12" ht="15.75" x14ac:dyDescent="0.25">
      <c r="A6" s="12"/>
      <c r="B6" s="8"/>
      <c r="C6" s="8"/>
      <c r="D6" s="13"/>
      <c r="E6" s="8"/>
      <c r="F6" s="9"/>
      <c r="G6" s="12"/>
      <c r="H6" s="8"/>
      <c r="I6" s="8"/>
      <c r="J6" s="13"/>
      <c r="K6" s="8"/>
      <c r="L6" s="9"/>
    </row>
    <row r="7" spans="1:12" ht="15.75" x14ac:dyDescent="0.25">
      <c r="A7" s="12"/>
      <c r="B7" s="8"/>
      <c r="C7" s="14"/>
      <c r="D7" s="14" t="s">
        <v>1</v>
      </c>
      <c r="E7" s="14" t="s">
        <v>2</v>
      </c>
      <c r="F7" s="9"/>
      <c r="G7" s="12"/>
      <c r="H7" s="8"/>
      <c r="I7" s="14"/>
      <c r="J7" s="14" t="s">
        <v>1</v>
      </c>
      <c r="K7" s="14" t="s">
        <v>2</v>
      </c>
      <c r="L7" s="9"/>
    </row>
    <row r="8" spans="1:12" ht="15.75" x14ac:dyDescent="0.25">
      <c r="A8" s="12"/>
      <c r="B8" s="8"/>
      <c r="C8" s="15" t="s">
        <v>3</v>
      </c>
      <c r="D8" s="15" t="s">
        <v>4</v>
      </c>
      <c r="E8" s="15" t="s">
        <v>5</v>
      </c>
      <c r="F8" s="9"/>
      <c r="G8" s="12"/>
      <c r="H8" s="8"/>
      <c r="I8" s="15" t="s">
        <v>3</v>
      </c>
      <c r="J8" s="15" t="s">
        <v>4</v>
      </c>
      <c r="K8" s="15" t="s">
        <v>5</v>
      </c>
      <c r="L8" s="9"/>
    </row>
    <row r="9" spans="1:12" ht="15.75" x14ac:dyDescent="0.25">
      <c r="A9" s="16" t="s">
        <v>14</v>
      </c>
      <c r="B9" s="6"/>
      <c r="C9" s="17"/>
      <c r="D9" s="17"/>
      <c r="E9" s="17"/>
      <c r="F9" s="9"/>
      <c r="G9" s="16" t="s">
        <v>14</v>
      </c>
      <c r="H9" s="6"/>
      <c r="I9" s="17"/>
      <c r="J9" s="17"/>
      <c r="K9" s="17"/>
      <c r="L9" s="9"/>
    </row>
    <row r="10" spans="1:12" ht="15.75" x14ac:dyDescent="0.25">
      <c r="A10" s="12"/>
      <c r="B10" s="8"/>
      <c r="C10" s="18">
        <f>Customers!C8</f>
        <v>1350</v>
      </c>
      <c r="D10" s="19">
        <f>L27</f>
        <v>1.88</v>
      </c>
      <c r="E10" s="18">
        <f>C10*D10</f>
        <v>2538</v>
      </c>
      <c r="F10" s="9"/>
      <c r="G10" s="12"/>
      <c r="H10" s="8"/>
      <c r="I10" s="18"/>
      <c r="J10" s="19">
        <f>+J40</f>
        <v>0</v>
      </c>
      <c r="K10" s="18">
        <f>I10*J10</f>
        <v>0</v>
      </c>
      <c r="L10" s="9"/>
    </row>
    <row r="11" spans="1:12" ht="17.25" x14ac:dyDescent="0.35">
      <c r="A11" s="20"/>
      <c r="B11" s="21"/>
      <c r="C11" s="22">
        <f>SUM(Customers!C9:C18)</f>
        <v>14365</v>
      </c>
      <c r="D11" s="19">
        <f>L27</f>
        <v>1.88</v>
      </c>
      <c r="E11" s="22">
        <f>C11*D11</f>
        <v>27006.199999999997</v>
      </c>
      <c r="F11" s="9"/>
      <c r="G11" s="20"/>
      <c r="H11" s="21"/>
      <c r="I11" s="22"/>
      <c r="J11" s="19">
        <f>+L54</f>
        <v>0</v>
      </c>
      <c r="K11" s="22">
        <f>I11*J11</f>
        <v>0</v>
      </c>
      <c r="L11" s="9"/>
    </row>
    <row r="12" spans="1:12" ht="15.75" x14ac:dyDescent="0.25">
      <c r="A12" s="12" t="s">
        <v>2</v>
      </c>
      <c r="B12" s="8"/>
      <c r="C12" s="18">
        <f>SUM(C10:C11)</f>
        <v>15715</v>
      </c>
      <c r="D12" s="8"/>
      <c r="E12" s="18">
        <f>SUM(E10:E11)</f>
        <v>29544.199999999997</v>
      </c>
      <c r="F12" s="9"/>
      <c r="G12" s="12" t="s">
        <v>2</v>
      </c>
      <c r="H12" s="8"/>
      <c r="I12" s="18">
        <f>SUM(I10:I11)</f>
        <v>0</v>
      </c>
      <c r="J12" s="8"/>
      <c r="K12" s="18">
        <f>SUM(K10:K11)</f>
        <v>0</v>
      </c>
      <c r="L12" s="9"/>
    </row>
    <row r="13" spans="1:12" ht="15.75" x14ac:dyDescent="0.25">
      <c r="A13" s="12"/>
      <c r="B13" s="8"/>
      <c r="C13" s="8"/>
      <c r="D13" s="8"/>
      <c r="E13" s="8"/>
      <c r="F13" s="9"/>
      <c r="G13" s="12"/>
      <c r="H13" s="8"/>
      <c r="I13" s="8"/>
      <c r="J13" s="8"/>
      <c r="K13" s="8"/>
      <c r="L13" s="9"/>
    </row>
    <row r="14" spans="1:12" ht="15.75" x14ac:dyDescent="0.25">
      <c r="A14" s="5" t="s">
        <v>6</v>
      </c>
      <c r="B14" s="8"/>
      <c r="C14" s="8"/>
      <c r="D14" s="8"/>
      <c r="E14" s="18">
        <f>'Recycling Revenue'!J20</f>
        <v>37723.069357798602</v>
      </c>
      <c r="F14" s="9"/>
      <c r="G14" s="5" t="s">
        <v>6</v>
      </c>
      <c r="H14" s="8"/>
      <c r="I14" s="8"/>
      <c r="J14" s="8"/>
      <c r="K14" s="18"/>
      <c r="L14" s="9"/>
    </row>
    <row r="15" spans="1:12" ht="15.75" x14ac:dyDescent="0.25">
      <c r="A15" s="12"/>
      <c r="B15" s="8"/>
      <c r="C15" s="8"/>
      <c r="D15" s="8"/>
      <c r="E15" s="8"/>
      <c r="F15" s="9"/>
      <c r="G15" s="12"/>
      <c r="H15" s="8"/>
      <c r="I15" s="8"/>
      <c r="J15" s="8"/>
      <c r="K15" s="8"/>
      <c r="L15" s="9"/>
    </row>
    <row r="16" spans="1:12" ht="15.75" x14ac:dyDescent="0.25">
      <c r="A16" s="12" t="s">
        <v>7</v>
      </c>
      <c r="B16" s="8"/>
      <c r="C16" s="8"/>
      <c r="D16" s="8"/>
      <c r="E16" s="18">
        <f>E14-E12</f>
        <v>8178.8693577986051</v>
      </c>
      <c r="F16" s="9"/>
      <c r="G16" s="12" t="s">
        <v>7</v>
      </c>
      <c r="H16" s="8"/>
      <c r="I16" s="8"/>
      <c r="J16" s="8"/>
      <c r="K16" s="18">
        <f>K14-K12</f>
        <v>0</v>
      </c>
      <c r="L16" s="9"/>
    </row>
    <row r="17" spans="1:12" ht="15.75" x14ac:dyDescent="0.25">
      <c r="A17" s="12"/>
      <c r="B17" s="8"/>
      <c r="C17" s="8"/>
      <c r="D17" s="8"/>
      <c r="E17" s="8"/>
      <c r="F17" s="9"/>
      <c r="G17" s="12"/>
      <c r="H17" s="8"/>
      <c r="I17" s="8"/>
      <c r="J17" s="8"/>
      <c r="K17" s="8"/>
      <c r="L17" s="9"/>
    </row>
    <row r="18" spans="1:12" ht="15.75" x14ac:dyDescent="0.25">
      <c r="A18" s="12" t="s">
        <v>8</v>
      </c>
      <c r="B18" s="8"/>
      <c r="C18" s="8"/>
      <c r="D18" s="8"/>
      <c r="E18" s="18">
        <f>+C12</f>
        <v>15715</v>
      </c>
      <c r="F18" s="9"/>
      <c r="G18" s="12" t="s">
        <v>8</v>
      </c>
      <c r="H18" s="8"/>
      <c r="I18" s="8"/>
      <c r="J18" s="8"/>
      <c r="K18" s="18">
        <f>+I12</f>
        <v>0</v>
      </c>
      <c r="L18" s="9"/>
    </row>
    <row r="19" spans="1:12" ht="15.75" x14ac:dyDescent="0.25">
      <c r="A19" s="12"/>
      <c r="B19" s="8"/>
      <c r="C19" s="8"/>
      <c r="D19" s="8"/>
      <c r="E19" s="8"/>
      <c r="F19" s="9"/>
      <c r="G19" s="12"/>
      <c r="H19" s="8"/>
      <c r="I19" s="8"/>
      <c r="J19" s="8"/>
      <c r="K19" s="8"/>
      <c r="L19" s="9"/>
    </row>
    <row r="20" spans="1:12" ht="15.75" x14ac:dyDescent="0.25">
      <c r="A20" s="12" t="s">
        <v>77</v>
      </c>
      <c r="B20" s="8"/>
      <c r="C20" s="8"/>
      <c r="D20" s="8"/>
      <c r="E20" s="120"/>
      <c r="F20" s="23">
        <f>E16/E18</f>
        <v>0.5204498477759214</v>
      </c>
      <c r="G20" s="12" t="s">
        <v>15</v>
      </c>
      <c r="H20" s="8"/>
      <c r="I20" s="8"/>
      <c r="J20" s="8"/>
      <c r="K20" s="8"/>
      <c r="L20" s="23"/>
    </row>
    <row r="21" spans="1:12" ht="15.75" x14ac:dyDescent="0.25">
      <c r="A21" s="12"/>
      <c r="B21" s="8"/>
      <c r="C21" s="8"/>
      <c r="D21" s="8"/>
      <c r="E21" s="8"/>
      <c r="F21" s="23"/>
      <c r="G21" s="12"/>
      <c r="H21" s="8"/>
      <c r="I21" s="8"/>
      <c r="J21" s="8"/>
      <c r="K21" s="8"/>
      <c r="L21" s="23"/>
    </row>
    <row r="22" spans="1:12" ht="15.75" x14ac:dyDescent="0.25">
      <c r="A22" s="12"/>
      <c r="B22" s="8"/>
      <c r="C22" s="8"/>
      <c r="D22" s="8"/>
      <c r="E22" s="8"/>
      <c r="F22" s="23"/>
      <c r="G22" s="12"/>
      <c r="H22" s="8"/>
      <c r="I22" s="8"/>
      <c r="J22" s="8"/>
      <c r="K22" s="8"/>
      <c r="L22" s="23"/>
    </row>
    <row r="23" spans="1:12" ht="15.75" x14ac:dyDescent="0.25">
      <c r="A23" s="16" t="str">
        <f>+A9</f>
        <v>Projected Revenue Oct. 2024- Sept. 2025</v>
      </c>
      <c r="B23" s="6"/>
      <c r="C23" s="8"/>
      <c r="D23" s="8"/>
      <c r="E23" s="24">
        <f>'Recycling Revenue'!J20</f>
        <v>37723.069357798602</v>
      </c>
      <c r="F23" s="23"/>
      <c r="G23" s="16" t="str">
        <f>+G9</f>
        <v>Projected Revenue Oct. 2024- Sept. 2025</v>
      </c>
      <c r="H23" s="6"/>
      <c r="I23" s="8"/>
      <c r="J23" s="8"/>
      <c r="K23" s="24">
        <v>107979.76608241463</v>
      </c>
      <c r="L23" s="23"/>
    </row>
    <row r="24" spans="1:12" ht="15.75" x14ac:dyDescent="0.25">
      <c r="A24" s="12" t="s">
        <v>9</v>
      </c>
      <c r="B24" s="8"/>
      <c r="C24" s="8"/>
      <c r="D24" s="8"/>
      <c r="E24" s="18">
        <f>C12</f>
        <v>15715</v>
      </c>
      <c r="F24" s="23"/>
      <c r="G24" s="12" t="s">
        <v>9</v>
      </c>
      <c r="H24" s="8"/>
      <c r="I24" s="8"/>
      <c r="J24" s="8"/>
      <c r="K24" s="18">
        <v>57456</v>
      </c>
      <c r="L24" s="23"/>
    </row>
    <row r="25" spans="1:12" ht="17.25" x14ac:dyDescent="0.35">
      <c r="A25" s="12" t="s">
        <v>10</v>
      </c>
      <c r="B25" s="8"/>
      <c r="C25" s="8"/>
      <c r="D25" s="8"/>
      <c r="E25" s="8"/>
      <c r="F25" s="25">
        <f>ROUND(+E23/E24,2)</f>
        <v>2.4</v>
      </c>
      <c r="G25" s="12" t="s">
        <v>10</v>
      </c>
      <c r="H25" s="8"/>
      <c r="I25" s="8"/>
      <c r="J25" s="8"/>
      <c r="K25" s="8"/>
      <c r="L25" s="25">
        <v>1.88</v>
      </c>
    </row>
    <row r="26" spans="1:12" ht="15.75" x14ac:dyDescent="0.25">
      <c r="A26" s="12"/>
      <c r="B26" s="8"/>
      <c r="C26" s="8"/>
      <c r="D26" s="8"/>
      <c r="E26" s="8"/>
      <c r="F26" s="23"/>
      <c r="G26" s="12"/>
      <c r="H26" s="8"/>
      <c r="I26" s="8"/>
      <c r="J26" s="8"/>
      <c r="K26" s="8"/>
      <c r="L26" s="23"/>
    </row>
    <row r="27" spans="1:12" ht="16.5" thickBot="1" x14ac:dyDescent="0.3">
      <c r="A27" s="5" t="s">
        <v>11</v>
      </c>
      <c r="B27" s="6"/>
      <c r="C27" s="8"/>
      <c r="D27" s="8"/>
      <c r="E27" s="8"/>
      <c r="F27" s="26">
        <f>SUM(F20:F25)</f>
        <v>2.9204498477759211</v>
      </c>
      <c r="G27" s="5" t="s">
        <v>11</v>
      </c>
      <c r="H27" s="6"/>
      <c r="I27" s="8"/>
      <c r="J27" s="8"/>
      <c r="K27" s="8"/>
      <c r="L27" s="26">
        <v>1.88</v>
      </c>
    </row>
    <row r="28" spans="1:12" ht="16.5" thickTop="1" x14ac:dyDescent="0.25">
      <c r="A28" s="5"/>
      <c r="B28" s="6"/>
      <c r="C28" s="8"/>
      <c r="D28" s="8"/>
      <c r="E28" s="8"/>
      <c r="F28" s="27"/>
      <c r="G28" s="5"/>
      <c r="H28" s="6"/>
      <c r="I28" s="8"/>
      <c r="J28" s="8"/>
      <c r="K28" s="8"/>
      <c r="L28" s="27"/>
    </row>
    <row r="29" spans="1:12" ht="15.75" thickBot="1" x14ac:dyDescent="0.3">
      <c r="A29" s="28"/>
      <c r="B29" s="29"/>
      <c r="C29" s="29"/>
      <c r="D29" s="29"/>
      <c r="E29" s="29"/>
      <c r="F29" s="30"/>
      <c r="G29" s="28"/>
      <c r="H29" s="29"/>
      <c r="I29" s="29"/>
      <c r="J29" s="29"/>
      <c r="K29" s="29"/>
      <c r="L29" s="30"/>
    </row>
  </sheetData>
  <mergeCells count="2">
    <mergeCell ref="A5:F5"/>
    <mergeCell ref="G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7797A-6FB9-4057-B30D-64272D7714A8}">
  <dimension ref="A1:M35"/>
  <sheetViews>
    <sheetView workbookViewId="0">
      <selection activeCell="D19" sqref="D19"/>
    </sheetView>
    <sheetView workbookViewId="1"/>
  </sheetViews>
  <sheetFormatPr defaultRowHeight="15" x14ac:dyDescent="0.25"/>
  <cols>
    <col min="1" max="1" width="11.42578125" customWidth="1"/>
    <col min="3" max="3" width="9.5703125" bestFit="1" customWidth="1"/>
    <col min="4" max="4" width="12.85546875" customWidth="1"/>
    <col min="5" max="5" width="15" customWidth="1"/>
    <col min="6" max="6" width="9.5703125" customWidth="1"/>
    <col min="8" max="8" width="9.5703125" bestFit="1" customWidth="1"/>
    <col min="10" max="10" width="11.5703125" bestFit="1" customWidth="1"/>
  </cols>
  <sheetData>
    <row r="1" spans="1:10" ht="23.25" x14ac:dyDescent="0.35">
      <c r="A1" s="31" t="s">
        <v>12</v>
      </c>
    </row>
    <row r="2" spans="1:10" ht="21" x14ac:dyDescent="0.35">
      <c r="A2" s="32" t="s">
        <v>37</v>
      </c>
    </row>
    <row r="3" spans="1:10" ht="18.75" x14ac:dyDescent="0.3">
      <c r="A3" s="33"/>
    </row>
    <row r="5" spans="1:10" ht="15.75" x14ac:dyDescent="0.25">
      <c r="C5" s="116" t="s">
        <v>16</v>
      </c>
      <c r="D5" s="116"/>
      <c r="E5" s="116"/>
    </row>
    <row r="6" spans="1:10" x14ac:dyDescent="0.25">
      <c r="F6" s="34" t="s">
        <v>17</v>
      </c>
      <c r="G6" s="34" t="s">
        <v>18</v>
      </c>
      <c r="H6" s="34" t="s">
        <v>16</v>
      </c>
      <c r="I6" s="35" t="s">
        <v>19</v>
      </c>
      <c r="J6" s="35" t="s">
        <v>1</v>
      </c>
    </row>
    <row r="7" spans="1:10" x14ac:dyDescent="0.25">
      <c r="A7" s="36" t="s">
        <v>20</v>
      </c>
      <c r="C7" s="37" t="s">
        <v>2</v>
      </c>
      <c r="D7" s="37" t="s">
        <v>21</v>
      </c>
      <c r="E7" s="37" t="s">
        <v>22</v>
      </c>
      <c r="F7" s="37" t="s">
        <v>23</v>
      </c>
      <c r="G7" s="37" t="s">
        <v>16</v>
      </c>
      <c r="H7" s="37" t="s">
        <v>24</v>
      </c>
      <c r="I7" s="37" t="s">
        <v>25</v>
      </c>
      <c r="J7" s="37" t="s">
        <v>26</v>
      </c>
    </row>
    <row r="8" spans="1:10" x14ac:dyDescent="0.25">
      <c r="A8" t="s">
        <v>75</v>
      </c>
      <c r="C8" s="38">
        <f t="shared" ref="C8:C18" si="0">+D8+E8</f>
        <v>104.6268972</v>
      </c>
      <c r="D8" s="39"/>
      <c r="E8" s="39">
        <f>4788*2.17*('[1]MSW Route Stats'!$C$14/2000)</f>
        <v>104.6268972</v>
      </c>
      <c r="F8" s="40">
        <f>'CRC Composition'!C18</f>
        <v>0.21551369601331255</v>
      </c>
      <c r="G8" s="41">
        <f>-F8*E8</f>
        <v>-22.548529317976904</v>
      </c>
      <c r="H8" s="41">
        <f>+G8+E8</f>
        <v>82.078367882023102</v>
      </c>
      <c r="I8" s="42">
        <f>'CRC Composition'!B44</f>
        <v>113.37076266719846</v>
      </c>
      <c r="J8" s="43">
        <f>+I8*H8</f>
        <v>9305.287165263846</v>
      </c>
    </row>
    <row r="9" spans="1:10" x14ac:dyDescent="0.25">
      <c r="A9" t="s">
        <v>36</v>
      </c>
      <c r="C9" s="38">
        <f>C8</f>
        <v>104.6268972</v>
      </c>
      <c r="D9" s="39">
        <f>D8</f>
        <v>0</v>
      </c>
      <c r="E9" s="39">
        <f>E8</f>
        <v>104.6268972</v>
      </c>
      <c r="F9" s="40">
        <f>'CRC Composition'!E18</f>
        <v>0.20522595989411485</v>
      </c>
      <c r="G9" s="41">
        <f t="shared" ref="G9:G19" si="1">-F9*E9</f>
        <v>-21.472155408612878</v>
      </c>
      <c r="H9" s="41">
        <f t="shared" ref="H9:H19" si="2">+G9+E9</f>
        <v>83.154741791387124</v>
      </c>
      <c r="I9" s="42">
        <f>'CRC Composition'!D44</f>
        <v>115.38161887247657</v>
      </c>
      <c r="J9" s="43">
        <f t="shared" ref="J9:J19" si="3">+I9*H9</f>
        <v>9594.528724813028</v>
      </c>
    </row>
    <row r="10" spans="1:10" x14ac:dyDescent="0.25">
      <c r="A10" t="s">
        <v>39</v>
      </c>
      <c r="C10" s="38">
        <f t="shared" si="0"/>
        <v>73.16</v>
      </c>
      <c r="D10" s="39">
        <f>56.26</f>
        <v>56.26</v>
      </c>
      <c r="E10" s="39">
        <f>16.89+0.01</f>
        <v>16.900000000000002</v>
      </c>
      <c r="F10" s="40">
        <f>'CRC Composition'!G18</f>
        <v>0.20606609589215058</v>
      </c>
      <c r="G10" s="41">
        <f t="shared" si="1"/>
        <v>-3.4825170205773452</v>
      </c>
      <c r="H10" s="41">
        <f t="shared" si="2"/>
        <v>13.417482979422656</v>
      </c>
      <c r="I10" s="42">
        <f>'CRC Composition'!F44</f>
        <v>103.86288022084146</v>
      </c>
      <c r="J10" s="43">
        <f t="shared" si="3"/>
        <v>1393.5784275569545</v>
      </c>
    </row>
    <row r="11" spans="1:10" x14ac:dyDescent="0.25">
      <c r="A11" t="s">
        <v>27</v>
      </c>
      <c r="C11" s="38">
        <f t="shared" si="0"/>
        <v>79.28</v>
      </c>
      <c r="D11" s="39">
        <v>56.67</v>
      </c>
      <c r="E11" s="39">
        <v>22.61</v>
      </c>
      <c r="F11" s="40">
        <f>'CRC Composition'!I18</f>
        <v>0.1740156486142016</v>
      </c>
      <c r="G11" s="41">
        <f t="shared" si="1"/>
        <v>-3.9344938151670981</v>
      </c>
      <c r="H11" s="41">
        <f t="shared" si="2"/>
        <v>18.675506184832901</v>
      </c>
      <c r="I11" s="42">
        <f>'CRC Composition'!H44</f>
        <v>84.107188301246254</v>
      </c>
      <c r="J11" s="43">
        <f t="shared" si="3"/>
        <v>1570.7443153088298</v>
      </c>
    </row>
    <row r="12" spans="1:10" x14ac:dyDescent="0.25">
      <c r="A12" t="s">
        <v>76</v>
      </c>
      <c r="C12" s="38">
        <f t="shared" si="0"/>
        <v>80.77</v>
      </c>
      <c r="D12" s="39">
        <f>80.77-E12</f>
        <v>61.709999999999994</v>
      </c>
      <c r="E12" s="39">
        <f>18.94+0.12</f>
        <v>19.060000000000002</v>
      </c>
      <c r="F12" s="40">
        <f>'CRC Composition'!K18</f>
        <v>0.1828198904340893</v>
      </c>
      <c r="G12" s="41">
        <f t="shared" si="1"/>
        <v>-3.4845471116737428</v>
      </c>
      <c r="H12" s="41">
        <f t="shared" si="2"/>
        <v>15.575452888326259</v>
      </c>
      <c r="I12" s="42">
        <f>'CRC Composition'!J44</f>
        <v>90.252186083261307</v>
      </c>
      <c r="J12" s="43">
        <f t="shared" si="3"/>
        <v>1405.7186724082912</v>
      </c>
    </row>
    <row r="13" spans="1:10" x14ac:dyDescent="0.25">
      <c r="A13" t="s">
        <v>29</v>
      </c>
      <c r="C13" s="38">
        <f t="shared" si="0"/>
        <v>69.31</v>
      </c>
      <c r="D13" s="39">
        <f>69.31-E13</f>
        <v>46.730000000000004</v>
      </c>
      <c r="E13" s="39">
        <v>22.58</v>
      </c>
      <c r="F13" s="40">
        <f>'CRC Composition'!M18</f>
        <v>0.2162049776377542</v>
      </c>
      <c r="G13" s="41">
        <f t="shared" si="1"/>
        <v>-4.8819083950604893</v>
      </c>
      <c r="H13" s="41">
        <f t="shared" si="2"/>
        <v>17.69809160493951</v>
      </c>
      <c r="I13" s="42">
        <f>'CRC Composition'!L44</f>
        <v>117.34247294560927</v>
      </c>
      <c r="J13" s="43">
        <f t="shared" si="3"/>
        <v>2076.7378353415293</v>
      </c>
    </row>
    <row r="14" spans="1:10" x14ac:dyDescent="0.25">
      <c r="A14" t="s">
        <v>30</v>
      </c>
      <c r="C14" s="38">
        <f t="shared" si="0"/>
        <v>77.64</v>
      </c>
      <c r="D14" s="39">
        <f>77.64-E14</f>
        <v>51.11</v>
      </c>
      <c r="E14" s="39">
        <v>26.53</v>
      </c>
      <c r="F14" s="40">
        <f>'CRC Composition'!O18</f>
        <v>0.21446535809233164</v>
      </c>
      <c r="G14" s="41">
        <f t="shared" si="1"/>
        <v>-5.6897659501895586</v>
      </c>
      <c r="H14" s="41">
        <f t="shared" si="2"/>
        <v>20.840234049810441</v>
      </c>
      <c r="I14" s="42">
        <f>'CRC Composition'!N44</f>
        <v>125.50509893160971</v>
      </c>
      <c r="J14" s="43">
        <f t="shared" si="3"/>
        <v>2615.5556361793606</v>
      </c>
    </row>
    <row r="15" spans="1:10" x14ac:dyDescent="0.25">
      <c r="A15" t="s">
        <v>31</v>
      </c>
      <c r="C15" s="38">
        <f t="shared" si="0"/>
        <v>64.19</v>
      </c>
      <c r="D15" s="39">
        <f>41.4+1.49</f>
        <v>42.89</v>
      </c>
      <c r="E15" s="39">
        <v>21.3</v>
      </c>
      <c r="F15" s="40">
        <f>'CRC Composition'!Q18</f>
        <v>0.20552185964634268</v>
      </c>
      <c r="G15" s="41">
        <f t="shared" si="1"/>
        <v>-4.3776156104670987</v>
      </c>
      <c r="H15" s="41">
        <f t="shared" si="2"/>
        <v>16.922384389532901</v>
      </c>
      <c r="I15" s="42">
        <f>'CRC Composition'!P44</f>
        <v>125.21975565865095</v>
      </c>
      <c r="J15" s="43">
        <f t="shared" si="3"/>
        <v>2119.0168384190792</v>
      </c>
    </row>
    <row r="16" spans="1:10" x14ac:dyDescent="0.25">
      <c r="A16" t="s">
        <v>32</v>
      </c>
      <c r="C16" s="38">
        <f t="shared" si="0"/>
        <v>81.259999999999991</v>
      </c>
      <c r="D16" s="39">
        <f>52.58+2.71</f>
        <v>55.29</v>
      </c>
      <c r="E16" s="39">
        <v>25.97</v>
      </c>
      <c r="F16" s="40">
        <f>'CRC Composition'!S18</f>
        <v>0.22768594305916284</v>
      </c>
      <c r="G16" s="41">
        <f t="shared" si="1"/>
        <v>-5.9130039412464583</v>
      </c>
      <c r="H16" s="41">
        <f t="shared" si="2"/>
        <v>20.056996058753541</v>
      </c>
      <c r="I16" s="42">
        <f>'CRC Composition'!R44</f>
        <v>128.23162046882712</v>
      </c>
      <c r="J16" s="43">
        <f t="shared" si="3"/>
        <v>2571.9411063508455</v>
      </c>
    </row>
    <row r="17" spans="1:13" x14ac:dyDescent="0.25">
      <c r="A17" t="s">
        <v>33</v>
      </c>
      <c r="C17" s="38">
        <f t="shared" si="0"/>
        <v>47.05</v>
      </c>
      <c r="D17" s="39">
        <f>47.05-E17</f>
        <v>28.039999999999996</v>
      </c>
      <c r="E17" s="39">
        <f>18.8+0.21</f>
        <v>19.010000000000002</v>
      </c>
      <c r="F17" s="40">
        <f>'CRC Composition'!U18</f>
        <v>0.23510218476244096</v>
      </c>
      <c r="G17" s="41">
        <f t="shared" si="1"/>
        <v>-4.4692925323340029</v>
      </c>
      <c r="H17" s="41">
        <f t="shared" si="2"/>
        <v>14.540707467666</v>
      </c>
      <c r="I17" s="42">
        <f>'CRC Composition'!T44</f>
        <v>117.17725096204666</v>
      </c>
      <c r="J17" s="43">
        <f t="shared" si="3"/>
        <v>1703.8401281044048</v>
      </c>
    </row>
    <row r="18" spans="1:13" x14ac:dyDescent="0.25">
      <c r="A18" t="s">
        <v>34</v>
      </c>
      <c r="C18" s="44">
        <f t="shared" si="0"/>
        <v>50.45</v>
      </c>
      <c r="D18" s="39">
        <f>50.45-E18</f>
        <v>31.490000000000002</v>
      </c>
      <c r="E18" s="39">
        <v>18.96</v>
      </c>
      <c r="F18" s="45">
        <f>'CRC Composition'!W18</f>
        <v>0.19383906405151571</v>
      </c>
      <c r="G18" s="41">
        <f t="shared" si="1"/>
        <v>-3.675188654416738</v>
      </c>
      <c r="H18" s="41">
        <f t="shared" si="2"/>
        <v>15.284811345583263</v>
      </c>
      <c r="I18" s="42">
        <f>'CRC Composition'!V44</f>
        <v>115.19249556312629</v>
      </c>
      <c r="J18" s="43">
        <f t="shared" si="3"/>
        <v>1760.6955631093224</v>
      </c>
    </row>
    <row r="19" spans="1:13" ht="17.25" x14ac:dyDescent="0.4">
      <c r="A19" t="s">
        <v>35</v>
      </c>
      <c r="C19" s="46">
        <f>+D19+E19</f>
        <v>50.45</v>
      </c>
      <c r="D19" s="39">
        <f>D18</f>
        <v>31.490000000000002</v>
      </c>
      <c r="E19" s="39">
        <f t="shared" ref="E19" si="4">E18</f>
        <v>18.96</v>
      </c>
      <c r="F19" s="47">
        <f>'CRC Composition'!Y18</f>
        <v>0.17464979310986517</v>
      </c>
      <c r="G19" s="48">
        <f t="shared" si="1"/>
        <v>-3.3113600773630436</v>
      </c>
      <c r="H19" s="48">
        <f t="shared" si="2"/>
        <v>15.648639922636956</v>
      </c>
      <c r="I19" s="49">
        <f>'CRC Composition'!X44</f>
        <v>102.59197942312768</v>
      </c>
      <c r="J19" s="50">
        <f t="shared" si="3"/>
        <v>1605.4249449431049</v>
      </c>
      <c r="K19" s="51"/>
      <c r="L19" s="51"/>
      <c r="M19" s="51"/>
    </row>
    <row r="20" spans="1:13" ht="17.25" x14ac:dyDescent="0.4">
      <c r="C20" s="52">
        <f>SUM(C8:C19)</f>
        <v>882.81379440000001</v>
      </c>
      <c r="D20" s="52">
        <f>SUM(D8:D19)</f>
        <v>461.68000000000006</v>
      </c>
      <c r="E20" s="52">
        <f>SUM(E8:E19)</f>
        <v>421.13379439999994</v>
      </c>
      <c r="F20" s="53">
        <f>-G20/E20</f>
        <v>0.20715596562222932</v>
      </c>
      <c r="G20" s="52">
        <f t="shared" ref="G20:J20" si="5">SUM(G8:G19)</f>
        <v>-87.240377835085383</v>
      </c>
      <c r="H20" s="52">
        <f t="shared" si="5"/>
        <v>333.89341656491467</v>
      </c>
      <c r="I20" s="54">
        <f>+J20/H20</f>
        <v>112.97937451385653</v>
      </c>
      <c r="J20" s="55">
        <f t="shared" si="5"/>
        <v>37723.069357798602</v>
      </c>
      <c r="K20" s="56"/>
    </row>
    <row r="21" spans="1:13" x14ac:dyDescent="0.25">
      <c r="C21" s="38"/>
      <c r="D21" s="38"/>
      <c r="E21" s="38"/>
      <c r="F21" s="38"/>
    </row>
    <row r="22" spans="1:13" x14ac:dyDescent="0.25">
      <c r="C22" s="38"/>
      <c r="D22" s="112" t="s">
        <v>73</v>
      </c>
      <c r="E22" s="38">
        <v>25</v>
      </c>
      <c r="F22" s="38"/>
      <c r="G22" s="38"/>
      <c r="J22" t="s">
        <v>74</v>
      </c>
    </row>
    <row r="23" spans="1:13" x14ac:dyDescent="0.25">
      <c r="B23">
        <v>1</v>
      </c>
      <c r="C23" t="s">
        <v>72</v>
      </c>
      <c r="D23" s="38"/>
      <c r="E23" s="38">
        <f>$E$22*B23/2000</f>
        <v>1.2500000000000001E-2</v>
      </c>
      <c r="F23" s="40">
        <f>F20</f>
        <v>0.20715596562222932</v>
      </c>
      <c r="G23" s="110">
        <f t="shared" ref="G23" si="6">-F23*E23</f>
        <v>-2.5894495702778668E-3</v>
      </c>
      <c r="H23" s="110">
        <f t="shared" ref="H23" si="7">+G23+E23</f>
        <v>9.9105504297221335E-3</v>
      </c>
      <c r="I23" s="42">
        <f>I20</f>
        <v>112.97937451385653</v>
      </c>
      <c r="J23" s="111">
        <f t="shared" ref="J23" si="8">+I23*H23</f>
        <v>1.1196877886380388</v>
      </c>
      <c r="K23" s="42">
        <f>J23/B23</f>
        <v>1.1196877886380388</v>
      </c>
    </row>
    <row r="24" spans="1:13" x14ac:dyDescent="0.25">
      <c r="D24" s="57"/>
      <c r="E24" s="38"/>
      <c r="F24" s="40"/>
      <c r="G24" s="110"/>
      <c r="H24" s="110"/>
      <c r="I24" s="42"/>
      <c r="J24" s="111"/>
      <c r="K24" s="42"/>
    </row>
    <row r="25" spans="1:13" x14ac:dyDescent="0.25">
      <c r="D25" s="38"/>
      <c r="E25" s="38"/>
      <c r="F25" s="40"/>
      <c r="G25" s="110"/>
      <c r="H25" s="110"/>
      <c r="I25" s="42"/>
      <c r="J25" s="111"/>
      <c r="K25" s="42"/>
    </row>
    <row r="26" spans="1:13" x14ac:dyDescent="0.25">
      <c r="D26" s="38"/>
      <c r="E26" s="38"/>
      <c r="F26" s="40"/>
      <c r="G26" s="110"/>
      <c r="H26" s="110"/>
      <c r="I26" s="42"/>
      <c r="J26" s="111"/>
      <c r="K26" s="42"/>
    </row>
    <row r="27" spans="1:13" x14ac:dyDescent="0.25">
      <c r="D27" s="38"/>
      <c r="E27" s="38"/>
      <c r="F27" s="40"/>
      <c r="G27" s="110"/>
      <c r="H27" s="110"/>
      <c r="I27" s="42"/>
      <c r="J27" s="111"/>
      <c r="K27" s="42"/>
    </row>
    <row r="28" spans="1:13" x14ac:dyDescent="0.25">
      <c r="D28" s="38"/>
      <c r="E28" s="38"/>
      <c r="F28" s="40"/>
      <c r="G28" s="110"/>
      <c r="H28" s="110"/>
      <c r="I28" s="42"/>
      <c r="J28" s="111"/>
      <c r="K28" s="42"/>
    </row>
    <row r="29" spans="1:13" x14ac:dyDescent="0.25">
      <c r="D29" s="38"/>
      <c r="E29" s="38"/>
      <c r="F29" s="40"/>
      <c r="G29" s="110"/>
      <c r="H29" s="110"/>
      <c r="I29" s="42"/>
      <c r="J29" s="111"/>
      <c r="K29" s="42"/>
    </row>
    <row r="30" spans="1:13" x14ac:dyDescent="0.25">
      <c r="C30" s="38"/>
      <c r="D30" s="38"/>
      <c r="E30" s="38"/>
      <c r="F30" s="38"/>
      <c r="J30" s="42"/>
    </row>
    <row r="31" spans="1:13" x14ac:dyDescent="0.25">
      <c r="C31" s="38"/>
      <c r="D31" s="38"/>
      <c r="E31" s="38"/>
      <c r="F31" s="38"/>
    </row>
    <row r="32" spans="1:13" x14ac:dyDescent="0.25">
      <c r="C32" s="38"/>
      <c r="D32" s="38"/>
      <c r="E32" s="38"/>
      <c r="F32" s="38"/>
    </row>
    <row r="33" spans="3:6" x14ac:dyDescent="0.25">
      <c r="C33" s="38"/>
      <c r="D33" s="38"/>
      <c r="E33" s="38"/>
      <c r="F33" s="38"/>
    </row>
    <row r="34" spans="3:6" x14ac:dyDescent="0.25">
      <c r="C34" s="38"/>
      <c r="D34" s="38"/>
      <c r="E34" s="38"/>
      <c r="F34" s="38"/>
    </row>
    <row r="35" spans="3:6" x14ac:dyDescent="0.25">
      <c r="C35" s="38"/>
      <c r="D35" s="38"/>
      <c r="E35" s="38"/>
      <c r="F35" s="38"/>
    </row>
  </sheetData>
  <mergeCells count="1">
    <mergeCell ref="C5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43AA4-BEAE-4F92-8C9C-5A2FD7462179}">
  <dimension ref="A1:K20"/>
  <sheetViews>
    <sheetView workbookViewId="0">
      <selection activeCell="K19" sqref="K19"/>
    </sheetView>
    <sheetView workbookViewId="1"/>
  </sheetViews>
  <sheetFormatPr defaultRowHeight="15" x14ac:dyDescent="0.25"/>
  <cols>
    <col min="2" max="2" width="8.5703125" bestFit="1" customWidth="1"/>
    <col min="3" max="3" width="11.42578125" bestFit="1" customWidth="1"/>
    <col min="4" max="4" width="8.5703125" bestFit="1" customWidth="1"/>
    <col min="5" max="5" width="10.140625" bestFit="1" customWidth="1"/>
    <col min="6" max="6" width="8.5703125" bestFit="1" customWidth="1"/>
    <col min="7" max="7" width="8.28515625" bestFit="1" customWidth="1"/>
    <col min="8" max="8" width="8.5703125" bestFit="1" customWidth="1"/>
    <col min="9" max="9" width="10.140625" bestFit="1" customWidth="1"/>
    <col min="10" max="10" width="9.28515625" bestFit="1" customWidth="1"/>
    <col min="11" max="11" width="10.7109375" bestFit="1" customWidth="1"/>
  </cols>
  <sheetData>
    <row r="1" spans="1:11" ht="21" x14ac:dyDescent="0.35">
      <c r="A1" s="32" t="s">
        <v>42</v>
      </c>
    </row>
    <row r="2" spans="1:11" ht="15.75" x14ac:dyDescent="0.25">
      <c r="A2" s="64" t="s">
        <v>43</v>
      </c>
    </row>
    <row r="5" spans="1:11" x14ac:dyDescent="0.25">
      <c r="A5" s="65"/>
      <c r="B5" s="117" t="s">
        <v>44</v>
      </c>
      <c r="C5" s="118"/>
      <c r="D5" s="118"/>
      <c r="E5" s="118"/>
      <c r="F5" s="118"/>
      <c r="G5" s="118"/>
      <c r="H5" s="118"/>
      <c r="I5" s="118"/>
      <c r="J5" s="118"/>
      <c r="K5" s="119"/>
    </row>
    <row r="6" spans="1:11" x14ac:dyDescent="0.25">
      <c r="A6" s="66"/>
      <c r="B6" s="67"/>
      <c r="C6" s="68"/>
      <c r="D6" s="68"/>
      <c r="E6" s="69"/>
      <c r="F6" s="68"/>
      <c r="G6" s="68"/>
      <c r="H6" s="68"/>
      <c r="I6" s="69" t="s">
        <v>45</v>
      </c>
      <c r="J6" s="69" t="s">
        <v>46</v>
      </c>
      <c r="K6" s="69" t="s">
        <v>47</v>
      </c>
    </row>
    <row r="7" spans="1:11" x14ac:dyDescent="0.25">
      <c r="A7" s="66" t="s">
        <v>20</v>
      </c>
      <c r="B7" s="69" t="s">
        <v>48</v>
      </c>
      <c r="C7" s="69" t="s">
        <v>49</v>
      </c>
      <c r="D7" s="69" t="s">
        <v>50</v>
      </c>
      <c r="E7" s="69" t="s">
        <v>51</v>
      </c>
      <c r="F7" s="69" t="s">
        <v>52</v>
      </c>
      <c r="G7" s="69" t="s">
        <v>53</v>
      </c>
      <c r="H7" s="69" t="s">
        <v>54</v>
      </c>
      <c r="I7" s="69" t="s">
        <v>55</v>
      </c>
      <c r="J7" s="69" t="s">
        <v>55</v>
      </c>
      <c r="K7" s="69" t="s">
        <v>56</v>
      </c>
    </row>
    <row r="8" spans="1:11" x14ac:dyDescent="0.25">
      <c r="A8" s="70">
        <v>45545</v>
      </c>
      <c r="B8" s="71">
        <f>[2]Prices!B12</f>
        <v>112.53</v>
      </c>
      <c r="C8" s="71">
        <f>[2]Prices!C12</f>
        <v>78.58</v>
      </c>
      <c r="D8" s="71">
        <f>[2]Prices!D12</f>
        <v>141.75</v>
      </c>
      <c r="E8" s="71">
        <f>[2]Prices!E12</f>
        <v>1217.0999999999999</v>
      </c>
      <c r="F8" s="71">
        <f>[2]Prices!F12</f>
        <v>180.05</v>
      </c>
      <c r="G8" s="71">
        <f>[2]Prices!G12</f>
        <v>-27.4</v>
      </c>
      <c r="H8" s="71">
        <f>[2]Prices!H12</f>
        <v>260</v>
      </c>
      <c r="I8" s="71">
        <f>[2]Prices!J12</f>
        <v>820</v>
      </c>
      <c r="J8" s="71">
        <f>[2]Prices!K12</f>
        <v>220</v>
      </c>
      <c r="K8" s="71">
        <f>[2]Prices!L12</f>
        <v>-169.14</v>
      </c>
    </row>
    <row r="9" spans="1:11" x14ac:dyDescent="0.25">
      <c r="A9" s="70">
        <v>45575</v>
      </c>
      <c r="B9" s="71">
        <f>[2]Prices!B13</f>
        <v>78.680000000000007</v>
      </c>
      <c r="C9" s="71">
        <f>[2]Prices!C13</f>
        <v>68.180000000000007</v>
      </c>
      <c r="D9" s="71">
        <f>[2]Prices!D13</f>
        <v>125.95</v>
      </c>
      <c r="E9" s="71">
        <f>[2]Prices!E13</f>
        <v>1570.15</v>
      </c>
      <c r="F9" s="71">
        <f>[2]Prices!F13</f>
        <v>179.07</v>
      </c>
      <c r="G9" s="71">
        <f>[2]Prices!G13</f>
        <v>-17.440000000000001</v>
      </c>
      <c r="H9" s="71">
        <f>[2]Prices!H13</f>
        <v>250</v>
      </c>
      <c r="I9" s="71">
        <f>[2]Prices!J13</f>
        <v>855.96</v>
      </c>
      <c r="J9" s="71">
        <f>[2]Prices!K13</f>
        <v>221.67</v>
      </c>
      <c r="K9" s="71">
        <f>[2]Prices!L13</f>
        <v>-169.14</v>
      </c>
    </row>
    <row r="10" spans="1:11" x14ac:dyDescent="0.25">
      <c r="A10" s="70">
        <v>45606</v>
      </c>
      <c r="B10" s="71">
        <f>[2]Prices!B14</f>
        <v>59.78</v>
      </c>
      <c r="C10" s="71">
        <f>[2]Prices!C14</f>
        <v>59.92</v>
      </c>
      <c r="D10" s="71">
        <f>[2]Prices!D14</f>
        <v>129.34</v>
      </c>
      <c r="E10" s="71">
        <f>[2]Prices!E14</f>
        <v>1613.32</v>
      </c>
      <c r="F10" s="71">
        <f>[2]Prices!F14</f>
        <v>179.11</v>
      </c>
      <c r="G10" s="71">
        <f>[2]Prices!G14</f>
        <v>-15.07</v>
      </c>
      <c r="H10" s="71">
        <f>[2]Prices!H14</f>
        <v>240</v>
      </c>
      <c r="I10" s="71">
        <f>[2]Prices!J14</f>
        <v>1000</v>
      </c>
      <c r="J10" s="71">
        <f>[2]Prices!K14</f>
        <v>220</v>
      </c>
      <c r="K10" s="71">
        <f>[2]Prices!L14</f>
        <v>-169.14</v>
      </c>
    </row>
    <row r="11" spans="1:11" x14ac:dyDescent="0.25">
      <c r="A11" s="70">
        <v>45636</v>
      </c>
      <c r="B11" s="71">
        <f>[2]Prices!B15</f>
        <v>59.54</v>
      </c>
      <c r="C11" s="71">
        <f>[2]Prices!C15</f>
        <v>50.77</v>
      </c>
      <c r="D11" s="71">
        <f>[2]Prices!D15</f>
        <v>109.86</v>
      </c>
      <c r="E11" s="71">
        <f>[2]Prices!E15</f>
        <v>1593.44</v>
      </c>
      <c r="F11" s="71">
        <f>[2]Prices!F15</f>
        <v>168.19</v>
      </c>
      <c r="G11" s="71">
        <f>[2]Prices!G15</f>
        <v>-22.74</v>
      </c>
      <c r="H11" s="71">
        <f>[2]Prices!H15</f>
        <v>210</v>
      </c>
      <c r="I11" s="71">
        <f>[2]Prices!J15</f>
        <v>509.06</v>
      </c>
      <c r="J11" s="71">
        <f>[2]Prices!K15</f>
        <v>200</v>
      </c>
      <c r="K11" s="71">
        <f>[2]Prices!L15</f>
        <v>-169.14</v>
      </c>
    </row>
    <row r="12" spans="1:11" x14ac:dyDescent="0.25">
      <c r="A12" s="70">
        <v>45667</v>
      </c>
      <c r="B12" s="72">
        <f>[3]Prices!B4</f>
        <v>57.19</v>
      </c>
      <c r="C12" s="72">
        <f>[3]Prices!C4</f>
        <v>54.82</v>
      </c>
      <c r="D12" s="72">
        <f>[3]Prices!D4</f>
        <v>103.78</v>
      </c>
      <c r="E12" s="72">
        <f>[3]Prices!E4</f>
        <v>1949.51</v>
      </c>
      <c r="F12" s="72">
        <f>[3]Prices!F4</f>
        <v>177.95</v>
      </c>
      <c r="G12" s="72">
        <f>[3]Prices!G4</f>
        <v>-22.83</v>
      </c>
      <c r="H12" s="72">
        <f>[3]Prices!H4</f>
        <v>190</v>
      </c>
      <c r="I12" s="72">
        <f>[3]Prices!J4</f>
        <v>1400</v>
      </c>
      <c r="J12" s="72">
        <f>[3]Prices!K4</f>
        <v>160</v>
      </c>
      <c r="K12" s="72">
        <f>[3]Prices!L4</f>
        <v>-169.14</v>
      </c>
    </row>
    <row r="13" spans="1:11" x14ac:dyDescent="0.25">
      <c r="A13" s="70">
        <v>45698</v>
      </c>
      <c r="B13" s="72">
        <f>[4]Prices!B5</f>
        <v>64.459999999999994</v>
      </c>
      <c r="C13" s="72">
        <f>[4]Prices!C5</f>
        <v>51.6</v>
      </c>
      <c r="D13" s="72">
        <f>[4]Prices!D5</f>
        <v>122.8</v>
      </c>
      <c r="E13" s="72">
        <f>[4]Prices!E5</f>
        <v>2250.63</v>
      </c>
      <c r="F13" s="72">
        <f>[4]Prices!F5</f>
        <v>188.1</v>
      </c>
      <c r="G13" s="72">
        <f>[4]Prices!G5</f>
        <v>-21.16</v>
      </c>
      <c r="H13" s="72">
        <f>[4]Prices!H5</f>
        <v>190</v>
      </c>
      <c r="I13" s="72">
        <f>[4]Prices!J5</f>
        <v>1740</v>
      </c>
      <c r="J13" s="72">
        <f>[4]Prices!K5</f>
        <v>180</v>
      </c>
      <c r="K13" s="72">
        <f>[4]Prices!L5</f>
        <v>-169.14</v>
      </c>
    </row>
    <row r="14" spans="1:11" x14ac:dyDescent="0.25">
      <c r="A14" s="70">
        <v>45726</v>
      </c>
      <c r="B14" s="72">
        <f>[5]Prices!B6</f>
        <v>63.62</v>
      </c>
      <c r="C14" s="72">
        <f>[5]Prices!C6</f>
        <v>62.98</v>
      </c>
      <c r="D14" s="72">
        <f>[5]Prices!D6</f>
        <v>136.82</v>
      </c>
      <c r="E14" s="72">
        <f>[5]Prices!E6</f>
        <v>2240.4499999999998</v>
      </c>
      <c r="F14" s="72">
        <f>[5]Prices!F6</f>
        <v>198.24</v>
      </c>
      <c r="G14" s="72">
        <f>[5]Prices!G6</f>
        <v>-12.91</v>
      </c>
      <c r="H14" s="72">
        <f>[5]Prices!H6</f>
        <v>201.79</v>
      </c>
      <c r="I14" s="72">
        <f>[5]Prices!J6</f>
        <v>1940</v>
      </c>
      <c r="J14" s="72">
        <f>[5]Prices!K6</f>
        <v>220</v>
      </c>
      <c r="K14" s="72">
        <f>[5]Prices!L6</f>
        <v>-169.14</v>
      </c>
    </row>
    <row r="15" spans="1:11" x14ac:dyDescent="0.25">
      <c r="A15" s="70">
        <v>45757</v>
      </c>
      <c r="B15" s="72">
        <f>[6]Prices!B7</f>
        <v>73.400000000000006</v>
      </c>
      <c r="C15" s="72">
        <f>[6]Prices!C7</f>
        <v>55.46</v>
      </c>
      <c r="D15" s="72">
        <f>[6]Prices!D7</f>
        <v>120.51</v>
      </c>
      <c r="E15" s="72">
        <f>[6]Prices!E7</f>
        <v>1929.69</v>
      </c>
      <c r="F15" s="72">
        <f>[6]Prices!F7</f>
        <v>191.64</v>
      </c>
      <c r="G15" s="72">
        <f>[6]Prices!G7</f>
        <v>-24.51</v>
      </c>
      <c r="H15" s="72">
        <f>[6]Prices!H7</f>
        <v>209.04</v>
      </c>
      <c r="I15" s="72">
        <f>[6]Prices!J7</f>
        <v>2026.64</v>
      </c>
      <c r="J15" s="72">
        <f>[6]Prices!K7</f>
        <v>220</v>
      </c>
      <c r="K15" s="72">
        <f>[6]Prices!L7</f>
        <v>-169.14</v>
      </c>
    </row>
    <row r="16" spans="1:11" x14ac:dyDescent="0.25">
      <c r="A16" s="70">
        <v>45787</v>
      </c>
      <c r="B16" s="73">
        <f>[7]Prices!B8</f>
        <v>65.33</v>
      </c>
      <c r="C16" s="73">
        <f>[7]Prices!C8</f>
        <v>53.52</v>
      </c>
      <c r="D16" s="73">
        <f>[7]Prices!D8</f>
        <v>126.24</v>
      </c>
      <c r="E16" s="73">
        <f>[7]Prices!E8</f>
        <v>1960.9</v>
      </c>
      <c r="F16" s="73">
        <f>[7]Prices!F8</f>
        <v>175.48</v>
      </c>
      <c r="G16" s="73">
        <f>[7]Prices!G8</f>
        <v>-20.61</v>
      </c>
      <c r="H16" s="73">
        <f>[7]Prices!H8</f>
        <v>210</v>
      </c>
      <c r="I16" s="73">
        <f>[7]Prices!J8</f>
        <v>1938.13</v>
      </c>
      <c r="J16" s="73">
        <f>[7]Prices!K8</f>
        <v>132.77000000000001</v>
      </c>
      <c r="K16" s="73">
        <f>[7]Prices!L8</f>
        <v>-169.14</v>
      </c>
    </row>
    <row r="17" spans="1:11" x14ac:dyDescent="0.25">
      <c r="A17" s="70">
        <v>45818</v>
      </c>
      <c r="B17" s="73">
        <f>[8]Prices!B9</f>
        <v>60.36</v>
      </c>
      <c r="C17" s="73">
        <f>[8]Prices!C9</f>
        <v>57.86</v>
      </c>
      <c r="D17" s="73">
        <f>[8]Prices!D9</f>
        <v>104.81</v>
      </c>
      <c r="E17" s="73">
        <f>[8]Prices!E9</f>
        <v>2284.73</v>
      </c>
      <c r="F17" s="73">
        <f>[8]Prices!F9</f>
        <v>179.34</v>
      </c>
      <c r="G17" s="73">
        <f>[8]Prices!G9</f>
        <v>-12.11</v>
      </c>
      <c r="H17" s="73">
        <f>[8]Prices!H9</f>
        <v>210</v>
      </c>
      <c r="I17" s="73">
        <f>[8]Prices!J9</f>
        <v>1340</v>
      </c>
      <c r="J17" s="73">
        <f>[8]Prices!K9</f>
        <v>100</v>
      </c>
      <c r="K17" s="73">
        <f>[8]Prices!L9</f>
        <v>-169.14</v>
      </c>
    </row>
    <row r="18" spans="1:11" x14ac:dyDescent="0.25">
      <c r="A18" s="70">
        <v>45848</v>
      </c>
      <c r="B18" s="73">
        <f>[9]Prices!B10</f>
        <v>78.09</v>
      </c>
      <c r="C18" s="73">
        <f>[9]Prices!C10</f>
        <v>63.22</v>
      </c>
      <c r="D18" s="73">
        <f>[9]Prices!D10</f>
        <v>117.89</v>
      </c>
      <c r="E18" s="73">
        <f>[9]Prices!E10</f>
        <v>1967.9</v>
      </c>
      <c r="F18" s="73">
        <f>[9]Prices!F10</f>
        <v>178.29</v>
      </c>
      <c r="G18" s="73">
        <f>[9]Prices!G10</f>
        <v>-10.58</v>
      </c>
      <c r="H18" s="73">
        <f>[9]Prices!H10</f>
        <v>210</v>
      </c>
      <c r="I18" s="73">
        <f>[9]Prices!J10</f>
        <v>1180.3499999999999</v>
      </c>
      <c r="J18" s="73">
        <f>[9]Prices!K10</f>
        <v>90</v>
      </c>
      <c r="K18" s="73">
        <f>[9]Prices!L10</f>
        <v>-169.14</v>
      </c>
    </row>
    <row r="19" spans="1:11" x14ac:dyDescent="0.25">
      <c r="A19" s="70">
        <v>45879</v>
      </c>
      <c r="B19" s="72">
        <f>[10]Prices!B11</f>
        <v>59.39</v>
      </c>
      <c r="C19" s="72">
        <f>[10]Prices!C11</f>
        <v>62.07</v>
      </c>
      <c r="D19" s="72">
        <f>[10]Prices!D11</f>
        <v>118.88</v>
      </c>
      <c r="E19" s="72">
        <f>[10]Prices!E11</f>
        <v>1954.12</v>
      </c>
      <c r="F19" s="72">
        <f>[10]Prices!F11</f>
        <v>177.05</v>
      </c>
      <c r="G19" s="72">
        <f>[10]Prices!G11</f>
        <v>-8.56</v>
      </c>
      <c r="H19" s="72">
        <f>[10]Prices!H11</f>
        <v>24.89</v>
      </c>
      <c r="I19" s="72">
        <f>[10]Prices!J11</f>
        <v>880</v>
      </c>
      <c r="J19" s="72">
        <f>[10]Prices!K11</f>
        <v>80</v>
      </c>
      <c r="K19" s="72">
        <f>[10]Prices!L11</f>
        <v>-169.14</v>
      </c>
    </row>
    <row r="20" spans="1:11" ht="16.5" x14ac:dyDescent="0.35">
      <c r="A20" s="74" t="s">
        <v>19</v>
      </c>
      <c r="B20" s="75">
        <f>+'[11]Commodity Revenue'!AA20</f>
        <v>28.078553697755954</v>
      </c>
      <c r="C20" s="75">
        <f>+'[11]Commodity Revenue'!AB20</f>
        <v>50.07002628060097</v>
      </c>
      <c r="D20" s="75">
        <f>+'[11]Commodity Revenue'!AC20</f>
        <v>129.00266096510651</v>
      </c>
      <c r="E20" s="75">
        <f>+'[11]Commodity Revenue'!AD20</f>
        <v>1240.3107223300706</v>
      </c>
      <c r="F20" s="75">
        <f>+'[11]Commodity Revenue'!AE20</f>
        <v>193.17427356336626</v>
      </c>
      <c r="G20" s="75">
        <f>+'[11]Commodity Revenue'!AF20</f>
        <v>-35.489653400134877</v>
      </c>
      <c r="H20" s="75">
        <f>+'[11]Commodity Revenue'!AG20</f>
        <v>120.2941311462241</v>
      </c>
      <c r="I20" s="75">
        <f>+'[11]Commodity Revenue'!AH20</f>
        <v>659.97138092865555</v>
      </c>
      <c r="J20" s="75">
        <f>+'[11]Commodity Revenue'!AI20</f>
        <v>183.76517314507802</v>
      </c>
      <c r="K20" s="75">
        <f>+'[11]Commodity Revenue'!AJ20</f>
        <v>-148.53775845325015</v>
      </c>
    </row>
  </sheetData>
  <mergeCells count="1">
    <mergeCell ref="B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49CE6-312A-4F28-BD95-6BC24053A4DC}">
  <dimension ref="A1:I33"/>
  <sheetViews>
    <sheetView workbookViewId="0">
      <selection activeCell="D18" sqref="D18"/>
    </sheetView>
    <sheetView tabSelected="1" workbookViewId="1">
      <selection activeCell="C18" sqref="C18:D18"/>
    </sheetView>
  </sheetViews>
  <sheetFormatPr defaultRowHeight="15" x14ac:dyDescent="0.25"/>
  <cols>
    <col min="3" max="3" width="9.5703125" bestFit="1" customWidth="1"/>
    <col min="4" max="4" width="9" bestFit="1" customWidth="1"/>
    <col min="8" max="9" width="10.5703125" bestFit="1" customWidth="1"/>
  </cols>
  <sheetData>
    <row r="1" spans="1:9" ht="23.25" x14ac:dyDescent="0.35">
      <c r="A1" s="31" t="s">
        <v>12</v>
      </c>
    </row>
    <row r="2" spans="1:9" ht="21" x14ac:dyDescent="0.35">
      <c r="A2" s="32" t="s">
        <v>40</v>
      </c>
    </row>
    <row r="6" spans="1:9" x14ac:dyDescent="0.25">
      <c r="C6" s="37" t="s">
        <v>22</v>
      </c>
      <c r="D6" s="37" t="s">
        <v>21</v>
      </c>
      <c r="E6" s="37" t="s">
        <v>2</v>
      </c>
      <c r="F6" s="37" t="s">
        <v>41</v>
      </c>
    </row>
    <row r="7" spans="1:9" x14ac:dyDescent="0.25">
      <c r="A7" t="s">
        <v>38</v>
      </c>
      <c r="C7" s="58"/>
      <c r="D7" s="58"/>
      <c r="E7" s="59">
        <f>'[12]WEN CC November 23'!$I$3</f>
        <v>21186</v>
      </c>
      <c r="F7" s="57">
        <f>+C7/E7</f>
        <v>0</v>
      </c>
      <c r="H7" s="38"/>
      <c r="I7" s="41"/>
    </row>
    <row r="8" spans="1:9" x14ac:dyDescent="0.25">
      <c r="A8" t="s">
        <v>36</v>
      </c>
      <c r="C8" s="58">
        <v>1350</v>
      </c>
      <c r="D8" s="58">
        <f>5167-C8</f>
        <v>3817</v>
      </c>
      <c r="E8" s="59">
        <f>'[13]WEN CC December 23'!$J$3</f>
        <v>21235</v>
      </c>
      <c r="F8" s="57">
        <f t="shared" ref="F8:F18" si="0">+C8/E8</f>
        <v>6.3574287732517068E-2</v>
      </c>
      <c r="H8" s="38"/>
      <c r="I8" s="41"/>
    </row>
    <row r="9" spans="1:9" x14ac:dyDescent="0.25">
      <c r="A9" t="s">
        <v>39</v>
      </c>
      <c r="C9" s="58">
        <v>1454</v>
      </c>
      <c r="D9" s="58">
        <v>3820</v>
      </c>
      <c r="E9" s="59">
        <v>21037</v>
      </c>
      <c r="F9" s="57">
        <f t="shared" si="0"/>
        <v>6.9116318866758564E-2</v>
      </c>
      <c r="H9" s="38"/>
      <c r="I9" s="41"/>
    </row>
    <row r="10" spans="1:9" x14ac:dyDescent="0.25">
      <c r="A10" t="s">
        <v>27</v>
      </c>
      <c r="C10" s="58">
        <v>1431</v>
      </c>
      <c r="D10" s="58">
        <v>3791</v>
      </c>
      <c r="E10" s="59">
        <v>20979</v>
      </c>
      <c r="F10" s="57">
        <f t="shared" si="0"/>
        <v>6.8211068211068204E-2</v>
      </c>
      <c r="H10" s="38"/>
      <c r="I10" s="41"/>
    </row>
    <row r="11" spans="1:9" x14ac:dyDescent="0.25">
      <c r="A11" t="s">
        <v>28</v>
      </c>
      <c r="C11" s="58">
        <v>1417</v>
      </c>
      <c r="D11" s="58">
        <v>3807</v>
      </c>
      <c r="E11" s="59">
        <v>21076</v>
      </c>
      <c r="F11" s="57">
        <f t="shared" si="0"/>
        <v>6.7232871512620987E-2</v>
      </c>
      <c r="H11" s="38"/>
      <c r="I11" s="41"/>
    </row>
    <row r="12" spans="1:9" x14ac:dyDescent="0.25">
      <c r="A12" t="s">
        <v>29</v>
      </c>
      <c r="C12" s="58">
        <v>1396</v>
      </c>
      <c r="D12" s="58">
        <f>3828+50</f>
        <v>3878</v>
      </c>
      <c r="E12" s="59">
        <v>21172</v>
      </c>
      <c r="F12" s="57">
        <f t="shared" si="0"/>
        <v>6.5936142074437931E-2</v>
      </c>
      <c r="H12" s="38"/>
      <c r="I12" s="41"/>
    </row>
    <row r="13" spans="1:9" x14ac:dyDescent="0.25">
      <c r="A13" t="s">
        <v>30</v>
      </c>
      <c r="C13" s="58">
        <v>1401</v>
      </c>
      <c r="D13" s="58">
        <f>3847+67</f>
        <v>3914</v>
      </c>
      <c r="E13" s="59">
        <v>21192</v>
      </c>
      <c r="F13" s="57">
        <f t="shared" si="0"/>
        <v>6.6109852774631939E-2</v>
      </c>
      <c r="H13" s="38"/>
      <c r="I13" s="41"/>
    </row>
    <row r="14" spans="1:9" x14ac:dyDescent="0.25">
      <c r="A14" t="s">
        <v>31</v>
      </c>
      <c r="C14" s="58">
        <v>1419</v>
      </c>
      <c r="D14" s="58">
        <f>3865+73</f>
        <v>3938</v>
      </c>
      <c r="E14" s="59">
        <v>21299</v>
      </c>
      <c r="F14" s="57">
        <f t="shared" si="0"/>
        <v>6.6622846143011408E-2</v>
      </c>
      <c r="H14" s="38"/>
      <c r="I14" s="41"/>
    </row>
    <row r="15" spans="1:9" x14ac:dyDescent="0.25">
      <c r="A15" t="s">
        <v>32</v>
      </c>
      <c r="C15" s="58">
        <f>1427</f>
        <v>1427</v>
      </c>
      <c r="D15" s="58">
        <f>3891+73</f>
        <v>3964</v>
      </c>
      <c r="E15" s="59">
        <v>21365</v>
      </c>
      <c r="F15" s="57">
        <f t="shared" si="0"/>
        <v>6.6791481394804592E-2</v>
      </c>
      <c r="H15" s="38"/>
      <c r="I15" s="41"/>
    </row>
    <row r="16" spans="1:9" x14ac:dyDescent="0.25">
      <c r="A16" t="s">
        <v>33</v>
      </c>
      <c r="C16" s="58">
        <v>1452</v>
      </c>
      <c r="D16" s="58">
        <f>5396-C16</f>
        <v>3944</v>
      </c>
      <c r="E16" s="59">
        <v>21274</v>
      </c>
      <c r="F16" s="57">
        <f t="shared" si="0"/>
        <v>6.8252326783867626E-2</v>
      </c>
      <c r="H16" s="38"/>
      <c r="I16" s="41"/>
    </row>
    <row r="17" spans="1:9" x14ac:dyDescent="0.25">
      <c r="A17" t="s">
        <v>34</v>
      </c>
      <c r="C17" s="58">
        <f>1484</f>
        <v>1484</v>
      </c>
      <c r="D17" s="58">
        <f>5435-C17</f>
        <v>3951</v>
      </c>
      <c r="E17" s="59">
        <v>21309</v>
      </c>
      <c r="F17" s="57">
        <f t="shared" si="0"/>
        <v>6.9641935332488622E-2</v>
      </c>
      <c r="H17" s="38"/>
      <c r="I17" s="41"/>
    </row>
    <row r="18" spans="1:9" ht="17.25" x14ac:dyDescent="0.4">
      <c r="A18" t="s">
        <v>35</v>
      </c>
      <c r="C18" s="58">
        <f>C17</f>
        <v>1484</v>
      </c>
      <c r="D18" s="58">
        <f>D17</f>
        <v>3951</v>
      </c>
      <c r="E18" s="60">
        <v>21263</v>
      </c>
      <c r="F18" s="61">
        <f t="shared" si="0"/>
        <v>6.9792597469783196E-2</v>
      </c>
      <c r="H18" s="38"/>
      <c r="I18" s="41"/>
    </row>
    <row r="19" spans="1:9" ht="17.25" x14ac:dyDescent="0.4">
      <c r="C19" s="62">
        <f>SUM(C7:C18)</f>
        <v>15715</v>
      </c>
      <c r="D19" s="62">
        <f t="shared" ref="D19:E19" si="1">SUM(D7:D18)</f>
        <v>42775</v>
      </c>
      <c r="E19" s="62">
        <f t="shared" si="1"/>
        <v>254387</v>
      </c>
      <c r="F19" s="63">
        <f>+C19/E19</f>
        <v>6.177595553231887E-2</v>
      </c>
      <c r="I19" s="41"/>
    </row>
    <row r="20" spans="1:9" x14ac:dyDescent="0.25">
      <c r="C20" s="59"/>
      <c r="D20" s="59"/>
      <c r="E20" s="59"/>
    </row>
    <row r="21" spans="1:9" x14ac:dyDescent="0.25">
      <c r="C21" s="59"/>
      <c r="D21" s="59"/>
      <c r="E21" s="59"/>
    </row>
    <row r="22" spans="1:9" x14ac:dyDescent="0.25">
      <c r="C22" s="59"/>
      <c r="D22" s="59"/>
      <c r="E22" s="59"/>
    </row>
    <row r="23" spans="1:9" x14ac:dyDescent="0.25">
      <c r="C23" s="59"/>
      <c r="D23" s="59"/>
      <c r="E23" s="59"/>
    </row>
    <row r="24" spans="1:9" x14ac:dyDescent="0.25">
      <c r="C24" s="59"/>
      <c r="D24" s="59"/>
      <c r="E24" s="59"/>
    </row>
    <row r="25" spans="1:9" x14ac:dyDescent="0.25">
      <c r="C25" s="59"/>
      <c r="D25" s="59"/>
      <c r="E25" s="59"/>
    </row>
    <row r="26" spans="1:9" x14ac:dyDescent="0.25">
      <c r="C26" s="59"/>
      <c r="D26" s="59"/>
      <c r="E26" s="59"/>
    </row>
    <row r="27" spans="1:9" x14ac:dyDescent="0.25">
      <c r="C27" s="59"/>
      <c r="D27" s="59"/>
      <c r="E27" s="59"/>
    </row>
    <row r="28" spans="1:9" x14ac:dyDescent="0.25">
      <c r="C28" s="59"/>
      <c r="D28" s="59"/>
      <c r="E28" s="59"/>
    </row>
    <row r="29" spans="1:9" x14ac:dyDescent="0.25">
      <c r="C29" s="59"/>
      <c r="D29" s="59"/>
      <c r="E29" s="59"/>
    </row>
    <row r="30" spans="1:9" x14ac:dyDescent="0.25">
      <c r="C30" s="59"/>
      <c r="D30" s="59"/>
      <c r="E30" s="59"/>
    </row>
    <row r="31" spans="1:9" x14ac:dyDescent="0.25">
      <c r="C31" s="59"/>
      <c r="D31" s="59"/>
      <c r="E31" s="59"/>
    </row>
    <row r="32" spans="1:9" x14ac:dyDescent="0.25">
      <c r="C32" s="59"/>
      <c r="D32" s="59"/>
      <c r="E32" s="59"/>
    </row>
    <row r="33" spans="3:5" x14ac:dyDescent="0.25">
      <c r="C33" s="59"/>
      <c r="D33" s="59"/>
      <c r="E33" s="5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0A2EC-82FD-4136-A872-3604644FAD29}">
  <dimension ref="A1:AE44"/>
  <sheetViews>
    <sheetView topLeftCell="A3" workbookViewId="0">
      <selection activeCell="A13" sqref="A13"/>
    </sheetView>
    <sheetView workbookViewId="1"/>
  </sheetViews>
  <sheetFormatPr defaultRowHeight="15" x14ac:dyDescent="0.25"/>
  <cols>
    <col min="1" max="1" width="12.7109375" customWidth="1"/>
    <col min="2" max="2" width="12.140625" bestFit="1" customWidth="1"/>
    <col min="3" max="3" width="8.28515625" bestFit="1" customWidth="1"/>
    <col min="4" max="4" width="10.42578125" bestFit="1" customWidth="1"/>
    <col min="5" max="5" width="8.28515625" bestFit="1" customWidth="1"/>
    <col min="6" max="6" width="10.140625" bestFit="1" customWidth="1"/>
    <col min="7" max="7" width="9.140625" bestFit="1" customWidth="1"/>
    <col min="8" max="8" width="10.42578125" bestFit="1" customWidth="1"/>
    <col min="9" max="9" width="8.28515625" bestFit="1" customWidth="1"/>
    <col min="10" max="10" width="10.42578125" bestFit="1" customWidth="1"/>
    <col min="11" max="11" width="8.28515625" bestFit="1" customWidth="1"/>
    <col min="12" max="12" width="10.42578125" bestFit="1" customWidth="1"/>
    <col min="13" max="13" width="8.28515625" bestFit="1" customWidth="1"/>
    <col min="14" max="14" width="10.140625" bestFit="1" customWidth="1"/>
    <col min="15" max="15" width="8.28515625" bestFit="1" customWidth="1"/>
    <col min="16" max="16" width="11" bestFit="1" customWidth="1"/>
    <col min="17" max="17" width="9.140625" bestFit="1" customWidth="1"/>
    <col min="18" max="18" width="10.7109375" bestFit="1" customWidth="1"/>
    <col min="19" max="19" width="8.28515625" bestFit="1" customWidth="1"/>
    <col min="20" max="20" width="10.42578125" bestFit="1" customWidth="1"/>
    <col min="21" max="21" width="8.28515625" bestFit="1" customWidth="1"/>
    <col min="22" max="22" width="10.42578125" bestFit="1" customWidth="1"/>
    <col min="23" max="23" width="8.28515625" bestFit="1" customWidth="1"/>
    <col min="24" max="24" width="10.42578125" bestFit="1" customWidth="1"/>
    <col min="25" max="25" width="8.28515625" bestFit="1" customWidth="1"/>
    <col min="26" max="26" width="11.42578125" bestFit="1" customWidth="1"/>
    <col min="27" max="27" width="7.28515625" bestFit="1" customWidth="1"/>
    <col min="28" max="28" width="9.28515625" bestFit="1" customWidth="1"/>
    <col min="29" max="29" width="9.42578125" bestFit="1" customWidth="1"/>
    <col min="30" max="30" width="9.28515625" bestFit="1" customWidth="1"/>
    <col min="31" max="31" width="7.28515625" bestFit="1" customWidth="1"/>
    <col min="32" max="32" width="9.5703125" bestFit="1" customWidth="1"/>
    <col min="33" max="33" width="7.28515625" bestFit="1" customWidth="1"/>
    <col min="34" max="34" width="9.5703125" bestFit="1" customWidth="1"/>
    <col min="35" max="35" width="7.28515625" bestFit="1" customWidth="1"/>
    <col min="36" max="36" width="11.28515625" bestFit="1" customWidth="1"/>
    <col min="37" max="37" width="7.28515625" bestFit="1" customWidth="1"/>
  </cols>
  <sheetData>
    <row r="1" spans="1:31" ht="21" x14ac:dyDescent="0.35">
      <c r="A1" s="32" t="s">
        <v>42</v>
      </c>
    </row>
    <row r="2" spans="1:31" x14ac:dyDescent="0.25">
      <c r="A2" s="34" t="s">
        <v>57</v>
      </c>
    </row>
    <row r="4" spans="1:31" x14ac:dyDescent="0.25">
      <c r="Z4" s="41"/>
    </row>
    <row r="5" spans="1:31" x14ac:dyDescent="0.25">
      <c r="A5" s="76" t="s">
        <v>58</v>
      </c>
      <c r="L5" s="77"/>
      <c r="M5" s="77"/>
      <c r="AC5" s="35" t="s">
        <v>59</v>
      </c>
    </row>
    <row r="6" spans="1:31" x14ac:dyDescent="0.25">
      <c r="A6" s="78"/>
      <c r="B6" s="79">
        <v>45540</v>
      </c>
      <c r="C6" s="80"/>
      <c r="D6" s="79">
        <v>45570</v>
      </c>
      <c r="E6" s="80"/>
      <c r="F6" s="79">
        <v>45601</v>
      </c>
      <c r="G6" s="80"/>
      <c r="H6" s="79">
        <v>45631</v>
      </c>
      <c r="I6" s="80"/>
      <c r="J6" s="79">
        <v>45662</v>
      </c>
      <c r="K6" s="80"/>
      <c r="L6" s="79">
        <v>45693</v>
      </c>
      <c r="M6" s="80"/>
      <c r="N6" s="79">
        <v>45727</v>
      </c>
      <c r="O6" s="80"/>
      <c r="P6" s="79">
        <v>45758</v>
      </c>
      <c r="Q6" s="80"/>
      <c r="R6" s="79">
        <v>45782</v>
      </c>
      <c r="S6" s="80"/>
      <c r="T6" s="79">
        <v>45813</v>
      </c>
      <c r="U6" s="80"/>
      <c r="V6" s="79">
        <v>45843</v>
      </c>
      <c r="W6" s="80"/>
      <c r="X6" s="79">
        <v>45874</v>
      </c>
      <c r="Y6" s="80"/>
      <c r="Z6" s="79" t="s">
        <v>60</v>
      </c>
      <c r="AA6" s="80"/>
      <c r="AC6" s="35" t="s">
        <v>61</v>
      </c>
    </row>
    <row r="7" spans="1:31" x14ac:dyDescent="0.25">
      <c r="A7" s="81"/>
      <c r="B7" s="82" t="s">
        <v>62</v>
      </c>
      <c r="C7" s="83"/>
      <c r="D7" s="82" t="s">
        <v>62</v>
      </c>
      <c r="E7" s="83"/>
      <c r="F7" s="82" t="s">
        <v>62</v>
      </c>
      <c r="G7" s="83"/>
      <c r="H7" s="82" t="s">
        <v>62</v>
      </c>
      <c r="I7" s="83"/>
      <c r="J7" s="82" t="s">
        <v>62</v>
      </c>
      <c r="K7" s="83"/>
      <c r="L7" s="82" t="s">
        <v>62</v>
      </c>
      <c r="M7" s="83"/>
      <c r="N7" s="82" t="s">
        <v>62</v>
      </c>
      <c r="O7" s="83"/>
      <c r="P7" s="82" t="s">
        <v>62</v>
      </c>
      <c r="Q7" s="83"/>
      <c r="R7" s="82" t="s">
        <v>62</v>
      </c>
      <c r="S7" s="83"/>
      <c r="T7" s="82" t="s">
        <v>62</v>
      </c>
      <c r="U7" s="83"/>
      <c r="V7" s="82" t="s">
        <v>62</v>
      </c>
      <c r="W7" s="83"/>
      <c r="X7" s="82" t="s">
        <v>62</v>
      </c>
      <c r="Y7" s="83"/>
      <c r="Z7" s="82" t="s">
        <v>62</v>
      </c>
      <c r="AA7" s="83"/>
      <c r="AC7" s="37" t="s">
        <v>63</v>
      </c>
    </row>
    <row r="8" spans="1:31" s="91" customFormat="1" x14ac:dyDescent="0.25">
      <c r="A8" s="84" t="s">
        <v>64</v>
      </c>
      <c r="B8" s="87">
        <f>[2]Composition!R6</f>
        <v>562.23</v>
      </c>
      <c r="C8" s="86">
        <f>+B8/B$19</f>
        <v>6.3645496970434506E-2</v>
      </c>
      <c r="D8" s="87">
        <f>[2]Composition!T6</f>
        <v>1510.4</v>
      </c>
      <c r="E8" s="86">
        <f>+D8/D$19</f>
        <v>0.15919668073234272</v>
      </c>
      <c r="F8" s="87">
        <f>[2]Composition!V6</f>
        <v>1116.3430000000001</v>
      </c>
      <c r="G8" s="86">
        <f>+F8/F$19</f>
        <v>0.1435661642130204</v>
      </c>
      <c r="H8" s="87">
        <f>[2]Composition!X6</f>
        <v>778.2115</v>
      </c>
      <c r="I8" s="86">
        <f>+H8/H$19</f>
        <v>7.908004500646923E-2</v>
      </c>
      <c r="J8" s="85">
        <f>[3]Composition!B6</f>
        <v>1112.5955000000001</v>
      </c>
      <c r="K8" s="86">
        <f>+J8/J$19</f>
        <v>0.10454314924121109</v>
      </c>
      <c r="L8" s="85">
        <f>[4]Composition!D6</f>
        <v>987.08</v>
      </c>
      <c r="M8" s="86">
        <f>L8/L$19</f>
        <v>0.12379879748057884</v>
      </c>
      <c r="N8" s="85">
        <f>[5]Composition!F6</f>
        <v>1477.7849999999999</v>
      </c>
      <c r="O8" s="88">
        <f>N8/N$19</f>
        <v>0.15898401962006223</v>
      </c>
      <c r="P8" s="85">
        <f>[6]Composition!H6</f>
        <v>2027.87</v>
      </c>
      <c r="Q8" s="88">
        <f>P8/P$19</f>
        <v>0.22378309040423247</v>
      </c>
      <c r="R8" s="85">
        <f>[7]Composition!J6</f>
        <v>1828.2249999999999</v>
      </c>
      <c r="S8" s="86">
        <f t="shared" ref="S8:S18" si="0">+R8/R$19</f>
        <v>0.19600362626408388</v>
      </c>
      <c r="T8" s="85">
        <f>[8]Composition!L6</f>
        <v>943.59</v>
      </c>
      <c r="U8" s="86">
        <f t="shared" ref="U8:U18" si="1">+T8/T$19</f>
        <v>9.8745988009288674E-2</v>
      </c>
      <c r="V8" s="85">
        <f>[9]Composition!N6</f>
        <v>1159.27</v>
      </c>
      <c r="W8" s="86">
        <f>+V8/V$19</f>
        <v>0.1146991229490063</v>
      </c>
      <c r="X8" s="85">
        <f>[10]Composition!P6</f>
        <v>1056.885</v>
      </c>
      <c r="Y8" s="86">
        <f>+X8/X$19</f>
        <v>0.11934236444190702</v>
      </c>
      <c r="Z8" s="89">
        <f>B8+D8+F8+H8+J8+L8+N8+P8+R8+T8+V8+X8</f>
        <v>14560.485000000001</v>
      </c>
      <c r="AA8" s="90">
        <f t="shared" ref="AA8:AA18" si="2">+Z8/$Z$19</f>
        <v>0.13146348109480874</v>
      </c>
      <c r="AC8" s="92">
        <f t="shared" ref="AC8:AC17" si="3">+Z8/($Z$19-$Z$18)</f>
        <v>0.1651042346782364</v>
      </c>
    </row>
    <row r="9" spans="1:31" s="91" customFormat="1" x14ac:dyDescent="0.25">
      <c r="A9" s="84" t="s">
        <v>65</v>
      </c>
      <c r="B9" s="87">
        <f>[2]Composition!R7</f>
        <v>2414.7949999999996</v>
      </c>
      <c r="C9" s="86">
        <f>+B9/B$19</f>
        <v>0.27335935090037949</v>
      </c>
      <c r="D9" s="87">
        <f>[2]Composition!T7</f>
        <v>1884.1969999999999</v>
      </c>
      <c r="E9" s="86">
        <f>+D9/D$19</f>
        <v>0.19859501340428887</v>
      </c>
      <c r="F9" s="87">
        <f>[2]Composition!V7</f>
        <v>2054.3964999999998</v>
      </c>
      <c r="G9" s="86">
        <f>+F9/F$19</f>
        <v>0.26420358731828331</v>
      </c>
      <c r="H9" s="87">
        <f>[2]Composition!X7</f>
        <v>3321.0820000000003</v>
      </c>
      <c r="I9" s="86">
        <f>+H9/H$19</f>
        <v>0.3374806386569395</v>
      </c>
      <c r="J9" s="85">
        <f>[3]Composition!B7</f>
        <v>3015.5794999999998</v>
      </c>
      <c r="K9" s="86">
        <f>+J9/J$19</f>
        <v>0.2833538134184766</v>
      </c>
      <c r="L9" s="85">
        <f>[4]Composition!D7</f>
        <v>1878.8400000000001</v>
      </c>
      <c r="M9" s="86">
        <f>L9/L$19</f>
        <v>0.23564263550918949</v>
      </c>
      <c r="N9" s="85">
        <f>[5]Composition!F7</f>
        <v>1545.8675000000001</v>
      </c>
      <c r="O9" s="88">
        <f>N9/N$19</f>
        <v>0.16630851507493755</v>
      </c>
      <c r="P9" s="85">
        <f>[6]Composition!H7</f>
        <v>1061.1554999999998</v>
      </c>
      <c r="Q9" s="88">
        <f>P9/P$19</f>
        <v>0.11710250518497166</v>
      </c>
      <c r="R9" s="85">
        <f>[7]Composition!J7</f>
        <v>981.62950000000001</v>
      </c>
      <c r="S9" s="86">
        <f t="shared" si="0"/>
        <v>0.10524029681674824</v>
      </c>
      <c r="T9" s="85">
        <f>[8]Composition!L7</f>
        <v>2089.1350000000002</v>
      </c>
      <c r="U9" s="86">
        <f t="shared" si="1"/>
        <v>0.21862641577357253</v>
      </c>
      <c r="V9" s="85">
        <f>[9]Composition!N7</f>
        <v>2074.2129999999997</v>
      </c>
      <c r="W9" s="86">
        <f>+V9/V$19</f>
        <v>0.20522433247597813</v>
      </c>
      <c r="X9" s="85">
        <f>[10]Composition!P7</f>
        <v>1908.7920000000004</v>
      </c>
      <c r="Y9" s="86">
        <f>+X9/X$19</f>
        <v>0.21553882447739972</v>
      </c>
      <c r="Z9" s="89">
        <f t="shared" ref="Z9:Z18" si="4">B9+D9+F9+H9+J9+L9+N9+P9+R9+T9+V9+X9</f>
        <v>24229.682499999999</v>
      </c>
      <c r="AA9" s="90">
        <f t="shared" si="2"/>
        <v>0.21876458148694689</v>
      </c>
      <c r="AC9" s="92">
        <f t="shared" si="3"/>
        <v>0.27474518779142021</v>
      </c>
      <c r="AE9" s="91">
        <f>+Z9/10</f>
        <v>2422.9682499999999</v>
      </c>
    </row>
    <row r="10" spans="1:31" s="91" customFormat="1" x14ac:dyDescent="0.25">
      <c r="A10" s="84" t="s">
        <v>50</v>
      </c>
      <c r="B10" s="87">
        <f>[2]Composition!R8</f>
        <v>1717.3360000000002</v>
      </c>
      <c r="C10" s="86">
        <f>+B10/B$19</f>
        <v>0.19440567594261801</v>
      </c>
      <c r="D10" s="87">
        <f>[2]Composition!T8</f>
        <v>1989.049</v>
      </c>
      <c r="E10" s="86">
        <f>+D10/D$19</f>
        <v>0.20964645035353913</v>
      </c>
      <c r="F10" s="87">
        <f>[2]Composition!V8</f>
        <v>1305.1540000000002</v>
      </c>
      <c r="G10" s="86">
        <f>+F10/F$19</f>
        <v>0.16784801220348985</v>
      </c>
      <c r="H10" s="87">
        <f>[2]Composition!X8</f>
        <v>1730.1455000000001</v>
      </c>
      <c r="I10" s="86">
        <f>+H10/H$19</f>
        <v>0.17581336694168645</v>
      </c>
      <c r="J10" s="85">
        <f>[3]Composition!B8</f>
        <v>1779.2934999999998</v>
      </c>
      <c r="K10" s="86">
        <f>+J10/J$19</f>
        <v>0.16718829611877525</v>
      </c>
      <c r="L10" s="85">
        <f>[4]Composition!D8</f>
        <v>1575.08</v>
      </c>
      <c r="M10" s="86">
        <f>L10/L$19</f>
        <v>0.19754529514903563</v>
      </c>
      <c r="N10" s="85">
        <f>[5]Composition!F8</f>
        <v>1996.4449999999999</v>
      </c>
      <c r="O10" s="88">
        <f>N10/N$19</f>
        <v>0.21478283447888233</v>
      </c>
      <c r="P10" s="85">
        <f>[6]Composition!H8</f>
        <v>2029.0890000000002</v>
      </c>
      <c r="Q10" s="88">
        <f>P10/P$19</f>
        <v>0.22391761164435278</v>
      </c>
      <c r="R10" s="85">
        <f>[7]Composition!J8</f>
        <v>2100.6030000000001</v>
      </c>
      <c r="S10" s="86">
        <f t="shared" si="0"/>
        <v>0.2252052156278431</v>
      </c>
      <c r="T10" s="85">
        <f>[8]Composition!L8</f>
        <v>2065.3090000000002</v>
      </c>
      <c r="U10" s="86">
        <f t="shared" si="1"/>
        <v>0.21613304268747655</v>
      </c>
      <c r="V10" s="85">
        <f>[9]Composition!N8</f>
        <v>2287.4679999999998</v>
      </c>
      <c r="W10" s="86">
        <f>+V10/V$19</f>
        <v>0.22632395677790121</v>
      </c>
      <c r="X10" s="85">
        <f>[10]Composition!P8</f>
        <v>1993.3534999999997</v>
      </c>
      <c r="Y10" s="86">
        <f>+X10/X$19</f>
        <v>0.22508742186571939</v>
      </c>
      <c r="Z10" s="89">
        <f t="shared" si="4"/>
        <v>22568.325500000003</v>
      </c>
      <c r="AA10" s="90">
        <f t="shared" si="2"/>
        <v>0.20376454717756587</v>
      </c>
      <c r="AC10" s="92">
        <f t="shared" si="3"/>
        <v>0.25590673041775924</v>
      </c>
      <c r="AE10" s="91">
        <f t="shared" ref="AE10:AE18" si="5">+Z10/10</f>
        <v>2256.8325500000001</v>
      </c>
    </row>
    <row r="11" spans="1:31" s="91" customFormat="1" x14ac:dyDescent="0.25">
      <c r="A11" s="84" t="s">
        <v>66</v>
      </c>
      <c r="B11" s="87">
        <f>[2]Composition!R9</f>
        <v>125.125</v>
      </c>
      <c r="C11" s="86">
        <f>+B11/B$19</f>
        <v>1.4164386120316626E-2</v>
      </c>
      <c r="D11" s="87">
        <f>[2]Composition!T9</f>
        <v>133.315</v>
      </c>
      <c r="E11" s="86">
        <f>+D11/D$19</f>
        <v>1.4051446962283016E-2</v>
      </c>
      <c r="F11" s="87">
        <f>[2]Composition!V9</f>
        <v>104.42099999999999</v>
      </c>
      <c r="G11" s="86">
        <f>+F11/F$19</f>
        <v>1.3428957258913974E-2</v>
      </c>
      <c r="H11" s="87">
        <f>[2]Composition!X9</f>
        <v>123.65949999999999</v>
      </c>
      <c r="I11" s="86">
        <f>+H11/H$19</f>
        <v>1.2565991154689286E-2</v>
      </c>
      <c r="J11" s="85">
        <f>[3]Composition!B9</f>
        <v>122.584</v>
      </c>
      <c r="K11" s="86">
        <f>+J11/J$19</f>
        <v>1.151839766256885E-2</v>
      </c>
      <c r="L11" s="85">
        <f>[4]Composition!D9</f>
        <v>108.37799999999999</v>
      </c>
      <c r="M11" s="86">
        <f>L11/L$19</f>
        <v>1.3592683544748319E-2</v>
      </c>
      <c r="N11" s="85">
        <f>[5]Composition!F9</f>
        <v>121.0795</v>
      </c>
      <c r="O11" s="88">
        <f>N11/N$19</f>
        <v>1.3026052912695233E-2</v>
      </c>
      <c r="P11" s="85">
        <f>[6]Composition!H9</f>
        <v>137.78550000000001</v>
      </c>
      <c r="Q11" s="88">
        <f>P11/P$19</f>
        <v>1.5205148753565257E-2</v>
      </c>
      <c r="R11" s="85">
        <f>[7]Composition!J9</f>
        <v>155.27500000000001</v>
      </c>
      <c r="S11" s="86">
        <f t="shared" si="0"/>
        <v>1.6647000816724215E-2</v>
      </c>
      <c r="T11" s="85">
        <f>[8]Composition!L9</f>
        <v>135.41800000000001</v>
      </c>
      <c r="U11" s="86">
        <f t="shared" si="1"/>
        <v>1.4171392452486624E-2</v>
      </c>
      <c r="V11" s="85">
        <f>[9]Composition!N9</f>
        <v>145.98000000000002</v>
      </c>
      <c r="W11" s="86">
        <f>+V11/V$19</f>
        <v>1.4443380720708672E-2</v>
      </c>
      <c r="X11" s="85">
        <f>[10]Composition!P9</f>
        <v>133.376</v>
      </c>
      <c r="Y11" s="86">
        <f>+X11/X$19</f>
        <v>1.5060680395505462E-2</v>
      </c>
      <c r="Z11" s="89">
        <f t="shared" si="4"/>
        <v>1546.3965000000001</v>
      </c>
      <c r="AA11" s="90">
        <f t="shared" si="2"/>
        <v>1.3962080730334765E-2</v>
      </c>
      <c r="AC11" s="92">
        <f t="shared" si="3"/>
        <v>1.7534897404969916E-2</v>
      </c>
      <c r="AE11" s="91">
        <f t="shared" si="5"/>
        <v>154.63965000000002</v>
      </c>
    </row>
    <row r="12" spans="1:31" s="91" customFormat="1" x14ac:dyDescent="0.25">
      <c r="A12" s="84" t="s">
        <v>67</v>
      </c>
      <c r="B12" s="87">
        <f>[2]Composition!R19</f>
        <v>122.07000000000001</v>
      </c>
      <c r="C12" s="86">
        <f t="shared" ref="C12:C18" si="6">+B12/B$19</f>
        <v>1.3818554355301105E-2</v>
      </c>
      <c r="D12" s="87">
        <f>[2]Composition!T19</f>
        <v>177.72899999999998</v>
      </c>
      <c r="E12" s="86">
        <f t="shared" ref="E12:E18" si="7">+D12/D$19</f>
        <v>1.8732697874654751E-2</v>
      </c>
      <c r="F12" s="87">
        <f>[2]Composition!V19</f>
        <v>117.626</v>
      </c>
      <c r="G12" s="86">
        <f t="shared" ref="G12:G18" si="8">+F12/F$19</f>
        <v>1.5127172949282378E-2</v>
      </c>
      <c r="H12" s="87">
        <f>[2]Composition!X19</f>
        <v>150.161</v>
      </c>
      <c r="I12" s="86">
        <f t="shared" ref="I12:I18" si="9">+H12/H$19</f>
        <v>1.525901202721423E-2</v>
      </c>
      <c r="J12" s="85">
        <f>[3]Composition!B19</f>
        <v>166.35300000000001</v>
      </c>
      <c r="K12" s="86">
        <f t="shared" ref="K12:K18" si="10">+J12/J$19</f>
        <v>1.5631077517141843E-2</v>
      </c>
      <c r="L12" s="85">
        <f>[4]Composition!D19</f>
        <v>130.25899999999999</v>
      </c>
      <c r="M12" s="86">
        <f t="shared" ref="M12:Q18" si="11">L12/L$19</f>
        <v>1.6336981360196453E-2</v>
      </c>
      <c r="N12" s="85">
        <f>[5]Composition!$F$19</f>
        <v>141.833</v>
      </c>
      <c r="O12" s="88">
        <f t="shared" si="11"/>
        <v>1.5258769343830319E-2</v>
      </c>
      <c r="P12" s="85">
        <f>[6]Composition!$H$19</f>
        <v>152.434</v>
      </c>
      <c r="Q12" s="88">
        <f t="shared" si="11"/>
        <v>1.6821665887201236E-2</v>
      </c>
      <c r="R12" s="85">
        <f>[7]Composition!$J$19</f>
        <v>150.95999999999998</v>
      </c>
      <c r="S12" s="86">
        <f t="shared" si="0"/>
        <v>1.6184390554130974E-2</v>
      </c>
      <c r="T12" s="85">
        <f>[8]Composition!$L$19</f>
        <v>149.982</v>
      </c>
      <c r="U12" s="86">
        <f t="shared" si="1"/>
        <v>1.5695504163470504E-2</v>
      </c>
      <c r="V12" s="85">
        <f>[9]Composition!$N$19</f>
        <v>168.346</v>
      </c>
      <c r="W12" s="86">
        <f t="shared" ref="W12:W18" si="12">+V12/V$19</f>
        <v>1.6656291072807382E-2</v>
      </c>
      <c r="X12" s="85">
        <f>[10]Composition!$P$19</f>
        <v>143.21199999999999</v>
      </c>
      <c r="Y12" s="86">
        <f t="shared" ref="Y12:Y18" si="13">+X12/X$19</f>
        <v>1.6171351373568919E-2</v>
      </c>
      <c r="Z12" s="89">
        <f t="shared" si="4"/>
        <v>1770.9650000000001</v>
      </c>
      <c r="AA12" s="90">
        <f t="shared" si="2"/>
        <v>1.5989661319459343E-2</v>
      </c>
      <c r="AC12" s="92">
        <f t="shared" si="3"/>
        <v>2.0081324280540307E-2</v>
      </c>
      <c r="AE12" s="91">
        <f t="shared" si="5"/>
        <v>177.09650000000002</v>
      </c>
    </row>
    <row r="13" spans="1:31" s="91" customFormat="1" x14ac:dyDescent="0.25">
      <c r="A13" s="84" t="s">
        <v>53</v>
      </c>
      <c r="B13" s="87">
        <f>[2]Composition!R10</f>
        <v>1482.1695</v>
      </c>
      <c r="C13" s="86">
        <f t="shared" si="6"/>
        <v>0.16778438436568738</v>
      </c>
      <c r="D13" s="87">
        <f>[2]Composition!T10</f>
        <v>1335.55</v>
      </c>
      <c r="E13" s="86">
        <f t="shared" si="7"/>
        <v>0.14076743045026502</v>
      </c>
      <c r="F13" s="87">
        <f>[2]Composition!V10</f>
        <v>1127.51</v>
      </c>
      <c r="G13" s="86">
        <f t="shared" si="8"/>
        <v>0.14500228497139556</v>
      </c>
      <c r="H13" s="87">
        <f>[2]Composition!X10</f>
        <v>1645.02</v>
      </c>
      <c r="I13" s="86">
        <f t="shared" si="9"/>
        <v>0.16716311136052603</v>
      </c>
      <c r="J13" s="85">
        <f>[3]Composition!B10</f>
        <v>2057.7800000000002</v>
      </c>
      <c r="K13" s="86">
        <f t="shared" si="10"/>
        <v>0.19335580778960493</v>
      </c>
      <c r="L13" s="85">
        <f>[4]Composition!D10</f>
        <v>1228.5899999999999</v>
      </c>
      <c r="M13" s="86">
        <f t="shared" si="11"/>
        <v>0.15408879178654653</v>
      </c>
      <c r="N13" s="85">
        <f>[5]Composition!$F$10</f>
        <v>1607.7299999999998</v>
      </c>
      <c r="O13" s="88">
        <f t="shared" si="11"/>
        <v>0.17296384647547688</v>
      </c>
      <c r="P13" s="85">
        <f>[6]Composition!H10</f>
        <v>1336.82</v>
      </c>
      <c r="Q13" s="88">
        <f t="shared" si="11"/>
        <v>0.14752312076917456</v>
      </c>
      <c r="R13" s="85">
        <f>[7]Composition!J10</f>
        <v>1495.01</v>
      </c>
      <c r="S13" s="86">
        <f t="shared" si="0"/>
        <v>0.1602797146418346</v>
      </c>
      <c r="T13" s="85">
        <f>[8]Composition!L10</f>
        <v>1475.77</v>
      </c>
      <c r="U13" s="86">
        <f t="shared" si="1"/>
        <v>0.15443822711608637</v>
      </c>
      <c r="V13" s="85">
        <f>[9]Composition!N10</f>
        <v>1786.18</v>
      </c>
      <c r="W13" s="86">
        <f t="shared" si="12"/>
        <v>0.17672611162978089</v>
      </c>
      <c r="X13" s="85">
        <f>[10]Composition!P10</f>
        <v>1555.05</v>
      </c>
      <c r="Y13" s="86">
        <f t="shared" si="13"/>
        <v>0.17559464258210447</v>
      </c>
      <c r="Z13" s="89">
        <f t="shared" si="4"/>
        <v>18133.179499999998</v>
      </c>
      <c r="AA13" s="90">
        <f t="shared" si="2"/>
        <v>0.16372056977408533</v>
      </c>
      <c r="AC13" s="92">
        <f t="shared" si="3"/>
        <v>0.20561572802214934</v>
      </c>
      <c r="AE13" s="91">
        <f t="shared" si="5"/>
        <v>1813.3179499999999</v>
      </c>
    </row>
    <row r="14" spans="1:31" s="91" customFormat="1" x14ac:dyDescent="0.25">
      <c r="A14" s="84" t="s">
        <v>54</v>
      </c>
      <c r="B14" s="87">
        <f>[2]Composition!R11</f>
        <v>349.15000000000003</v>
      </c>
      <c r="C14" s="86">
        <f t="shared" si="6"/>
        <v>3.9524438872396012E-2</v>
      </c>
      <c r="D14" s="87">
        <f>[2]Composition!T11</f>
        <v>340.07399999999996</v>
      </c>
      <c r="E14" s="86">
        <f t="shared" si="7"/>
        <v>3.5843916845452004E-2</v>
      </c>
      <c r="F14" s="87">
        <f>[2]Composition!V11</f>
        <v>237.62599999999998</v>
      </c>
      <c r="G14" s="86">
        <f t="shared" si="8"/>
        <v>3.0559651771259536E-2</v>
      </c>
      <c r="H14" s="87">
        <f>[2]Composition!X11</f>
        <v>253.93599999999998</v>
      </c>
      <c r="I14" s="86">
        <f t="shared" si="9"/>
        <v>2.580438647946319E-2</v>
      </c>
      <c r="J14" s="85">
        <f>[3]Composition!B11</f>
        <v>305.678</v>
      </c>
      <c r="K14" s="86">
        <f t="shared" si="10"/>
        <v>2.8722514852662018E-2</v>
      </c>
      <c r="L14" s="85">
        <f>[4]Composition!D11</f>
        <v>240.33599999999998</v>
      </c>
      <c r="M14" s="86">
        <f t="shared" si="11"/>
        <v>3.0142752149058226E-2</v>
      </c>
      <c r="N14" s="85">
        <f>[5]Composition!$F$11</f>
        <v>285.40999999999997</v>
      </c>
      <c r="O14" s="88">
        <f t="shared" si="11"/>
        <v>3.0705162821223625E-2</v>
      </c>
      <c r="P14" s="85">
        <f>[6]Composition!H11</f>
        <v>333.30799999999999</v>
      </c>
      <c r="Q14" s="88">
        <f t="shared" si="11"/>
        <v>3.678179286465795E-2</v>
      </c>
      <c r="R14" s="85">
        <f>[7]Composition!J11</f>
        <v>354.85699999999997</v>
      </c>
      <c r="S14" s="86">
        <f t="shared" si="0"/>
        <v>3.8044145991436511E-2</v>
      </c>
      <c r="T14" s="85">
        <f>[8]Composition!L11</f>
        <v>324.96600000000001</v>
      </c>
      <c r="U14" s="86">
        <f t="shared" si="1"/>
        <v>3.4007448933781097E-2</v>
      </c>
      <c r="V14" s="85">
        <f>[9]Composition!N11</f>
        <v>378.34349999999995</v>
      </c>
      <c r="W14" s="86">
        <f t="shared" si="12"/>
        <v>3.7433615657661595E-2</v>
      </c>
      <c r="X14" s="85">
        <f>[10]Composition!P11</f>
        <v>393.63450000000006</v>
      </c>
      <c r="Y14" s="86">
        <f t="shared" si="13"/>
        <v>4.4448801861988629E-2</v>
      </c>
      <c r="Z14" s="89">
        <f t="shared" si="4"/>
        <v>3797.319</v>
      </c>
      <c r="AA14" s="90">
        <f t="shared" si="2"/>
        <v>3.4285174880332489E-2</v>
      </c>
      <c r="AC14" s="92">
        <f t="shared" si="3"/>
        <v>4.3058555214618606E-2</v>
      </c>
      <c r="AE14" s="91">
        <f t="shared" si="5"/>
        <v>379.7319</v>
      </c>
    </row>
    <row r="15" spans="1:31" s="91" customFormat="1" x14ac:dyDescent="0.25">
      <c r="A15" s="84" t="s">
        <v>68</v>
      </c>
      <c r="B15" s="87">
        <f>[2]Composition!R12</f>
        <v>50.34</v>
      </c>
      <c r="C15" s="86">
        <f t="shared" si="6"/>
        <v>5.6985829953785337E-3</v>
      </c>
      <c r="D15" s="87">
        <f>[2]Composition!T12</f>
        <v>49.83</v>
      </c>
      <c r="E15" s="86">
        <f t="shared" si="7"/>
        <v>5.2520991796164169E-3</v>
      </c>
      <c r="F15" s="87">
        <f>[2]Composition!V12</f>
        <v>36.785499999999999</v>
      </c>
      <c r="G15" s="86">
        <f t="shared" si="8"/>
        <v>4.7307620808820063E-3</v>
      </c>
      <c r="H15" s="87">
        <f>[2]Composition!X12</f>
        <v>49.14</v>
      </c>
      <c r="I15" s="86">
        <f t="shared" si="9"/>
        <v>4.9934926579957989E-3</v>
      </c>
      <c r="J15" s="85">
        <f>[3]Composition!B12</f>
        <v>56.222499999999997</v>
      </c>
      <c r="K15" s="86">
        <f t="shared" si="10"/>
        <v>5.2828518614482893E-3</v>
      </c>
      <c r="L15" s="85">
        <f>[4]Composition!D12</f>
        <v>46.850499999999997</v>
      </c>
      <c r="M15" s="86">
        <f t="shared" si="11"/>
        <v>5.8759528724762512E-3</v>
      </c>
      <c r="N15" s="85">
        <f>[5]Composition!$F$12</f>
        <v>51.177500000000002</v>
      </c>
      <c r="O15" s="88">
        <f t="shared" si="11"/>
        <v>5.5058108345298774E-3</v>
      </c>
      <c r="P15" s="85">
        <f>[6]Composition!H12</f>
        <v>50.19</v>
      </c>
      <c r="Q15" s="88">
        <f t="shared" si="11"/>
        <v>5.5386554894487454E-3</v>
      </c>
      <c r="R15" s="85">
        <f>[7]Composition!J12</f>
        <v>51.902000000000001</v>
      </c>
      <c r="S15" s="86">
        <f t="shared" si="0"/>
        <v>5.5644027460287886E-3</v>
      </c>
      <c r="T15" s="85">
        <f>[8]Composition!L12</f>
        <v>50.813000000000002</v>
      </c>
      <c r="U15" s="86">
        <f t="shared" si="1"/>
        <v>5.3175424588179036E-3</v>
      </c>
      <c r="V15" s="85">
        <f>[9]Composition!N12</f>
        <v>51.43</v>
      </c>
      <c r="W15" s="86">
        <f t="shared" si="12"/>
        <v>5.0885263081658231E-3</v>
      </c>
      <c r="X15" s="85">
        <f>[10]Composition!P12</f>
        <v>48.977999999999994</v>
      </c>
      <c r="Y15" s="86">
        <f t="shared" si="13"/>
        <v>5.5305452586002458E-3</v>
      </c>
      <c r="Z15" s="89">
        <f t="shared" si="4"/>
        <v>593.65899999999988</v>
      </c>
      <c r="AA15" s="90">
        <f t="shared" si="2"/>
        <v>5.3600191699152222E-3</v>
      </c>
      <c r="AC15" s="92">
        <f t="shared" si="3"/>
        <v>6.731617446455054E-3</v>
      </c>
      <c r="AE15" s="91">
        <f t="shared" si="5"/>
        <v>59.365899999999989</v>
      </c>
    </row>
    <row r="16" spans="1:31" s="91" customFormat="1" x14ac:dyDescent="0.25">
      <c r="A16" s="84" t="s">
        <v>69</v>
      </c>
      <c r="B16" s="87">
        <f>[2]Composition!R13</f>
        <v>106.75999999999999</v>
      </c>
      <c r="C16" s="86">
        <f t="shared" si="6"/>
        <v>1.2085433464175847E-2</v>
      </c>
      <c r="D16" s="87">
        <f>[2]Composition!T13</f>
        <v>120.38200000000001</v>
      </c>
      <c r="E16" s="86">
        <f t="shared" si="7"/>
        <v>1.2688304303443379E-2</v>
      </c>
      <c r="F16" s="87">
        <f>[2]Composition!V13</f>
        <v>73.616</v>
      </c>
      <c r="G16" s="86">
        <f t="shared" si="8"/>
        <v>9.4673113413222543E-3</v>
      </c>
      <c r="H16" s="87">
        <f>[2]Composition!X13</f>
        <v>76.997500000000002</v>
      </c>
      <c r="I16" s="86">
        <f t="shared" si="9"/>
        <v>7.8243071008146439E-3</v>
      </c>
      <c r="J16" s="85">
        <f>[3]Composition!B13</f>
        <v>80.714500000000001</v>
      </c>
      <c r="K16" s="86">
        <f t="shared" si="10"/>
        <v>7.5842011040218411E-3</v>
      </c>
      <c r="L16" s="85">
        <f>[4]Composition!D13</f>
        <v>53.988</v>
      </c>
      <c r="M16" s="86">
        <f t="shared" si="11"/>
        <v>6.7711325104160653E-3</v>
      </c>
      <c r="N16" s="85">
        <f>[5]Composition!$F$13</f>
        <v>74.35799999999999</v>
      </c>
      <c r="O16" s="88">
        <f t="shared" si="11"/>
        <v>7.9996303460304341E-3</v>
      </c>
      <c r="P16" s="85">
        <f>[6]Composition!H13</f>
        <v>70.722999999999999</v>
      </c>
      <c r="Q16" s="88">
        <f t="shared" si="11"/>
        <v>7.8045493560526726E-3</v>
      </c>
      <c r="R16" s="85">
        <f>[7]Composition!J13</f>
        <v>85.302500000000009</v>
      </c>
      <c r="S16" s="86">
        <f t="shared" si="0"/>
        <v>9.1452634820068743E-3</v>
      </c>
      <c r="T16" s="85">
        <f>[8]Composition!L13</f>
        <v>74.174000000000007</v>
      </c>
      <c r="U16" s="86">
        <f t="shared" si="1"/>
        <v>7.7622536425788514E-3</v>
      </c>
      <c r="V16" s="85">
        <f>[9]Composition!N13</f>
        <v>96.68</v>
      </c>
      <c r="W16" s="86">
        <f t="shared" si="12"/>
        <v>9.5655983564742718E-3</v>
      </c>
      <c r="X16" s="85">
        <f>[10]Composition!P13</f>
        <v>75.944500000000005</v>
      </c>
      <c r="Y16" s="86">
        <f t="shared" si="13"/>
        <v>8.5755746333408163E-3</v>
      </c>
      <c r="Z16" s="89">
        <f t="shared" si="4"/>
        <v>989.63999999999987</v>
      </c>
      <c r="AA16" s="90">
        <f t="shared" si="2"/>
        <v>8.9352462799602139E-3</v>
      </c>
      <c r="AC16" s="92">
        <f t="shared" si="3"/>
        <v>1.1221724743850898E-2</v>
      </c>
      <c r="AE16" s="91">
        <f t="shared" si="5"/>
        <v>98.963999999999984</v>
      </c>
    </row>
    <row r="17" spans="1:31" s="91" customFormat="1" x14ac:dyDescent="0.25">
      <c r="A17" s="84" t="s">
        <v>70</v>
      </c>
      <c r="B17" s="87">
        <f>[2]Composition!R14</f>
        <v>0</v>
      </c>
      <c r="C17" s="86">
        <f t="shared" si="6"/>
        <v>0</v>
      </c>
      <c r="D17" s="87">
        <f>[2]Composition!T14</f>
        <v>0</v>
      </c>
      <c r="E17" s="86">
        <f t="shared" si="7"/>
        <v>0</v>
      </c>
      <c r="F17" s="87">
        <f>[2]Composition!V14</f>
        <v>0</v>
      </c>
      <c r="G17" s="86">
        <f t="shared" si="8"/>
        <v>0</v>
      </c>
      <c r="H17" s="87">
        <f>[2]Composition!X14</f>
        <v>0</v>
      </c>
      <c r="I17" s="86">
        <f t="shared" si="9"/>
        <v>0</v>
      </c>
      <c r="J17" s="85">
        <f>[3]Composition!B14</f>
        <v>0</v>
      </c>
      <c r="K17" s="86">
        <f t="shared" si="10"/>
        <v>0</v>
      </c>
      <c r="L17" s="85">
        <f>[4]Composition!D14</f>
        <v>0</v>
      </c>
      <c r="M17" s="86">
        <f t="shared" si="11"/>
        <v>0</v>
      </c>
      <c r="N17" s="85">
        <f>[5]Composition!$F$14</f>
        <v>0</v>
      </c>
      <c r="O17" s="88">
        <f t="shared" si="11"/>
        <v>0</v>
      </c>
      <c r="P17" s="85">
        <f>[6]Composition!H14</f>
        <v>0</v>
      </c>
      <c r="Q17" s="88">
        <f t="shared" si="11"/>
        <v>0</v>
      </c>
      <c r="R17" s="85">
        <f>[7]Composition!J14</f>
        <v>0</v>
      </c>
      <c r="S17" s="86">
        <f t="shared" si="0"/>
        <v>0</v>
      </c>
      <c r="T17" s="85"/>
      <c r="U17" s="86">
        <f t="shared" si="1"/>
        <v>0</v>
      </c>
      <c r="V17" s="85"/>
      <c r="W17" s="86">
        <f t="shared" si="12"/>
        <v>0</v>
      </c>
      <c r="X17" s="85"/>
      <c r="Y17" s="86">
        <f t="shared" si="13"/>
        <v>0</v>
      </c>
      <c r="Z17" s="89">
        <f t="shared" si="4"/>
        <v>0</v>
      </c>
      <c r="AA17" s="90">
        <f t="shared" si="2"/>
        <v>0</v>
      </c>
      <c r="AC17" s="92">
        <f t="shared" si="3"/>
        <v>0</v>
      </c>
      <c r="AE17" s="91">
        <f t="shared" si="5"/>
        <v>0</v>
      </c>
    </row>
    <row r="18" spans="1:31" s="91" customFormat="1" ht="17.25" x14ac:dyDescent="0.4">
      <c r="A18" s="84" t="s">
        <v>63</v>
      </c>
      <c r="B18" s="95">
        <f>[2]Composition!R20+[2]Composition!R18+[2]Composition!R16+[2]Composition!R15</f>
        <v>1903.7995000000001</v>
      </c>
      <c r="C18" s="94">
        <f t="shared" si="6"/>
        <v>0.21551369601331255</v>
      </c>
      <c r="D18" s="95">
        <f>[2]Composition!T20+[2]Composition!T18+[2]Composition!T16+[2]Composition!T15</f>
        <v>1947.1090000000002</v>
      </c>
      <c r="E18" s="94">
        <f t="shared" si="7"/>
        <v>0.20522595989411485</v>
      </c>
      <c r="F18" s="95">
        <f>[2]Composition!V20+[2]Composition!V18+[2]Composition!V16+[2]Composition!V15</f>
        <v>1602.3304999999998</v>
      </c>
      <c r="G18" s="94">
        <f t="shared" si="8"/>
        <v>0.20606609589215058</v>
      </c>
      <c r="H18" s="95">
        <f>[2]Composition!X20+[2]Composition!X18+[2]Composition!X16+[2]Composition!X15</f>
        <v>1712.4544999999998</v>
      </c>
      <c r="I18" s="94">
        <f t="shared" si="9"/>
        <v>0.1740156486142016</v>
      </c>
      <c r="J18" s="93">
        <f>[3]Composition!$B$20+[3]Composition!$B$18+[3]Composition!$B$16+[3]Composition!$B$15</f>
        <v>1945.6519999999998</v>
      </c>
      <c r="K18" s="94">
        <f t="shared" si="10"/>
        <v>0.1828198904340893</v>
      </c>
      <c r="L18" s="93">
        <f>[4]Composition!$D$20+[4]Composition!$D$18+[4]Composition!$D$16+[4]Composition!$D$15</f>
        <v>1723.8585</v>
      </c>
      <c r="M18" s="94">
        <f t="shared" si="11"/>
        <v>0.2162049776377542</v>
      </c>
      <c r="N18" s="93">
        <f>[5]Composition!$F$20+[5]Composition!$F$18+[5]Composition!$F$16+[5]Composition!$F$15</f>
        <v>1993.4939999999999</v>
      </c>
      <c r="O18" s="96">
        <f t="shared" si="11"/>
        <v>0.21446535809233164</v>
      </c>
      <c r="P18" s="93">
        <f>[6]Composition!$H$20+[6]Composition!$H$18+[6]Composition!$H$16+[6]Composition!$H$15</f>
        <v>1862.3910000000001</v>
      </c>
      <c r="Q18" s="97">
        <f t="shared" si="11"/>
        <v>0.20552185964634268</v>
      </c>
      <c r="R18" s="93">
        <f>[7]Composition!$J$20+[7]Composition!$J$18+[7]Composition!$J$16+[7]Composition!$J$15</f>
        <v>2123.7419999999997</v>
      </c>
      <c r="S18" s="94">
        <f t="shared" si="0"/>
        <v>0.22768594305916284</v>
      </c>
      <c r="T18" s="93">
        <f>[8]Composition!$L$20+[8]Composition!$L$18+[8]Composition!$L$16+[8]Composition!$L$15</f>
        <v>2246.5729999999999</v>
      </c>
      <c r="U18" s="94">
        <f t="shared" si="1"/>
        <v>0.23510218476244096</v>
      </c>
      <c r="V18" s="93">
        <f>[9]Composition!$N$20+[9]Composition!$N$18+[9]Composition!$N$16+[9]Composition!$N$15</f>
        <v>1959.1415</v>
      </c>
      <c r="W18" s="94">
        <f t="shared" si="12"/>
        <v>0.19383906405151571</v>
      </c>
      <c r="X18" s="93">
        <f>[10]Composition!$P$20+[10]Composition!$P$18+[10]Composition!$P$16+[10]Composition!$P$15</f>
        <v>1546.6825000000001</v>
      </c>
      <c r="Y18" s="94">
        <f t="shared" si="13"/>
        <v>0.17464979310986517</v>
      </c>
      <c r="Z18" s="98">
        <f t="shared" si="4"/>
        <v>22567.227999999999</v>
      </c>
      <c r="AA18" s="99">
        <f t="shared" si="2"/>
        <v>0.20375463808659108</v>
      </c>
      <c r="AC18" s="92"/>
      <c r="AE18" s="91">
        <f t="shared" si="5"/>
        <v>2256.7228</v>
      </c>
    </row>
    <row r="19" spans="1:31" x14ac:dyDescent="0.25">
      <c r="A19" s="100"/>
      <c r="B19" s="101">
        <f t="shared" ref="B19:Q19" si="14">SUM(B8:B18)</f>
        <v>8833.7749999999996</v>
      </c>
      <c r="C19" s="102">
        <f t="shared" si="14"/>
        <v>1</v>
      </c>
      <c r="D19" s="101">
        <f t="shared" si="14"/>
        <v>9487.6349999999984</v>
      </c>
      <c r="E19" s="102">
        <f t="shared" si="14"/>
        <v>1</v>
      </c>
      <c r="F19" s="101">
        <f t="shared" si="14"/>
        <v>7775.808500000001</v>
      </c>
      <c r="G19" s="102">
        <f t="shared" si="14"/>
        <v>0.99999999999999978</v>
      </c>
      <c r="H19" s="101">
        <f t="shared" si="14"/>
        <v>9840.8075000000008</v>
      </c>
      <c r="I19" s="102">
        <f t="shared" si="14"/>
        <v>0.99999999999999978</v>
      </c>
      <c r="J19" s="101">
        <f t="shared" si="14"/>
        <v>10642.452499999999</v>
      </c>
      <c r="K19" s="102">
        <f t="shared" si="14"/>
        <v>1</v>
      </c>
      <c r="L19" s="101">
        <f t="shared" si="14"/>
        <v>7973.26</v>
      </c>
      <c r="M19" s="102">
        <f t="shared" si="14"/>
        <v>1</v>
      </c>
      <c r="N19" s="103">
        <f t="shared" si="14"/>
        <v>9295.1794999999984</v>
      </c>
      <c r="O19" s="104">
        <f t="shared" si="14"/>
        <v>1</v>
      </c>
      <c r="P19" s="103">
        <f t="shared" si="14"/>
        <v>9061.7659999999996</v>
      </c>
      <c r="Q19" s="104">
        <f t="shared" si="14"/>
        <v>1</v>
      </c>
      <c r="R19" s="101">
        <f t="shared" ref="R19:Y19" si="15">SUM(R8:R18)</f>
        <v>9327.5059999999994</v>
      </c>
      <c r="S19" s="102">
        <f t="shared" si="15"/>
        <v>1</v>
      </c>
      <c r="T19" s="101">
        <f t="shared" si="15"/>
        <v>9555.73</v>
      </c>
      <c r="U19" s="102">
        <f t="shared" si="15"/>
        <v>1</v>
      </c>
      <c r="V19" s="101">
        <f t="shared" si="15"/>
        <v>10107.052</v>
      </c>
      <c r="W19" s="102">
        <f t="shared" si="15"/>
        <v>1</v>
      </c>
      <c r="X19" s="101">
        <f t="shared" si="15"/>
        <v>8855.9080000000013</v>
      </c>
      <c r="Y19" s="102">
        <f t="shared" si="15"/>
        <v>0.99999999999999978</v>
      </c>
      <c r="Z19" s="105">
        <f t="shared" ref="Z19:AA19" si="16">SUM(Z8:Z18)</f>
        <v>110756.88</v>
      </c>
      <c r="AA19" s="104">
        <f t="shared" si="16"/>
        <v>1</v>
      </c>
      <c r="AC19" s="106">
        <f>SUM(AC8:AC18)</f>
        <v>1</v>
      </c>
    </row>
    <row r="21" spans="1:31" x14ac:dyDescent="0.25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31" x14ac:dyDescent="0.25">
      <c r="A22" s="84" t="s">
        <v>64</v>
      </c>
      <c r="B22" s="42">
        <f>'CRC Price'!B8</f>
        <v>112.53</v>
      </c>
      <c r="D22" s="42">
        <f>'CRC Price'!B9</f>
        <v>78.680000000000007</v>
      </c>
      <c r="F22" s="42">
        <f>'CRC Price'!B10</f>
        <v>59.78</v>
      </c>
      <c r="H22" s="42">
        <f>'CRC Price'!B11</f>
        <v>59.54</v>
      </c>
      <c r="J22" s="42">
        <f>'CRC Price'!B12</f>
        <v>57.19</v>
      </c>
      <c r="L22" s="42">
        <f>'CRC Price'!B13</f>
        <v>64.459999999999994</v>
      </c>
      <c r="N22" s="42">
        <f>'CRC Price'!B14</f>
        <v>63.62</v>
      </c>
      <c r="P22" s="42">
        <f>'CRC Price'!B15</f>
        <v>73.400000000000006</v>
      </c>
      <c r="R22" s="42">
        <f>'CRC Price'!B16</f>
        <v>65.33</v>
      </c>
      <c r="T22" s="42">
        <f>'CRC Price'!B17</f>
        <v>60.36</v>
      </c>
      <c r="V22" s="42">
        <f>'CRC Price'!B18</f>
        <v>78.09</v>
      </c>
      <c r="X22" s="42">
        <f>'CRC Price'!B19</f>
        <v>59.39</v>
      </c>
    </row>
    <row r="23" spans="1:31" x14ac:dyDescent="0.25">
      <c r="A23" s="84" t="s">
        <v>65</v>
      </c>
      <c r="B23" s="42">
        <f>'CRC Price'!C8</f>
        <v>78.58</v>
      </c>
      <c r="D23" s="42">
        <f>'CRC Price'!C9</f>
        <v>68.180000000000007</v>
      </c>
      <c r="F23" s="42">
        <f>'CRC Price'!C10</f>
        <v>59.92</v>
      </c>
      <c r="H23" s="42">
        <f>'CRC Price'!C11</f>
        <v>50.77</v>
      </c>
      <c r="J23" s="42">
        <f>'CRC Price'!C12</f>
        <v>54.82</v>
      </c>
      <c r="L23" s="42">
        <f>'CRC Price'!C13</f>
        <v>51.6</v>
      </c>
      <c r="N23" s="42">
        <f>'CRC Price'!C14</f>
        <v>62.98</v>
      </c>
      <c r="P23" s="42">
        <f>'CRC Price'!C15</f>
        <v>55.46</v>
      </c>
      <c r="R23" s="42">
        <f>'CRC Price'!C16</f>
        <v>53.52</v>
      </c>
      <c r="T23" s="42">
        <f>'CRC Price'!C17</f>
        <v>57.86</v>
      </c>
      <c r="V23" s="42">
        <f>'CRC Price'!C18</f>
        <v>63.22</v>
      </c>
      <c r="X23" s="42">
        <f>'CRC Price'!C19</f>
        <v>62.07</v>
      </c>
    </row>
    <row r="24" spans="1:31" x14ac:dyDescent="0.25">
      <c r="A24" s="84" t="s">
        <v>50</v>
      </c>
      <c r="B24" s="42">
        <f>'CRC Price'!D8</f>
        <v>141.75</v>
      </c>
      <c r="D24" s="42">
        <f>'CRC Price'!D9</f>
        <v>125.95</v>
      </c>
      <c r="F24" s="42">
        <f>'CRC Price'!D10</f>
        <v>129.34</v>
      </c>
      <c r="H24" s="42">
        <f>'CRC Price'!D11</f>
        <v>109.86</v>
      </c>
      <c r="J24" s="42">
        <f>'CRC Price'!D12</f>
        <v>103.78</v>
      </c>
      <c r="L24" s="42">
        <f>'CRC Price'!D13</f>
        <v>122.8</v>
      </c>
      <c r="N24" s="42">
        <f>'CRC Price'!D14</f>
        <v>136.82</v>
      </c>
      <c r="P24" s="42">
        <f>'CRC Price'!D15</f>
        <v>120.51</v>
      </c>
      <c r="R24" s="42">
        <f>'CRC Price'!D16</f>
        <v>126.24</v>
      </c>
      <c r="T24" s="42">
        <f>'CRC Price'!D17</f>
        <v>104.81</v>
      </c>
      <c r="V24" s="42">
        <f>'CRC Price'!D18</f>
        <v>117.89</v>
      </c>
      <c r="X24" s="42">
        <f>'CRC Price'!D19</f>
        <v>118.88</v>
      </c>
    </row>
    <row r="25" spans="1:31" x14ac:dyDescent="0.25">
      <c r="A25" s="84" t="s">
        <v>66</v>
      </c>
      <c r="B25" s="42">
        <f>'CRC Price'!E8</f>
        <v>1217.0999999999999</v>
      </c>
      <c r="D25" s="42">
        <f>'CRC Price'!E9</f>
        <v>1570.15</v>
      </c>
      <c r="F25" s="42">
        <f>'CRC Price'!E10</f>
        <v>1613.32</v>
      </c>
      <c r="H25" s="42">
        <f>'CRC Price'!E11</f>
        <v>1593.44</v>
      </c>
      <c r="J25" s="42">
        <f>'CRC Price'!E12</f>
        <v>1949.51</v>
      </c>
      <c r="L25" s="42">
        <f>'CRC Price'!E13</f>
        <v>2250.63</v>
      </c>
      <c r="N25" s="42">
        <f>'CRC Price'!E14</f>
        <v>2240.4499999999998</v>
      </c>
      <c r="P25" s="42">
        <f>'CRC Price'!E15</f>
        <v>1929.69</v>
      </c>
      <c r="R25" s="42">
        <f>'CRC Price'!E16</f>
        <v>1960.9</v>
      </c>
      <c r="T25" s="42">
        <f>'CRC Price'!E17</f>
        <v>2284.73</v>
      </c>
      <c r="V25" s="42">
        <f>'CRC Price'!E18</f>
        <v>1967.9</v>
      </c>
      <c r="X25" s="42">
        <f>'CRC Price'!E19</f>
        <v>1954.12</v>
      </c>
    </row>
    <row r="26" spans="1:31" x14ac:dyDescent="0.25">
      <c r="A26" s="84" t="s">
        <v>67</v>
      </c>
      <c r="B26" s="42">
        <f>'CRC Price'!F8</f>
        <v>180.05</v>
      </c>
      <c r="D26" s="42">
        <f>'CRC Price'!F9</f>
        <v>179.07</v>
      </c>
      <c r="F26" s="42">
        <f>'CRC Price'!F10</f>
        <v>179.11</v>
      </c>
      <c r="H26" s="42">
        <f>'CRC Price'!F11</f>
        <v>168.19</v>
      </c>
      <c r="J26" s="42">
        <f>'CRC Price'!F12</f>
        <v>177.95</v>
      </c>
      <c r="L26" s="42">
        <f>'CRC Price'!F13</f>
        <v>188.1</v>
      </c>
      <c r="N26" s="42">
        <f>'CRC Price'!F14</f>
        <v>198.24</v>
      </c>
      <c r="P26" s="42">
        <f>'CRC Price'!F15</f>
        <v>191.64</v>
      </c>
      <c r="R26" s="42">
        <f>'CRC Price'!F16</f>
        <v>175.48</v>
      </c>
      <c r="T26" s="42">
        <f>'CRC Price'!F17</f>
        <v>179.34</v>
      </c>
      <c r="V26" s="42">
        <f>'CRC Price'!F18</f>
        <v>178.29</v>
      </c>
      <c r="X26" s="42">
        <f>'CRC Price'!F19</f>
        <v>177.05</v>
      </c>
    </row>
    <row r="27" spans="1:31" x14ac:dyDescent="0.25">
      <c r="A27" s="84" t="s">
        <v>53</v>
      </c>
      <c r="B27" s="42">
        <f>'CRC Price'!G8</f>
        <v>-27.4</v>
      </c>
      <c r="D27" s="42">
        <f>'CRC Price'!G9</f>
        <v>-17.440000000000001</v>
      </c>
      <c r="F27" s="42">
        <f>'CRC Price'!G10</f>
        <v>-15.07</v>
      </c>
      <c r="H27" s="42">
        <f>'CRC Price'!G11</f>
        <v>-22.74</v>
      </c>
      <c r="J27" s="42">
        <f>'CRC Price'!G12</f>
        <v>-22.83</v>
      </c>
      <c r="L27" s="42">
        <f>'CRC Price'!G13</f>
        <v>-21.16</v>
      </c>
      <c r="N27" s="42">
        <f>'CRC Price'!G14</f>
        <v>-12.91</v>
      </c>
      <c r="P27" s="42">
        <f>'CRC Price'!G15</f>
        <v>-24.51</v>
      </c>
      <c r="R27" s="42">
        <f>'CRC Price'!G16</f>
        <v>-20.61</v>
      </c>
      <c r="T27" s="42">
        <f>'CRC Price'!G17</f>
        <v>-12.11</v>
      </c>
      <c r="V27" s="42">
        <f>'CRC Price'!G18</f>
        <v>-10.58</v>
      </c>
      <c r="X27" s="42">
        <f>'CRC Price'!G19</f>
        <v>-8.56</v>
      </c>
    </row>
    <row r="28" spans="1:31" x14ac:dyDescent="0.25">
      <c r="A28" s="84" t="s">
        <v>54</v>
      </c>
      <c r="B28" s="42">
        <f>'CRC Price'!H8</f>
        <v>260</v>
      </c>
      <c r="D28" s="42">
        <f>'CRC Price'!H9</f>
        <v>250</v>
      </c>
      <c r="F28" s="42">
        <f>'CRC Price'!H10</f>
        <v>240</v>
      </c>
      <c r="H28" s="42">
        <f>'CRC Price'!H11</f>
        <v>210</v>
      </c>
      <c r="J28" s="42">
        <f>'CRC Price'!H12</f>
        <v>190</v>
      </c>
      <c r="L28" s="42">
        <f>'CRC Price'!H13</f>
        <v>190</v>
      </c>
      <c r="N28" s="42">
        <f>'CRC Price'!H14</f>
        <v>201.79</v>
      </c>
      <c r="P28" s="42">
        <f>'CRC Price'!H15</f>
        <v>209.04</v>
      </c>
      <c r="R28" s="42">
        <f>'CRC Price'!H16</f>
        <v>210</v>
      </c>
      <c r="T28" s="42">
        <f>'CRC Price'!H17</f>
        <v>210</v>
      </c>
      <c r="V28" s="42">
        <f>'CRC Price'!H18</f>
        <v>210</v>
      </c>
      <c r="X28" s="42">
        <f>'CRC Price'!H19</f>
        <v>24.89</v>
      </c>
    </row>
    <row r="29" spans="1:31" x14ac:dyDescent="0.25">
      <c r="A29" s="84" t="s">
        <v>68</v>
      </c>
      <c r="B29" s="42">
        <f>'CRC Price'!I8</f>
        <v>820</v>
      </c>
      <c r="D29" s="42">
        <f>'CRC Price'!I9</f>
        <v>855.96</v>
      </c>
      <c r="F29" s="42">
        <f>'CRC Price'!I10</f>
        <v>1000</v>
      </c>
      <c r="H29" s="42">
        <f>'CRC Price'!I11</f>
        <v>509.06</v>
      </c>
      <c r="J29" s="42">
        <f>'CRC Price'!I12</f>
        <v>1400</v>
      </c>
      <c r="L29" s="42">
        <f>'CRC Price'!I13</f>
        <v>1740</v>
      </c>
      <c r="N29" s="42">
        <f>'CRC Price'!I14</f>
        <v>1940</v>
      </c>
      <c r="P29" s="42">
        <f>'CRC Price'!I15</f>
        <v>2026.64</v>
      </c>
      <c r="R29" s="42">
        <f>'CRC Price'!I16</f>
        <v>1938.13</v>
      </c>
      <c r="T29" s="42">
        <f>'CRC Price'!I17</f>
        <v>1340</v>
      </c>
      <c r="V29" s="42">
        <f>'CRC Price'!I18</f>
        <v>1180.3499999999999</v>
      </c>
      <c r="X29" s="42">
        <f>'CRC Price'!I19</f>
        <v>880</v>
      </c>
    </row>
    <row r="30" spans="1:31" x14ac:dyDescent="0.25">
      <c r="A30" s="84" t="s">
        <v>69</v>
      </c>
      <c r="B30" s="42">
        <f>'CRC Price'!J8</f>
        <v>220</v>
      </c>
      <c r="D30" s="42">
        <f>'CRC Price'!J9</f>
        <v>221.67</v>
      </c>
      <c r="F30" s="42">
        <f>'CRC Price'!J10</f>
        <v>220</v>
      </c>
      <c r="H30" s="42">
        <f>'CRC Price'!J11</f>
        <v>200</v>
      </c>
      <c r="J30" s="42">
        <f>'CRC Price'!J12</f>
        <v>160</v>
      </c>
      <c r="L30" s="42">
        <f>'CRC Price'!J13</f>
        <v>180</v>
      </c>
      <c r="N30" s="42">
        <f>'CRC Price'!J14</f>
        <v>220</v>
      </c>
      <c r="P30" s="42">
        <f>'CRC Price'!J15</f>
        <v>220</v>
      </c>
      <c r="R30" s="42">
        <f>'CRC Price'!J16</f>
        <v>132.77000000000001</v>
      </c>
      <c r="T30" s="42">
        <f>'CRC Price'!J17</f>
        <v>100</v>
      </c>
      <c r="V30" s="42">
        <f>'CRC Price'!J18</f>
        <v>90</v>
      </c>
      <c r="X30" s="42">
        <f>'CRC Price'!J19</f>
        <v>80</v>
      </c>
    </row>
    <row r="31" spans="1:31" x14ac:dyDescent="0.25">
      <c r="A31" s="84" t="s">
        <v>70</v>
      </c>
      <c r="B31" s="42">
        <f>'CRC Price'!K8</f>
        <v>-169.14</v>
      </c>
      <c r="D31" s="42">
        <f>'CRC Price'!K9</f>
        <v>-169.14</v>
      </c>
      <c r="F31" s="42">
        <f>'CRC Price'!K10</f>
        <v>-169.14</v>
      </c>
      <c r="H31" s="42">
        <f>'CRC Price'!K11</f>
        <v>-169.14</v>
      </c>
      <c r="J31" s="42">
        <f>'CRC Price'!K12</f>
        <v>-169.14</v>
      </c>
      <c r="L31" s="42">
        <f>'CRC Price'!K13</f>
        <v>-169.14</v>
      </c>
      <c r="N31" s="42">
        <f>'CRC Price'!K14</f>
        <v>-169.14</v>
      </c>
      <c r="P31" s="42">
        <f>'CRC Price'!K15</f>
        <v>-169.14</v>
      </c>
      <c r="R31" s="42">
        <f>'CRC Price'!K16</f>
        <v>-169.14</v>
      </c>
      <c r="T31" s="42">
        <f>'CRC Price'!K17</f>
        <v>-169.14</v>
      </c>
      <c r="V31" s="42">
        <f>'CRC Price'!K18</f>
        <v>-169.14</v>
      </c>
      <c r="X31" s="42">
        <f>'CRC Price'!K19</f>
        <v>-169.14</v>
      </c>
    </row>
    <row r="33" spans="1:24" x14ac:dyDescent="0.25">
      <c r="A33" s="84" t="s">
        <v>64</v>
      </c>
      <c r="B33" s="107">
        <f>B8*B22</f>
        <v>63267.741900000001</v>
      </c>
      <c r="D33" s="107">
        <f>D8*D22</f>
        <v>118838.27200000001</v>
      </c>
      <c r="F33" s="107">
        <f>F8*F22</f>
        <v>66734.984540000005</v>
      </c>
      <c r="H33" s="107">
        <f>H8*H22</f>
        <v>46334.71271</v>
      </c>
      <c r="J33" s="107">
        <f>J8*J22</f>
        <v>63629.336645000003</v>
      </c>
      <c r="L33" s="107">
        <f>L8*L22</f>
        <v>63627.176799999994</v>
      </c>
      <c r="N33" s="107">
        <f>N8*N22</f>
        <v>94016.681699999986</v>
      </c>
      <c r="P33" s="107">
        <f>P8*P22</f>
        <v>148845.658</v>
      </c>
      <c r="R33" s="107">
        <f>R8*R22</f>
        <v>119437.93925</v>
      </c>
      <c r="T33" s="107">
        <f>T8*T22</f>
        <v>56955.092400000001</v>
      </c>
      <c r="V33" s="107">
        <f>V8*V22</f>
        <v>90527.3943</v>
      </c>
      <c r="X33" s="107">
        <f>X8*X22</f>
        <v>62768.400150000001</v>
      </c>
    </row>
    <row r="34" spans="1:24" x14ac:dyDescent="0.25">
      <c r="A34" s="84" t="s">
        <v>65</v>
      </c>
      <c r="B34" s="107">
        <f t="shared" ref="B34:D42" si="17">B9*B23</f>
        <v>189754.59109999996</v>
      </c>
      <c r="D34" s="107">
        <f t="shared" si="17"/>
        <v>128464.55146</v>
      </c>
      <c r="F34" s="107">
        <f t="shared" ref="F34" si="18">F9*F23</f>
        <v>123099.43827999999</v>
      </c>
      <c r="H34" s="107">
        <f t="shared" ref="H34" si="19">H9*H23</f>
        <v>168611.33314000003</v>
      </c>
      <c r="J34" s="107">
        <f t="shared" ref="J34" si="20">J9*J23</f>
        <v>165314.06818999999</v>
      </c>
      <c r="L34" s="107">
        <f t="shared" ref="L34" si="21">L9*L23</f>
        <v>96948.144000000015</v>
      </c>
      <c r="N34" s="107">
        <f t="shared" ref="N34" si="22">N9*N23</f>
        <v>97358.735149999993</v>
      </c>
      <c r="P34" s="107">
        <f t="shared" ref="P34" si="23">P9*P23</f>
        <v>58851.684029999989</v>
      </c>
      <c r="R34" s="107">
        <f t="shared" ref="R34" si="24">R9*R23</f>
        <v>52536.810840000006</v>
      </c>
      <c r="T34" s="107">
        <f t="shared" ref="T34" si="25">T9*T23</f>
        <v>120877.35110000001</v>
      </c>
      <c r="V34" s="107">
        <f t="shared" ref="V34" si="26">V9*V23</f>
        <v>131131.74586</v>
      </c>
      <c r="X34" s="107">
        <f t="shared" ref="X34" si="27">X9*X23</f>
        <v>118478.71944000003</v>
      </c>
    </row>
    <row r="35" spans="1:24" x14ac:dyDescent="0.25">
      <c r="A35" s="84" t="s">
        <v>50</v>
      </c>
      <c r="B35" s="107">
        <f t="shared" si="17"/>
        <v>243432.37800000003</v>
      </c>
      <c r="D35" s="107">
        <f t="shared" si="17"/>
        <v>250520.72155000002</v>
      </c>
      <c r="F35" s="107">
        <f t="shared" ref="F35" si="28">F10*F24</f>
        <v>168808.61836000002</v>
      </c>
      <c r="H35" s="107">
        <f t="shared" ref="H35" si="29">H10*H24</f>
        <v>190073.78463000001</v>
      </c>
      <c r="J35" s="107">
        <f t="shared" ref="J35" si="30">J10*J24</f>
        <v>184655.07942999998</v>
      </c>
      <c r="L35" s="107">
        <f t="shared" ref="L35" si="31">L10*L24</f>
        <v>193419.82399999999</v>
      </c>
      <c r="N35" s="107">
        <f t="shared" ref="N35" si="32">N10*N24</f>
        <v>273153.60489999998</v>
      </c>
      <c r="P35" s="107">
        <f t="shared" ref="P35" si="33">P10*P24</f>
        <v>244525.51539000004</v>
      </c>
      <c r="R35" s="107">
        <f t="shared" ref="R35" si="34">R10*R24</f>
        <v>265180.12271999998</v>
      </c>
      <c r="T35" s="107">
        <f t="shared" ref="T35" si="35">T10*T24</f>
        <v>216465.03629000002</v>
      </c>
      <c r="V35" s="107">
        <f t="shared" ref="V35" si="36">V10*V24</f>
        <v>269669.60251999996</v>
      </c>
      <c r="X35" s="107">
        <f t="shared" ref="X35" si="37">X10*X24</f>
        <v>236969.86407999997</v>
      </c>
    </row>
    <row r="36" spans="1:24" x14ac:dyDescent="0.25">
      <c r="A36" s="84" t="s">
        <v>66</v>
      </c>
      <c r="B36" s="107">
        <f t="shared" si="17"/>
        <v>152289.63749999998</v>
      </c>
      <c r="D36" s="107">
        <f t="shared" si="17"/>
        <v>209324.54725</v>
      </c>
      <c r="F36" s="107">
        <f t="shared" ref="F36" si="38">F11*F25</f>
        <v>168464.48771999998</v>
      </c>
      <c r="H36" s="107">
        <f t="shared" ref="H36" si="39">H11*H25</f>
        <v>197043.99367999999</v>
      </c>
      <c r="J36" s="107">
        <f t="shared" ref="J36" si="40">J11*J25</f>
        <v>238978.73384</v>
      </c>
      <c r="L36" s="107">
        <f t="shared" ref="L36" si="41">L11*L25</f>
        <v>243918.77813999998</v>
      </c>
      <c r="N36" s="107">
        <f t="shared" ref="N36" si="42">N11*N25</f>
        <v>271272.56577499997</v>
      </c>
      <c r="P36" s="107">
        <f t="shared" ref="P36" si="43">P11*P25</f>
        <v>265883.30149500002</v>
      </c>
      <c r="R36" s="107">
        <f t="shared" ref="R36" si="44">R11*R25</f>
        <v>304478.7475</v>
      </c>
      <c r="T36" s="107">
        <f t="shared" ref="T36" si="45">T11*T25</f>
        <v>309393.56714</v>
      </c>
      <c r="V36" s="107">
        <f t="shared" ref="V36" si="46">V11*V25</f>
        <v>287274.04200000007</v>
      </c>
      <c r="X36" s="107">
        <f t="shared" ref="X36" si="47">X11*X25</f>
        <v>260632.70911999998</v>
      </c>
    </row>
    <row r="37" spans="1:24" x14ac:dyDescent="0.25">
      <c r="A37" s="84" t="s">
        <v>67</v>
      </c>
      <c r="B37" s="107">
        <f t="shared" si="17"/>
        <v>21978.703500000003</v>
      </c>
      <c r="D37" s="107">
        <f t="shared" si="17"/>
        <v>31825.932029999996</v>
      </c>
      <c r="F37" s="107">
        <f t="shared" ref="F37" si="48">F12*F26</f>
        <v>21067.992860000002</v>
      </c>
      <c r="H37" s="107">
        <f t="shared" ref="H37" si="49">H12*H26</f>
        <v>25255.578590000001</v>
      </c>
      <c r="J37" s="107">
        <f t="shared" ref="J37" si="50">J12*J26</f>
        <v>29602.516349999998</v>
      </c>
      <c r="L37" s="107">
        <f t="shared" ref="L37" si="51">L12*L26</f>
        <v>24501.717899999996</v>
      </c>
      <c r="N37" s="107">
        <f t="shared" ref="N37" si="52">N12*N26</f>
        <v>28116.97392</v>
      </c>
      <c r="P37" s="107">
        <f t="shared" ref="P37" si="53">P12*P26</f>
        <v>29212.451759999996</v>
      </c>
      <c r="R37" s="107">
        <f t="shared" ref="R37" si="54">R12*R26</f>
        <v>26490.460799999993</v>
      </c>
      <c r="T37" s="107">
        <f t="shared" ref="T37" si="55">T12*T26</f>
        <v>26897.77188</v>
      </c>
      <c r="V37" s="107">
        <f t="shared" ref="V37" si="56">V12*V26</f>
        <v>30014.408339999998</v>
      </c>
      <c r="X37" s="107">
        <f t="shared" ref="X37" si="57">X12*X26</f>
        <v>25355.684600000001</v>
      </c>
    </row>
    <row r="38" spans="1:24" x14ac:dyDescent="0.25">
      <c r="A38" s="84" t="s">
        <v>53</v>
      </c>
      <c r="B38" s="107">
        <f t="shared" si="17"/>
        <v>-40611.444299999996</v>
      </c>
      <c r="D38" s="107">
        <f t="shared" si="17"/>
        <v>-23291.992000000002</v>
      </c>
      <c r="F38" s="107">
        <f t="shared" ref="F38" si="58">F13*F27</f>
        <v>-16991.575700000001</v>
      </c>
      <c r="H38" s="107">
        <f t="shared" ref="H38" si="59">H13*H27</f>
        <v>-37407.754799999995</v>
      </c>
      <c r="J38" s="107">
        <f t="shared" ref="J38" si="60">J13*J27</f>
        <v>-46979.117400000003</v>
      </c>
      <c r="L38" s="107">
        <f t="shared" ref="L38" si="61">L13*L27</f>
        <v>-25996.964399999997</v>
      </c>
      <c r="N38" s="107">
        <f t="shared" ref="N38" si="62">N13*N27</f>
        <v>-20755.794299999998</v>
      </c>
      <c r="P38" s="107">
        <f t="shared" ref="P38" si="63">P13*P27</f>
        <v>-32765.458200000001</v>
      </c>
      <c r="R38" s="107">
        <f t="shared" ref="R38" si="64">R13*R27</f>
        <v>-30812.1561</v>
      </c>
      <c r="T38" s="107">
        <f t="shared" ref="T38" si="65">T13*T27</f>
        <v>-17871.574699999997</v>
      </c>
      <c r="V38" s="107">
        <f t="shared" ref="V38" si="66">V13*V27</f>
        <v>-18897.7844</v>
      </c>
      <c r="X38" s="107">
        <f t="shared" ref="X38" si="67">X13*X27</f>
        <v>-13311.228000000001</v>
      </c>
    </row>
    <row r="39" spans="1:24" x14ac:dyDescent="0.25">
      <c r="A39" s="84" t="s">
        <v>54</v>
      </c>
      <c r="B39" s="107">
        <f t="shared" si="17"/>
        <v>90779.000000000015</v>
      </c>
      <c r="D39" s="107">
        <f t="shared" si="17"/>
        <v>85018.499999999985</v>
      </c>
      <c r="F39" s="107">
        <f t="shared" ref="F39" si="68">F14*F28</f>
        <v>57030.239999999991</v>
      </c>
      <c r="H39" s="107">
        <f t="shared" ref="H39" si="69">H14*H28</f>
        <v>53326.559999999998</v>
      </c>
      <c r="J39" s="107">
        <f t="shared" ref="J39" si="70">J14*J28</f>
        <v>58078.82</v>
      </c>
      <c r="L39" s="107">
        <f t="shared" ref="L39" si="71">L14*L28</f>
        <v>45663.839999999997</v>
      </c>
      <c r="N39" s="107">
        <f t="shared" ref="N39" si="72">N14*N28</f>
        <v>57592.883899999993</v>
      </c>
      <c r="P39" s="107">
        <f t="shared" ref="P39" si="73">P14*P28</f>
        <v>69674.70431999999</v>
      </c>
      <c r="R39" s="107">
        <f t="shared" ref="R39" si="74">R14*R28</f>
        <v>74519.97</v>
      </c>
      <c r="T39" s="107">
        <f t="shared" ref="T39" si="75">T14*T28</f>
        <v>68242.86</v>
      </c>
      <c r="V39" s="107">
        <f t="shared" ref="V39" si="76">V14*V28</f>
        <v>79452.134999999995</v>
      </c>
      <c r="X39" s="107">
        <f t="shared" ref="X39" si="77">X14*X28</f>
        <v>9797.5627050000021</v>
      </c>
    </row>
    <row r="40" spans="1:24" x14ac:dyDescent="0.25">
      <c r="A40" s="84" t="s">
        <v>68</v>
      </c>
      <c r="B40" s="107">
        <f t="shared" si="17"/>
        <v>41278.800000000003</v>
      </c>
      <c r="D40" s="107">
        <f t="shared" si="17"/>
        <v>42652.486799999999</v>
      </c>
      <c r="F40" s="107">
        <f t="shared" ref="F40" si="78">F15*F29</f>
        <v>36785.5</v>
      </c>
      <c r="H40" s="107">
        <f t="shared" ref="H40" si="79">H15*H29</f>
        <v>25015.2084</v>
      </c>
      <c r="J40" s="107">
        <f t="shared" ref="J40" si="80">J15*J29</f>
        <v>78711.5</v>
      </c>
      <c r="L40" s="107">
        <f t="shared" ref="L40" si="81">L15*L29</f>
        <v>81519.87</v>
      </c>
      <c r="N40" s="107">
        <f t="shared" ref="N40" si="82">N15*N29</f>
        <v>99284.35</v>
      </c>
      <c r="P40" s="107">
        <f t="shared" ref="P40" si="83">P15*P29</f>
        <v>101717.0616</v>
      </c>
      <c r="R40" s="107">
        <f t="shared" ref="R40" si="84">R15*R29</f>
        <v>100592.82326</v>
      </c>
      <c r="T40" s="107">
        <f t="shared" ref="T40" si="85">T15*T29</f>
        <v>68089.42</v>
      </c>
      <c r="V40" s="107">
        <f t="shared" ref="V40" si="86">V15*V29</f>
        <v>60705.400499999996</v>
      </c>
      <c r="X40" s="107">
        <f t="shared" ref="X40" si="87">X15*X29</f>
        <v>43100.639999999992</v>
      </c>
    </row>
    <row r="41" spans="1:24" x14ac:dyDescent="0.25">
      <c r="A41" s="84" t="s">
        <v>69</v>
      </c>
      <c r="B41" s="107">
        <f t="shared" si="17"/>
        <v>23487.199999999997</v>
      </c>
      <c r="D41" s="107">
        <f t="shared" si="17"/>
        <v>26685.077939999999</v>
      </c>
      <c r="F41" s="107">
        <f t="shared" ref="F41" si="88">F16*F30</f>
        <v>16195.52</v>
      </c>
      <c r="H41" s="107">
        <f t="shared" ref="H41" si="89">H16*H30</f>
        <v>15399.5</v>
      </c>
      <c r="J41" s="107">
        <f t="shared" ref="J41" si="90">J16*J30</f>
        <v>12914.32</v>
      </c>
      <c r="L41" s="107">
        <f t="shared" ref="L41" si="91">L16*L30</f>
        <v>9717.84</v>
      </c>
      <c r="N41" s="107">
        <f t="shared" ref="N41" si="92">N16*N30</f>
        <v>16358.759999999998</v>
      </c>
      <c r="P41" s="107">
        <f t="shared" ref="P41" si="93">P16*P30</f>
        <v>15559.06</v>
      </c>
      <c r="R41" s="107">
        <f t="shared" ref="R41" si="94">R16*R30</f>
        <v>11325.612925000001</v>
      </c>
      <c r="T41" s="107">
        <f t="shared" ref="T41" si="95">T16*T30</f>
        <v>7417.4000000000005</v>
      </c>
      <c r="V41" s="107">
        <f t="shared" ref="V41" si="96">V16*V30</f>
        <v>8701.2000000000007</v>
      </c>
      <c r="X41" s="107">
        <f t="shared" ref="X41" si="97">X16*X30</f>
        <v>6075.56</v>
      </c>
    </row>
    <row r="42" spans="1:24" x14ac:dyDescent="0.25">
      <c r="A42" s="84" t="s">
        <v>70</v>
      </c>
      <c r="B42" s="107">
        <f t="shared" si="17"/>
        <v>0</v>
      </c>
      <c r="D42" s="107">
        <f t="shared" si="17"/>
        <v>0</v>
      </c>
      <c r="F42" s="107">
        <f t="shared" ref="F42" si="98">F17*F31</f>
        <v>0</v>
      </c>
      <c r="H42" s="107">
        <f t="shared" ref="H42" si="99">H17*H31</f>
        <v>0</v>
      </c>
      <c r="J42" s="107">
        <f t="shared" ref="J42" si="100">J17*J31</f>
        <v>0</v>
      </c>
      <c r="L42" s="107">
        <f t="shared" ref="L42" si="101">L17*L31</f>
        <v>0</v>
      </c>
      <c r="N42" s="107">
        <f t="shared" ref="N42" si="102">N17*N31</f>
        <v>0</v>
      </c>
      <c r="P42" s="107">
        <f t="shared" ref="P42" si="103">P17*P31</f>
        <v>0</v>
      </c>
      <c r="R42" s="107">
        <f t="shared" ref="R42" si="104">R17*R31</f>
        <v>0</v>
      </c>
      <c r="T42" s="107">
        <f t="shared" ref="T42" si="105">T17*T31</f>
        <v>0</v>
      </c>
      <c r="V42" s="107">
        <f t="shared" ref="V42" si="106">V17*V31</f>
        <v>0</v>
      </c>
      <c r="X42" s="107">
        <f t="shared" ref="X42" si="107">X17*X31</f>
        <v>0</v>
      </c>
    </row>
    <row r="44" spans="1:24" x14ac:dyDescent="0.25">
      <c r="A44" s="108" t="s">
        <v>71</v>
      </c>
      <c r="B44" s="109">
        <f>SUM(B33:B42)/SUM(B8:B17)</f>
        <v>113.37076266719846</v>
      </c>
      <c r="D44" s="109">
        <f>SUM(D33:D42)/SUM(D8:D17)</f>
        <v>115.38161887247657</v>
      </c>
      <c r="F44" s="109">
        <f>SUM(F33:F42)/SUM(F8:F17)</f>
        <v>103.86288022084146</v>
      </c>
      <c r="H44" s="109">
        <f>SUM(H33:H42)/SUM(H8:H17)</f>
        <v>84.107188301246254</v>
      </c>
      <c r="J44" s="109">
        <f>SUM(J33:J42)/SUM(J8:J17)</f>
        <v>90.252186083261307</v>
      </c>
      <c r="L44" s="109">
        <f>SUM(L33:L42)/SUM(L8:L17)</f>
        <v>117.34247294560927</v>
      </c>
      <c r="N44" s="109">
        <f>SUM(N33:N42)/SUM(N8:N17)</f>
        <v>125.50509893160971</v>
      </c>
      <c r="P44" s="109">
        <f>SUM(P33:P42)/SUM(P8:P17)</f>
        <v>125.21975565865095</v>
      </c>
      <c r="R44" s="109">
        <f>SUM(R33:R42)/SUM(R8:R17)</f>
        <v>128.23162046882712</v>
      </c>
      <c r="T44" s="109">
        <f>SUM(T33:T42)/SUM(T8:T17)</f>
        <v>117.17725096204666</v>
      </c>
      <c r="V44" s="109">
        <f>SUM(V33:V42)/SUM(V8:V17)</f>
        <v>115.19249556312629</v>
      </c>
      <c r="X44" s="109">
        <f>SUM(X33:X42)/SUM(X8:X17)</f>
        <v>102.59197942312768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1D85578A419F834DB53D206E7875CCE2" ma:contentTypeVersion="19" ma:contentTypeDescription="" ma:contentTypeScope="" ma:versionID="52fcd28cad7198c168e0b76134561a85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TG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227</IndustryCode>
    <CaseStatus xmlns="dc463f71-b30c-4ab2-9473-d307f9d35888">Pending</CaseStatus>
    <OpenedDate xmlns="dc463f71-b30c-4ab2-9473-d307f9d35888">2025-09-24T07:00:00+00:00</OpenedDate>
    <SignificantOrder xmlns="dc463f71-b30c-4ab2-9473-d307f9d35888">false</SignificantOrder>
    <Date1 xmlns="dc463f71-b30c-4ab2-9473-d307f9d35888">2025-09-24T07:00:00+00:00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Waste Management of Washington, Inc.  </CaseCompanyNames>
    <Nickname xmlns="http://schemas.microsoft.com/sharepoint/v3" xsi:nil="true"/>
    <DocketNumber xmlns="dc463f71-b30c-4ab2-9473-d307f9d35888">250741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B08A98B3-E9F8-4A93-A329-96B87D792D69}"/>
</file>

<file path=customXml/itemProps2.xml><?xml version="1.0" encoding="utf-8"?>
<ds:datastoreItem xmlns:ds="http://schemas.openxmlformats.org/officeDocument/2006/customXml" ds:itemID="{C91E7E31-46C1-43DF-8743-C1FBEE25551E}"/>
</file>

<file path=customXml/itemProps3.xml><?xml version="1.0" encoding="utf-8"?>
<ds:datastoreItem xmlns:ds="http://schemas.openxmlformats.org/officeDocument/2006/customXml" ds:itemID="{FF22E588-4CBD-4371-907C-56702A54CF7F}"/>
</file>

<file path=customXml/itemProps4.xml><?xml version="1.0" encoding="utf-8"?>
<ds:datastoreItem xmlns:ds="http://schemas.openxmlformats.org/officeDocument/2006/customXml" ds:itemID="{79DEF11A-ADEF-4EBE-9689-E0B6C72757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Rebate Calculation</vt:lpstr>
      <vt:lpstr>Recycling Revenue</vt:lpstr>
      <vt:lpstr>CRC Price</vt:lpstr>
      <vt:lpstr>Customers</vt:lpstr>
      <vt:lpstr>CRC Composition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Burmester, Evan</dc:creator>
  <cp:lastModifiedBy>Burmester, Evan</cp:lastModifiedBy>
  <dcterms:created xsi:type="dcterms:W3CDTF">2024-09-16T23:46:08Z</dcterms:created>
  <dcterms:modified xsi:type="dcterms:W3CDTF">2025-09-24T16:54:45Z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0x0101006E56B4D1795A2E4DB2F0B01679ED314A001D85578A419F834DB53D206E7875CCE2</vt:lpwstr>
  </property>
  <property fmtid="{D5CDD505-2E9C-101B-9397-08002B2CF9AE}" pid="5" name="_docset_NoMedatataSyncRequired">
    <vt:lpwstr>False</vt:lpwstr>
  </property>
</Properties>
</file>