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8.xml" ContentType="application/vnd.openxmlformats-officedocument.spreadsheetml.comments+xml"/>
  <Override PartName="/xl/comments7.xml" ContentType="application/vnd.openxmlformats-officedocument.spreadsheetml.comment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duresources.sharepoint.com/sites/WestRegulatoryGeneral/Shared Documents/Projects/09-15-2025 Filings/3 - WA Decoupling/"/>
    </mc:Choice>
  </mc:AlternateContent>
  <xr:revisionPtr revIDLastSave="21" documentId="8_{1BFB5CD6-81A6-47D1-9148-49689B492CA6}" xr6:coauthVersionLast="47" xr6:coauthVersionMax="47" xr10:uidLastSave="{3DCF8A1D-617F-4352-B472-F779BC89D05E}"/>
  <bookViews>
    <workbookView xWindow="-120" yWindow="-120" windowWidth="38640" windowHeight="21120" activeTab="4" xr2:uid="{69FC25A9-E059-4EB5-A705-C1274F57A608}"/>
  </bookViews>
  <sheets>
    <sheet name="WA CAP 2024" sheetId="34" r:id="rId1"/>
    <sheet name="WACAP2024Amort" sheetId="32" r:id="rId2"/>
    <sheet name="Authorized Margins 2024" sheetId="33" r:id="rId3"/>
    <sheet name="WA CAP 2023" sheetId="28" r:id="rId4"/>
    <sheet name="WACAP2023Amort" sheetId="30" r:id="rId5"/>
    <sheet name="Authorized Margins 2023" sheetId="29" r:id="rId6"/>
    <sheet name="WACAP 2022" sheetId="20" r:id="rId7"/>
    <sheet name="WACAP2022Amort" sheetId="24" r:id="rId8"/>
    <sheet name="Authorized Margins 2022" sheetId="22" r:id="rId9"/>
    <sheet name="Authorized Margins 22" sheetId="21" r:id="rId10"/>
    <sheet name="WACAP 2021" sheetId="17" r:id="rId11"/>
    <sheet name="WACAP2021Amort" sheetId="27" r:id="rId12"/>
    <sheet name="Authorized Margins 2021" sheetId="18" r:id="rId13"/>
    <sheet name="WACAP 2020" sheetId="13" r:id="rId14"/>
    <sheet name="WACAP2020Amort" sheetId="25" r:id="rId15"/>
    <sheet name="WACAP 2019" sheetId="11" r:id="rId16"/>
    <sheet name="Ammort Split 2022" sheetId="23" r:id="rId17"/>
    <sheet name="Ammort Split 2021" sheetId="19" r:id="rId18"/>
    <sheet name="Authorized Margins 2020" sheetId="15" r:id="rId19"/>
    <sheet name="Ammort Split 2020" sheetId="16" r:id="rId20"/>
    <sheet name="WACAP 2018" sheetId="8" r:id="rId21"/>
    <sheet name="Ammort Split 2019" sheetId="12" r:id="rId22"/>
    <sheet name="Ammort Split 2018" sheetId="9" r:id="rId23"/>
    <sheet name="Authorized Margins 2019" sheetId="14" r:id="rId24"/>
    <sheet name="Authorized Margins 2018" sheetId="10" r:id="rId25"/>
    <sheet name="WACAP 2017" sheetId="6" r:id="rId26"/>
    <sheet name="Authorized Margins" sheetId="1" r:id="rId27"/>
    <sheet name="Ammort Split 2017" sheetId="7" r:id="rId28"/>
    <sheet name="WACAP 2016" sheetId="2" r:id="rId29"/>
    <sheet name="Authorized Margins (original)" sheetId="4" r:id="rId30"/>
    <sheet name="WACAP2016 (original)" sheetId="5" r:id="rId31"/>
  </sheets>
  <externalReferences>
    <externalReference r:id="rId32"/>
    <externalReference r:id="rId33"/>
    <externalReference r:id="rId34"/>
  </externalReferences>
  <definedNames>
    <definedName name="_xlnm.Print_Area" localSheetId="26">'Authorized Margins'!$C$26:$O$105</definedName>
    <definedName name="_xlnm.Print_Area" localSheetId="24">'Authorized Margins 2018'!$C$5:$O$18</definedName>
    <definedName name="_xlnm.Print_Area" localSheetId="23">'Authorized Margins 2019'!$C$5:$O$18</definedName>
    <definedName name="_xlnm.Print_Area" localSheetId="18">'Authorized Margins 2020'!$C$5:$I$15</definedName>
    <definedName name="_xlnm.Print_Area" localSheetId="12">'Authorized Margins 2021'!$C$5:$I$15</definedName>
    <definedName name="_xlnm.Print_Area" localSheetId="8">'Authorized Margins 2022'!$C$3:$P$15</definedName>
    <definedName name="_xlnm.Print_Area" localSheetId="5">'Authorized Margins 2023'!$D$3:$Q$15</definedName>
    <definedName name="_xlnm.Print_Area" localSheetId="2">'Authorized Margins 2024'!$D$3:$Q$15</definedName>
    <definedName name="_xlnm.Print_Area" localSheetId="9">'Authorized Margins 22'!$C$2:$P$15</definedName>
    <definedName name="_xlnm.Print_Area" localSheetId="3">'WA CAP 2023'!$A$1:$R$133</definedName>
    <definedName name="_xlnm.Print_Area" localSheetId="0">'WA CAP 2024'!$A$1:$R$156</definedName>
    <definedName name="_xlnm.Print_Area" localSheetId="28">'WACAP 2016'!$A$1:$F$147</definedName>
    <definedName name="_xlnm.Print_Area" localSheetId="25">'WACAP 2017'!$A$1:$R$161</definedName>
    <definedName name="_xlnm.Print_Area" localSheetId="20">'WACAP 2018'!$A$1:$R$161</definedName>
    <definedName name="_xlnm.Print_Area" localSheetId="15">'WACAP 2019'!$A$1:$S$194</definedName>
    <definedName name="_xlnm.Print_Area" localSheetId="13">'WACAP 2020'!$A$2:$Q$174</definedName>
    <definedName name="_xlnm.Print_Area" localSheetId="10">'WACAP 2021'!$A$1:$R$166</definedName>
    <definedName name="_xlnm.Print_Area" localSheetId="6">'WACAP 2022'!$A$1:$R$166</definedName>
    <definedName name="_xlnm.Print_Area" localSheetId="30">'WACAP2016 (original)'!$A$1:$N$123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65" i="32" l="1"/>
  <c r="R12" i="32"/>
  <c r="Q48" i="32"/>
  <c r="Q39" i="32"/>
  <c r="Q21" i="32"/>
  <c r="Q12" i="32"/>
  <c r="D16" i="34" l="1"/>
  <c r="O18" i="34" l="1"/>
  <c r="D30" i="32" l="1"/>
  <c r="D39" i="32"/>
  <c r="D48" i="32"/>
  <c r="D58" i="32"/>
  <c r="D139" i="34"/>
  <c r="O138" i="34"/>
  <c r="D138" i="34"/>
  <c r="D137" i="34"/>
  <c r="D136" i="34"/>
  <c r="D135" i="34"/>
  <c r="D134" i="34"/>
  <c r="D130" i="34"/>
  <c r="D131" i="34" s="1"/>
  <c r="D129" i="34"/>
  <c r="D128" i="34"/>
  <c r="O124" i="34"/>
  <c r="P59" i="32" s="1"/>
  <c r="E124" i="34"/>
  <c r="O123" i="34"/>
  <c r="P58" i="32" s="1"/>
  <c r="Q121" i="34"/>
  <c r="Q122" i="34" s="1"/>
  <c r="P121" i="34"/>
  <c r="P122" i="34" s="1"/>
  <c r="N121" i="34"/>
  <c r="N122" i="34" s="1"/>
  <c r="M121" i="34"/>
  <c r="M122" i="34" s="1"/>
  <c r="L121" i="34"/>
  <c r="L122" i="34" s="1"/>
  <c r="K121" i="34"/>
  <c r="K122" i="34" s="1"/>
  <c r="J121" i="34"/>
  <c r="J122" i="34" s="1"/>
  <c r="I121" i="34"/>
  <c r="I122" i="34" s="1"/>
  <c r="H121" i="34"/>
  <c r="H122" i="34" s="1"/>
  <c r="G121" i="34"/>
  <c r="G122" i="34" s="1"/>
  <c r="F121" i="34"/>
  <c r="F122" i="34" s="1"/>
  <c r="E121" i="34"/>
  <c r="E122" i="34" s="1"/>
  <c r="D121" i="34"/>
  <c r="M120" i="34"/>
  <c r="L120" i="34"/>
  <c r="K120" i="34"/>
  <c r="E120" i="34"/>
  <c r="V119" i="34"/>
  <c r="Q119" i="34"/>
  <c r="Q120" i="34" s="1"/>
  <c r="P119" i="34"/>
  <c r="P120" i="34" s="1"/>
  <c r="N119" i="34"/>
  <c r="N120" i="34" s="1"/>
  <c r="M119" i="34"/>
  <c r="L119" i="34"/>
  <c r="K119" i="34"/>
  <c r="J119" i="34"/>
  <c r="J120" i="34" s="1"/>
  <c r="I119" i="34"/>
  <c r="I120" i="34" s="1"/>
  <c r="H119" i="34"/>
  <c r="H120" i="34" s="1"/>
  <c r="G119" i="34"/>
  <c r="G120" i="34" s="1"/>
  <c r="F119" i="34"/>
  <c r="F120" i="34" s="1"/>
  <c r="E119" i="34"/>
  <c r="D119" i="34"/>
  <c r="V118" i="34"/>
  <c r="W115" i="34"/>
  <c r="Z115" i="34" s="1"/>
  <c r="V115" i="34"/>
  <c r="V114" i="34"/>
  <c r="E111" i="34"/>
  <c r="Q109" i="34"/>
  <c r="Q110" i="34" s="1"/>
  <c r="P109" i="34"/>
  <c r="N109" i="34"/>
  <c r="M109" i="34"/>
  <c r="L109" i="34"/>
  <c r="K109" i="34"/>
  <c r="J109" i="34"/>
  <c r="I109" i="34"/>
  <c r="H109" i="34"/>
  <c r="G109" i="34"/>
  <c r="F109" i="34"/>
  <c r="E109" i="34"/>
  <c r="Q108" i="34"/>
  <c r="H108" i="34"/>
  <c r="Q107" i="34"/>
  <c r="P107" i="34"/>
  <c r="N107" i="34"/>
  <c r="M107" i="34"/>
  <c r="L107" i="34"/>
  <c r="K107" i="34"/>
  <c r="J107" i="34"/>
  <c r="I107" i="34"/>
  <c r="H107" i="34"/>
  <c r="G107" i="34"/>
  <c r="F107" i="34"/>
  <c r="E107" i="34"/>
  <c r="X106" i="34"/>
  <c r="W106" i="34"/>
  <c r="Z106" i="34" s="1"/>
  <c r="V106" i="34"/>
  <c r="Q106" i="34"/>
  <c r="P106" i="34"/>
  <c r="N106" i="34"/>
  <c r="N108" i="34" s="1"/>
  <c r="M106" i="34"/>
  <c r="L106" i="34"/>
  <c r="L108" i="34" s="1"/>
  <c r="K106" i="34"/>
  <c r="K108" i="34" s="1"/>
  <c r="J106" i="34"/>
  <c r="J108" i="34" s="1"/>
  <c r="I106" i="34"/>
  <c r="I108" i="34" s="1"/>
  <c r="H106" i="34"/>
  <c r="G106" i="34"/>
  <c r="F106" i="34"/>
  <c r="F108" i="34" s="1"/>
  <c r="E106" i="34"/>
  <c r="X105" i="34"/>
  <c r="V107" i="34" s="1"/>
  <c r="V105" i="34" s="1"/>
  <c r="W105" i="34"/>
  <c r="Z105" i="34" s="1"/>
  <c r="X104" i="34"/>
  <c r="W104" i="34"/>
  <c r="V104" i="34"/>
  <c r="X103" i="34"/>
  <c r="Z103" i="34" s="1"/>
  <c r="W103" i="34"/>
  <c r="V103" i="34"/>
  <c r="O98" i="34"/>
  <c r="E98" i="34"/>
  <c r="O97" i="34"/>
  <c r="Q95" i="34"/>
  <c r="Q96" i="34" s="1"/>
  <c r="P95" i="34"/>
  <c r="P96" i="34" s="1"/>
  <c r="N95" i="34"/>
  <c r="N96" i="34" s="1"/>
  <c r="M95" i="34"/>
  <c r="M96" i="34" s="1"/>
  <c r="L95" i="34"/>
  <c r="L96" i="34" s="1"/>
  <c r="K95" i="34"/>
  <c r="K96" i="34" s="1"/>
  <c r="J95" i="34"/>
  <c r="J96" i="34" s="1"/>
  <c r="J97" i="34" s="1"/>
  <c r="I95" i="34"/>
  <c r="I96" i="34" s="1"/>
  <c r="H95" i="34"/>
  <c r="H96" i="34" s="1"/>
  <c r="G95" i="34"/>
  <c r="G96" i="34" s="1"/>
  <c r="F95" i="34"/>
  <c r="F96" i="34" s="1"/>
  <c r="E95" i="34"/>
  <c r="E96" i="34" s="1"/>
  <c r="D95" i="34"/>
  <c r="F94" i="34"/>
  <c r="E94" i="34"/>
  <c r="N93" i="34"/>
  <c r="M93" i="34"/>
  <c r="M94" i="34" s="1"/>
  <c r="K93" i="34"/>
  <c r="J93" i="34"/>
  <c r="F93" i="34"/>
  <c r="E93" i="34"/>
  <c r="Q92" i="34"/>
  <c r="Q94" i="34" s="1"/>
  <c r="P92" i="34"/>
  <c r="Q93" i="34" s="1"/>
  <c r="N92" i="34"/>
  <c r="P93" i="34" s="1"/>
  <c r="M92" i="34"/>
  <c r="L92" i="34"/>
  <c r="K92" i="34"/>
  <c r="J92" i="34"/>
  <c r="J94" i="34" s="1"/>
  <c r="I92" i="34"/>
  <c r="H92" i="34"/>
  <c r="G92" i="34"/>
  <c r="H93" i="34" s="1"/>
  <c r="F92" i="34"/>
  <c r="G93" i="34" s="1"/>
  <c r="G94" i="34" s="1"/>
  <c r="E92" i="34"/>
  <c r="X89" i="34"/>
  <c r="X88" i="34"/>
  <c r="V91" i="34" s="1"/>
  <c r="W88" i="34" s="1"/>
  <c r="V86" i="34"/>
  <c r="W90" i="34" s="1"/>
  <c r="O83" i="34"/>
  <c r="P40" i="32" s="1"/>
  <c r="E83" i="34"/>
  <c r="O82" i="34"/>
  <c r="P39" i="32" s="1"/>
  <c r="Q80" i="34"/>
  <c r="Q81" i="34" s="1"/>
  <c r="P80" i="34"/>
  <c r="P81" i="34" s="1"/>
  <c r="N80" i="34"/>
  <c r="N81" i="34" s="1"/>
  <c r="M80" i="34"/>
  <c r="M81" i="34" s="1"/>
  <c r="L80" i="34"/>
  <c r="L81" i="34" s="1"/>
  <c r="K80" i="34"/>
  <c r="K81" i="34" s="1"/>
  <c r="J80" i="34"/>
  <c r="J81" i="34" s="1"/>
  <c r="I80" i="34"/>
  <c r="I81" i="34" s="1"/>
  <c r="H80" i="34"/>
  <c r="H81" i="34" s="1"/>
  <c r="G80" i="34"/>
  <c r="G81" i="34" s="1"/>
  <c r="F80" i="34"/>
  <c r="F81" i="34" s="1"/>
  <c r="E80" i="34"/>
  <c r="E81" i="34" s="1"/>
  <c r="D80" i="34"/>
  <c r="Q78" i="34"/>
  <c r="Q79" i="34" s="1"/>
  <c r="M78" i="34"/>
  <c r="M79" i="34" s="1"/>
  <c r="L78" i="34"/>
  <c r="J78" i="34"/>
  <c r="J79" i="34" s="1"/>
  <c r="I78" i="34"/>
  <c r="I79" i="34" s="1"/>
  <c r="H78" i="34"/>
  <c r="H79" i="34" s="1"/>
  <c r="E78" i="34"/>
  <c r="E79" i="34" s="1"/>
  <c r="Q77" i="34"/>
  <c r="P77" i="34"/>
  <c r="N77" i="34"/>
  <c r="P78" i="34" s="1"/>
  <c r="P79" i="34" s="1"/>
  <c r="M77" i="34"/>
  <c r="N78" i="34" s="1"/>
  <c r="L77" i="34"/>
  <c r="L79" i="34" s="1"/>
  <c r="K77" i="34"/>
  <c r="J77" i="34"/>
  <c r="K78" i="34" s="1"/>
  <c r="K79" i="34" s="1"/>
  <c r="I77" i="34"/>
  <c r="H77" i="34"/>
  <c r="G77" i="34"/>
  <c r="F77" i="34"/>
  <c r="E77" i="34"/>
  <c r="F78" i="34" s="1"/>
  <c r="X75" i="34"/>
  <c r="Z75" i="34" s="1"/>
  <c r="W75" i="34"/>
  <c r="V75" i="34"/>
  <c r="X74" i="34"/>
  <c r="W74" i="34"/>
  <c r="V74" i="34"/>
  <c r="F74" i="34"/>
  <c r="V73" i="34"/>
  <c r="O68" i="34"/>
  <c r="E68" i="34"/>
  <c r="O67" i="34"/>
  <c r="Q65" i="34"/>
  <c r="Q66" i="34" s="1"/>
  <c r="P65" i="34"/>
  <c r="P66" i="34" s="1"/>
  <c r="P67" i="34" s="1"/>
  <c r="N65" i="34"/>
  <c r="N66" i="34" s="1"/>
  <c r="M65" i="34"/>
  <c r="M66" i="34" s="1"/>
  <c r="L65" i="34"/>
  <c r="L66" i="34" s="1"/>
  <c r="K65" i="34"/>
  <c r="K66" i="34" s="1"/>
  <c r="K67" i="34" s="1"/>
  <c r="J65" i="34"/>
  <c r="J66" i="34" s="1"/>
  <c r="I65" i="34"/>
  <c r="I66" i="34" s="1"/>
  <c r="H65" i="34"/>
  <c r="H66" i="34" s="1"/>
  <c r="G65" i="34"/>
  <c r="G66" i="34" s="1"/>
  <c r="F65" i="34"/>
  <c r="F66" i="34" s="1"/>
  <c r="E65" i="34"/>
  <c r="E66" i="34" s="1"/>
  <c r="D65" i="34"/>
  <c r="V64" i="34"/>
  <c r="W59" i="34" s="1"/>
  <c r="Z59" i="34" s="1"/>
  <c r="N64" i="34"/>
  <c r="I64" i="34"/>
  <c r="F64" i="34"/>
  <c r="F67" i="34" s="1"/>
  <c r="Q63" i="34"/>
  <c r="Q64" i="34" s="1"/>
  <c r="P63" i="34"/>
  <c r="P64" i="34" s="1"/>
  <c r="N63" i="34"/>
  <c r="M63" i="34"/>
  <c r="M64" i="34" s="1"/>
  <c r="L63" i="34"/>
  <c r="L64" i="34" s="1"/>
  <c r="K63" i="34"/>
  <c r="K64" i="34" s="1"/>
  <c r="J63" i="34"/>
  <c r="J64" i="34" s="1"/>
  <c r="I63" i="34"/>
  <c r="H63" i="34"/>
  <c r="H64" i="34" s="1"/>
  <c r="G63" i="34"/>
  <c r="G64" i="34" s="1"/>
  <c r="F63" i="34"/>
  <c r="E63" i="34"/>
  <c r="E64" i="34" s="1"/>
  <c r="V62" i="34"/>
  <c r="W58" i="34" s="1"/>
  <c r="Z58" i="34" s="1"/>
  <c r="W60" i="34"/>
  <c r="Q60" i="34"/>
  <c r="X59" i="34"/>
  <c r="X58" i="34"/>
  <c r="Z57" i="34"/>
  <c r="X57" i="34"/>
  <c r="V61" i="34" s="1"/>
  <c r="W57" i="34" s="1"/>
  <c r="V56" i="34"/>
  <c r="O52" i="34"/>
  <c r="P31" i="32" s="1"/>
  <c r="E52" i="34"/>
  <c r="O51" i="34"/>
  <c r="P30" i="32" s="1"/>
  <c r="Q49" i="34"/>
  <c r="Q50" i="34" s="1"/>
  <c r="P49" i="34"/>
  <c r="P50" i="34" s="1"/>
  <c r="P51" i="34" s="1"/>
  <c r="N49" i="34"/>
  <c r="N50" i="34" s="1"/>
  <c r="M49" i="34"/>
  <c r="M50" i="34" s="1"/>
  <c r="L49" i="34"/>
  <c r="L50" i="34" s="1"/>
  <c r="K49" i="34"/>
  <c r="K50" i="34" s="1"/>
  <c r="J49" i="34"/>
  <c r="J50" i="34" s="1"/>
  <c r="I49" i="34"/>
  <c r="I50" i="34" s="1"/>
  <c r="H49" i="34"/>
  <c r="H50" i="34" s="1"/>
  <c r="G49" i="34"/>
  <c r="G50" i="34" s="1"/>
  <c r="F49" i="34"/>
  <c r="F50" i="34" s="1"/>
  <c r="E49" i="34"/>
  <c r="E50" i="34" s="1"/>
  <c r="E51" i="34" s="1"/>
  <c r="D49" i="34"/>
  <c r="P48" i="34"/>
  <c r="M48" i="34"/>
  <c r="L48" i="34"/>
  <c r="J48" i="34"/>
  <c r="G48" i="34"/>
  <c r="E48" i="34"/>
  <c r="Q47" i="34"/>
  <c r="Q48" i="34" s="1"/>
  <c r="P47" i="34"/>
  <c r="N47" i="34"/>
  <c r="N48" i="34" s="1"/>
  <c r="M47" i="34"/>
  <c r="L47" i="34"/>
  <c r="K47" i="34"/>
  <c r="K48" i="34" s="1"/>
  <c r="J47" i="34"/>
  <c r="I47" i="34"/>
  <c r="I48" i="34" s="1"/>
  <c r="H47" i="34"/>
  <c r="H48" i="34" s="1"/>
  <c r="G47" i="34"/>
  <c r="F47" i="34"/>
  <c r="F48" i="34" s="1"/>
  <c r="E47" i="34"/>
  <c r="W45" i="34"/>
  <c r="Z45" i="34" s="1"/>
  <c r="W44" i="34"/>
  <c r="W46" i="34" s="1"/>
  <c r="Z46" i="34" s="1"/>
  <c r="V44" i="34"/>
  <c r="V46" i="34" s="1"/>
  <c r="O41" i="34"/>
  <c r="P49" i="32" s="1"/>
  <c r="E41" i="34"/>
  <c r="V40" i="34"/>
  <c r="O40" i="34"/>
  <c r="V39" i="34"/>
  <c r="V38" i="34"/>
  <c r="W34" i="34" s="1"/>
  <c r="Z34" i="34" s="1"/>
  <c r="Q38" i="34"/>
  <c r="Q39" i="34" s="1"/>
  <c r="Q40" i="34" s="1"/>
  <c r="P38" i="34"/>
  <c r="P39" i="34" s="1"/>
  <c r="P40" i="34" s="1"/>
  <c r="N38" i="34"/>
  <c r="N39" i="34" s="1"/>
  <c r="N40" i="34" s="1"/>
  <c r="M38" i="34"/>
  <c r="M39" i="34" s="1"/>
  <c r="M40" i="34" s="1"/>
  <c r="L38" i="34"/>
  <c r="L39" i="34" s="1"/>
  <c r="K38" i="34"/>
  <c r="K39" i="34" s="1"/>
  <c r="J38" i="34"/>
  <c r="J39" i="34" s="1"/>
  <c r="I38" i="34"/>
  <c r="I39" i="34" s="1"/>
  <c r="I40" i="34" s="1"/>
  <c r="H38" i="34"/>
  <c r="H39" i="34" s="1"/>
  <c r="H40" i="34" s="1"/>
  <c r="G38" i="34"/>
  <c r="G39" i="34" s="1"/>
  <c r="F38" i="34"/>
  <c r="F39" i="34" s="1"/>
  <c r="F40" i="34" s="1"/>
  <c r="E38" i="34"/>
  <c r="E39" i="34" s="1"/>
  <c r="E40" i="34" s="1"/>
  <c r="E42" i="34" s="1"/>
  <c r="E43" i="34" s="1"/>
  <c r="D38" i="34"/>
  <c r="X37" i="34"/>
  <c r="Q37" i="34"/>
  <c r="P37" i="34"/>
  <c r="N37" i="34"/>
  <c r="M37" i="34"/>
  <c r="L37" i="34"/>
  <c r="K37" i="34"/>
  <c r="J37" i="34"/>
  <c r="I37" i="34"/>
  <c r="H37" i="34"/>
  <c r="G37" i="34"/>
  <c r="F37" i="34"/>
  <c r="E37" i="34"/>
  <c r="W36" i="34"/>
  <c r="Z36" i="34" s="1"/>
  <c r="V36" i="34"/>
  <c r="Z35" i="34"/>
  <c r="W35" i="34"/>
  <c r="V35" i="34"/>
  <c r="V34" i="34"/>
  <c r="V33" i="34"/>
  <c r="O30" i="34"/>
  <c r="E30" i="34"/>
  <c r="V29" i="34"/>
  <c r="W25" i="34" s="1"/>
  <c r="Z25" i="34" s="1"/>
  <c r="O29" i="34"/>
  <c r="V28" i="34"/>
  <c r="V27" i="34"/>
  <c r="Q27" i="34"/>
  <c r="Q28" i="34" s="1"/>
  <c r="P27" i="34"/>
  <c r="P28" i="34" s="1"/>
  <c r="N27" i="34"/>
  <c r="N28" i="34" s="1"/>
  <c r="N29" i="34" s="1"/>
  <c r="M27" i="34"/>
  <c r="M28" i="34" s="1"/>
  <c r="M29" i="34" s="1"/>
  <c r="L27" i="34"/>
  <c r="L28" i="34" s="1"/>
  <c r="K27" i="34"/>
  <c r="K28" i="34" s="1"/>
  <c r="K29" i="34" s="1"/>
  <c r="J27" i="34"/>
  <c r="J28" i="34" s="1"/>
  <c r="J29" i="34" s="1"/>
  <c r="I27" i="34"/>
  <c r="I28" i="34" s="1"/>
  <c r="H27" i="34"/>
  <c r="H28" i="34" s="1"/>
  <c r="G27" i="34"/>
  <c r="G28" i="34" s="1"/>
  <c r="F27" i="34"/>
  <c r="F28" i="34" s="1"/>
  <c r="F29" i="34" s="1"/>
  <c r="E27" i="34"/>
  <c r="E28" i="34" s="1"/>
  <c r="E29" i="34" s="1"/>
  <c r="D27" i="34"/>
  <c r="W26" i="34"/>
  <c r="Z26" i="34" s="1"/>
  <c r="Q26" i="34"/>
  <c r="P26" i="34"/>
  <c r="N26" i="34"/>
  <c r="M26" i="34"/>
  <c r="L26" i="34"/>
  <c r="K26" i="34"/>
  <c r="J26" i="34"/>
  <c r="I26" i="34"/>
  <c r="H26" i="34"/>
  <c r="G26" i="34"/>
  <c r="F26" i="34"/>
  <c r="E26" i="34"/>
  <c r="W24" i="34"/>
  <c r="Z24" i="34" s="1"/>
  <c r="V24" i="34"/>
  <c r="W23" i="34"/>
  <c r="Z23" i="34" s="1"/>
  <c r="V23" i="34"/>
  <c r="V22" i="34"/>
  <c r="V26" i="34" s="1"/>
  <c r="O19" i="34"/>
  <c r="P13" i="32" s="1"/>
  <c r="E19" i="34"/>
  <c r="P12" i="32"/>
  <c r="Q16" i="34"/>
  <c r="Q17" i="34" s="1"/>
  <c r="P16" i="34"/>
  <c r="P17" i="34" s="1"/>
  <c r="N16" i="34"/>
  <c r="N17" i="34" s="1"/>
  <c r="M16" i="34"/>
  <c r="M17" i="34" s="1"/>
  <c r="L16" i="34"/>
  <c r="L17" i="34" s="1"/>
  <c r="K16" i="34"/>
  <c r="K17" i="34" s="1"/>
  <c r="J16" i="34"/>
  <c r="J17" i="34" s="1"/>
  <c r="I16" i="34"/>
  <c r="I17" i="34" s="1"/>
  <c r="H16" i="34"/>
  <c r="H17" i="34" s="1"/>
  <c r="H18" i="34" s="1"/>
  <c r="G16" i="34"/>
  <c r="G17" i="34" s="1"/>
  <c r="F16" i="34"/>
  <c r="F17" i="34" s="1"/>
  <c r="E16" i="34"/>
  <c r="E17" i="34" s="1"/>
  <c r="Q14" i="34"/>
  <c r="J14" i="34"/>
  <c r="I14" i="34"/>
  <c r="H14" i="34"/>
  <c r="E14" i="34"/>
  <c r="E15" i="34" s="1"/>
  <c r="Q13" i="34"/>
  <c r="Q15" i="34" s="1"/>
  <c r="P13" i="34"/>
  <c r="N13" i="34"/>
  <c r="P14" i="34" s="1"/>
  <c r="M13" i="34"/>
  <c r="N14" i="34" s="1"/>
  <c r="L13" i="34"/>
  <c r="M14" i="34" s="1"/>
  <c r="K13" i="34"/>
  <c r="L14" i="34" s="1"/>
  <c r="J13" i="34"/>
  <c r="I13" i="34"/>
  <c r="H13" i="34"/>
  <c r="H15" i="34" s="1"/>
  <c r="G13" i="34"/>
  <c r="F13" i="34"/>
  <c r="G14" i="34" s="1"/>
  <c r="E13" i="34"/>
  <c r="F14" i="34" s="1"/>
  <c r="V9" i="34"/>
  <c r="E6" i="34"/>
  <c r="E128" i="34" s="1"/>
  <c r="P66" i="32" l="1"/>
  <c r="P48" i="32"/>
  <c r="P21" i="32"/>
  <c r="Q67" i="34"/>
  <c r="F110" i="34"/>
  <c r="F138" i="34" s="1"/>
  <c r="N110" i="34"/>
  <c r="N138" i="34" s="1"/>
  <c r="M51" i="34"/>
  <c r="O42" i="34"/>
  <c r="N51" i="34"/>
  <c r="H110" i="34"/>
  <c r="H138" i="34" s="1"/>
  <c r="G51" i="34"/>
  <c r="J110" i="34"/>
  <c r="I51" i="34"/>
  <c r="P123" i="34"/>
  <c r="E123" i="34"/>
  <c r="E139" i="34" s="1"/>
  <c r="Q18" i="34"/>
  <c r="Q135" i="34" s="1"/>
  <c r="Q152" i="34" s="1"/>
  <c r="G97" i="34"/>
  <c r="L67" i="34"/>
  <c r="H67" i="34"/>
  <c r="J67" i="34"/>
  <c r="J123" i="34"/>
  <c r="J139" i="34" s="1"/>
  <c r="E18" i="34"/>
  <c r="I29" i="34"/>
  <c r="I136" i="34" s="1"/>
  <c r="O31" i="34"/>
  <c r="O136" i="34" s="1"/>
  <c r="P22" i="32"/>
  <c r="F51" i="34"/>
  <c r="K110" i="34"/>
  <c r="K138" i="34" s="1"/>
  <c r="H51" i="34"/>
  <c r="N67" i="34"/>
  <c r="M123" i="34"/>
  <c r="M139" i="34" s="1"/>
  <c r="O53" i="34"/>
  <c r="F123" i="34"/>
  <c r="F139" i="34" s="1"/>
  <c r="N123" i="34"/>
  <c r="N139" i="34" s="1"/>
  <c r="E67" i="34"/>
  <c r="E69" i="34" s="1"/>
  <c r="E70" i="34" s="1"/>
  <c r="F68" i="34" s="1"/>
  <c r="F69" i="34" s="1"/>
  <c r="F70" i="34" s="1"/>
  <c r="M67" i="34"/>
  <c r="G123" i="34"/>
  <c r="G139" i="34" s="1"/>
  <c r="G29" i="34"/>
  <c r="P29" i="34"/>
  <c r="P136" i="34" s="1"/>
  <c r="K51" i="34"/>
  <c r="J51" i="34"/>
  <c r="O84" i="34"/>
  <c r="H123" i="34"/>
  <c r="H139" i="34" s="1"/>
  <c r="I67" i="34"/>
  <c r="L40" i="34"/>
  <c r="F97" i="34"/>
  <c r="I110" i="34"/>
  <c r="I138" i="34" s="1"/>
  <c r="I123" i="34"/>
  <c r="I139" i="34" s="1"/>
  <c r="Q97" i="34"/>
  <c r="E82" i="34"/>
  <c r="E84" i="34" s="1"/>
  <c r="E85" i="34" s="1"/>
  <c r="F83" i="34" s="1"/>
  <c r="H82" i="34"/>
  <c r="K82" i="34"/>
  <c r="I82" i="34"/>
  <c r="L82" i="34"/>
  <c r="M82" i="34"/>
  <c r="F41" i="34"/>
  <c r="F42" i="34" s="1"/>
  <c r="F43" i="34" s="1"/>
  <c r="Z37" i="34"/>
  <c r="F136" i="34"/>
  <c r="E136" i="34"/>
  <c r="E31" i="34"/>
  <c r="E32" i="34" s="1"/>
  <c r="H94" i="34"/>
  <c r="H97" i="34" s="1"/>
  <c r="I93" i="34"/>
  <c r="I94" i="34" s="1"/>
  <c r="I97" i="34" s="1"/>
  <c r="N136" i="34"/>
  <c r="G40" i="34"/>
  <c r="H29" i="34"/>
  <c r="R29" i="34" s="1"/>
  <c r="Q29" i="34"/>
  <c r="Q51" i="34"/>
  <c r="Q138" i="34"/>
  <c r="Q155" i="34" s="1"/>
  <c r="G15" i="34"/>
  <c r="G18" i="34" s="1"/>
  <c r="F15" i="34"/>
  <c r="F18" i="34" s="1"/>
  <c r="J40" i="34"/>
  <c r="V92" i="34"/>
  <c r="P139" i="34"/>
  <c r="W11" i="34"/>
  <c r="Z11" i="34" s="1"/>
  <c r="W10" i="34"/>
  <c r="Z10" i="34" s="1"/>
  <c r="V10" i="34"/>
  <c r="V11" i="34"/>
  <c r="H135" i="34"/>
  <c r="X60" i="34"/>
  <c r="Z60" i="34" s="1"/>
  <c r="X90" i="34"/>
  <c r="Z90" i="34" s="1"/>
  <c r="M15" i="34"/>
  <c r="M18" i="34" s="1"/>
  <c r="K40" i="34"/>
  <c r="K136" i="34" s="1"/>
  <c r="G78" i="34"/>
  <c r="G79" i="34" s="1"/>
  <c r="G82" i="34" s="1"/>
  <c r="F79" i="34"/>
  <c r="F82" i="34" s="1"/>
  <c r="P82" i="34"/>
  <c r="M97" i="34"/>
  <c r="W117" i="34"/>
  <c r="Z117" i="34" s="1"/>
  <c r="V117" i="34"/>
  <c r="E53" i="34"/>
  <c r="E54" i="34" s="1"/>
  <c r="I15" i="34"/>
  <c r="I18" i="34" s="1"/>
  <c r="N15" i="34"/>
  <c r="N18" i="34" s="1"/>
  <c r="L29" i="34"/>
  <c r="L51" i="34"/>
  <c r="G67" i="34"/>
  <c r="O69" i="34"/>
  <c r="Q82" i="34"/>
  <c r="J138" i="34"/>
  <c r="M136" i="34"/>
  <c r="P15" i="34"/>
  <c r="P18" i="34" s="1"/>
  <c r="J15" i="34"/>
  <c r="J18" i="34" s="1"/>
  <c r="V37" i="34"/>
  <c r="W37" i="34"/>
  <c r="N79" i="34"/>
  <c r="N82" i="34" s="1"/>
  <c r="E97" i="34"/>
  <c r="L15" i="34"/>
  <c r="L18" i="34" s="1"/>
  <c r="O129" i="34"/>
  <c r="V45" i="34"/>
  <c r="Z88" i="34"/>
  <c r="P94" i="34"/>
  <c r="P97" i="34" s="1"/>
  <c r="L123" i="34"/>
  <c r="L110" i="34"/>
  <c r="K14" i="34"/>
  <c r="K15" i="34" s="1"/>
  <c r="K18" i="34" s="1"/>
  <c r="Z74" i="34"/>
  <c r="V90" i="34"/>
  <c r="E108" i="34"/>
  <c r="E110" i="34" s="1"/>
  <c r="M108" i="34"/>
  <c r="M110" i="34" s="1"/>
  <c r="E130" i="34"/>
  <c r="O20" i="34"/>
  <c r="O135" i="34" s="1"/>
  <c r="V25" i="34"/>
  <c r="V60" i="34"/>
  <c r="V58" i="34"/>
  <c r="X87" i="34"/>
  <c r="K94" i="34"/>
  <c r="K97" i="34" s="1"/>
  <c r="L93" i="34"/>
  <c r="O99" i="34"/>
  <c r="Q123" i="34"/>
  <c r="V57" i="34"/>
  <c r="V59" i="34" s="1"/>
  <c r="L94" i="34"/>
  <c r="L97" i="34" s="1"/>
  <c r="G108" i="34"/>
  <c r="G110" i="34" s="1"/>
  <c r="P108" i="34"/>
  <c r="P110" i="34" s="1"/>
  <c r="W116" i="34"/>
  <c r="Z116" i="34" s="1"/>
  <c r="V116" i="34"/>
  <c r="O130" i="34"/>
  <c r="O132" i="34" s="1"/>
  <c r="V88" i="34"/>
  <c r="E125" i="34"/>
  <c r="E126" i="34" s="1"/>
  <c r="F6" i="34"/>
  <c r="J82" i="34"/>
  <c r="N94" i="34"/>
  <c r="N97" i="34" s="1"/>
  <c r="Z104" i="34"/>
  <c r="K123" i="34"/>
  <c r="O125" i="34"/>
  <c r="O139" i="34" s="1"/>
  <c r="E20" i="34" l="1"/>
  <c r="E21" i="34" s="1"/>
  <c r="F19" i="34" s="1"/>
  <c r="F20" i="34" s="1"/>
  <c r="F21" i="34" s="1"/>
  <c r="R18" i="34"/>
  <c r="R40" i="34"/>
  <c r="G136" i="34"/>
  <c r="E135" i="34"/>
  <c r="E129" i="34"/>
  <c r="E134" i="34" s="1"/>
  <c r="K137" i="34"/>
  <c r="O137" i="34"/>
  <c r="R51" i="34"/>
  <c r="R67" i="34"/>
  <c r="I137" i="34"/>
  <c r="M137" i="34"/>
  <c r="F84" i="34"/>
  <c r="F85" i="34" s="1"/>
  <c r="G83" i="34" s="1"/>
  <c r="H137" i="34"/>
  <c r="P137" i="34"/>
  <c r="G68" i="34"/>
  <c r="G69" i="34" s="1"/>
  <c r="G70" i="34" s="1"/>
  <c r="G41" i="34"/>
  <c r="G42" i="34" s="1"/>
  <c r="G43" i="34" s="1"/>
  <c r="K135" i="34"/>
  <c r="K129" i="34"/>
  <c r="K134" i="34" s="1"/>
  <c r="F124" i="34"/>
  <c r="V76" i="34"/>
  <c r="H136" i="34"/>
  <c r="R97" i="34"/>
  <c r="E99" i="34"/>
  <c r="E100" i="34" s="1"/>
  <c r="R82" i="34"/>
  <c r="N129" i="34"/>
  <c r="N134" i="34" s="1"/>
  <c r="N135" i="34"/>
  <c r="G138" i="34"/>
  <c r="F30" i="34"/>
  <c r="F52" i="34"/>
  <c r="M129" i="34"/>
  <c r="M134" i="34" s="1"/>
  <c r="M135" i="34"/>
  <c r="G129" i="34"/>
  <c r="G134" i="34" s="1"/>
  <c r="G135" i="34"/>
  <c r="Q137" i="34"/>
  <c r="Q154" i="34" s="1"/>
  <c r="W89" i="34"/>
  <c r="Z89" i="34" s="1"/>
  <c r="V89" i="34"/>
  <c r="I135" i="34"/>
  <c r="I129" i="34"/>
  <c r="I134" i="34" s="1"/>
  <c r="H129" i="34"/>
  <c r="H134" i="34" s="1"/>
  <c r="Q139" i="34"/>
  <c r="Q156" i="34" s="1"/>
  <c r="J135" i="34"/>
  <c r="J129" i="34"/>
  <c r="J134" i="34" s="1"/>
  <c r="P129" i="34"/>
  <c r="P134" i="34" s="1"/>
  <c r="P135" i="34"/>
  <c r="E137" i="34"/>
  <c r="G137" i="34"/>
  <c r="N137" i="34"/>
  <c r="Q129" i="34"/>
  <c r="Q134" i="34" s="1"/>
  <c r="Q151" i="34" s="1"/>
  <c r="E112" i="34"/>
  <c r="E113" i="34" s="1"/>
  <c r="E138" i="34"/>
  <c r="R110" i="34"/>
  <c r="F129" i="34"/>
  <c r="F134" i="34" s="1"/>
  <c r="F135" i="34"/>
  <c r="O134" i="34"/>
  <c r="L135" i="34"/>
  <c r="L129" i="34"/>
  <c r="L134" i="34" s="1"/>
  <c r="F137" i="34"/>
  <c r="J137" i="34"/>
  <c r="L138" i="34"/>
  <c r="K139" i="34"/>
  <c r="S139" i="34" s="1"/>
  <c r="L136" i="34"/>
  <c r="R123" i="34"/>
  <c r="F128" i="34"/>
  <c r="G6" i="34"/>
  <c r="P138" i="34"/>
  <c r="M138" i="34"/>
  <c r="L139" i="34"/>
  <c r="L137" i="34"/>
  <c r="J136" i="34"/>
  <c r="Q136" i="34"/>
  <c r="Q153" i="34" s="1"/>
  <c r="S136" i="34" l="1"/>
  <c r="S135" i="34"/>
  <c r="E131" i="34"/>
  <c r="H41" i="34"/>
  <c r="G19" i="34"/>
  <c r="H68" i="34"/>
  <c r="H69" i="34" s="1"/>
  <c r="H70" i="34" s="1"/>
  <c r="R129" i="34"/>
  <c r="G84" i="34"/>
  <c r="G85" i="34" s="1"/>
  <c r="S138" i="34"/>
  <c r="F53" i="34"/>
  <c r="F54" i="34" s="1"/>
  <c r="W87" i="34"/>
  <c r="Z87" i="34" s="1"/>
  <c r="V87" i="34"/>
  <c r="S137" i="34"/>
  <c r="F111" i="34"/>
  <c r="F98" i="34"/>
  <c r="S134" i="34"/>
  <c r="G128" i="34"/>
  <c r="H6" i="34"/>
  <c r="F31" i="34"/>
  <c r="F32" i="34" s="1"/>
  <c r="F125" i="34"/>
  <c r="F126" i="34" s="1"/>
  <c r="I68" i="34" l="1"/>
  <c r="F99" i="34"/>
  <c r="F100" i="34" s="1"/>
  <c r="G30" i="34"/>
  <c r="G20" i="34"/>
  <c r="G21" i="34" s="1"/>
  <c r="H128" i="34"/>
  <c r="I6" i="34"/>
  <c r="F112" i="34"/>
  <c r="F113" i="34" s="1"/>
  <c r="G52" i="34"/>
  <c r="G124" i="34"/>
  <c r="F130" i="34"/>
  <c r="F131" i="34" s="1"/>
  <c r="H83" i="34"/>
  <c r="H42" i="34"/>
  <c r="H43" i="34" s="1"/>
  <c r="H19" i="34" l="1"/>
  <c r="I69" i="34"/>
  <c r="I70" i="34" s="1"/>
  <c r="G125" i="34"/>
  <c r="G126" i="34" s="1"/>
  <c r="G53" i="34"/>
  <c r="G54" i="34" s="1"/>
  <c r="I41" i="34"/>
  <c r="G111" i="34"/>
  <c r="G98" i="34"/>
  <c r="G130" i="34" s="1"/>
  <c r="G131" i="34" s="1"/>
  <c r="G31" i="34"/>
  <c r="G32" i="34" s="1"/>
  <c r="H84" i="34"/>
  <c r="H85" i="34" s="1"/>
  <c r="I128" i="34"/>
  <c r="J6" i="34"/>
  <c r="I42" i="34" l="1"/>
  <c r="I43" i="34" s="1"/>
  <c r="I83" i="34"/>
  <c r="I84" i="34" s="1"/>
  <c r="I85" i="34" s="1"/>
  <c r="H30" i="34"/>
  <c r="H52" i="34"/>
  <c r="G99" i="34"/>
  <c r="G100" i="34" s="1"/>
  <c r="H124" i="34"/>
  <c r="J128" i="34"/>
  <c r="K6" i="34"/>
  <c r="G112" i="34"/>
  <c r="G113" i="34" s="1"/>
  <c r="J68" i="34"/>
  <c r="J69" i="34" s="1"/>
  <c r="J70" i="34" s="1"/>
  <c r="H20" i="34"/>
  <c r="H21" i="34" s="1"/>
  <c r="J83" i="34" l="1"/>
  <c r="J84" i="34" s="1"/>
  <c r="J85" i="34" s="1"/>
  <c r="H98" i="34"/>
  <c r="I19" i="34"/>
  <c r="K68" i="34"/>
  <c r="K69" i="34" s="1"/>
  <c r="K70" i="34" s="1"/>
  <c r="J41" i="34"/>
  <c r="H53" i="34"/>
  <c r="H54" i="34" s="1"/>
  <c r="H111" i="34"/>
  <c r="H130" i="34" s="1"/>
  <c r="H131" i="34" s="1"/>
  <c r="K128" i="34"/>
  <c r="L6" i="34"/>
  <c r="H31" i="34"/>
  <c r="H32" i="34" s="1"/>
  <c r="H125" i="34"/>
  <c r="H126" i="34" s="1"/>
  <c r="L68" i="34" l="1"/>
  <c r="L69" i="34" s="1"/>
  <c r="L70" i="34" s="1"/>
  <c r="K83" i="34"/>
  <c r="K84" i="34" s="1"/>
  <c r="K85" i="34" s="1"/>
  <c r="H112" i="34"/>
  <c r="H113" i="34" s="1"/>
  <c r="I20" i="34"/>
  <c r="I21" i="34" s="1"/>
  <c r="L128" i="34"/>
  <c r="M6" i="34"/>
  <c r="I124" i="34"/>
  <c r="I52" i="34"/>
  <c r="I53" i="34" s="1"/>
  <c r="I54" i="34" s="1"/>
  <c r="H99" i="34"/>
  <c r="H100" i="34" s="1"/>
  <c r="I30" i="34"/>
  <c r="I31" i="34" s="1"/>
  <c r="I32" i="34" s="1"/>
  <c r="J42" i="34"/>
  <c r="J43" i="34" s="1"/>
  <c r="J52" i="34" l="1"/>
  <c r="J53" i="34" s="1"/>
  <c r="J54" i="34" s="1"/>
  <c r="J30" i="34"/>
  <c r="J31" i="34" s="1"/>
  <c r="J32" i="34" s="1"/>
  <c r="L83" i="34"/>
  <c r="L84" i="34" s="1"/>
  <c r="L85" i="34" s="1"/>
  <c r="I98" i="34"/>
  <c r="K41" i="34"/>
  <c r="K42" i="34" s="1"/>
  <c r="K43" i="34" s="1"/>
  <c r="J19" i="34"/>
  <c r="I125" i="34"/>
  <c r="I126" i="34" s="1"/>
  <c r="I111" i="34"/>
  <c r="I112" i="34" s="1"/>
  <c r="I113" i="34" s="1"/>
  <c r="M128" i="34"/>
  <c r="N6" i="34"/>
  <c r="M68" i="34"/>
  <c r="M69" i="34" s="1"/>
  <c r="M70" i="34" s="1"/>
  <c r="N68" i="34" l="1"/>
  <c r="N69" i="34" s="1"/>
  <c r="N70" i="34" s="1"/>
  <c r="O70" i="34" s="1"/>
  <c r="M83" i="34"/>
  <c r="M84" i="34" s="1"/>
  <c r="M85" i="34" s="1"/>
  <c r="K30" i="34"/>
  <c r="K31" i="34" s="1"/>
  <c r="K32" i="34" s="1"/>
  <c r="J111" i="34"/>
  <c r="J112" i="34" s="1"/>
  <c r="J113" i="34" s="1"/>
  <c r="K52" i="34"/>
  <c r="K53" i="34" s="1"/>
  <c r="K54" i="34" s="1"/>
  <c r="J20" i="34"/>
  <c r="J21" i="34" s="1"/>
  <c r="L41" i="34"/>
  <c r="L42" i="34" s="1"/>
  <c r="L43" i="34" s="1"/>
  <c r="I99" i="34"/>
  <c r="I100" i="34" s="1"/>
  <c r="J124" i="34"/>
  <c r="I130" i="34"/>
  <c r="I131" i="34" s="1"/>
  <c r="N128" i="34"/>
  <c r="P6" i="34"/>
  <c r="L52" i="34" l="1"/>
  <c r="L53" i="34" s="1"/>
  <c r="L54" i="34" s="1"/>
  <c r="L30" i="34"/>
  <c r="L31" i="34" s="1"/>
  <c r="L32" i="34" s="1"/>
  <c r="N83" i="34"/>
  <c r="N84" i="34" s="1"/>
  <c r="N85" i="34" s="1"/>
  <c r="O85" i="34" s="1"/>
  <c r="P68" i="34"/>
  <c r="P69" i="34" s="1"/>
  <c r="P70" i="34" s="1"/>
  <c r="J98" i="34"/>
  <c r="J130" i="34" s="1"/>
  <c r="J131" i="34" s="1"/>
  <c r="K111" i="34"/>
  <c r="K112" i="34" s="1"/>
  <c r="K113" i="34" s="1"/>
  <c r="M41" i="34"/>
  <c r="M42" i="34" s="1"/>
  <c r="M43" i="34" s="1"/>
  <c r="P128" i="34"/>
  <c r="Q6" i="34"/>
  <c r="J125" i="34"/>
  <c r="J126" i="34" s="1"/>
  <c r="K19" i="34"/>
  <c r="M30" i="34" l="1"/>
  <c r="M31" i="34" s="1"/>
  <c r="M32" i="34" s="1"/>
  <c r="N41" i="34"/>
  <c r="N42" i="34" s="1"/>
  <c r="N43" i="34" s="1"/>
  <c r="O43" i="34" s="1"/>
  <c r="L111" i="34"/>
  <c r="L112" i="34" s="1"/>
  <c r="L113" i="34" s="1"/>
  <c r="Q68" i="34"/>
  <c r="P83" i="34"/>
  <c r="P84" i="34" s="1"/>
  <c r="P85" i="34" s="1"/>
  <c r="M52" i="34"/>
  <c r="M53" i="34" s="1"/>
  <c r="M54" i="34" s="1"/>
  <c r="K20" i="34"/>
  <c r="K21" i="34" s="1"/>
  <c r="K124" i="34"/>
  <c r="K125" i="34" s="1"/>
  <c r="K126" i="34" s="1"/>
  <c r="J99" i="34"/>
  <c r="J100" i="34" s="1"/>
  <c r="C4" i="34"/>
  <c r="Q128" i="34"/>
  <c r="M111" i="34" l="1"/>
  <c r="M112" i="34" s="1"/>
  <c r="M113" i="34" s="1"/>
  <c r="L124" i="34"/>
  <c r="L125" i="34" s="1"/>
  <c r="L126" i="34" s="1"/>
  <c r="N30" i="34"/>
  <c r="N31" i="34" s="1"/>
  <c r="N32" i="34" s="1"/>
  <c r="O32" i="34" s="1"/>
  <c r="L19" i="34"/>
  <c r="P41" i="34"/>
  <c r="P42" i="34" s="1"/>
  <c r="P43" i="34" s="1"/>
  <c r="K98" i="34"/>
  <c r="Q83" i="34"/>
  <c r="N52" i="34"/>
  <c r="N53" i="34" s="1"/>
  <c r="N54" i="34" s="1"/>
  <c r="O54" i="34" s="1"/>
  <c r="Q69" i="34"/>
  <c r="Q70" i="34" s="1"/>
  <c r="R68" i="34"/>
  <c r="R69" i="34" s="1"/>
  <c r="Q41" i="34" l="1"/>
  <c r="P30" i="34"/>
  <c r="P31" i="34" s="1"/>
  <c r="P32" i="34" s="1"/>
  <c r="P52" i="34"/>
  <c r="P53" i="34" s="1"/>
  <c r="P54" i="34" s="1"/>
  <c r="N111" i="34"/>
  <c r="N112" i="34" s="1"/>
  <c r="N113" i="34" s="1"/>
  <c r="O113" i="34" s="1"/>
  <c r="L20" i="34"/>
  <c r="L21" i="34" s="1"/>
  <c r="K99" i="34"/>
  <c r="K100" i="34" s="1"/>
  <c r="K130" i="34"/>
  <c r="K131" i="34" s="1"/>
  <c r="M124" i="34"/>
  <c r="M125" i="34" s="1"/>
  <c r="M126" i="34" s="1"/>
  <c r="Q84" i="34"/>
  <c r="Q85" i="34" s="1"/>
  <c r="R83" i="34"/>
  <c r="R84" i="34" s="1"/>
  <c r="P111" i="34" l="1"/>
  <c r="P112" i="34" s="1"/>
  <c r="P113" i="34" s="1"/>
  <c r="Q52" i="34"/>
  <c r="Q30" i="34"/>
  <c r="L98" i="34"/>
  <c r="Q42" i="34"/>
  <c r="Q43" i="34" s="1"/>
  <c r="R41" i="34"/>
  <c r="R42" i="34" s="1"/>
  <c r="N124" i="34"/>
  <c r="N125" i="34" s="1"/>
  <c r="N126" i="34" s="1"/>
  <c r="O126" i="34" s="1"/>
  <c r="M19" i="34"/>
  <c r="Q111" i="34" l="1"/>
  <c r="M20" i="34"/>
  <c r="M21" i="34" s="1"/>
  <c r="Q31" i="34"/>
  <c r="Q32" i="34" s="1"/>
  <c r="R30" i="34"/>
  <c r="R31" i="34" s="1"/>
  <c r="Q53" i="34"/>
  <c r="Q54" i="34" s="1"/>
  <c r="R52" i="34"/>
  <c r="R53" i="34" s="1"/>
  <c r="P124" i="34"/>
  <c r="P125" i="34" s="1"/>
  <c r="P126" i="34" s="1"/>
  <c r="L99" i="34"/>
  <c r="L100" i="34" s="1"/>
  <c r="L130" i="34"/>
  <c r="L131" i="34" s="1"/>
  <c r="Q124" i="34" l="1"/>
  <c r="N19" i="34"/>
  <c r="M98" i="34"/>
  <c r="Q112" i="34"/>
  <c r="Q113" i="34" s="1"/>
  <c r="R111" i="34"/>
  <c r="R112" i="34" s="1"/>
  <c r="M99" i="34" l="1"/>
  <c r="M100" i="34" s="1"/>
  <c r="M130" i="34"/>
  <c r="M131" i="34" s="1"/>
  <c r="Q125" i="34"/>
  <c r="Q126" i="34" s="1"/>
  <c r="R124" i="34"/>
  <c r="R125" i="34" s="1"/>
  <c r="N20" i="34"/>
  <c r="N21" i="34" s="1"/>
  <c r="O21" i="34" s="1"/>
  <c r="P19" i="34" l="1"/>
  <c r="N98" i="34"/>
  <c r="P20" i="34" l="1"/>
  <c r="P21" i="34" s="1"/>
  <c r="N99" i="34"/>
  <c r="N100" i="34" s="1"/>
  <c r="O100" i="34" s="1"/>
  <c r="N130" i="34"/>
  <c r="N131" i="34" s="1"/>
  <c r="O131" i="34" s="1"/>
  <c r="P98" i="34" l="1"/>
  <c r="Q19" i="34"/>
  <c r="P99" i="34" l="1"/>
  <c r="P100" i="34" s="1"/>
  <c r="P130" i="34"/>
  <c r="P131" i="34" s="1"/>
  <c r="Q20" i="34"/>
  <c r="Q21" i="34" s="1"/>
  <c r="R19" i="34"/>
  <c r="R20" i="34" l="1"/>
  <c r="Q98" i="34"/>
  <c r="Q130" i="34" s="1"/>
  <c r="Q99" i="34" l="1"/>
  <c r="Q100" i="34" s="1"/>
  <c r="R98" i="34"/>
  <c r="Q131" i="34"/>
  <c r="R99" i="34" l="1"/>
  <c r="R130" i="34"/>
  <c r="R131" i="34" s="1"/>
  <c r="D37" i="32" l="1"/>
  <c r="D12" i="32"/>
  <c r="R15" i="33" l="1"/>
  <c r="R13" i="33"/>
  <c r="R11" i="33"/>
  <c r="R9" i="33"/>
  <c r="R7" i="33"/>
  <c r="Q65" i="32"/>
  <c r="R58" i="32"/>
  <c r="O58" i="32"/>
  <c r="N58" i="32"/>
  <c r="M58" i="32"/>
  <c r="L58" i="32"/>
  <c r="K58" i="32"/>
  <c r="J58" i="32"/>
  <c r="I58" i="32"/>
  <c r="H58" i="32"/>
  <c r="G58" i="32"/>
  <c r="F58" i="32"/>
  <c r="E58" i="32"/>
  <c r="R48" i="32"/>
  <c r="O48" i="32"/>
  <c r="N48" i="32"/>
  <c r="M48" i="32"/>
  <c r="L48" i="32"/>
  <c r="K48" i="32"/>
  <c r="J48" i="32"/>
  <c r="I48" i="32"/>
  <c r="H48" i="32"/>
  <c r="G48" i="32"/>
  <c r="F48" i="32"/>
  <c r="E48" i="32"/>
  <c r="D46" i="32"/>
  <c r="R39" i="32"/>
  <c r="O39" i="32"/>
  <c r="N39" i="32"/>
  <c r="M39" i="32"/>
  <c r="L39" i="32"/>
  <c r="K39" i="32"/>
  <c r="J39" i="32"/>
  <c r="I39" i="32"/>
  <c r="H39" i="32"/>
  <c r="G39" i="32"/>
  <c r="F39" i="32"/>
  <c r="E39" i="32"/>
  <c r="R30" i="32"/>
  <c r="O30" i="32"/>
  <c r="N30" i="32"/>
  <c r="M30" i="32"/>
  <c r="L30" i="32"/>
  <c r="K30" i="32"/>
  <c r="J30" i="32"/>
  <c r="I30" i="32"/>
  <c r="H30" i="32"/>
  <c r="G30" i="32"/>
  <c r="F30" i="32"/>
  <c r="E30" i="32"/>
  <c r="D65" i="32"/>
  <c r="D28" i="32"/>
  <c r="P23" i="32"/>
  <c r="R21" i="32"/>
  <c r="O21" i="32"/>
  <c r="N21" i="32"/>
  <c r="M21" i="32"/>
  <c r="L21" i="32"/>
  <c r="K21" i="32"/>
  <c r="J21" i="32"/>
  <c r="I21" i="32"/>
  <c r="H21" i="32"/>
  <c r="G21" i="32"/>
  <c r="F21" i="32"/>
  <c r="E21" i="32"/>
  <c r="O12" i="32"/>
  <c r="N12" i="32"/>
  <c r="M12" i="32"/>
  <c r="L12" i="32"/>
  <c r="K12" i="32"/>
  <c r="J12" i="32"/>
  <c r="I12" i="32"/>
  <c r="H12" i="32"/>
  <c r="G12" i="32"/>
  <c r="F12" i="32"/>
  <c r="E12" i="32"/>
  <c r="M65" i="32" l="1"/>
  <c r="G65" i="32"/>
  <c r="O65" i="32"/>
  <c r="K65" i="32"/>
  <c r="H65" i="32"/>
  <c r="L65" i="32"/>
  <c r="I65" i="32"/>
  <c r="J65" i="32"/>
  <c r="E65" i="32"/>
  <c r="F65" i="32"/>
  <c r="N65" i="32"/>
  <c r="P14" i="32" l="1"/>
  <c r="R65" i="30" l="1"/>
  <c r="Q48" i="30"/>
  <c r="O58" i="30" l="1"/>
  <c r="O65" i="30"/>
  <c r="M65" i="30"/>
  <c r="L65" i="30"/>
  <c r="K65" i="30"/>
  <c r="I65" i="30"/>
  <c r="H65" i="30"/>
  <c r="G12" i="30"/>
  <c r="J65" i="30"/>
  <c r="F65" i="30"/>
  <c r="E12" i="30"/>
  <c r="D65" i="30"/>
  <c r="D58" i="30" l="1"/>
  <c r="D48" i="30"/>
  <c r="D39" i="30"/>
  <c r="D30" i="30"/>
  <c r="D21" i="30"/>
  <c r="D12" i="30"/>
  <c r="Q65" i="30" l="1"/>
  <c r="N58" i="30"/>
  <c r="M58" i="30"/>
  <c r="L58" i="30"/>
  <c r="K58" i="30"/>
  <c r="J58" i="30"/>
  <c r="I58" i="30"/>
  <c r="H58" i="30"/>
  <c r="G58" i="30"/>
  <c r="F58" i="30"/>
  <c r="E58" i="30"/>
  <c r="R58" i="30"/>
  <c r="R48" i="30"/>
  <c r="O48" i="30"/>
  <c r="N48" i="30"/>
  <c r="M48" i="30"/>
  <c r="L48" i="30"/>
  <c r="K48" i="30"/>
  <c r="J48" i="30"/>
  <c r="I48" i="30"/>
  <c r="H48" i="30"/>
  <c r="G48" i="30"/>
  <c r="F48" i="30"/>
  <c r="E48" i="30"/>
  <c r="D46" i="30"/>
  <c r="R39" i="30"/>
  <c r="O39" i="30"/>
  <c r="N39" i="30"/>
  <c r="M39" i="30"/>
  <c r="L39" i="30"/>
  <c r="K39" i="30"/>
  <c r="J39" i="30"/>
  <c r="I39" i="30"/>
  <c r="H39" i="30"/>
  <c r="G39" i="30"/>
  <c r="F39" i="30"/>
  <c r="E39" i="30"/>
  <c r="R30" i="30"/>
  <c r="O30" i="30"/>
  <c r="N30" i="30"/>
  <c r="M30" i="30"/>
  <c r="L30" i="30"/>
  <c r="K30" i="30"/>
  <c r="J30" i="30"/>
  <c r="I30" i="30"/>
  <c r="H30" i="30"/>
  <c r="G30" i="30"/>
  <c r="F30" i="30"/>
  <c r="E30" i="30"/>
  <c r="D28" i="30"/>
  <c r="R21" i="30"/>
  <c r="O21" i="30"/>
  <c r="N21" i="30"/>
  <c r="M21" i="30"/>
  <c r="L21" i="30"/>
  <c r="K21" i="30"/>
  <c r="J21" i="30"/>
  <c r="I21" i="30"/>
  <c r="H21" i="30"/>
  <c r="G21" i="30"/>
  <c r="F21" i="30"/>
  <c r="E21" i="30"/>
  <c r="R12" i="30"/>
  <c r="O12" i="30"/>
  <c r="N12" i="30"/>
  <c r="M12" i="30"/>
  <c r="L12" i="30"/>
  <c r="K12" i="30"/>
  <c r="J12" i="30"/>
  <c r="I12" i="30"/>
  <c r="H12" i="30"/>
  <c r="F12" i="30"/>
  <c r="R15" i="29"/>
  <c r="R13" i="29"/>
  <c r="R11" i="29"/>
  <c r="R9" i="29"/>
  <c r="R7" i="29"/>
  <c r="D123" i="28"/>
  <c r="D122" i="28"/>
  <c r="D124" i="28" s="1"/>
  <c r="E121" i="28"/>
  <c r="D121" i="28"/>
  <c r="O117" i="28"/>
  <c r="E117" i="28"/>
  <c r="O116" i="28"/>
  <c r="L116" i="28"/>
  <c r="Q115" i="28"/>
  <c r="P115" i="28"/>
  <c r="N115" i="28"/>
  <c r="M115" i="28"/>
  <c r="L115" i="28"/>
  <c r="K115" i="28"/>
  <c r="J115" i="28"/>
  <c r="I115" i="28"/>
  <c r="H115" i="28"/>
  <c r="G115" i="28"/>
  <c r="F115" i="28"/>
  <c r="E115" i="28"/>
  <c r="L114" i="28"/>
  <c r="Q113" i="28"/>
  <c r="P113" i="28"/>
  <c r="N113" i="28"/>
  <c r="N114" i="28" s="1"/>
  <c r="M113" i="28"/>
  <c r="L113" i="28"/>
  <c r="K113" i="28"/>
  <c r="J113" i="28"/>
  <c r="J114" i="28" s="1"/>
  <c r="J116" i="28" s="1"/>
  <c r="I113" i="28"/>
  <c r="I114" i="28" s="1"/>
  <c r="I116" i="28" s="1"/>
  <c r="H113" i="28"/>
  <c r="G113" i="28"/>
  <c r="F113" i="28"/>
  <c r="F114" i="28" s="1"/>
  <c r="E113" i="28"/>
  <c r="V112" i="28"/>
  <c r="Q112" i="28"/>
  <c r="P112" i="28"/>
  <c r="P114" i="28" s="1"/>
  <c r="P116" i="28" s="1"/>
  <c r="P132" i="28" s="1"/>
  <c r="N112" i="28"/>
  <c r="M112" i="28"/>
  <c r="M114" i="28" s="1"/>
  <c r="M116" i="28" s="1"/>
  <c r="L112" i="28"/>
  <c r="K112" i="28"/>
  <c r="K114" i="28" s="1"/>
  <c r="K116" i="28" s="1"/>
  <c r="J112" i="28"/>
  <c r="I112" i="28"/>
  <c r="H112" i="28"/>
  <c r="G112" i="28"/>
  <c r="G114" i="28" s="1"/>
  <c r="G116" i="28" s="1"/>
  <c r="F112" i="28"/>
  <c r="E112" i="28"/>
  <c r="E114" i="28" s="1"/>
  <c r="V111" i="28"/>
  <c r="Z110" i="28"/>
  <c r="W110" i="28"/>
  <c r="V110" i="28"/>
  <c r="W109" i="28"/>
  <c r="Z109" i="28" s="1"/>
  <c r="V109" i="28"/>
  <c r="Z108" i="28"/>
  <c r="W108" i="28"/>
  <c r="V108" i="28"/>
  <c r="O104" i="28"/>
  <c r="E104" i="28"/>
  <c r="P103" i="28"/>
  <c r="O103" i="28"/>
  <c r="Q102" i="28"/>
  <c r="P102" i="28"/>
  <c r="N102" i="28"/>
  <c r="M102" i="28"/>
  <c r="L102" i="28"/>
  <c r="K102" i="28"/>
  <c r="J102" i="28"/>
  <c r="I102" i="28"/>
  <c r="H102" i="28"/>
  <c r="G102" i="28"/>
  <c r="F102" i="28"/>
  <c r="E102" i="28"/>
  <c r="Q101" i="28"/>
  <c r="P101" i="28"/>
  <c r="N101" i="28"/>
  <c r="N103" i="28" s="1"/>
  <c r="L101" i="28"/>
  <c r="L103" i="28" s="1"/>
  <c r="H101" i="28"/>
  <c r="H103" i="28" s="1"/>
  <c r="H131" i="28" s="1"/>
  <c r="G101" i="28"/>
  <c r="G103" i="28" s="1"/>
  <c r="F101" i="28"/>
  <c r="F103" i="28" s="1"/>
  <c r="V100" i="28"/>
  <c r="W98" i="28" s="1"/>
  <c r="Q100" i="28"/>
  <c r="P100" i="28"/>
  <c r="N100" i="28"/>
  <c r="M100" i="28"/>
  <c r="L100" i="28"/>
  <c r="K100" i="28"/>
  <c r="J100" i="28"/>
  <c r="I100" i="28"/>
  <c r="H100" i="28"/>
  <c r="G100" i="28"/>
  <c r="F100" i="28"/>
  <c r="E100" i="28"/>
  <c r="X99" i="28"/>
  <c r="Z99" i="28" s="1"/>
  <c r="W99" i="28"/>
  <c r="V99" i="28"/>
  <c r="Q99" i="28"/>
  <c r="P99" i="28"/>
  <c r="N99" i="28"/>
  <c r="M99" i="28"/>
  <c r="L99" i="28"/>
  <c r="K99" i="28"/>
  <c r="J99" i="28"/>
  <c r="J101" i="28" s="1"/>
  <c r="J103" i="28" s="1"/>
  <c r="I99" i="28"/>
  <c r="H99" i="28"/>
  <c r="G99" i="28"/>
  <c r="F99" i="28"/>
  <c r="E99" i="28"/>
  <c r="X98" i="28"/>
  <c r="V98" i="28"/>
  <c r="X97" i="28"/>
  <c r="Z97" i="28" s="1"/>
  <c r="W97" i="28"/>
  <c r="V97" i="28"/>
  <c r="X96" i="28"/>
  <c r="Z96" i="28" s="1"/>
  <c r="W96" i="28"/>
  <c r="V96" i="28"/>
  <c r="O91" i="28"/>
  <c r="E91" i="28"/>
  <c r="O90" i="28"/>
  <c r="Q89" i="28"/>
  <c r="P89" i="28"/>
  <c r="N89" i="28"/>
  <c r="M89" i="28"/>
  <c r="L89" i="28"/>
  <c r="L90" i="28" s="1"/>
  <c r="K89" i="28"/>
  <c r="J89" i="28"/>
  <c r="I89" i="28"/>
  <c r="H89" i="28"/>
  <c r="G89" i="28"/>
  <c r="F89" i="28"/>
  <c r="E89" i="28"/>
  <c r="L87" i="28"/>
  <c r="L88" i="28" s="1"/>
  <c r="J87" i="28"/>
  <c r="I87" i="28"/>
  <c r="H87" i="28"/>
  <c r="H88" i="28" s="1"/>
  <c r="H90" i="28" s="1"/>
  <c r="E87" i="28"/>
  <c r="V86" i="28"/>
  <c r="W83" i="28" s="1"/>
  <c r="Q86" i="28"/>
  <c r="P86" i="28"/>
  <c r="N86" i="28"/>
  <c r="P87" i="28" s="1"/>
  <c r="M86" i="28"/>
  <c r="L86" i="28"/>
  <c r="M87" i="28" s="1"/>
  <c r="K86" i="28"/>
  <c r="K88" i="28" s="1"/>
  <c r="K90" i="28" s="1"/>
  <c r="J86" i="28"/>
  <c r="K87" i="28" s="1"/>
  <c r="I86" i="28"/>
  <c r="I88" i="28" s="1"/>
  <c r="I90" i="28" s="1"/>
  <c r="H86" i="28"/>
  <c r="G86" i="28"/>
  <c r="F86" i="28"/>
  <c r="G87" i="28" s="1"/>
  <c r="E86" i="28"/>
  <c r="V85" i="28"/>
  <c r="X84" i="28"/>
  <c r="Z84" i="28" s="1"/>
  <c r="W84" i="28"/>
  <c r="V84" i="28"/>
  <c r="Z83" i="28"/>
  <c r="V83" i="28"/>
  <c r="W82" i="28"/>
  <c r="Z82" i="28" s="1"/>
  <c r="V82" i="28"/>
  <c r="Z81" i="28"/>
  <c r="V81" i="28"/>
  <c r="O77" i="28"/>
  <c r="E77" i="28"/>
  <c r="O76" i="28"/>
  <c r="N76" i="28"/>
  <c r="L76" i="28"/>
  <c r="Q75" i="28"/>
  <c r="P75" i="28"/>
  <c r="N75" i="28"/>
  <c r="M75" i="28"/>
  <c r="L75" i="28"/>
  <c r="K75" i="28"/>
  <c r="J75" i="28"/>
  <c r="I75" i="28"/>
  <c r="H75" i="28"/>
  <c r="G75" i="28"/>
  <c r="F75" i="28"/>
  <c r="E75" i="28"/>
  <c r="N74" i="28"/>
  <c r="L74" i="28"/>
  <c r="Q73" i="28"/>
  <c r="Q74" i="28" s="1"/>
  <c r="Q76" i="28" s="1"/>
  <c r="N73" i="28"/>
  <c r="J73" i="28"/>
  <c r="H73" i="28"/>
  <c r="H74" i="28" s="1"/>
  <c r="H76" i="28" s="1"/>
  <c r="F73" i="28"/>
  <c r="F74" i="28" s="1"/>
  <c r="E73" i="28"/>
  <c r="E74" i="28" s="1"/>
  <c r="E76" i="28" s="1"/>
  <c r="Q72" i="28"/>
  <c r="P72" i="28"/>
  <c r="N72" i="28"/>
  <c r="P73" i="28" s="1"/>
  <c r="P74" i="28" s="1"/>
  <c r="P76" i="28" s="1"/>
  <c r="M72" i="28"/>
  <c r="L72" i="28"/>
  <c r="M73" i="28" s="1"/>
  <c r="M74" i="28" s="1"/>
  <c r="M76" i="28" s="1"/>
  <c r="K72" i="28"/>
  <c r="L73" i="28" s="1"/>
  <c r="J72" i="28"/>
  <c r="I72" i="28"/>
  <c r="H72" i="28"/>
  <c r="I73" i="28" s="1"/>
  <c r="I74" i="28" s="1"/>
  <c r="I76" i="28" s="1"/>
  <c r="G72" i="28"/>
  <c r="F72" i="28"/>
  <c r="G73" i="28" s="1"/>
  <c r="G74" i="28" s="1"/>
  <c r="G76" i="28" s="1"/>
  <c r="E72" i="28"/>
  <c r="V71" i="28"/>
  <c r="W81" i="28" s="1"/>
  <c r="X70" i="28"/>
  <c r="Z70" i="28" s="1"/>
  <c r="W70" i="28"/>
  <c r="V70" i="28"/>
  <c r="W69" i="28"/>
  <c r="Z69" i="28" s="1"/>
  <c r="V69" i="28"/>
  <c r="O63" i="28"/>
  <c r="E63" i="28"/>
  <c r="O62" i="28"/>
  <c r="Q61" i="28"/>
  <c r="P61" i="28"/>
  <c r="N61" i="28"/>
  <c r="M61" i="28"/>
  <c r="L61" i="28"/>
  <c r="K61" i="28"/>
  <c r="J61" i="28"/>
  <c r="I61" i="28"/>
  <c r="H61" i="28"/>
  <c r="G61" i="28"/>
  <c r="F61" i="28"/>
  <c r="E61" i="28"/>
  <c r="M60" i="28"/>
  <c r="M62" i="28" s="1"/>
  <c r="K60" i="28"/>
  <c r="K62" i="28" s="1"/>
  <c r="I60" i="28"/>
  <c r="I62" i="28" s="1"/>
  <c r="E60" i="28"/>
  <c r="Q59" i="28"/>
  <c r="Q60" i="28" s="1"/>
  <c r="Q62" i="28" s="1"/>
  <c r="P59" i="28"/>
  <c r="P60" i="28" s="1"/>
  <c r="N59" i="28"/>
  <c r="N60" i="28" s="1"/>
  <c r="N62" i="28" s="1"/>
  <c r="M59" i="28"/>
  <c r="L59" i="28"/>
  <c r="L60" i="28" s="1"/>
  <c r="L62" i="28" s="1"/>
  <c r="K59" i="28"/>
  <c r="J59" i="28"/>
  <c r="J60" i="28" s="1"/>
  <c r="J62" i="28" s="1"/>
  <c r="I59" i="28"/>
  <c r="H59" i="28"/>
  <c r="H60" i="28" s="1"/>
  <c r="H62" i="28" s="1"/>
  <c r="G59" i="28"/>
  <c r="G60" i="28" s="1"/>
  <c r="G62" i="28" s="1"/>
  <c r="F59" i="28"/>
  <c r="F60" i="28" s="1"/>
  <c r="F62" i="28" s="1"/>
  <c r="E59" i="28"/>
  <c r="Z56" i="28"/>
  <c r="W56" i="28"/>
  <c r="V56" i="28"/>
  <c r="X55" i="28"/>
  <c r="X54" i="28"/>
  <c r="V54" i="28"/>
  <c r="X53" i="28"/>
  <c r="V53" i="28"/>
  <c r="V55" i="28" s="1"/>
  <c r="O48" i="28"/>
  <c r="E48" i="28"/>
  <c r="P47" i="28"/>
  <c r="O47" i="28"/>
  <c r="N47" i="28"/>
  <c r="Q46" i="28"/>
  <c r="P46" i="28"/>
  <c r="N46" i="28"/>
  <c r="M46" i="28"/>
  <c r="L46" i="28"/>
  <c r="K46" i="28"/>
  <c r="J46" i="28"/>
  <c r="I46" i="28"/>
  <c r="H46" i="28"/>
  <c r="G46" i="28"/>
  <c r="F46" i="28"/>
  <c r="E46" i="28"/>
  <c r="Q45" i="28"/>
  <c r="Q47" i="28" s="1"/>
  <c r="N45" i="28"/>
  <c r="K45" i="28"/>
  <c r="K47" i="28" s="1"/>
  <c r="H45" i="28"/>
  <c r="H47" i="28" s="1"/>
  <c r="Q44" i="28"/>
  <c r="P44" i="28"/>
  <c r="P45" i="28" s="1"/>
  <c r="N44" i="28"/>
  <c r="M44" i="28"/>
  <c r="M45" i="28" s="1"/>
  <c r="M47" i="28" s="1"/>
  <c r="L44" i="28"/>
  <c r="L45" i="28" s="1"/>
  <c r="K44" i="28"/>
  <c r="J44" i="28"/>
  <c r="J45" i="28" s="1"/>
  <c r="J47" i="28" s="1"/>
  <c r="I44" i="28"/>
  <c r="I45" i="28" s="1"/>
  <c r="I47" i="28" s="1"/>
  <c r="H44" i="28"/>
  <c r="G44" i="28"/>
  <c r="G45" i="28" s="1"/>
  <c r="G47" i="28" s="1"/>
  <c r="F44" i="28"/>
  <c r="F45" i="28" s="1"/>
  <c r="E44" i="28"/>
  <c r="E45" i="28" s="1"/>
  <c r="Z43" i="28"/>
  <c r="W43" i="28"/>
  <c r="V43" i="28"/>
  <c r="W42" i="28"/>
  <c r="Z42" i="28" s="1"/>
  <c r="V42" i="28"/>
  <c r="V38" i="28"/>
  <c r="O38" i="28"/>
  <c r="E38" i="28"/>
  <c r="V37" i="28"/>
  <c r="W33" i="28" s="1"/>
  <c r="O37" i="28"/>
  <c r="M37" i="28"/>
  <c r="K37" i="28"/>
  <c r="V36" i="28"/>
  <c r="Q36" i="28"/>
  <c r="Q37" i="28" s="1"/>
  <c r="P36" i="28"/>
  <c r="N36" i="28"/>
  <c r="M36" i="28"/>
  <c r="L36" i="28"/>
  <c r="K36" i="28"/>
  <c r="J36" i="28"/>
  <c r="I36" i="28"/>
  <c r="H36" i="28"/>
  <c r="G36" i="28"/>
  <c r="F36" i="28"/>
  <c r="E36" i="28"/>
  <c r="E37" i="28" s="1"/>
  <c r="E39" i="28" s="1"/>
  <c r="E40" i="28" s="1"/>
  <c r="W35" i="28"/>
  <c r="Z35" i="28" s="1"/>
  <c r="V35" i="28"/>
  <c r="Q35" i="28"/>
  <c r="P35" i="28"/>
  <c r="P37" i="28" s="1"/>
  <c r="N35" i="28"/>
  <c r="M35" i="28"/>
  <c r="L35" i="28"/>
  <c r="L37" i="28" s="1"/>
  <c r="K35" i="28"/>
  <c r="J35" i="28"/>
  <c r="I35" i="28"/>
  <c r="I37" i="28" s="1"/>
  <c r="H35" i="28"/>
  <c r="H37" i="28" s="1"/>
  <c r="G35" i="28"/>
  <c r="G37" i="28" s="1"/>
  <c r="F35" i="28"/>
  <c r="E35" i="28"/>
  <c r="W34" i="28"/>
  <c r="Z34" i="28" s="1"/>
  <c r="V34" i="28"/>
  <c r="Z33" i="28"/>
  <c r="V33" i="28"/>
  <c r="W32" i="28"/>
  <c r="Z32" i="28" s="1"/>
  <c r="V32" i="28"/>
  <c r="V28" i="28"/>
  <c r="O28" i="28"/>
  <c r="E28" i="28"/>
  <c r="V27" i="28"/>
  <c r="W23" i="28" s="1"/>
  <c r="Z23" i="28" s="1"/>
  <c r="Q27" i="28"/>
  <c r="O27" i="28"/>
  <c r="N27" i="28"/>
  <c r="M27" i="28"/>
  <c r="V26" i="28"/>
  <c r="Q26" i="28"/>
  <c r="P26" i="28"/>
  <c r="N26" i="28"/>
  <c r="M26" i="28"/>
  <c r="L26" i="28"/>
  <c r="K26" i="28"/>
  <c r="J26" i="28"/>
  <c r="I26" i="28"/>
  <c r="H26" i="28"/>
  <c r="G26" i="28"/>
  <c r="F26" i="28"/>
  <c r="F27" i="28" s="1"/>
  <c r="E26" i="28"/>
  <c r="E27" i="28" s="1"/>
  <c r="W25" i="28"/>
  <c r="Z25" i="28" s="1"/>
  <c r="V25" i="28"/>
  <c r="Q25" i="28"/>
  <c r="P25" i="28"/>
  <c r="P27" i="28" s="1"/>
  <c r="N25" i="28"/>
  <c r="M25" i="28"/>
  <c r="L25" i="28"/>
  <c r="K25" i="28"/>
  <c r="J25" i="28"/>
  <c r="I25" i="28"/>
  <c r="H25" i="28"/>
  <c r="G25" i="28"/>
  <c r="G27" i="28" s="1"/>
  <c r="F25" i="28"/>
  <c r="E25" i="28"/>
  <c r="W24" i="28"/>
  <c r="Z24" i="28" s="1"/>
  <c r="V24" i="28"/>
  <c r="V23" i="28"/>
  <c r="O18" i="28"/>
  <c r="P13" i="30" s="1"/>
  <c r="E18" i="28"/>
  <c r="O17" i="28"/>
  <c r="P12" i="30" s="1"/>
  <c r="Q16" i="28"/>
  <c r="P16" i="28"/>
  <c r="N16" i="28"/>
  <c r="M16" i="28"/>
  <c r="L16" i="28"/>
  <c r="K16" i="28"/>
  <c r="J16" i="28"/>
  <c r="I16" i="28"/>
  <c r="H16" i="28"/>
  <c r="G16" i="28"/>
  <c r="F16" i="28"/>
  <c r="E16" i="28"/>
  <c r="P14" i="28"/>
  <c r="N14" i="28"/>
  <c r="M14" i="28"/>
  <c r="G14" i="28"/>
  <c r="F14" i="28"/>
  <c r="E14" i="28"/>
  <c r="Q13" i="28"/>
  <c r="Q15" i="28" s="1"/>
  <c r="Q17" i="28" s="1"/>
  <c r="P13" i="28"/>
  <c r="Q14" i="28" s="1"/>
  <c r="N13" i="28"/>
  <c r="M13" i="28"/>
  <c r="L13" i="28"/>
  <c r="K13" i="28"/>
  <c r="J13" i="28"/>
  <c r="K14" i="28" s="1"/>
  <c r="I13" i="28"/>
  <c r="J14" i="28" s="1"/>
  <c r="H13" i="28"/>
  <c r="G13" i="28"/>
  <c r="F13" i="28"/>
  <c r="F15" i="28" s="1"/>
  <c r="E13" i="28"/>
  <c r="W11" i="28"/>
  <c r="Z11" i="28" s="1"/>
  <c r="V11" i="28"/>
  <c r="W10" i="28"/>
  <c r="Z10" i="28" s="1"/>
  <c r="V10" i="28"/>
  <c r="Q7" i="28"/>
  <c r="P7" i="28"/>
  <c r="F6" i="28"/>
  <c r="F121" i="28" s="1"/>
  <c r="O64" i="28" l="1"/>
  <c r="F47" i="28"/>
  <c r="P49" i="30"/>
  <c r="P39" i="30"/>
  <c r="P41" i="32"/>
  <c r="P58" i="30"/>
  <c r="P60" i="32"/>
  <c r="P31" i="30"/>
  <c r="P40" i="30"/>
  <c r="F17" i="28"/>
  <c r="O78" i="28"/>
  <c r="E116" i="28"/>
  <c r="E118" i="28" s="1"/>
  <c r="E119" i="28" s="1"/>
  <c r="F117" i="28" s="1"/>
  <c r="P65" i="32"/>
  <c r="V65" i="32" s="1"/>
  <c r="P59" i="30"/>
  <c r="E47" i="28"/>
  <c r="P48" i="30"/>
  <c r="P50" i="32"/>
  <c r="O118" i="28"/>
  <c r="F76" i="28"/>
  <c r="R76" i="28" s="1"/>
  <c r="O105" i="28"/>
  <c r="P21" i="30"/>
  <c r="P14" i="30"/>
  <c r="O39" i="28"/>
  <c r="P22" i="30"/>
  <c r="O130" i="28"/>
  <c r="P30" i="30"/>
  <c r="E62" i="28"/>
  <c r="E64" i="28" s="1"/>
  <c r="E65" i="28" s="1"/>
  <c r="F63" i="28" s="1"/>
  <c r="F64" i="28" s="1"/>
  <c r="F65" i="28" s="1"/>
  <c r="O92" i="28"/>
  <c r="O132" i="28"/>
  <c r="G65" i="30"/>
  <c r="N65" i="30"/>
  <c r="E65" i="30"/>
  <c r="Q128" i="28"/>
  <c r="N15" i="28"/>
  <c r="N17" i="28" s="1"/>
  <c r="O29" i="28"/>
  <c r="O129" i="28"/>
  <c r="H14" i="28"/>
  <c r="G15" i="28"/>
  <c r="G17" i="28" s="1"/>
  <c r="K101" i="28"/>
  <c r="K103" i="28" s="1"/>
  <c r="J130" i="28"/>
  <c r="P62" i="28"/>
  <c r="F128" i="28"/>
  <c r="J131" i="28"/>
  <c r="G131" i="28"/>
  <c r="P15" i="28"/>
  <c r="P17" i="28" s="1"/>
  <c r="I14" i="28"/>
  <c r="I15" i="28" s="1"/>
  <c r="I17" i="28" s="1"/>
  <c r="H15" i="28"/>
  <c r="H17" i="28" s="1"/>
  <c r="K15" i="28"/>
  <c r="K17" i="28" s="1"/>
  <c r="N130" i="28"/>
  <c r="G6" i="28"/>
  <c r="F38" i="28"/>
  <c r="V58" i="28"/>
  <c r="W54" i="28" s="1"/>
  <c r="Z54" i="28" s="1"/>
  <c r="E78" i="28"/>
  <c r="E79" i="28" s="1"/>
  <c r="Q129" i="28"/>
  <c r="K73" i="28"/>
  <c r="K74" i="28" s="1"/>
  <c r="K76" i="28" s="1"/>
  <c r="J74" i="28"/>
  <c r="J76" i="28" s="1"/>
  <c r="G129" i="28"/>
  <c r="P129" i="28"/>
  <c r="J132" i="28"/>
  <c r="J37" i="28"/>
  <c r="P130" i="28"/>
  <c r="V59" i="28"/>
  <c r="W55" i="28" s="1"/>
  <c r="Z55" i="28" s="1"/>
  <c r="O128" i="28"/>
  <c r="O122" i="28"/>
  <c r="O127" i="28" s="1"/>
  <c r="I27" i="28"/>
  <c r="E129" i="28"/>
  <c r="E29" i="28"/>
  <c r="E30" i="28" s="1"/>
  <c r="N131" i="28"/>
  <c r="P131" i="28"/>
  <c r="J27" i="28"/>
  <c r="K27" i="28"/>
  <c r="K132" i="28"/>
  <c r="N116" i="28"/>
  <c r="L15" i="28"/>
  <c r="L17" i="28" s="1"/>
  <c r="J15" i="28"/>
  <c r="J17" i="28" s="1"/>
  <c r="L27" i="28"/>
  <c r="I130" i="28"/>
  <c r="E88" i="28"/>
  <c r="E90" i="28" s="1"/>
  <c r="E92" i="28" s="1"/>
  <c r="E93" i="28" s="1"/>
  <c r="F87" i="28"/>
  <c r="F88" i="28" s="1"/>
  <c r="F90" i="28" s="1"/>
  <c r="H27" i="28"/>
  <c r="R27" i="28" s="1"/>
  <c r="V22" i="28"/>
  <c r="W22" i="28"/>
  <c r="Z22" i="28" s="1"/>
  <c r="E49" i="28"/>
  <c r="E50" i="28" s="1"/>
  <c r="L131" i="28"/>
  <c r="G130" i="28"/>
  <c r="F116" i="28"/>
  <c r="M129" i="28"/>
  <c r="M88" i="28"/>
  <c r="M90" i="28" s="1"/>
  <c r="M130" i="28" s="1"/>
  <c r="N87" i="28"/>
  <c r="N88" i="28" s="1"/>
  <c r="N90" i="28" s="1"/>
  <c r="E15" i="28"/>
  <c r="E17" i="28" s="1"/>
  <c r="M15" i="28"/>
  <c r="M17" i="28" s="1"/>
  <c r="L14" i="28"/>
  <c r="E123" i="28"/>
  <c r="O19" i="28"/>
  <c r="N129" i="28"/>
  <c r="H130" i="28"/>
  <c r="I101" i="28"/>
  <c r="I103" i="28" s="1"/>
  <c r="F131" i="28"/>
  <c r="P88" i="28"/>
  <c r="P90" i="28" s="1"/>
  <c r="E101" i="28"/>
  <c r="E103" i="28" s="1"/>
  <c r="I132" i="28"/>
  <c r="L132" i="28"/>
  <c r="O123" i="28"/>
  <c r="G132" i="28"/>
  <c r="G88" i="28"/>
  <c r="G90" i="28" s="1"/>
  <c r="Q87" i="28"/>
  <c r="Q88" i="28" s="1"/>
  <c r="Q90" i="28" s="1"/>
  <c r="Z98" i="28"/>
  <c r="M132" i="28"/>
  <c r="M101" i="28"/>
  <c r="M103" i="28" s="1"/>
  <c r="F37" i="28"/>
  <c r="N37" i="28"/>
  <c r="L47" i="28"/>
  <c r="R47" i="28" s="1"/>
  <c r="K130" i="28"/>
  <c r="V57" i="28"/>
  <c r="W53" i="28" s="1"/>
  <c r="Z53" i="28" s="1"/>
  <c r="Q103" i="28"/>
  <c r="H114" i="28"/>
  <c r="H116" i="28" s="1"/>
  <c r="Q114" i="28"/>
  <c r="Q116" i="28" s="1"/>
  <c r="O49" i="28"/>
  <c r="J88" i="28"/>
  <c r="J90" i="28" s="1"/>
  <c r="O131" i="28"/>
  <c r="P50" i="30" l="1"/>
  <c r="P41" i="30"/>
  <c r="P32" i="30"/>
  <c r="R116" i="28"/>
  <c r="R62" i="28"/>
  <c r="F39" i="28"/>
  <c r="F40" i="28" s="1"/>
  <c r="G38" i="28" s="1"/>
  <c r="G39" i="28" s="1"/>
  <c r="G40" i="28" s="1"/>
  <c r="P32" i="32"/>
  <c r="P66" i="30"/>
  <c r="R37" i="28"/>
  <c r="P60" i="30"/>
  <c r="E132" i="28"/>
  <c r="P23" i="30"/>
  <c r="F129" i="28"/>
  <c r="P65" i="30"/>
  <c r="I122" i="28"/>
  <c r="I127" i="28" s="1"/>
  <c r="I128" i="28"/>
  <c r="R17" i="28"/>
  <c r="G63" i="28"/>
  <c r="G64" i="28" s="1"/>
  <c r="G65" i="28" s="1"/>
  <c r="N132" i="28"/>
  <c r="H132" i="28"/>
  <c r="I131" i="28"/>
  <c r="F91" i="28"/>
  <c r="H122" i="28"/>
  <c r="H127" i="28" s="1"/>
  <c r="H128" i="28"/>
  <c r="F132" i="28"/>
  <c r="F118" i="28"/>
  <c r="F119" i="28" s="1"/>
  <c r="R90" i="28"/>
  <c r="M128" i="28"/>
  <c r="M122" i="28"/>
  <c r="M127" i="28" s="1"/>
  <c r="E130" i="28"/>
  <c r="K129" i="28"/>
  <c r="F122" i="28"/>
  <c r="F127" i="28" s="1"/>
  <c r="E131" i="28"/>
  <c r="S131" i="28" s="1"/>
  <c r="E105" i="28"/>
  <c r="E106" i="28" s="1"/>
  <c r="Q132" i="28"/>
  <c r="N128" i="28"/>
  <c r="N122" i="28"/>
  <c r="N127" i="28" s="1"/>
  <c r="G121" i="28"/>
  <c r="H6" i="28"/>
  <c r="K131" i="28"/>
  <c r="R103" i="28"/>
  <c r="L130" i="28"/>
  <c r="E128" i="28"/>
  <c r="S128" i="28" s="1"/>
  <c r="E122" i="28"/>
  <c r="E19" i="28"/>
  <c r="E20" i="28" s="1"/>
  <c r="L129" i="28"/>
  <c r="P122" i="28"/>
  <c r="P127" i="28" s="1"/>
  <c r="P128" i="28"/>
  <c r="L128" i="28"/>
  <c r="L122" i="28"/>
  <c r="L127" i="28" s="1"/>
  <c r="H129" i="28"/>
  <c r="I129" i="28"/>
  <c r="J129" i="28"/>
  <c r="Q131" i="28"/>
  <c r="F77" i="28"/>
  <c r="G128" i="28"/>
  <c r="G122" i="28"/>
  <c r="G127" i="28" s="1"/>
  <c r="Q130" i="28"/>
  <c r="F48" i="28"/>
  <c r="M131" i="28"/>
  <c r="J128" i="28"/>
  <c r="J122" i="28"/>
  <c r="J127" i="28" s="1"/>
  <c r="F28" i="28"/>
  <c r="F130" i="28"/>
  <c r="K122" i="28"/>
  <c r="K127" i="28" s="1"/>
  <c r="K128" i="28"/>
  <c r="Q122" i="28"/>
  <c r="Q127" i="28" s="1"/>
  <c r="S129" i="28" l="1"/>
  <c r="S132" i="28"/>
  <c r="R122" i="28"/>
  <c r="H121" i="28"/>
  <c r="I6" i="28"/>
  <c r="F18" i="28"/>
  <c r="F29" i="28"/>
  <c r="F30" i="28" s="1"/>
  <c r="H63" i="28"/>
  <c r="H64" i="28" s="1"/>
  <c r="H65" i="28" s="1"/>
  <c r="F104" i="28"/>
  <c r="F49" i="28"/>
  <c r="F50" i="28" s="1"/>
  <c r="H38" i="28"/>
  <c r="H39" i="28" s="1"/>
  <c r="H40" i="28" s="1"/>
  <c r="F78" i="28"/>
  <c r="F79" i="28" s="1"/>
  <c r="F92" i="28"/>
  <c r="F93" i="28" s="1"/>
  <c r="E127" i="28"/>
  <c r="S127" i="28" s="1"/>
  <c r="E124" i="28"/>
  <c r="S130" i="28"/>
  <c r="G117" i="28"/>
  <c r="I38" i="28" l="1"/>
  <c r="G91" i="28"/>
  <c r="F105" i="28"/>
  <c r="F106" i="28" s="1"/>
  <c r="I121" i="28"/>
  <c r="J6" i="28"/>
  <c r="G77" i="28"/>
  <c r="G28" i="28"/>
  <c r="F123" i="28"/>
  <c r="F124" i="28" s="1"/>
  <c r="F19" i="28"/>
  <c r="F20" i="28" s="1"/>
  <c r="I63" i="28"/>
  <c r="I64" i="28" s="1"/>
  <c r="I65" i="28" s="1"/>
  <c r="G118" i="28"/>
  <c r="G119" i="28" s="1"/>
  <c r="G48" i="28"/>
  <c r="J63" i="28" l="1"/>
  <c r="J64" i="28" s="1"/>
  <c r="J65" i="28" s="1"/>
  <c r="G49" i="28"/>
  <c r="G50" i="28" s="1"/>
  <c r="G104" i="28"/>
  <c r="G92" i="28"/>
  <c r="G93" i="28" s="1"/>
  <c r="H117" i="28"/>
  <c r="J121" i="28"/>
  <c r="K6" i="28"/>
  <c r="G18" i="28"/>
  <c r="G29" i="28"/>
  <c r="G30" i="28" s="1"/>
  <c r="G78" i="28"/>
  <c r="G79" i="28" s="1"/>
  <c r="I39" i="28"/>
  <c r="I40" i="28" s="1"/>
  <c r="K63" i="28" l="1"/>
  <c r="K64" i="28" s="1"/>
  <c r="K65" i="28" s="1"/>
  <c r="H28" i="28"/>
  <c r="H91" i="28"/>
  <c r="G123" i="28"/>
  <c r="G124" i="28" s="1"/>
  <c r="G19" i="28"/>
  <c r="G20" i="28" s="1"/>
  <c r="J38" i="28"/>
  <c r="H118" i="28"/>
  <c r="H119" i="28" s="1"/>
  <c r="G105" i="28"/>
  <c r="G106" i="28" s="1"/>
  <c r="K121" i="28"/>
  <c r="L6" i="28"/>
  <c r="H48" i="28"/>
  <c r="H77" i="28"/>
  <c r="L63" i="28" l="1"/>
  <c r="L64" i="28" s="1"/>
  <c r="L65" i="28" s="1"/>
  <c r="H92" i="28"/>
  <c r="H93" i="28" s="1"/>
  <c r="J39" i="28"/>
  <c r="J40" i="28" s="1"/>
  <c r="H18" i="28"/>
  <c r="H104" i="28"/>
  <c r="I117" i="28"/>
  <c r="H78" i="28"/>
  <c r="H79" i="28" s="1"/>
  <c r="H29" i="28"/>
  <c r="H30" i="28" s="1"/>
  <c r="H49" i="28"/>
  <c r="H50" i="28" s="1"/>
  <c r="L121" i="28"/>
  <c r="M6" i="28"/>
  <c r="M63" i="28" l="1"/>
  <c r="M64" i="28" s="1"/>
  <c r="M65" i="28" s="1"/>
  <c r="H123" i="28"/>
  <c r="H124" i="28" s="1"/>
  <c r="H19" i="28"/>
  <c r="H20" i="28" s="1"/>
  <c r="I77" i="28"/>
  <c r="I78" i="28" s="1"/>
  <c r="I79" i="28" s="1"/>
  <c r="M121" i="28"/>
  <c r="N6" i="28"/>
  <c r="I118" i="28"/>
  <c r="I119" i="28" s="1"/>
  <c r="H105" i="28"/>
  <c r="H106" i="28" s="1"/>
  <c r="I28" i="28"/>
  <c r="K38" i="28"/>
  <c r="K39" i="28" s="1"/>
  <c r="K40" i="28" s="1"/>
  <c r="I91" i="28"/>
  <c r="I48" i="28"/>
  <c r="J77" i="28" l="1"/>
  <c r="J78" i="28" s="1"/>
  <c r="J79" i="28" s="1"/>
  <c r="L38" i="28"/>
  <c r="L39" i="28" s="1"/>
  <c r="L40" i="28" s="1"/>
  <c r="N63" i="28"/>
  <c r="N64" i="28" s="1"/>
  <c r="N65" i="28" s="1"/>
  <c r="O65" i="28" s="1"/>
  <c r="I104" i="28"/>
  <c r="J117" i="28"/>
  <c r="J118" i="28" s="1"/>
  <c r="J119" i="28" s="1"/>
  <c r="I29" i="28"/>
  <c r="I30" i="28" s="1"/>
  <c r="I49" i="28"/>
  <c r="I50" i="28" s="1"/>
  <c r="I18" i="28"/>
  <c r="I92" i="28"/>
  <c r="I93" i="28" s="1"/>
  <c r="N121" i="28"/>
  <c r="P6" i="28"/>
  <c r="P63" i="28" l="1"/>
  <c r="P64" i="28" s="1"/>
  <c r="P65" i="28" s="1"/>
  <c r="M38" i="28"/>
  <c r="M39" i="28" s="1"/>
  <c r="M40" i="28" s="1"/>
  <c r="K77" i="28"/>
  <c r="K78" i="28" s="1"/>
  <c r="K79" i="28" s="1"/>
  <c r="K117" i="28"/>
  <c r="K118" i="28" s="1"/>
  <c r="K119" i="28" s="1"/>
  <c r="I105" i="28"/>
  <c r="I106" i="28" s="1"/>
  <c r="J91" i="28"/>
  <c r="J92" i="28" s="1"/>
  <c r="J93" i="28" s="1"/>
  <c r="J48" i="28"/>
  <c r="P121" i="28"/>
  <c r="Q6" i="28"/>
  <c r="J28" i="28"/>
  <c r="I123" i="28"/>
  <c r="I124" i="28" s="1"/>
  <c r="I19" i="28"/>
  <c r="I20" i="28" s="1"/>
  <c r="K91" i="28" l="1"/>
  <c r="K92" i="28" s="1"/>
  <c r="K93" i="28" s="1"/>
  <c r="L117" i="28"/>
  <c r="L118" i="28" s="1"/>
  <c r="L119" i="28" s="1"/>
  <c r="L77" i="28"/>
  <c r="L78" i="28" s="1"/>
  <c r="L79" i="28" s="1"/>
  <c r="Q63" i="28"/>
  <c r="J49" i="28"/>
  <c r="J50" i="28" s="1"/>
  <c r="Q121" i="28"/>
  <c r="C4" i="28"/>
  <c r="J18" i="28"/>
  <c r="N38" i="28"/>
  <c r="N39" i="28" s="1"/>
  <c r="N40" i="28" s="1"/>
  <c r="O40" i="28" s="1"/>
  <c r="J29" i="28"/>
  <c r="J30" i="28" s="1"/>
  <c r="J104" i="28"/>
  <c r="M77" i="28" l="1"/>
  <c r="M78" i="28" s="1"/>
  <c r="M79" i="28" s="1"/>
  <c r="M117" i="28"/>
  <c r="M118" i="28" s="1"/>
  <c r="M119" i="28" s="1"/>
  <c r="L91" i="28"/>
  <c r="L92" i="28" s="1"/>
  <c r="L93" i="28" s="1"/>
  <c r="P38" i="28"/>
  <c r="P39" i="28" s="1"/>
  <c r="P40" i="28" s="1"/>
  <c r="Q64" i="28"/>
  <c r="Q65" i="28" s="1"/>
  <c r="R63" i="28"/>
  <c r="R64" i="28" s="1"/>
  <c r="J123" i="28"/>
  <c r="J124" i="28" s="1"/>
  <c r="J19" i="28"/>
  <c r="J20" i="28" s="1"/>
  <c r="J105" i="28"/>
  <c r="J106" i="28" s="1"/>
  <c r="K28" i="28"/>
  <c r="K29" i="28" s="1"/>
  <c r="K30" i="28" s="1"/>
  <c r="K48" i="28"/>
  <c r="K49" i="28" s="1"/>
  <c r="K50" i="28" s="1"/>
  <c r="L48" i="28" l="1"/>
  <c r="L49" i="28" s="1"/>
  <c r="L50" i="28" s="1"/>
  <c r="L28" i="28"/>
  <c r="L29" i="28" s="1"/>
  <c r="L30" i="28" s="1"/>
  <c r="N117" i="28"/>
  <c r="N118" i="28" s="1"/>
  <c r="N119" i="28" s="1"/>
  <c r="O119" i="28" s="1"/>
  <c r="Q38" i="28"/>
  <c r="M91" i="28"/>
  <c r="M92" i="28" s="1"/>
  <c r="M93" i="28" s="1"/>
  <c r="N77" i="28"/>
  <c r="N78" i="28" s="1"/>
  <c r="N79" i="28" s="1"/>
  <c r="O79" i="28" s="1"/>
  <c r="K104" i="28"/>
  <c r="K105" i="28" s="1"/>
  <c r="K106" i="28" s="1"/>
  <c r="K18" i="28"/>
  <c r="P77" i="28" l="1"/>
  <c r="P78" i="28" s="1"/>
  <c r="P79" i="28" s="1"/>
  <c r="L104" i="28"/>
  <c r="L105" i="28" s="1"/>
  <c r="L106" i="28" s="1"/>
  <c r="P117" i="28"/>
  <c r="P118" i="28" s="1"/>
  <c r="P119" i="28" s="1"/>
  <c r="M28" i="28"/>
  <c r="M29" i="28" s="1"/>
  <c r="M30" i="28" s="1"/>
  <c r="N91" i="28"/>
  <c r="N92" i="28" s="1"/>
  <c r="N93" i="28" s="1"/>
  <c r="O93" i="28" s="1"/>
  <c r="M48" i="28"/>
  <c r="M49" i="28" s="1"/>
  <c r="M50" i="28" s="1"/>
  <c r="Q39" i="28"/>
  <c r="Q40" i="28" s="1"/>
  <c r="R38" i="28"/>
  <c r="R39" i="28" s="1"/>
  <c r="K123" i="28"/>
  <c r="K124" i="28" s="1"/>
  <c r="K19" i="28"/>
  <c r="K20" i="28" s="1"/>
  <c r="N28" i="28" l="1"/>
  <c r="N29" i="28" s="1"/>
  <c r="N30" i="28" s="1"/>
  <c r="O30" i="28" s="1"/>
  <c r="N48" i="28"/>
  <c r="N49" i="28" s="1"/>
  <c r="N50" i="28" s="1"/>
  <c r="O50" i="28" s="1"/>
  <c r="P91" i="28"/>
  <c r="P92" i="28" s="1"/>
  <c r="P93" i="28" s="1"/>
  <c r="M104" i="28"/>
  <c r="M105" i="28" s="1"/>
  <c r="M106" i="28" s="1"/>
  <c r="Q117" i="28"/>
  <c r="Q77" i="28"/>
  <c r="L18" i="28"/>
  <c r="Q91" i="28" l="1"/>
  <c r="P48" i="28"/>
  <c r="P49" i="28" s="1"/>
  <c r="P50" i="28" s="1"/>
  <c r="N104" i="28"/>
  <c r="N105" i="28" s="1"/>
  <c r="N106" i="28" s="1"/>
  <c r="O106" i="28" s="1"/>
  <c r="P28" i="28"/>
  <c r="P29" i="28" s="1"/>
  <c r="P30" i="28" s="1"/>
  <c r="L123" i="28"/>
  <c r="L124" i="28" s="1"/>
  <c r="L19" i="28"/>
  <c r="L20" i="28" s="1"/>
  <c r="Q78" i="28"/>
  <c r="Q79" i="28" s="1"/>
  <c r="R77" i="28"/>
  <c r="R78" i="28" s="1"/>
  <c r="Q118" i="28"/>
  <c r="Q119" i="28" s="1"/>
  <c r="R117" i="28"/>
  <c r="R118" i="28" s="1"/>
  <c r="Q48" i="28" l="1"/>
  <c r="Q28" i="28"/>
  <c r="P104" i="28"/>
  <c r="P105" i="28" s="1"/>
  <c r="P106" i="28" s="1"/>
  <c r="M18" i="28"/>
  <c r="Q92" i="28"/>
  <c r="Q93" i="28" s="1"/>
  <c r="R91" i="28"/>
  <c r="R92" i="28" s="1"/>
  <c r="Q104" i="28" l="1"/>
  <c r="Q29" i="28"/>
  <c r="Q30" i="28" s="1"/>
  <c r="R28" i="28"/>
  <c r="R29" i="28" s="1"/>
  <c r="M123" i="28"/>
  <c r="M124" i="28" s="1"/>
  <c r="M19" i="28"/>
  <c r="M20" i="28" s="1"/>
  <c r="Q49" i="28"/>
  <c r="Q50" i="28" s="1"/>
  <c r="R48" i="28"/>
  <c r="R49" i="28" s="1"/>
  <c r="N18" i="28" l="1"/>
  <c r="Q105" i="28"/>
  <c r="Q106" i="28" s="1"/>
  <c r="R104" i="28"/>
  <c r="R105" i="28" s="1"/>
  <c r="N123" i="28" l="1"/>
  <c r="N124" i="28" s="1"/>
  <c r="O124" i="28" s="1"/>
  <c r="N19" i="28"/>
  <c r="N20" i="28" s="1"/>
  <c r="O20" i="28" s="1"/>
  <c r="P18" i="28" l="1"/>
  <c r="P123" i="28" l="1"/>
  <c r="P124" i="28" s="1"/>
  <c r="P19" i="28"/>
  <c r="P20" i="28" s="1"/>
  <c r="Q18" i="28" l="1"/>
  <c r="Q123" i="28" l="1"/>
  <c r="Q124" i="28" s="1"/>
  <c r="Q19" i="28"/>
  <c r="Q20" i="28" s="1"/>
  <c r="R18" i="28"/>
  <c r="R123" i="28" l="1"/>
  <c r="R124" i="28" s="1"/>
  <c r="R19" i="28"/>
  <c r="Q48" i="24" l="1"/>
  <c r="Q39" i="24"/>
  <c r="O65" i="24"/>
  <c r="N65" i="24"/>
  <c r="M65" i="24"/>
  <c r="K65" i="24"/>
  <c r="J65" i="24"/>
  <c r="I65" i="24"/>
  <c r="G65" i="24"/>
  <c r="F65" i="24"/>
  <c r="D12" i="24"/>
  <c r="D58" i="24"/>
  <c r="P59" i="24"/>
  <c r="P60" i="24" s="1"/>
  <c r="P58" i="24"/>
  <c r="R56" i="24"/>
  <c r="R58" i="24" s="1"/>
  <c r="P49" i="24"/>
  <c r="P50" i="24" s="1"/>
  <c r="P48" i="24"/>
  <c r="D48" i="24"/>
  <c r="Q45" i="24"/>
  <c r="D45" i="24"/>
  <c r="D39" i="24"/>
  <c r="D30" i="24"/>
  <c r="P40" i="24"/>
  <c r="P39" i="24"/>
  <c r="P41" i="24" s="1"/>
  <c r="Q36" i="24"/>
  <c r="P22" i="24"/>
  <c r="P23" i="24" s="1"/>
  <c r="P21" i="24"/>
  <c r="P31" i="24"/>
  <c r="P30" i="24"/>
  <c r="Q18" i="24"/>
  <c r="D18" i="24"/>
  <c r="D21" i="24"/>
  <c r="P13" i="24"/>
  <c r="P12" i="24"/>
  <c r="P14" i="24" s="1"/>
  <c r="C61" i="27"/>
  <c r="D59" i="27" s="1"/>
  <c r="P59" i="27"/>
  <c r="R58" i="27"/>
  <c r="P58" i="27"/>
  <c r="P60" i="27" s="1"/>
  <c r="O58" i="27"/>
  <c r="N58" i="27"/>
  <c r="M58" i="27"/>
  <c r="L58" i="27"/>
  <c r="K58" i="27"/>
  <c r="J58" i="27"/>
  <c r="I58" i="27"/>
  <c r="H58" i="27"/>
  <c r="G58" i="27"/>
  <c r="F58" i="27"/>
  <c r="E58" i="27"/>
  <c r="D58" i="27"/>
  <c r="C51" i="27"/>
  <c r="P49" i="27"/>
  <c r="R48" i="27"/>
  <c r="Q48" i="27"/>
  <c r="P48" i="27"/>
  <c r="P50" i="27" s="1"/>
  <c r="O48" i="27"/>
  <c r="N48" i="27"/>
  <c r="M48" i="27"/>
  <c r="L48" i="27"/>
  <c r="K48" i="27"/>
  <c r="J48" i="27"/>
  <c r="I48" i="27"/>
  <c r="H48" i="27"/>
  <c r="G48" i="27"/>
  <c r="F48" i="27"/>
  <c r="E48" i="27"/>
  <c r="D48" i="27"/>
  <c r="D46" i="27"/>
  <c r="C42" i="27"/>
  <c r="D40" i="27" s="1"/>
  <c r="P40" i="27"/>
  <c r="R39" i="27"/>
  <c r="Q39" i="27"/>
  <c r="Q65" i="27" s="1"/>
  <c r="P39" i="27"/>
  <c r="O39" i="27"/>
  <c r="O65" i="27" s="1"/>
  <c r="N39" i="27"/>
  <c r="N65" i="27" s="1"/>
  <c r="M39" i="27"/>
  <c r="L39" i="27"/>
  <c r="K39" i="27"/>
  <c r="J39" i="27"/>
  <c r="I39" i="27"/>
  <c r="H39" i="27"/>
  <c r="G39" i="27"/>
  <c r="G65" i="27" s="1"/>
  <c r="F39" i="27"/>
  <c r="F65" i="27" s="1"/>
  <c r="E39" i="27"/>
  <c r="D39" i="27"/>
  <c r="D41" i="27" s="1"/>
  <c r="C33" i="27"/>
  <c r="D31" i="27" s="1"/>
  <c r="P31" i="27"/>
  <c r="R30" i="27"/>
  <c r="P30" i="27"/>
  <c r="P32" i="27" s="1"/>
  <c r="O30" i="27"/>
  <c r="N30" i="27"/>
  <c r="M30" i="27"/>
  <c r="L30" i="27"/>
  <c r="K30" i="27"/>
  <c r="J30" i="27"/>
  <c r="I30" i="27"/>
  <c r="H30" i="27"/>
  <c r="G30" i="27"/>
  <c r="F30" i="27"/>
  <c r="E30" i="27"/>
  <c r="D30" i="27"/>
  <c r="D28" i="27"/>
  <c r="C24" i="27"/>
  <c r="P22" i="27"/>
  <c r="R21" i="27"/>
  <c r="Q21" i="27"/>
  <c r="P21" i="27"/>
  <c r="P23" i="27" s="1"/>
  <c r="O21" i="27"/>
  <c r="N21" i="27"/>
  <c r="M21" i="27"/>
  <c r="L21" i="27"/>
  <c r="K21" i="27"/>
  <c r="J21" i="27"/>
  <c r="I21" i="27"/>
  <c r="H21" i="27"/>
  <c r="G21" i="27"/>
  <c r="F21" i="27"/>
  <c r="E21" i="27"/>
  <c r="D21" i="27"/>
  <c r="C15" i="27"/>
  <c r="P14" i="27"/>
  <c r="P13" i="27"/>
  <c r="D13" i="27"/>
  <c r="R12" i="27"/>
  <c r="R65" i="27" s="1"/>
  <c r="P12" i="27"/>
  <c r="P65" i="27" s="1"/>
  <c r="O12" i="27"/>
  <c r="N12" i="27"/>
  <c r="M12" i="27"/>
  <c r="M65" i="27" s="1"/>
  <c r="L12" i="27"/>
  <c r="L65" i="27" s="1"/>
  <c r="K12" i="27"/>
  <c r="K65" i="27" s="1"/>
  <c r="J12" i="27"/>
  <c r="J65" i="27" s="1"/>
  <c r="I12" i="27"/>
  <c r="I65" i="27" s="1"/>
  <c r="H12" i="27"/>
  <c r="H65" i="27" s="1"/>
  <c r="G12" i="27"/>
  <c r="F12" i="27"/>
  <c r="E12" i="27"/>
  <c r="E65" i="27" s="1"/>
  <c r="D12" i="27"/>
  <c r="D65" i="27" s="1"/>
  <c r="D9" i="27"/>
  <c r="W70" i="25"/>
  <c r="C69" i="25"/>
  <c r="D67" i="25" s="1"/>
  <c r="P67" i="25"/>
  <c r="R66" i="25"/>
  <c r="Q66" i="25"/>
  <c r="P66" i="25"/>
  <c r="O66" i="25"/>
  <c r="N66" i="25"/>
  <c r="M66" i="25"/>
  <c r="L66" i="25"/>
  <c r="K66" i="25"/>
  <c r="J66" i="25"/>
  <c r="I66" i="25"/>
  <c r="H66" i="25"/>
  <c r="G66" i="25"/>
  <c r="F66" i="25"/>
  <c r="R64" i="25"/>
  <c r="D64" i="25"/>
  <c r="E64" i="25" s="1"/>
  <c r="E66" i="25" s="1"/>
  <c r="Y63" i="25"/>
  <c r="D63" i="25"/>
  <c r="X62" i="25"/>
  <c r="W62" i="25"/>
  <c r="W61" i="25"/>
  <c r="Y64" i="25" s="1"/>
  <c r="AC64" i="25" s="1"/>
  <c r="C60" i="25"/>
  <c r="P58" i="25"/>
  <c r="D58" i="25"/>
  <c r="Q57" i="25"/>
  <c r="P57" i="25"/>
  <c r="O57" i="25"/>
  <c r="N57" i="25"/>
  <c r="H57" i="25"/>
  <c r="G57" i="25"/>
  <c r="F57" i="25"/>
  <c r="AC55" i="25"/>
  <c r="R55" i="25"/>
  <c r="R57" i="25" s="1"/>
  <c r="O55" i="25"/>
  <c r="N55" i="25"/>
  <c r="M55" i="25"/>
  <c r="M57" i="25" s="1"/>
  <c r="L55" i="25"/>
  <c r="L57" i="25" s="1"/>
  <c r="K55" i="25"/>
  <c r="K57" i="25" s="1"/>
  <c r="J55" i="25"/>
  <c r="J57" i="25" s="1"/>
  <c r="I55" i="25"/>
  <c r="I57" i="25" s="1"/>
  <c r="H55" i="25"/>
  <c r="G55" i="25"/>
  <c r="F55" i="25"/>
  <c r="E55" i="25"/>
  <c r="E57" i="25" s="1"/>
  <c r="D55" i="25"/>
  <c r="D57" i="25" s="1"/>
  <c r="Y54" i="25"/>
  <c r="X53" i="25"/>
  <c r="W53" i="25"/>
  <c r="C51" i="25"/>
  <c r="P49" i="25"/>
  <c r="D49" i="25"/>
  <c r="R48" i="25"/>
  <c r="Q48" i="25"/>
  <c r="P48" i="25"/>
  <c r="P50" i="25" s="1"/>
  <c r="O48" i="25"/>
  <c r="N48" i="25"/>
  <c r="M48" i="25"/>
  <c r="L48" i="25"/>
  <c r="K48" i="25"/>
  <c r="J48" i="25"/>
  <c r="I48" i="25"/>
  <c r="H48" i="25"/>
  <c r="G48" i="25"/>
  <c r="F48" i="25"/>
  <c r="D48" i="25"/>
  <c r="AC46" i="25"/>
  <c r="Y45" i="25"/>
  <c r="Q45" i="25"/>
  <c r="E45" i="25"/>
  <c r="E48" i="25" s="1"/>
  <c r="D45" i="25"/>
  <c r="X44" i="25"/>
  <c r="W44" i="25"/>
  <c r="W43" i="25"/>
  <c r="W42" i="25"/>
  <c r="C42" i="25"/>
  <c r="D40" i="25" s="1"/>
  <c r="P40" i="25"/>
  <c r="R39" i="25"/>
  <c r="Q39" i="25"/>
  <c r="Q73" i="25" s="1"/>
  <c r="P39" i="25"/>
  <c r="P41" i="25" s="1"/>
  <c r="D39" i="25"/>
  <c r="Y37" i="25"/>
  <c r="AC37" i="25" s="1"/>
  <c r="W37" i="25"/>
  <c r="R37" i="25"/>
  <c r="L37" i="25"/>
  <c r="M37" i="25" s="1"/>
  <c r="K37" i="25"/>
  <c r="K39" i="25" s="1"/>
  <c r="J37" i="25"/>
  <c r="J39" i="25" s="1"/>
  <c r="I37" i="25"/>
  <c r="I39" i="25" s="1"/>
  <c r="H37" i="25"/>
  <c r="H39" i="25" s="1"/>
  <c r="G37" i="25"/>
  <c r="G39" i="25" s="1"/>
  <c r="F37" i="25"/>
  <c r="F39" i="25" s="1"/>
  <c r="E37" i="25"/>
  <c r="E39" i="25" s="1"/>
  <c r="Y36" i="25"/>
  <c r="Q36" i="25"/>
  <c r="D36" i="25"/>
  <c r="W33" i="25"/>
  <c r="C33" i="25"/>
  <c r="P31" i="25"/>
  <c r="D31" i="25"/>
  <c r="R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D30" i="25"/>
  <c r="Y28" i="25"/>
  <c r="AC28" i="25" s="1"/>
  <c r="W28" i="25"/>
  <c r="D28" i="25"/>
  <c r="D37" i="25" s="1"/>
  <c r="D46" i="25" s="1"/>
  <c r="Y27" i="25"/>
  <c r="W25" i="25"/>
  <c r="W24" i="25"/>
  <c r="C24" i="25"/>
  <c r="D22" i="25" s="1"/>
  <c r="P22" i="25"/>
  <c r="R21" i="25"/>
  <c r="Q21" i="25"/>
  <c r="P21" i="25"/>
  <c r="P23" i="25" s="1"/>
  <c r="O21" i="25"/>
  <c r="N21" i="25"/>
  <c r="M21" i="25"/>
  <c r="L21" i="25"/>
  <c r="K21" i="25"/>
  <c r="J21" i="25"/>
  <c r="I21" i="25"/>
  <c r="H21" i="25"/>
  <c r="G21" i="25"/>
  <c r="F21" i="25"/>
  <c r="E21" i="25"/>
  <c r="D21" i="25"/>
  <c r="W20" i="25"/>
  <c r="AC19" i="25"/>
  <c r="Y18" i="25"/>
  <c r="Y20" i="25" s="1"/>
  <c r="AC20" i="25" s="1"/>
  <c r="Q18" i="25"/>
  <c r="D18" i="25"/>
  <c r="W17" i="25"/>
  <c r="W16" i="25"/>
  <c r="W15" i="25"/>
  <c r="X17" i="25" s="1"/>
  <c r="C15" i="25"/>
  <c r="P13" i="25"/>
  <c r="P74" i="25" s="1"/>
  <c r="R12" i="25"/>
  <c r="Q12" i="25"/>
  <c r="P12" i="25"/>
  <c r="P73" i="25" s="1"/>
  <c r="O12" i="25"/>
  <c r="N12" i="25"/>
  <c r="M12" i="25"/>
  <c r="L12" i="25"/>
  <c r="K12" i="25"/>
  <c r="J12" i="25"/>
  <c r="I12" i="25"/>
  <c r="H12" i="25"/>
  <c r="H73" i="25" s="1"/>
  <c r="G12" i="25"/>
  <c r="G73" i="25" s="1"/>
  <c r="F12" i="25"/>
  <c r="E12" i="25"/>
  <c r="W10" i="25"/>
  <c r="W9" i="25"/>
  <c r="Q9" i="25"/>
  <c r="D9" i="25"/>
  <c r="Y8" i="25"/>
  <c r="Y10" i="25" s="1"/>
  <c r="AC10" i="25" s="1"/>
  <c r="Q9" i="24"/>
  <c r="D9" i="24"/>
  <c r="O58" i="24"/>
  <c r="N58" i="24"/>
  <c r="M58" i="24"/>
  <c r="L58" i="24"/>
  <c r="K58" i="24"/>
  <c r="J58" i="24"/>
  <c r="I58" i="24"/>
  <c r="H58" i="24"/>
  <c r="G58" i="24"/>
  <c r="F58" i="24"/>
  <c r="E58" i="24"/>
  <c r="R48" i="24"/>
  <c r="O48" i="24"/>
  <c r="N48" i="24"/>
  <c r="M48" i="24"/>
  <c r="L48" i="24"/>
  <c r="K48" i="24"/>
  <c r="J48" i="24"/>
  <c r="I48" i="24"/>
  <c r="H48" i="24"/>
  <c r="G48" i="24"/>
  <c r="F48" i="24"/>
  <c r="E48" i="24"/>
  <c r="D46" i="24"/>
  <c r="R39" i="24"/>
  <c r="O39" i="24"/>
  <c r="N39" i="24"/>
  <c r="M39" i="24"/>
  <c r="L39" i="24"/>
  <c r="K39" i="24"/>
  <c r="J39" i="24"/>
  <c r="I39" i="24"/>
  <c r="H39" i="24"/>
  <c r="G39" i="24"/>
  <c r="F39" i="24"/>
  <c r="E39" i="24"/>
  <c r="P32" i="24"/>
  <c r="R30" i="24"/>
  <c r="O30" i="24"/>
  <c r="N30" i="24"/>
  <c r="M30" i="24"/>
  <c r="L30" i="24"/>
  <c r="K30" i="24"/>
  <c r="J30" i="24"/>
  <c r="I30" i="24"/>
  <c r="H30" i="24"/>
  <c r="G30" i="24"/>
  <c r="F30" i="24"/>
  <c r="E30" i="24"/>
  <c r="D28" i="24"/>
  <c r="R21" i="24"/>
  <c r="O21" i="24"/>
  <c r="N21" i="24"/>
  <c r="M21" i="24"/>
  <c r="L21" i="24"/>
  <c r="K21" i="24"/>
  <c r="J21" i="24"/>
  <c r="I21" i="24"/>
  <c r="H21" i="24"/>
  <c r="G21" i="24"/>
  <c r="F21" i="24"/>
  <c r="E21" i="24"/>
  <c r="R12" i="24"/>
  <c r="O12" i="24"/>
  <c r="N12" i="24"/>
  <c r="M12" i="24"/>
  <c r="L12" i="24"/>
  <c r="K12" i="24"/>
  <c r="J12" i="24"/>
  <c r="I12" i="24"/>
  <c r="H12" i="24"/>
  <c r="G12" i="24"/>
  <c r="F12" i="24"/>
  <c r="E12" i="24"/>
  <c r="D32" i="27" l="1"/>
  <c r="P66" i="27"/>
  <c r="S21" i="25"/>
  <c r="P68" i="25"/>
  <c r="D42" i="25"/>
  <c r="E40" i="25" s="1"/>
  <c r="E41" i="25" s="1"/>
  <c r="E42" i="25" s="1"/>
  <c r="P32" i="25"/>
  <c r="P59" i="25"/>
  <c r="D66" i="25"/>
  <c r="C64" i="27"/>
  <c r="D23" i="25"/>
  <c r="D32" i="25"/>
  <c r="D33" i="25" s="1"/>
  <c r="D41" i="25"/>
  <c r="D50" i="25"/>
  <c r="D51" i="25" s="1"/>
  <c r="E49" i="25" s="1"/>
  <c r="E50" i="25" s="1"/>
  <c r="E51" i="25" s="1"/>
  <c r="D65" i="24"/>
  <c r="P66" i="24"/>
  <c r="R65" i="24"/>
  <c r="L65" i="24"/>
  <c r="H65" i="24"/>
  <c r="E65" i="24"/>
  <c r="P65" i="24"/>
  <c r="D60" i="27"/>
  <c r="D61" i="27" s="1"/>
  <c r="D33" i="27"/>
  <c r="D22" i="27"/>
  <c r="D23" i="27" s="1"/>
  <c r="D24" i="27" s="1"/>
  <c r="D49" i="27"/>
  <c r="D50" i="27" s="1"/>
  <c r="D51" i="27" s="1"/>
  <c r="D42" i="27"/>
  <c r="D14" i="27"/>
  <c r="D15" i="27" s="1"/>
  <c r="P41" i="27"/>
  <c r="S66" i="25"/>
  <c r="D68" i="25"/>
  <c r="D69" i="25" s="1"/>
  <c r="E31" i="25"/>
  <c r="F73" i="25"/>
  <c r="D24" i="25"/>
  <c r="I73" i="25"/>
  <c r="N37" i="25"/>
  <c r="M39" i="25"/>
  <c r="D59" i="25"/>
  <c r="D60" i="25" s="1"/>
  <c r="S57" i="25"/>
  <c r="J73" i="25"/>
  <c r="R73" i="25"/>
  <c r="D13" i="25"/>
  <c r="Y9" i="25"/>
  <c r="AC9" i="25" s="1"/>
  <c r="P14" i="25"/>
  <c r="C72" i="25"/>
  <c r="K73" i="25"/>
  <c r="L39" i="25"/>
  <c r="S39" i="25" s="1"/>
  <c r="D73" i="25"/>
  <c r="S30" i="25"/>
  <c r="S48" i="25"/>
  <c r="E73" i="25"/>
  <c r="M73" i="25"/>
  <c r="S12" i="25"/>
  <c r="W64" i="25"/>
  <c r="Q65" i="24"/>
  <c r="E13" i="27" l="1"/>
  <c r="E49" i="27"/>
  <c r="E50" i="27" s="1"/>
  <c r="E51" i="27" s="1"/>
  <c r="E22" i="27"/>
  <c r="E23" i="27" s="1"/>
  <c r="E24" i="27" s="1"/>
  <c r="E40" i="27"/>
  <c r="E41" i="27" s="1"/>
  <c r="E42" i="27" s="1"/>
  <c r="E31" i="27"/>
  <c r="E32" i="27" s="1"/>
  <c r="E33" i="27" s="1"/>
  <c r="D66" i="27"/>
  <c r="D67" i="27" s="1"/>
  <c r="E59" i="27"/>
  <c r="E60" i="27" s="1"/>
  <c r="E61" i="27"/>
  <c r="F49" i="25"/>
  <c r="F50" i="25" s="1"/>
  <c r="F51" i="25" s="1"/>
  <c r="F40" i="25"/>
  <c r="F41" i="25" s="1"/>
  <c r="F42" i="25" s="1"/>
  <c r="L73" i="25"/>
  <c r="E32" i="25"/>
  <c r="E33" i="25" s="1"/>
  <c r="D14" i="25"/>
  <c r="D15" i="25" s="1"/>
  <c r="D74" i="25"/>
  <c r="D75" i="25" s="1"/>
  <c r="N39" i="25"/>
  <c r="O37" i="25"/>
  <c r="O39" i="25" s="1"/>
  <c r="E67" i="25"/>
  <c r="E58" i="25"/>
  <c r="E22" i="25"/>
  <c r="F40" i="27" l="1"/>
  <c r="F41" i="27" s="1"/>
  <c r="F42" i="27" s="1"/>
  <c r="F22" i="27"/>
  <c r="F23" i="27" s="1"/>
  <c r="F24" i="27" s="1"/>
  <c r="F59" i="27"/>
  <c r="F60" i="27" s="1"/>
  <c r="F61" i="27" s="1"/>
  <c r="F31" i="27"/>
  <c r="F32" i="27" s="1"/>
  <c r="F33" i="27" s="1"/>
  <c r="E66" i="27"/>
  <c r="E67" i="27" s="1"/>
  <c r="E14" i="27"/>
  <c r="E15" i="27" s="1"/>
  <c r="F49" i="27"/>
  <c r="F50" i="27" s="1"/>
  <c r="F51" i="27" s="1"/>
  <c r="G49" i="25"/>
  <c r="G50" i="25" s="1"/>
  <c r="G51" i="25" s="1"/>
  <c r="E23" i="25"/>
  <c r="E24" i="25" s="1"/>
  <c r="E13" i="25"/>
  <c r="G40" i="25"/>
  <c r="N73" i="25"/>
  <c r="E68" i="25"/>
  <c r="E69" i="25" s="1"/>
  <c r="E59" i="25"/>
  <c r="E60" i="25" s="1"/>
  <c r="F31" i="25"/>
  <c r="O73" i="25"/>
  <c r="G31" i="27" l="1"/>
  <c r="G32" i="27" s="1"/>
  <c r="G33" i="27" s="1"/>
  <c r="G59" i="27"/>
  <c r="G60" i="27" s="1"/>
  <c r="G61" i="27" s="1"/>
  <c r="G22" i="27"/>
  <c r="G23" i="27" s="1"/>
  <c r="G24" i="27" s="1"/>
  <c r="G49" i="27"/>
  <c r="G50" i="27" s="1"/>
  <c r="G51" i="27" s="1"/>
  <c r="G40" i="27"/>
  <c r="G41" i="27" s="1"/>
  <c r="G42" i="27" s="1"/>
  <c r="F13" i="27"/>
  <c r="H49" i="25"/>
  <c r="H50" i="25" s="1"/>
  <c r="H51" i="25" s="1"/>
  <c r="F58" i="25"/>
  <c r="F22" i="25"/>
  <c r="E74" i="25"/>
  <c r="E75" i="25" s="1"/>
  <c r="E14" i="25"/>
  <c r="E15" i="25" s="1"/>
  <c r="F67" i="25"/>
  <c r="F32" i="25"/>
  <c r="F33" i="25" s="1"/>
  <c r="G41" i="25"/>
  <c r="G42" i="25" s="1"/>
  <c r="H31" i="27" l="1"/>
  <c r="H32" i="27" s="1"/>
  <c r="H33" i="27" s="1"/>
  <c r="H49" i="27"/>
  <c r="H50" i="27" s="1"/>
  <c r="H51" i="27" s="1"/>
  <c r="H22" i="27"/>
  <c r="H23" i="27" s="1"/>
  <c r="H24" i="27"/>
  <c r="F66" i="27"/>
  <c r="F67" i="27" s="1"/>
  <c r="F14" i="27"/>
  <c r="F15" i="27" s="1"/>
  <c r="H40" i="27"/>
  <c r="H41" i="27" s="1"/>
  <c r="H42" i="27" s="1"/>
  <c r="H59" i="27"/>
  <c r="H60" i="27" s="1"/>
  <c r="H61" i="27" s="1"/>
  <c r="I49" i="25"/>
  <c r="I50" i="25" s="1"/>
  <c r="I51" i="25" s="1"/>
  <c r="F23" i="25"/>
  <c r="F24" i="25" s="1"/>
  <c r="F68" i="25"/>
  <c r="F69" i="25" s="1"/>
  <c r="F13" i="25"/>
  <c r="H40" i="25"/>
  <c r="G31" i="25"/>
  <c r="F59" i="25"/>
  <c r="F60" i="25" s="1"/>
  <c r="I59" i="27" l="1"/>
  <c r="I60" i="27" s="1"/>
  <c r="I61" i="27" s="1"/>
  <c r="G13" i="27"/>
  <c r="I22" i="27"/>
  <c r="I23" i="27" s="1"/>
  <c r="I24" i="27" s="1"/>
  <c r="I49" i="27"/>
  <c r="I50" i="27" s="1"/>
  <c r="I51" i="27" s="1"/>
  <c r="I40" i="27"/>
  <c r="I41" i="27" s="1"/>
  <c r="I42" i="27" s="1"/>
  <c r="I31" i="27"/>
  <c r="I32" i="27" s="1"/>
  <c r="I33" i="27"/>
  <c r="J49" i="25"/>
  <c r="J50" i="25" s="1"/>
  <c r="J51" i="25" s="1"/>
  <c r="F74" i="25"/>
  <c r="F75" i="25" s="1"/>
  <c r="F14" i="25"/>
  <c r="F15" i="25" s="1"/>
  <c r="G32" i="25"/>
  <c r="G33" i="25" s="1"/>
  <c r="G22" i="25"/>
  <c r="G67" i="25"/>
  <c r="H41" i="25"/>
  <c r="H42" i="25" s="1"/>
  <c r="G58" i="25"/>
  <c r="J40" i="27" l="1"/>
  <c r="J41" i="27" s="1"/>
  <c r="J42" i="27" s="1"/>
  <c r="J22" i="27"/>
  <c r="J23" i="27" s="1"/>
  <c r="J24" i="27" s="1"/>
  <c r="J59" i="27"/>
  <c r="J60" i="27" s="1"/>
  <c r="J61" i="27" s="1"/>
  <c r="J49" i="27"/>
  <c r="J50" i="27" s="1"/>
  <c r="J51" i="27" s="1"/>
  <c r="J31" i="27"/>
  <c r="J32" i="27" s="1"/>
  <c r="J33" i="27" s="1"/>
  <c r="G66" i="27"/>
  <c r="G67" i="27" s="1"/>
  <c r="G14" i="27"/>
  <c r="G15" i="27" s="1"/>
  <c r="K49" i="25"/>
  <c r="K50" i="25" s="1"/>
  <c r="K51" i="25" s="1"/>
  <c r="H31" i="25"/>
  <c r="I40" i="25"/>
  <c r="I41" i="25" s="1"/>
  <c r="I42" i="25" s="1"/>
  <c r="G59" i="25"/>
  <c r="G60" i="25" s="1"/>
  <c r="G13" i="25"/>
  <c r="G68" i="25"/>
  <c r="G69" i="25" s="1"/>
  <c r="G23" i="25"/>
  <c r="G24" i="25" s="1"/>
  <c r="K49" i="27" l="1"/>
  <c r="K50" i="27" s="1"/>
  <c r="K51" i="27" s="1"/>
  <c r="K59" i="27"/>
  <c r="K60" i="27" s="1"/>
  <c r="K61" i="27"/>
  <c r="K22" i="27"/>
  <c r="K23" i="27" s="1"/>
  <c r="K24" i="27" s="1"/>
  <c r="K40" i="27"/>
  <c r="K41" i="27" s="1"/>
  <c r="K42" i="27" s="1"/>
  <c r="H13" i="27"/>
  <c r="K31" i="27"/>
  <c r="K32" i="27" s="1"/>
  <c r="K33" i="27" s="1"/>
  <c r="J40" i="25"/>
  <c r="J41" i="25" s="1"/>
  <c r="J42" i="25" s="1"/>
  <c r="L49" i="25"/>
  <c r="H58" i="25"/>
  <c r="H59" i="25" s="1"/>
  <c r="H60" i="25" s="1"/>
  <c r="H22" i="25"/>
  <c r="H32" i="25"/>
  <c r="H33" i="25" s="1"/>
  <c r="H67" i="25"/>
  <c r="G74" i="25"/>
  <c r="G75" i="25" s="1"/>
  <c r="G14" i="25"/>
  <c r="G15" i="25" s="1"/>
  <c r="L31" i="27" l="1"/>
  <c r="L32" i="27" s="1"/>
  <c r="L33" i="27"/>
  <c r="L40" i="27"/>
  <c r="L41" i="27" s="1"/>
  <c r="L42" i="27"/>
  <c r="L22" i="27"/>
  <c r="L23" i="27" s="1"/>
  <c r="L24" i="27" s="1"/>
  <c r="L49" i="27"/>
  <c r="L50" i="27" s="1"/>
  <c r="L51" i="27" s="1"/>
  <c r="L59" i="27"/>
  <c r="L60" i="27" s="1"/>
  <c r="L61" i="27" s="1"/>
  <c r="H66" i="27"/>
  <c r="H67" i="27" s="1"/>
  <c r="H14" i="27"/>
  <c r="H15" i="27" s="1"/>
  <c r="I58" i="25"/>
  <c r="I59" i="25" s="1"/>
  <c r="I60" i="25" s="1"/>
  <c r="K40" i="25"/>
  <c r="K41" i="25" s="1"/>
  <c r="K42" i="25" s="1"/>
  <c r="H13" i="25"/>
  <c r="H23" i="25"/>
  <c r="H24" i="25" s="1"/>
  <c r="H68" i="25"/>
  <c r="H69" i="25" s="1"/>
  <c r="L50" i="25"/>
  <c r="L51" i="25" s="1"/>
  <c r="S49" i="25"/>
  <c r="S50" i="25" s="1"/>
  <c r="I31" i="25"/>
  <c r="M49" i="27" l="1"/>
  <c r="M50" i="27" s="1"/>
  <c r="M51" i="27" s="1"/>
  <c r="M59" i="27"/>
  <c r="M60" i="27" s="1"/>
  <c r="M61" i="27" s="1"/>
  <c r="M22" i="27"/>
  <c r="M23" i="27" s="1"/>
  <c r="M24" i="27" s="1"/>
  <c r="I13" i="27"/>
  <c r="M31" i="27"/>
  <c r="M32" i="27" s="1"/>
  <c r="M33" i="27" s="1"/>
  <c r="M40" i="27"/>
  <c r="M41" i="27" s="1"/>
  <c r="M42" i="27" s="1"/>
  <c r="L40" i="25"/>
  <c r="J58" i="25"/>
  <c r="J59" i="25" s="1"/>
  <c r="J60" i="25" s="1"/>
  <c r="I22" i="25"/>
  <c r="M49" i="25"/>
  <c r="M50" i="25" s="1"/>
  <c r="M51" i="25" s="1"/>
  <c r="I32" i="25"/>
  <c r="I33" i="25" s="1"/>
  <c r="H74" i="25"/>
  <c r="H75" i="25" s="1"/>
  <c r="H14" i="25"/>
  <c r="H15" i="25" s="1"/>
  <c r="I67" i="25"/>
  <c r="N31" i="27" l="1"/>
  <c r="N32" i="27" s="1"/>
  <c r="N33" i="27" s="1"/>
  <c r="N40" i="27"/>
  <c r="N41" i="27" s="1"/>
  <c r="N42" i="27" s="1"/>
  <c r="N22" i="27"/>
  <c r="N23" i="27" s="1"/>
  <c r="N24" i="27" s="1"/>
  <c r="N59" i="27"/>
  <c r="N60" i="27" s="1"/>
  <c r="N61" i="27" s="1"/>
  <c r="N49" i="27"/>
  <c r="N50" i="27" s="1"/>
  <c r="N51" i="27" s="1"/>
  <c r="I66" i="27"/>
  <c r="I67" i="27" s="1"/>
  <c r="I14" i="27"/>
  <c r="I15" i="27" s="1"/>
  <c r="N49" i="25"/>
  <c r="N50" i="25" s="1"/>
  <c r="N51" i="25"/>
  <c r="K58" i="25"/>
  <c r="K59" i="25" s="1"/>
  <c r="K60" i="25" s="1"/>
  <c r="I23" i="25"/>
  <c r="I24" i="25" s="1"/>
  <c r="I13" i="25"/>
  <c r="L41" i="25"/>
  <c r="L42" i="25" s="1"/>
  <c r="S40" i="25"/>
  <c r="S41" i="25" s="1"/>
  <c r="I68" i="25"/>
  <c r="I69" i="25" s="1"/>
  <c r="J31" i="25"/>
  <c r="J32" i="25" s="1"/>
  <c r="J33" i="25" s="1"/>
  <c r="O49" i="27" l="1"/>
  <c r="O50" i="27" s="1"/>
  <c r="O51" i="27" s="1"/>
  <c r="P51" i="27" s="1"/>
  <c r="C51" i="24" s="1"/>
  <c r="D49" i="24" s="1"/>
  <c r="D50" i="24" s="1"/>
  <c r="D51" i="24" s="1"/>
  <c r="E49" i="24" s="1"/>
  <c r="E50" i="24" s="1"/>
  <c r="E51" i="24" s="1"/>
  <c r="F49" i="24" s="1"/>
  <c r="F50" i="24" s="1"/>
  <c r="F51" i="24" s="1"/>
  <c r="G49" i="24" s="1"/>
  <c r="G50" i="24" s="1"/>
  <c r="G51" i="24" s="1"/>
  <c r="H49" i="24" s="1"/>
  <c r="H50" i="24" s="1"/>
  <c r="H51" i="24" s="1"/>
  <c r="I49" i="24" s="1"/>
  <c r="I50" i="24" s="1"/>
  <c r="I51" i="24" s="1"/>
  <c r="J49" i="24" s="1"/>
  <c r="J50" i="24" s="1"/>
  <c r="J51" i="24" s="1"/>
  <c r="K49" i="24" s="1"/>
  <c r="K50" i="24" s="1"/>
  <c r="K51" i="24" s="1"/>
  <c r="L49" i="24" s="1"/>
  <c r="L50" i="24" s="1"/>
  <c r="L51" i="24" s="1"/>
  <c r="M49" i="24" s="1"/>
  <c r="M50" i="24" s="1"/>
  <c r="M51" i="24" s="1"/>
  <c r="N49" i="24" s="1"/>
  <c r="N50" i="24" s="1"/>
  <c r="N51" i="24" s="1"/>
  <c r="O49" i="24" s="1"/>
  <c r="O50" i="24" s="1"/>
  <c r="O51" i="24" s="1"/>
  <c r="P51" i="24" s="1"/>
  <c r="C51" i="30" s="1"/>
  <c r="D49" i="30" s="1"/>
  <c r="D50" i="30" s="1"/>
  <c r="D51" i="30" s="1"/>
  <c r="O59" i="27"/>
  <c r="O60" i="27" s="1"/>
  <c r="O61" i="27"/>
  <c r="P61" i="27" s="1"/>
  <c r="C61" i="24" s="1"/>
  <c r="O22" i="27"/>
  <c r="O23" i="27" s="1"/>
  <c r="O24" i="27" s="1"/>
  <c r="P24" i="27" s="1"/>
  <c r="C24" i="24" s="1"/>
  <c r="D22" i="24" s="1"/>
  <c r="D23" i="24" s="1"/>
  <c r="D24" i="24" s="1"/>
  <c r="E22" i="24" s="1"/>
  <c r="E23" i="24" s="1"/>
  <c r="E24" i="24" s="1"/>
  <c r="F22" i="24" s="1"/>
  <c r="F23" i="24" s="1"/>
  <c r="F24" i="24" s="1"/>
  <c r="G22" i="24" s="1"/>
  <c r="G23" i="24" s="1"/>
  <c r="G24" i="24" s="1"/>
  <c r="H22" i="24" s="1"/>
  <c r="H23" i="24" s="1"/>
  <c r="H24" i="24" s="1"/>
  <c r="I22" i="24" s="1"/>
  <c r="I23" i="24" s="1"/>
  <c r="I24" i="24" s="1"/>
  <c r="J22" i="24" s="1"/>
  <c r="J23" i="24" s="1"/>
  <c r="J24" i="24" s="1"/>
  <c r="K22" i="24" s="1"/>
  <c r="K23" i="24" s="1"/>
  <c r="K24" i="24" s="1"/>
  <c r="L22" i="24" s="1"/>
  <c r="L23" i="24" s="1"/>
  <c r="L24" i="24" s="1"/>
  <c r="M22" i="24" s="1"/>
  <c r="M23" i="24" s="1"/>
  <c r="M24" i="24" s="1"/>
  <c r="N22" i="24" s="1"/>
  <c r="N23" i="24" s="1"/>
  <c r="N24" i="24" s="1"/>
  <c r="O22" i="24" s="1"/>
  <c r="O23" i="24" s="1"/>
  <c r="O24" i="24" s="1"/>
  <c r="P24" i="24" s="1"/>
  <c r="C24" i="30" s="1"/>
  <c r="D22" i="30" s="1"/>
  <c r="D23" i="30" s="1"/>
  <c r="D24" i="30" s="1"/>
  <c r="E22" i="30" s="1"/>
  <c r="E23" i="30" s="1"/>
  <c r="E24" i="30" s="1"/>
  <c r="F22" i="30" s="1"/>
  <c r="F23" i="30" s="1"/>
  <c r="F24" i="30" s="1"/>
  <c r="G22" i="30" s="1"/>
  <c r="G23" i="30" s="1"/>
  <c r="G24" i="30" s="1"/>
  <c r="H22" i="30" s="1"/>
  <c r="H23" i="30" s="1"/>
  <c r="H24" i="30" s="1"/>
  <c r="I22" i="30" s="1"/>
  <c r="I23" i="30" s="1"/>
  <c r="I24" i="30" s="1"/>
  <c r="J22" i="30" s="1"/>
  <c r="J23" i="30" s="1"/>
  <c r="J24" i="30" s="1"/>
  <c r="K22" i="30" s="1"/>
  <c r="K23" i="30" s="1"/>
  <c r="K24" i="30" s="1"/>
  <c r="L22" i="30" s="1"/>
  <c r="L23" i="30" s="1"/>
  <c r="L24" i="30" s="1"/>
  <c r="M22" i="30" s="1"/>
  <c r="M23" i="30" s="1"/>
  <c r="M24" i="30" s="1"/>
  <c r="N22" i="30" s="1"/>
  <c r="N23" i="30" s="1"/>
  <c r="N24" i="30" s="1"/>
  <c r="O22" i="30" s="1"/>
  <c r="O23" i="30" s="1"/>
  <c r="O24" i="30" s="1"/>
  <c r="P24" i="30" s="1"/>
  <c r="O40" i="27"/>
  <c r="O41" i="27" s="1"/>
  <c r="O42" i="27" s="1"/>
  <c r="P42" i="27" s="1"/>
  <c r="C42" i="24" s="1"/>
  <c r="O31" i="27"/>
  <c r="O32" i="27" s="1"/>
  <c r="O33" i="27" s="1"/>
  <c r="P33" i="27" s="1"/>
  <c r="C33" i="24" s="1"/>
  <c r="J13" i="27"/>
  <c r="L58" i="25"/>
  <c r="K31" i="25"/>
  <c r="K32" i="25" s="1"/>
  <c r="K33" i="25" s="1"/>
  <c r="J22" i="25"/>
  <c r="J23" i="25" s="1"/>
  <c r="J24" i="25"/>
  <c r="J67" i="25"/>
  <c r="J68" i="25" s="1"/>
  <c r="J69" i="25" s="1"/>
  <c r="M40" i="25"/>
  <c r="M41" i="25" s="1"/>
  <c r="M42" i="25" s="1"/>
  <c r="O49" i="25"/>
  <c r="O50" i="25" s="1"/>
  <c r="O51" i="25"/>
  <c r="P51" i="25" s="1"/>
  <c r="I74" i="25"/>
  <c r="I75" i="25" s="1"/>
  <c r="I14" i="25"/>
  <c r="I15" i="25" s="1"/>
  <c r="E49" i="30" l="1"/>
  <c r="E50" i="30" s="1"/>
  <c r="E51" i="30"/>
  <c r="F49" i="30" s="1"/>
  <c r="F50" i="30" s="1"/>
  <c r="F51" i="30" s="1"/>
  <c r="G49" i="30" s="1"/>
  <c r="G50" i="30" s="1"/>
  <c r="G51" i="30" s="1"/>
  <c r="H49" i="30" s="1"/>
  <c r="H50" i="30" s="1"/>
  <c r="H51" i="30" s="1"/>
  <c r="I49" i="30" s="1"/>
  <c r="I50" i="30" s="1"/>
  <c r="I51" i="30" s="1"/>
  <c r="J49" i="30" s="1"/>
  <c r="J50" i="30" s="1"/>
  <c r="J51" i="30" s="1"/>
  <c r="K49" i="30" s="1"/>
  <c r="K50" i="30" s="1"/>
  <c r="K51" i="30" s="1"/>
  <c r="L49" i="30" s="1"/>
  <c r="L50" i="30" s="1"/>
  <c r="L51" i="30" s="1"/>
  <c r="M49" i="30" s="1"/>
  <c r="M50" i="30" s="1"/>
  <c r="M51" i="30" s="1"/>
  <c r="N49" i="30" s="1"/>
  <c r="N50" i="30" s="1"/>
  <c r="N51" i="30" s="1"/>
  <c r="O49" i="30" s="1"/>
  <c r="O50" i="30" s="1"/>
  <c r="O51" i="30" s="1"/>
  <c r="P51" i="30" s="1"/>
  <c r="C24" i="32"/>
  <c r="D22" i="32" s="1"/>
  <c r="D23" i="32" s="1"/>
  <c r="D24" i="32" s="1"/>
  <c r="E22" i="32" s="1"/>
  <c r="E23" i="32" s="1"/>
  <c r="E24" i="32" s="1"/>
  <c r="F22" i="32" s="1"/>
  <c r="F23" i="32" s="1"/>
  <c r="F24" i="32" s="1"/>
  <c r="G22" i="32" s="1"/>
  <c r="G23" i="32" s="1"/>
  <c r="G24" i="32" s="1"/>
  <c r="H22" i="32" s="1"/>
  <c r="H23" i="32" s="1"/>
  <c r="H24" i="32" s="1"/>
  <c r="I22" i="32" s="1"/>
  <c r="I23" i="32" s="1"/>
  <c r="I24" i="32" s="1"/>
  <c r="J22" i="32" s="1"/>
  <c r="J23" i="32" s="1"/>
  <c r="J24" i="32" s="1"/>
  <c r="K22" i="32" s="1"/>
  <c r="K23" i="32" s="1"/>
  <c r="K24" i="32" s="1"/>
  <c r="L22" i="32" s="1"/>
  <c r="L23" i="32" s="1"/>
  <c r="L24" i="32" s="1"/>
  <c r="M22" i="32" s="1"/>
  <c r="M23" i="32" s="1"/>
  <c r="M24" i="32" s="1"/>
  <c r="N22" i="32" s="1"/>
  <c r="N23" i="32" s="1"/>
  <c r="N24" i="32" s="1"/>
  <c r="O22" i="32" s="1"/>
  <c r="O23" i="32" s="1"/>
  <c r="O24" i="32" s="1"/>
  <c r="P24" i="32" s="1"/>
  <c r="Q22" i="30"/>
  <c r="Q23" i="30" s="1"/>
  <c r="Q24" i="30" s="1"/>
  <c r="R22" i="30" s="1"/>
  <c r="R23" i="30" s="1"/>
  <c r="R24" i="30" s="1"/>
  <c r="D59" i="24"/>
  <c r="D60" i="24" s="1"/>
  <c r="D61" i="24" s="1"/>
  <c r="E59" i="24" s="1"/>
  <c r="E60" i="24" s="1"/>
  <c r="E61" i="24" s="1"/>
  <c r="F59" i="24" s="1"/>
  <c r="F60" i="24" s="1"/>
  <c r="F61" i="24" s="1"/>
  <c r="G59" i="24" s="1"/>
  <c r="G60" i="24" s="1"/>
  <c r="G61" i="24" s="1"/>
  <c r="H59" i="24" s="1"/>
  <c r="H60" i="24" s="1"/>
  <c r="H61" i="24" s="1"/>
  <c r="I59" i="24" s="1"/>
  <c r="I60" i="24" s="1"/>
  <c r="I61" i="24" s="1"/>
  <c r="J59" i="24" s="1"/>
  <c r="J60" i="24" s="1"/>
  <c r="J61" i="24" s="1"/>
  <c r="K59" i="24" s="1"/>
  <c r="K60" i="24" s="1"/>
  <c r="K61" i="24" s="1"/>
  <c r="L59" i="24" s="1"/>
  <c r="L60" i="24" s="1"/>
  <c r="L61" i="24" s="1"/>
  <c r="M59" i="24" s="1"/>
  <c r="M60" i="24" s="1"/>
  <c r="M61" i="24" s="1"/>
  <c r="N59" i="24" s="1"/>
  <c r="N60" i="24" s="1"/>
  <c r="N61" i="24" s="1"/>
  <c r="O59" i="24" s="1"/>
  <c r="O60" i="24" s="1"/>
  <c r="O61" i="24" s="1"/>
  <c r="P61" i="24" s="1"/>
  <c r="Q22" i="24"/>
  <c r="Q23" i="24" s="1"/>
  <c r="Q24" i="24" s="1"/>
  <c r="R22" i="24" s="1"/>
  <c r="R23" i="24" s="1"/>
  <c r="R24" i="24" s="1"/>
  <c r="Q40" i="27"/>
  <c r="Q31" i="27"/>
  <c r="Q22" i="27"/>
  <c r="Q23" i="27" s="1"/>
  <c r="Q24" i="27" s="1"/>
  <c r="Q49" i="27"/>
  <c r="Q50" i="27" s="1"/>
  <c r="Q51" i="27" s="1"/>
  <c r="Q59" i="27"/>
  <c r="Q60" i="27" s="1"/>
  <c r="Q61" i="27" s="1"/>
  <c r="J66" i="27"/>
  <c r="J67" i="27" s="1"/>
  <c r="J14" i="27"/>
  <c r="J15" i="27" s="1"/>
  <c r="N40" i="25"/>
  <c r="N41" i="25" s="1"/>
  <c r="N42" i="25"/>
  <c r="K67" i="25"/>
  <c r="K68" i="25" s="1"/>
  <c r="K69" i="25"/>
  <c r="L31" i="25"/>
  <c r="K22" i="25"/>
  <c r="K23" i="25" s="1"/>
  <c r="K24" i="25" s="1"/>
  <c r="J13" i="25"/>
  <c r="Q49" i="25"/>
  <c r="Q50" i="25" s="1"/>
  <c r="Q51" i="25" s="1"/>
  <c r="L59" i="25"/>
  <c r="L60" i="25" s="1"/>
  <c r="S58" i="25"/>
  <c r="S59" i="25" s="1"/>
  <c r="Q49" i="24"/>
  <c r="Q50" i="24" s="1"/>
  <c r="Q51" i="24" s="1"/>
  <c r="Q22" i="32" l="1"/>
  <c r="Q23" i="32" s="1"/>
  <c r="Q24" i="32" s="1"/>
  <c r="R22" i="32" s="1"/>
  <c r="R23" i="32" s="1"/>
  <c r="R24" i="32" s="1"/>
  <c r="C61" i="30"/>
  <c r="D59" i="30" s="1"/>
  <c r="D60" i="30" s="1"/>
  <c r="D61" i="30" s="1"/>
  <c r="E59" i="30" s="1"/>
  <c r="E60" i="30" s="1"/>
  <c r="E61" i="30" s="1"/>
  <c r="F59" i="30" s="1"/>
  <c r="F60" i="30" s="1"/>
  <c r="F61" i="30" s="1"/>
  <c r="G59" i="30" s="1"/>
  <c r="G60" i="30" s="1"/>
  <c r="G61" i="30" s="1"/>
  <c r="H59" i="30" s="1"/>
  <c r="H60" i="30" s="1"/>
  <c r="H61" i="30" s="1"/>
  <c r="I59" i="30" s="1"/>
  <c r="I60" i="30" s="1"/>
  <c r="I61" i="30" s="1"/>
  <c r="J59" i="30" s="1"/>
  <c r="J60" i="30" s="1"/>
  <c r="J61" i="30" s="1"/>
  <c r="K59" i="30" s="1"/>
  <c r="K60" i="30" s="1"/>
  <c r="K61" i="30" s="1"/>
  <c r="L59" i="30" s="1"/>
  <c r="L60" i="30" s="1"/>
  <c r="L61" i="30" s="1"/>
  <c r="M59" i="30" s="1"/>
  <c r="M60" i="30" s="1"/>
  <c r="M61" i="30" s="1"/>
  <c r="N59" i="30" s="1"/>
  <c r="N60" i="30" s="1"/>
  <c r="N61" i="30" s="1"/>
  <c r="O59" i="30" s="1"/>
  <c r="O60" i="30" s="1"/>
  <c r="O61" i="30" s="1"/>
  <c r="P61" i="30" s="1"/>
  <c r="Q59" i="24"/>
  <c r="Q60" i="24" s="1"/>
  <c r="Q61" i="24" s="1"/>
  <c r="Q41" i="27"/>
  <c r="Q42" i="27" s="1"/>
  <c r="D40" i="24"/>
  <c r="D41" i="24" s="1"/>
  <c r="D42" i="24" s="1"/>
  <c r="E40" i="24" s="1"/>
  <c r="E41" i="24" s="1"/>
  <c r="E42" i="24" s="1"/>
  <c r="F40" i="24" s="1"/>
  <c r="F41" i="24" s="1"/>
  <c r="F42" i="24" s="1"/>
  <c r="G40" i="24" s="1"/>
  <c r="G41" i="24" s="1"/>
  <c r="G42" i="24" s="1"/>
  <c r="H40" i="24" s="1"/>
  <c r="H41" i="24" s="1"/>
  <c r="H42" i="24" s="1"/>
  <c r="I40" i="24" s="1"/>
  <c r="I41" i="24" s="1"/>
  <c r="I42" i="24" s="1"/>
  <c r="J40" i="24" s="1"/>
  <c r="J41" i="24" s="1"/>
  <c r="J42" i="24" s="1"/>
  <c r="K40" i="24" s="1"/>
  <c r="K41" i="24" s="1"/>
  <c r="K42" i="24" s="1"/>
  <c r="L40" i="24" s="1"/>
  <c r="L41" i="24" s="1"/>
  <c r="L42" i="24" s="1"/>
  <c r="M40" i="24" s="1"/>
  <c r="M41" i="24" s="1"/>
  <c r="M42" i="24" s="1"/>
  <c r="N40" i="24" s="1"/>
  <c r="N41" i="24" s="1"/>
  <c r="N42" i="24" s="1"/>
  <c r="O40" i="24" s="1"/>
  <c r="O41" i="24" s="1"/>
  <c r="O42" i="24" s="1"/>
  <c r="P42" i="24" s="1"/>
  <c r="Q49" i="30"/>
  <c r="Q50" i="30" s="1"/>
  <c r="Q51" i="30" s="1"/>
  <c r="R49" i="30" s="1"/>
  <c r="R50" i="30" s="1"/>
  <c r="R51" i="30" s="1"/>
  <c r="C51" i="32"/>
  <c r="D49" i="32" s="1"/>
  <c r="D50" i="32" s="1"/>
  <c r="D51" i="32" s="1"/>
  <c r="E49" i="32" s="1"/>
  <c r="E50" i="32" s="1"/>
  <c r="E51" i="32" s="1"/>
  <c r="F49" i="32" s="1"/>
  <c r="F50" i="32" s="1"/>
  <c r="F51" i="32" s="1"/>
  <c r="G49" i="32" s="1"/>
  <c r="G50" i="32" s="1"/>
  <c r="G51" i="32" s="1"/>
  <c r="H49" i="32" s="1"/>
  <c r="H50" i="32" s="1"/>
  <c r="H51" i="32" s="1"/>
  <c r="I49" i="32" s="1"/>
  <c r="I50" i="32" s="1"/>
  <c r="I51" i="32" s="1"/>
  <c r="J49" i="32" s="1"/>
  <c r="J50" i="32" s="1"/>
  <c r="J51" i="32" s="1"/>
  <c r="K49" i="32" s="1"/>
  <c r="K50" i="32" s="1"/>
  <c r="K51" i="32" s="1"/>
  <c r="L49" i="32" s="1"/>
  <c r="L50" i="32" s="1"/>
  <c r="L51" i="32" s="1"/>
  <c r="M49" i="32" s="1"/>
  <c r="M50" i="32" s="1"/>
  <c r="M51" i="32" s="1"/>
  <c r="N49" i="32" s="1"/>
  <c r="N50" i="32" s="1"/>
  <c r="N51" i="32" s="1"/>
  <c r="O49" i="32" s="1"/>
  <c r="O50" i="32" s="1"/>
  <c r="O51" i="32" s="1"/>
  <c r="P51" i="32" s="1"/>
  <c r="Q49" i="32" s="1"/>
  <c r="Q50" i="32" s="1"/>
  <c r="Q51" i="32" s="1"/>
  <c r="R49" i="32" s="1"/>
  <c r="R50" i="32" s="1"/>
  <c r="R51" i="32" s="1"/>
  <c r="Q32" i="27"/>
  <c r="Q33" i="27" s="1"/>
  <c r="D31" i="24"/>
  <c r="D32" i="24" s="1"/>
  <c r="D33" i="24" s="1"/>
  <c r="E31" i="24" s="1"/>
  <c r="E32" i="24" s="1"/>
  <c r="E33" i="24" s="1"/>
  <c r="F31" i="24" s="1"/>
  <c r="F32" i="24" s="1"/>
  <c r="F33" i="24" s="1"/>
  <c r="G31" i="24" s="1"/>
  <c r="G32" i="24" s="1"/>
  <c r="G33" i="24" s="1"/>
  <c r="H31" i="24" s="1"/>
  <c r="H32" i="24" s="1"/>
  <c r="H33" i="24" s="1"/>
  <c r="I31" i="24" s="1"/>
  <c r="I32" i="24" s="1"/>
  <c r="I33" i="24" s="1"/>
  <c r="J31" i="24" s="1"/>
  <c r="J32" i="24" s="1"/>
  <c r="J33" i="24" s="1"/>
  <c r="K31" i="24" s="1"/>
  <c r="K32" i="24" s="1"/>
  <c r="K33" i="24" s="1"/>
  <c r="L31" i="24" s="1"/>
  <c r="L32" i="24" s="1"/>
  <c r="L33" i="24" s="1"/>
  <c r="M31" i="24" s="1"/>
  <c r="M32" i="24" s="1"/>
  <c r="M33" i="24" s="1"/>
  <c r="N31" i="24" s="1"/>
  <c r="N32" i="24" s="1"/>
  <c r="N33" i="24" s="1"/>
  <c r="O31" i="24" s="1"/>
  <c r="O32" i="24" s="1"/>
  <c r="O33" i="24" s="1"/>
  <c r="P33" i="24" s="1"/>
  <c r="R49" i="27"/>
  <c r="R50" i="27" s="1"/>
  <c r="R51" i="27" s="1"/>
  <c r="R59" i="27"/>
  <c r="R60" i="27" s="1"/>
  <c r="R61" i="27" s="1"/>
  <c r="R22" i="27"/>
  <c r="R23" i="27" s="1"/>
  <c r="R24" i="27" s="1"/>
  <c r="R31" i="27"/>
  <c r="R32" i="27" s="1"/>
  <c r="R33" i="27" s="1"/>
  <c r="R40" i="27"/>
  <c r="R41" i="27" s="1"/>
  <c r="R42" i="27" s="1"/>
  <c r="K13" i="27"/>
  <c r="R49" i="25"/>
  <c r="R50" i="25" s="1"/>
  <c r="R51" i="25" s="1"/>
  <c r="L22" i="25"/>
  <c r="M58" i="25"/>
  <c r="M59" i="25" s="1"/>
  <c r="M60" i="25" s="1"/>
  <c r="L67" i="25"/>
  <c r="L32" i="25"/>
  <c r="L33" i="25" s="1"/>
  <c r="S31" i="25"/>
  <c r="S32" i="25" s="1"/>
  <c r="J74" i="25"/>
  <c r="J75" i="25" s="1"/>
  <c r="J14" i="25"/>
  <c r="J15" i="25" s="1"/>
  <c r="O40" i="25"/>
  <c r="O41" i="25" s="1"/>
  <c r="O42" i="25" s="1"/>
  <c r="P42" i="25" s="1"/>
  <c r="R59" i="24"/>
  <c r="R60" i="24" s="1"/>
  <c r="R61" i="24" s="1"/>
  <c r="R49" i="24"/>
  <c r="R50" i="24" s="1"/>
  <c r="R51" i="24" s="1"/>
  <c r="C33" i="30" l="1"/>
  <c r="Q31" i="24"/>
  <c r="C42" i="30"/>
  <c r="Q40" i="24"/>
  <c r="C61" i="32"/>
  <c r="D59" i="32" s="1"/>
  <c r="D60" i="32" s="1"/>
  <c r="D61" i="32" s="1"/>
  <c r="E59" i="32" s="1"/>
  <c r="E60" i="32" s="1"/>
  <c r="E61" i="32" s="1"/>
  <c r="F59" i="32" s="1"/>
  <c r="F60" i="32" s="1"/>
  <c r="F61" i="32" s="1"/>
  <c r="G59" i="32" s="1"/>
  <c r="G60" i="32" s="1"/>
  <c r="G61" i="32" s="1"/>
  <c r="H59" i="32" s="1"/>
  <c r="H60" i="32" s="1"/>
  <c r="H61" i="32" s="1"/>
  <c r="I59" i="32" s="1"/>
  <c r="I60" i="32" s="1"/>
  <c r="I61" i="32" s="1"/>
  <c r="J59" i="32" s="1"/>
  <c r="J60" i="32" s="1"/>
  <c r="J61" i="32" s="1"/>
  <c r="K59" i="32" s="1"/>
  <c r="K60" i="32" s="1"/>
  <c r="K61" i="32" s="1"/>
  <c r="L59" i="32" s="1"/>
  <c r="L60" i="32" s="1"/>
  <c r="L61" i="32" s="1"/>
  <c r="M59" i="32" s="1"/>
  <c r="M60" i="32" s="1"/>
  <c r="M61" i="32" s="1"/>
  <c r="N59" i="32" s="1"/>
  <c r="N60" i="32" s="1"/>
  <c r="N61" i="32" s="1"/>
  <c r="O59" i="32" s="1"/>
  <c r="O60" i="32" s="1"/>
  <c r="O61" i="32" s="1"/>
  <c r="P61" i="32" s="1"/>
  <c r="Q59" i="32" s="1"/>
  <c r="Q60" i="32" s="1"/>
  <c r="Q61" i="32" s="1"/>
  <c r="R59" i="32" s="1"/>
  <c r="R60" i="32" s="1"/>
  <c r="R61" i="32" s="1"/>
  <c r="Q59" i="30"/>
  <c r="Q60" i="30" s="1"/>
  <c r="Q61" i="30" s="1"/>
  <c r="R59" i="30" s="1"/>
  <c r="R60" i="30" s="1"/>
  <c r="R61" i="30" s="1"/>
  <c r="K66" i="27"/>
  <c r="K67" i="27" s="1"/>
  <c r="K14" i="27"/>
  <c r="K15" i="27" s="1"/>
  <c r="N58" i="25"/>
  <c r="N59" i="25" s="1"/>
  <c r="N60" i="25"/>
  <c r="Q40" i="25"/>
  <c r="Q41" i="25" s="1"/>
  <c r="Q42" i="25" s="1"/>
  <c r="K13" i="25"/>
  <c r="L68" i="25"/>
  <c r="L69" i="25" s="1"/>
  <c r="S67" i="25"/>
  <c r="S68" i="25" s="1"/>
  <c r="L23" i="25"/>
  <c r="L24" i="25" s="1"/>
  <c r="S22" i="25"/>
  <c r="S23" i="25" s="1"/>
  <c r="M31" i="25"/>
  <c r="M32" i="25" s="1"/>
  <c r="M33" i="25" s="1"/>
  <c r="Q41" i="24" l="1"/>
  <c r="Q42" i="24" s="1"/>
  <c r="R40" i="24" s="1"/>
  <c r="R41" i="24" s="1"/>
  <c r="R42" i="24" s="1"/>
  <c r="D40" i="30"/>
  <c r="D41" i="30" s="1"/>
  <c r="D42" i="30" s="1"/>
  <c r="E40" i="30" s="1"/>
  <c r="E41" i="30" s="1"/>
  <c r="E42" i="30" s="1"/>
  <c r="F40" i="30" s="1"/>
  <c r="F41" i="30" s="1"/>
  <c r="F42" i="30" s="1"/>
  <c r="G40" i="30" s="1"/>
  <c r="G41" i="30" s="1"/>
  <c r="G42" i="30" s="1"/>
  <c r="H40" i="30" s="1"/>
  <c r="H41" i="30" s="1"/>
  <c r="H42" i="30" s="1"/>
  <c r="I40" i="30" s="1"/>
  <c r="I41" i="30" s="1"/>
  <c r="I42" i="30" s="1"/>
  <c r="J40" i="30" s="1"/>
  <c r="J41" i="30" s="1"/>
  <c r="J42" i="30" s="1"/>
  <c r="K40" i="30" s="1"/>
  <c r="K41" i="30" s="1"/>
  <c r="K42" i="30" s="1"/>
  <c r="L40" i="30" s="1"/>
  <c r="L41" i="30" s="1"/>
  <c r="L42" i="30" s="1"/>
  <c r="M40" i="30" s="1"/>
  <c r="M41" i="30" s="1"/>
  <c r="M42" i="30" s="1"/>
  <c r="N40" i="30" s="1"/>
  <c r="N41" i="30" s="1"/>
  <c r="N42" i="30" s="1"/>
  <c r="O40" i="30" s="1"/>
  <c r="O41" i="30" s="1"/>
  <c r="O42" i="30" s="1"/>
  <c r="P42" i="30" s="1"/>
  <c r="Q32" i="24"/>
  <c r="Q33" i="24" s="1"/>
  <c r="R31" i="24" s="1"/>
  <c r="R32" i="24" s="1"/>
  <c r="R33" i="24" s="1"/>
  <c r="D31" i="30"/>
  <c r="D32" i="30" s="1"/>
  <c r="D33" i="30"/>
  <c r="E31" i="30" s="1"/>
  <c r="E32" i="30" s="1"/>
  <c r="E33" i="30" s="1"/>
  <c r="F31" i="30" s="1"/>
  <c r="F32" i="30" s="1"/>
  <c r="F33" i="30" s="1"/>
  <c r="G31" i="30" s="1"/>
  <c r="G32" i="30" s="1"/>
  <c r="G33" i="30" s="1"/>
  <c r="H31" i="30" s="1"/>
  <c r="H32" i="30" s="1"/>
  <c r="H33" i="30" s="1"/>
  <c r="I31" i="30" s="1"/>
  <c r="I32" i="30" s="1"/>
  <c r="I33" i="30" s="1"/>
  <c r="J31" i="30" s="1"/>
  <c r="J32" i="30" s="1"/>
  <c r="J33" i="30" s="1"/>
  <c r="K31" i="30" s="1"/>
  <c r="K32" i="30" s="1"/>
  <c r="K33" i="30" s="1"/>
  <c r="L31" i="30" s="1"/>
  <c r="L32" i="30" s="1"/>
  <c r="L33" i="30" s="1"/>
  <c r="M31" i="30" s="1"/>
  <c r="M32" i="30" s="1"/>
  <c r="M33" i="30" s="1"/>
  <c r="N31" i="30" s="1"/>
  <c r="N32" i="30" s="1"/>
  <c r="N33" i="30" s="1"/>
  <c r="O31" i="30" s="1"/>
  <c r="O32" i="30" s="1"/>
  <c r="O33" i="30" s="1"/>
  <c r="P33" i="30" s="1"/>
  <c r="L13" i="27"/>
  <c r="R40" i="25"/>
  <c r="R41" i="25" s="1"/>
  <c r="R42" i="25" s="1"/>
  <c r="N31" i="25"/>
  <c r="N32" i="25" s="1"/>
  <c r="N33" i="25" s="1"/>
  <c r="K74" i="25"/>
  <c r="K75" i="25" s="1"/>
  <c r="K14" i="25"/>
  <c r="K15" i="25" s="1"/>
  <c r="O58" i="25"/>
  <c r="O59" i="25" s="1"/>
  <c r="O60" i="25" s="1"/>
  <c r="P60" i="25" s="1"/>
  <c r="M67" i="25"/>
  <c r="M68" i="25" s="1"/>
  <c r="M69" i="25" s="1"/>
  <c r="M22" i="25"/>
  <c r="M23" i="25" s="1"/>
  <c r="M24" i="25" s="1"/>
  <c r="C33" i="32" l="1"/>
  <c r="Q31" i="30"/>
  <c r="C42" i="32"/>
  <c r="Q40" i="30"/>
  <c r="L66" i="27"/>
  <c r="L67" i="27" s="1"/>
  <c r="L14" i="27"/>
  <c r="L15" i="27" s="1"/>
  <c r="N67" i="25"/>
  <c r="N68" i="25" s="1"/>
  <c r="N69" i="25" s="1"/>
  <c r="N22" i="25"/>
  <c r="N23" i="25" s="1"/>
  <c r="N24" i="25" s="1"/>
  <c r="Q58" i="25"/>
  <c r="Q59" i="25" s="1"/>
  <c r="Q60" i="25" s="1"/>
  <c r="O31" i="25"/>
  <c r="O32" i="25" s="1"/>
  <c r="O33" i="25" s="1"/>
  <c r="P33" i="25" s="1"/>
  <c r="L13" i="25"/>
  <c r="Q32" i="30" l="1"/>
  <c r="Q33" i="30" s="1"/>
  <c r="R31" i="30" s="1"/>
  <c r="R32" i="30" s="1"/>
  <c r="R33" i="30" s="1"/>
  <c r="D31" i="32"/>
  <c r="D32" i="32" s="1"/>
  <c r="D33" i="32" s="1"/>
  <c r="E31" i="32" s="1"/>
  <c r="E32" i="32" s="1"/>
  <c r="E33" i="32" s="1"/>
  <c r="F31" i="32" s="1"/>
  <c r="F32" i="32" s="1"/>
  <c r="F33" i="32" s="1"/>
  <c r="G31" i="32" s="1"/>
  <c r="G32" i="32" s="1"/>
  <c r="G33" i="32" s="1"/>
  <c r="H31" i="32" s="1"/>
  <c r="H32" i="32" s="1"/>
  <c r="H33" i="32" s="1"/>
  <c r="I31" i="32" s="1"/>
  <c r="I32" i="32" s="1"/>
  <c r="I33" i="32" s="1"/>
  <c r="J31" i="32" s="1"/>
  <c r="J32" i="32" s="1"/>
  <c r="J33" i="32" s="1"/>
  <c r="K31" i="32" s="1"/>
  <c r="K32" i="32" s="1"/>
  <c r="K33" i="32" s="1"/>
  <c r="L31" i="32" s="1"/>
  <c r="L32" i="32" s="1"/>
  <c r="L33" i="32" s="1"/>
  <c r="M31" i="32" s="1"/>
  <c r="M32" i="32" s="1"/>
  <c r="M33" i="32" s="1"/>
  <c r="N31" i="32" s="1"/>
  <c r="N32" i="32" s="1"/>
  <c r="N33" i="32" s="1"/>
  <c r="O31" i="32" s="1"/>
  <c r="O32" i="32" s="1"/>
  <c r="O33" i="32" s="1"/>
  <c r="P33" i="32" s="1"/>
  <c r="Q31" i="32" s="1"/>
  <c r="Q32" i="32" s="1"/>
  <c r="Q33" i="32" s="1"/>
  <c r="R31" i="32" s="1"/>
  <c r="R32" i="32" s="1"/>
  <c r="R33" i="32" s="1"/>
  <c r="Q41" i="30"/>
  <c r="Q42" i="30" s="1"/>
  <c r="R40" i="30" s="1"/>
  <c r="R41" i="30" s="1"/>
  <c r="R42" i="30" s="1"/>
  <c r="D40" i="32"/>
  <c r="D41" i="32" s="1"/>
  <c r="D42" i="32" s="1"/>
  <c r="E40" i="32" s="1"/>
  <c r="E41" i="32" s="1"/>
  <c r="E42" i="32" s="1"/>
  <c r="F40" i="32" s="1"/>
  <c r="F41" i="32" s="1"/>
  <c r="F42" i="32" s="1"/>
  <c r="G40" i="32" s="1"/>
  <c r="G41" i="32" s="1"/>
  <c r="G42" i="32" s="1"/>
  <c r="H40" i="32" s="1"/>
  <c r="H41" i="32" s="1"/>
  <c r="H42" i="32" s="1"/>
  <c r="I40" i="32" s="1"/>
  <c r="I41" i="32" s="1"/>
  <c r="I42" i="32" s="1"/>
  <c r="J40" i="32" s="1"/>
  <c r="J41" i="32" s="1"/>
  <c r="J42" i="32" s="1"/>
  <c r="K40" i="32" s="1"/>
  <c r="K41" i="32" s="1"/>
  <c r="K42" i="32" s="1"/>
  <c r="L40" i="32" s="1"/>
  <c r="L41" i="32" s="1"/>
  <c r="L42" i="32" s="1"/>
  <c r="M40" i="32" s="1"/>
  <c r="M41" i="32" s="1"/>
  <c r="M42" i="32" s="1"/>
  <c r="N40" i="32" s="1"/>
  <c r="N41" i="32" s="1"/>
  <c r="N42" i="32" s="1"/>
  <c r="O40" i="32" s="1"/>
  <c r="O41" i="32" s="1"/>
  <c r="O42" i="32" s="1"/>
  <c r="P42" i="32" s="1"/>
  <c r="Q40" i="32" s="1"/>
  <c r="Q41" i="32" s="1"/>
  <c r="Q42" i="32" s="1"/>
  <c r="R40" i="32" s="1"/>
  <c r="R41" i="32" s="1"/>
  <c r="R42" i="32" s="1"/>
  <c r="M13" i="27"/>
  <c r="Q31" i="25"/>
  <c r="Q32" i="25" s="1"/>
  <c r="Q33" i="25" s="1"/>
  <c r="R58" i="25"/>
  <c r="R59" i="25" s="1"/>
  <c r="R60" i="25" s="1"/>
  <c r="O22" i="25"/>
  <c r="O23" i="25" s="1"/>
  <c r="O24" i="25" s="1"/>
  <c r="P24" i="25" s="1"/>
  <c r="O67" i="25"/>
  <c r="O68" i="25" s="1"/>
  <c r="O69" i="25" s="1"/>
  <c r="P69" i="25" s="1"/>
  <c r="L74" i="25"/>
  <c r="L75" i="25" s="1"/>
  <c r="L14" i="25"/>
  <c r="L15" i="25" s="1"/>
  <c r="S13" i="25"/>
  <c r="S14" i="25" s="1"/>
  <c r="M66" i="27" l="1"/>
  <c r="M67" i="27" s="1"/>
  <c r="M14" i="27"/>
  <c r="M15" i="27" s="1"/>
  <c r="Q67" i="25"/>
  <c r="Q68" i="25" s="1"/>
  <c r="Q69" i="25" s="1"/>
  <c r="Q22" i="25"/>
  <c r="Q23" i="25" s="1"/>
  <c r="Q24" i="25" s="1"/>
  <c r="R31" i="25"/>
  <c r="R32" i="25" s="1"/>
  <c r="R33" i="25" s="1"/>
  <c r="M13" i="25"/>
  <c r="N13" i="27" l="1"/>
  <c r="R22" i="25"/>
  <c r="R23" i="25" s="1"/>
  <c r="R24" i="25" s="1"/>
  <c r="R67" i="25"/>
  <c r="R68" i="25" s="1"/>
  <c r="R69" i="25" s="1"/>
  <c r="M74" i="25"/>
  <c r="M75" i="25" s="1"/>
  <c r="M14" i="25"/>
  <c r="M15" i="25" s="1"/>
  <c r="N66" i="27" l="1"/>
  <c r="N67" i="27" s="1"/>
  <c r="N14" i="27"/>
  <c r="N15" i="27" s="1"/>
  <c r="N13" i="25"/>
  <c r="O13" i="27" l="1"/>
  <c r="N74" i="25"/>
  <c r="N75" i="25" s="1"/>
  <c r="N14" i="25"/>
  <c r="N15" i="25" s="1"/>
  <c r="O66" i="27" l="1"/>
  <c r="O67" i="27" s="1"/>
  <c r="P67" i="27" s="1"/>
  <c r="O14" i="27"/>
  <c r="O15" i="27" s="1"/>
  <c r="P15" i="27" s="1"/>
  <c r="C15" i="24" s="1"/>
  <c r="O13" i="25"/>
  <c r="D13" i="24" l="1"/>
  <c r="C64" i="24"/>
  <c r="Q13" i="27"/>
  <c r="O74" i="25"/>
  <c r="O75" i="25" s="1"/>
  <c r="P75" i="25" s="1"/>
  <c r="O14" i="25"/>
  <c r="O15" i="25" s="1"/>
  <c r="P15" i="25" s="1"/>
  <c r="D66" i="24" l="1"/>
  <c r="D67" i="24" s="1"/>
  <c r="D14" i="24"/>
  <c r="D15" i="24" s="1"/>
  <c r="E13" i="24" s="1"/>
  <c r="Q66" i="27"/>
  <c r="Q67" i="27" s="1"/>
  <c r="Q14" i="27"/>
  <c r="Q15" i="27" s="1"/>
  <c r="Q13" i="25"/>
  <c r="E66" i="24" l="1"/>
  <c r="E67" i="24" s="1"/>
  <c r="E14" i="24"/>
  <c r="E15" i="24" s="1"/>
  <c r="F13" i="24" s="1"/>
  <c r="R13" i="27"/>
  <c r="Q74" i="25"/>
  <c r="Q75" i="25" s="1"/>
  <c r="Q14" i="25"/>
  <c r="Q15" i="25" s="1"/>
  <c r="F66" i="24" l="1"/>
  <c r="F67" i="24" s="1"/>
  <c r="F14" i="24"/>
  <c r="F15" i="24" s="1"/>
  <c r="G13" i="24" s="1"/>
  <c r="R66" i="27"/>
  <c r="R67" i="27" s="1"/>
  <c r="R14" i="27"/>
  <c r="R15" i="27" s="1"/>
  <c r="R13" i="25"/>
  <c r="G66" i="24" l="1"/>
  <c r="G67" i="24" s="1"/>
  <c r="G14" i="24"/>
  <c r="G15" i="24" s="1"/>
  <c r="H13" i="24" s="1"/>
  <c r="R74" i="25"/>
  <c r="R75" i="25" s="1"/>
  <c r="R14" i="25"/>
  <c r="R15" i="25" s="1"/>
  <c r="H66" i="24" l="1"/>
  <c r="H67" i="24" s="1"/>
  <c r="H14" i="24"/>
  <c r="H15" i="24" s="1"/>
  <c r="I13" i="24" s="1"/>
  <c r="J155" i="20"/>
  <c r="L156" i="20"/>
  <c r="I156" i="20"/>
  <c r="M155" i="20"/>
  <c r="P155" i="20"/>
  <c r="L155" i="20"/>
  <c r="K155" i="20"/>
  <c r="I18" i="20"/>
  <c r="H18" i="20"/>
  <c r="K17" i="20"/>
  <c r="K154" i="20" s="1"/>
  <c r="D155" i="20"/>
  <c r="D32" i="20"/>
  <c r="D18" i="20"/>
  <c r="D16" i="20"/>
  <c r="D15" i="20"/>
  <c r="D13" i="20"/>
  <c r="I14" i="24" l="1"/>
  <c r="I15" i="24" s="1"/>
  <c r="J13" i="24" s="1"/>
  <c r="I66" i="24"/>
  <c r="I67" i="24" s="1"/>
  <c r="Q133" i="20"/>
  <c r="J66" i="24" l="1"/>
  <c r="J67" i="24" s="1"/>
  <c r="J14" i="24"/>
  <c r="J15" i="24" s="1"/>
  <c r="K13" i="24" s="1"/>
  <c r="P68" i="20"/>
  <c r="Y39" i="20"/>
  <c r="N134" i="20"/>
  <c r="N119" i="20"/>
  <c r="N104" i="20"/>
  <c r="N87" i="20"/>
  <c r="N71" i="20"/>
  <c r="N42" i="20"/>
  <c r="N54" i="20"/>
  <c r="N30" i="20"/>
  <c r="N18" i="20"/>
  <c r="M131" i="23"/>
  <c r="L15" i="23"/>
  <c r="C14" i="23"/>
  <c r="L131" i="23"/>
  <c r="K131" i="23"/>
  <c r="J131" i="23"/>
  <c r="I131" i="23"/>
  <c r="H131" i="23"/>
  <c r="G131" i="23"/>
  <c r="F131" i="23"/>
  <c r="E131" i="23"/>
  <c r="D131" i="23"/>
  <c r="C131" i="23"/>
  <c r="C125" i="23"/>
  <c r="C126" i="23" s="1"/>
  <c r="C127" i="23" s="1"/>
  <c r="C128" i="23" s="1"/>
  <c r="C110" i="23"/>
  <c r="C95" i="23"/>
  <c r="C96" i="23" s="1"/>
  <c r="C97" i="23" s="1"/>
  <c r="C98" i="23" s="1"/>
  <c r="C68" i="23"/>
  <c r="C69" i="23" s="1"/>
  <c r="C70" i="23" s="1"/>
  <c r="C71" i="23" s="1"/>
  <c r="D69" i="23" s="1"/>
  <c r="C80" i="23"/>
  <c r="C81" i="23"/>
  <c r="C82" i="23" s="1"/>
  <c r="C83" i="23" s="1"/>
  <c r="C52" i="23"/>
  <c r="C53" i="23" s="1"/>
  <c r="C40" i="23"/>
  <c r="C41" i="23" s="1"/>
  <c r="C42" i="23" s="1"/>
  <c r="C43" i="23" s="1"/>
  <c r="C27" i="23"/>
  <c r="C28" i="23" s="1"/>
  <c r="C29" i="23" s="1"/>
  <c r="C30" i="23" s="1"/>
  <c r="C15" i="23"/>
  <c r="C16" i="23" s="1"/>
  <c r="C17" i="23" s="1"/>
  <c r="M124" i="23"/>
  <c r="M123" i="23"/>
  <c r="L123" i="23"/>
  <c r="L125" i="23" s="1"/>
  <c r="K123" i="23"/>
  <c r="K125" i="23" s="1"/>
  <c r="J123" i="23"/>
  <c r="J125" i="23" s="1"/>
  <c r="I123" i="23"/>
  <c r="I125" i="23" s="1"/>
  <c r="H123" i="23"/>
  <c r="H125" i="23" s="1"/>
  <c r="G123" i="23"/>
  <c r="G125" i="23" s="1"/>
  <c r="F123" i="23"/>
  <c r="F125" i="23" s="1"/>
  <c r="E123" i="23"/>
  <c r="E125" i="23" s="1"/>
  <c r="D123" i="23"/>
  <c r="D125" i="23" s="1"/>
  <c r="C123" i="23"/>
  <c r="C111" i="23"/>
  <c r="C112" i="23" s="1"/>
  <c r="C113" i="23" s="1"/>
  <c r="M109" i="23"/>
  <c r="M108" i="23"/>
  <c r="L108" i="23"/>
  <c r="L110" i="23" s="1"/>
  <c r="K108" i="23"/>
  <c r="K110" i="23" s="1"/>
  <c r="J108" i="23"/>
  <c r="J110" i="23" s="1"/>
  <c r="I108" i="23"/>
  <c r="I110" i="23" s="1"/>
  <c r="H108" i="23"/>
  <c r="H110" i="23" s="1"/>
  <c r="G108" i="23"/>
  <c r="G110" i="23" s="1"/>
  <c r="F108" i="23"/>
  <c r="F110" i="23" s="1"/>
  <c r="E108" i="23"/>
  <c r="E110" i="23" s="1"/>
  <c r="D108" i="23"/>
  <c r="D110" i="23" s="1"/>
  <c r="C108" i="23"/>
  <c r="M94" i="23"/>
  <c r="M93" i="23"/>
  <c r="L93" i="23"/>
  <c r="L95" i="23" s="1"/>
  <c r="K93" i="23"/>
  <c r="K95" i="23" s="1"/>
  <c r="J93" i="23"/>
  <c r="J95" i="23" s="1"/>
  <c r="I93" i="23"/>
  <c r="I95" i="23" s="1"/>
  <c r="H93" i="23"/>
  <c r="H95" i="23" s="1"/>
  <c r="G93" i="23"/>
  <c r="G95" i="23" s="1"/>
  <c r="F93" i="23"/>
  <c r="F95" i="23" s="1"/>
  <c r="E93" i="23"/>
  <c r="E95" i="23" s="1"/>
  <c r="D93" i="23"/>
  <c r="D95" i="23" s="1"/>
  <c r="C93" i="23"/>
  <c r="M66" i="23"/>
  <c r="L66" i="23"/>
  <c r="L68" i="23" s="1"/>
  <c r="K66" i="23"/>
  <c r="K68" i="23" s="1"/>
  <c r="J66" i="23"/>
  <c r="J68" i="23" s="1"/>
  <c r="I66" i="23"/>
  <c r="I68" i="23" s="1"/>
  <c r="H66" i="23"/>
  <c r="H68" i="23" s="1"/>
  <c r="G66" i="23"/>
  <c r="G68" i="23" s="1"/>
  <c r="F66" i="23"/>
  <c r="F68" i="23" s="1"/>
  <c r="E66" i="23"/>
  <c r="E68" i="23" s="1"/>
  <c r="D66" i="23"/>
  <c r="D68" i="23" s="1"/>
  <c r="C66" i="23"/>
  <c r="M79" i="23"/>
  <c r="M78" i="23"/>
  <c r="L78" i="23"/>
  <c r="L80" i="23" s="1"/>
  <c r="K78" i="23"/>
  <c r="K80" i="23" s="1"/>
  <c r="J78" i="23"/>
  <c r="J80" i="23" s="1"/>
  <c r="I78" i="23"/>
  <c r="I80" i="23" s="1"/>
  <c r="H78" i="23"/>
  <c r="H80" i="23" s="1"/>
  <c r="G78" i="23"/>
  <c r="G80" i="23" s="1"/>
  <c r="F78" i="23"/>
  <c r="F80" i="23" s="1"/>
  <c r="E78" i="23"/>
  <c r="E80" i="23" s="1"/>
  <c r="D78" i="23"/>
  <c r="D80" i="23" s="1"/>
  <c r="C78" i="23"/>
  <c r="M51" i="23"/>
  <c r="M50" i="23"/>
  <c r="L50" i="23"/>
  <c r="L52" i="23" s="1"/>
  <c r="K50" i="23"/>
  <c r="K52" i="23" s="1"/>
  <c r="J50" i="23"/>
  <c r="J52" i="23" s="1"/>
  <c r="I50" i="23"/>
  <c r="I52" i="23" s="1"/>
  <c r="H50" i="23"/>
  <c r="H52" i="23" s="1"/>
  <c r="G50" i="23"/>
  <c r="G52" i="23" s="1"/>
  <c r="F50" i="23"/>
  <c r="F52" i="23" s="1"/>
  <c r="E50" i="23"/>
  <c r="E52" i="23" s="1"/>
  <c r="D50" i="23"/>
  <c r="D52" i="23" s="1"/>
  <c r="C50" i="23"/>
  <c r="M39" i="23"/>
  <c r="M38" i="23"/>
  <c r="L38" i="23"/>
  <c r="L40" i="23" s="1"/>
  <c r="K38" i="23"/>
  <c r="K40" i="23" s="1"/>
  <c r="J38" i="23"/>
  <c r="J40" i="23" s="1"/>
  <c r="I38" i="23"/>
  <c r="I40" i="23" s="1"/>
  <c r="H38" i="23"/>
  <c r="H40" i="23" s="1"/>
  <c r="G38" i="23"/>
  <c r="G40" i="23" s="1"/>
  <c r="F38" i="23"/>
  <c r="F40" i="23" s="1"/>
  <c r="E38" i="23"/>
  <c r="E40" i="23" s="1"/>
  <c r="D38" i="23"/>
  <c r="D40" i="23" s="1"/>
  <c r="C38" i="23"/>
  <c r="M26" i="23"/>
  <c r="M25" i="23"/>
  <c r="L25" i="23"/>
  <c r="L27" i="23" s="1"/>
  <c r="K25" i="23"/>
  <c r="K27" i="23" s="1"/>
  <c r="J25" i="23"/>
  <c r="J27" i="23" s="1"/>
  <c r="I25" i="23"/>
  <c r="I27" i="23" s="1"/>
  <c r="H25" i="23"/>
  <c r="H27" i="23" s="1"/>
  <c r="G25" i="23"/>
  <c r="G27" i="23" s="1"/>
  <c r="F25" i="23"/>
  <c r="F27" i="23" s="1"/>
  <c r="E25" i="23"/>
  <c r="E27" i="23" s="1"/>
  <c r="D25" i="23"/>
  <c r="D27" i="23" s="1"/>
  <c r="C25" i="23"/>
  <c r="M13" i="23"/>
  <c r="M12" i="23"/>
  <c r="L12" i="23"/>
  <c r="L14" i="23" s="1"/>
  <c r="K12" i="23"/>
  <c r="K14" i="23" s="1"/>
  <c r="J12" i="23"/>
  <c r="J14" i="23" s="1"/>
  <c r="I12" i="23"/>
  <c r="I14" i="23" s="1"/>
  <c r="H12" i="23"/>
  <c r="H14" i="23" s="1"/>
  <c r="G12" i="23"/>
  <c r="G14" i="23" s="1"/>
  <c r="F12" i="23"/>
  <c r="F14" i="23" s="1"/>
  <c r="E12" i="23"/>
  <c r="E14" i="23" s="1"/>
  <c r="D12" i="23"/>
  <c r="D14" i="23" s="1"/>
  <c r="C12" i="23"/>
  <c r="N17" i="20"/>
  <c r="N133" i="20"/>
  <c r="N118" i="20"/>
  <c r="N103" i="20"/>
  <c r="N86" i="20"/>
  <c r="N53" i="20"/>
  <c r="N70" i="20"/>
  <c r="N41" i="20"/>
  <c r="N29" i="20"/>
  <c r="M177" i="20"/>
  <c r="K66" i="24" l="1"/>
  <c r="K67" i="24" s="1"/>
  <c r="K14" i="24"/>
  <c r="K15" i="24" s="1"/>
  <c r="L13" i="24" s="1"/>
  <c r="C132" i="23"/>
  <c r="M52" i="23"/>
  <c r="D15" i="23"/>
  <c r="D28" i="23"/>
  <c r="D29" i="23" s="1"/>
  <c r="D30" i="23" s="1"/>
  <c r="D41" i="23"/>
  <c r="D42" i="23" s="1"/>
  <c r="D43" i="23" s="1"/>
  <c r="D96" i="23"/>
  <c r="D97" i="23" s="1"/>
  <c r="D98" i="23" s="1"/>
  <c r="D111" i="23"/>
  <c r="D112" i="23" s="1"/>
  <c r="D113" i="23" s="1"/>
  <c r="C54" i="23"/>
  <c r="C55" i="23" s="1"/>
  <c r="D81" i="23"/>
  <c r="D82" i="23" s="1"/>
  <c r="D83" i="23" s="1"/>
  <c r="D126" i="23"/>
  <c r="D127" i="23" s="1"/>
  <c r="D128" i="23" s="1"/>
  <c r="D70" i="23"/>
  <c r="D71" i="23" s="1"/>
  <c r="M182" i="20"/>
  <c r="M181" i="20"/>
  <c r="M180" i="20"/>
  <c r="M179" i="20"/>
  <c r="M178" i="20"/>
  <c r="M27" i="20"/>
  <c r="L66" i="24" l="1"/>
  <c r="L67" i="24" s="1"/>
  <c r="L14" i="24"/>
  <c r="L15" i="24" s="1"/>
  <c r="M13" i="24" s="1"/>
  <c r="D16" i="23"/>
  <c r="D17" i="23" s="1"/>
  <c r="E15" i="23" s="1"/>
  <c r="E132" i="23" s="1"/>
  <c r="D132" i="23"/>
  <c r="E81" i="23"/>
  <c r="E82" i="23" s="1"/>
  <c r="E83" i="23" s="1"/>
  <c r="E69" i="23"/>
  <c r="E126" i="23"/>
  <c r="E111" i="23"/>
  <c r="C133" i="23"/>
  <c r="E96" i="23"/>
  <c r="E41" i="23"/>
  <c r="D53" i="23"/>
  <c r="E28" i="23"/>
  <c r="E29" i="23" s="1"/>
  <c r="E30" i="23" s="1"/>
  <c r="M66" i="24" l="1"/>
  <c r="M67" i="24" s="1"/>
  <c r="M14" i="24"/>
  <c r="M15" i="24" s="1"/>
  <c r="N13" i="24" s="1"/>
  <c r="E16" i="23"/>
  <c r="E17" i="23" s="1"/>
  <c r="F81" i="23"/>
  <c r="D54" i="23"/>
  <c r="D55" i="23" s="1"/>
  <c r="E97" i="23"/>
  <c r="E98" i="23" s="1"/>
  <c r="E70" i="23"/>
  <c r="E71" i="23" s="1"/>
  <c r="F28" i="23"/>
  <c r="E42" i="23"/>
  <c r="E43" i="23" s="1"/>
  <c r="E112" i="23"/>
  <c r="E113" i="23" s="1"/>
  <c r="E127" i="23"/>
  <c r="E128" i="23" s="1"/>
  <c r="M17" i="20"/>
  <c r="W79" i="20"/>
  <c r="W63" i="20"/>
  <c r="W62" i="20"/>
  <c r="W61" i="20"/>
  <c r="W39" i="20"/>
  <c r="V12" i="20"/>
  <c r="Y12" i="20" s="1"/>
  <c r="N66" i="24" l="1"/>
  <c r="N67" i="24" s="1"/>
  <c r="N14" i="24"/>
  <c r="N15" i="24" s="1"/>
  <c r="O13" i="24" s="1"/>
  <c r="F29" i="23"/>
  <c r="F30" i="23" s="1"/>
  <c r="F111" i="23"/>
  <c r="E53" i="23"/>
  <c r="F82" i="23"/>
  <c r="F83" i="23" s="1"/>
  <c r="D133" i="23"/>
  <c r="F41" i="23"/>
  <c r="F96" i="23"/>
  <c r="F15" i="23"/>
  <c r="F132" i="23" s="1"/>
  <c r="F126" i="23"/>
  <c r="F69" i="23"/>
  <c r="P82" i="20"/>
  <c r="O82" i="20"/>
  <c r="M82" i="20"/>
  <c r="P13" i="20"/>
  <c r="O13" i="20"/>
  <c r="M13" i="20"/>
  <c r="L82" i="20"/>
  <c r="L13" i="20"/>
  <c r="O66" i="24" l="1"/>
  <c r="O67" i="24" s="1"/>
  <c r="P67" i="24" s="1"/>
  <c r="O14" i="24"/>
  <c r="O15" i="24" s="1"/>
  <c r="P15" i="24" s="1"/>
  <c r="E54" i="23"/>
  <c r="E55" i="23" s="1"/>
  <c r="E133" i="23"/>
  <c r="F127" i="23"/>
  <c r="F128" i="23" s="1"/>
  <c r="F42" i="23"/>
  <c r="F43" i="23" s="1"/>
  <c r="F97" i="23"/>
  <c r="F98" i="23" s="1"/>
  <c r="F16" i="23"/>
  <c r="F17" i="23" s="1"/>
  <c r="G81" i="23"/>
  <c r="F70" i="23"/>
  <c r="F71" i="23" s="1"/>
  <c r="F112" i="23"/>
  <c r="F113" i="23" s="1"/>
  <c r="G28" i="23"/>
  <c r="G29" i="23" s="1"/>
  <c r="G30" i="23" s="1"/>
  <c r="P132" i="20"/>
  <c r="O132" i="20"/>
  <c r="M132" i="20"/>
  <c r="P117" i="20"/>
  <c r="O117" i="20"/>
  <c r="M117" i="20"/>
  <c r="P102" i="20"/>
  <c r="O102" i="20"/>
  <c r="M102" i="20"/>
  <c r="P85" i="20"/>
  <c r="O85" i="20"/>
  <c r="M85" i="20"/>
  <c r="P69" i="20"/>
  <c r="O69" i="20"/>
  <c r="M69" i="20"/>
  <c r="P52" i="20"/>
  <c r="O52" i="20"/>
  <c r="M52" i="20"/>
  <c r="P40" i="20"/>
  <c r="O40" i="20"/>
  <c r="M40" i="20"/>
  <c r="P28" i="20"/>
  <c r="O28" i="20"/>
  <c r="M28" i="20"/>
  <c r="P16" i="20"/>
  <c r="O16" i="20"/>
  <c r="M16" i="20"/>
  <c r="Q15" i="22"/>
  <c r="Q13" i="22"/>
  <c r="Q11" i="22"/>
  <c r="Q9" i="22"/>
  <c r="Q7" i="22"/>
  <c r="L132" i="20"/>
  <c r="L117" i="20"/>
  <c r="L102" i="20"/>
  <c r="L85" i="20"/>
  <c r="L69" i="20"/>
  <c r="L52" i="20"/>
  <c r="L40" i="20"/>
  <c r="L28" i="20"/>
  <c r="L16" i="20"/>
  <c r="K132" i="20"/>
  <c r="J132" i="20"/>
  <c r="I132" i="20"/>
  <c r="H132" i="20"/>
  <c r="G132" i="20"/>
  <c r="F132" i="20"/>
  <c r="E132" i="20"/>
  <c r="D132" i="20"/>
  <c r="K117" i="20"/>
  <c r="J117" i="20"/>
  <c r="I117" i="20"/>
  <c r="H117" i="20"/>
  <c r="G117" i="20"/>
  <c r="F117" i="20"/>
  <c r="E117" i="20"/>
  <c r="D117" i="20"/>
  <c r="K102" i="20"/>
  <c r="J102" i="20"/>
  <c r="I102" i="20"/>
  <c r="H102" i="20"/>
  <c r="G102" i="20"/>
  <c r="F102" i="20"/>
  <c r="E102" i="20"/>
  <c r="D102" i="20"/>
  <c r="K85" i="20"/>
  <c r="J85" i="20"/>
  <c r="I85" i="20"/>
  <c r="H85" i="20"/>
  <c r="G85" i="20"/>
  <c r="F85" i="20"/>
  <c r="E85" i="20"/>
  <c r="D85" i="20"/>
  <c r="K69" i="20"/>
  <c r="J69" i="20"/>
  <c r="I69" i="20"/>
  <c r="H69" i="20"/>
  <c r="G69" i="20"/>
  <c r="F69" i="20"/>
  <c r="E69" i="20"/>
  <c r="D69" i="20"/>
  <c r="K52" i="20"/>
  <c r="J52" i="20"/>
  <c r="I52" i="20"/>
  <c r="H52" i="20"/>
  <c r="G52" i="20"/>
  <c r="F52" i="20"/>
  <c r="E52" i="20"/>
  <c r="D52" i="20"/>
  <c r="K40" i="20"/>
  <c r="J40" i="20"/>
  <c r="I40" i="20"/>
  <c r="H40" i="20"/>
  <c r="G40" i="20"/>
  <c r="F40" i="20"/>
  <c r="E40" i="20"/>
  <c r="D40" i="20"/>
  <c r="K28" i="20"/>
  <c r="J28" i="20"/>
  <c r="I28" i="20"/>
  <c r="H28" i="20"/>
  <c r="G28" i="20"/>
  <c r="F28" i="20"/>
  <c r="E28" i="20"/>
  <c r="D28" i="20"/>
  <c r="K16" i="20"/>
  <c r="J16" i="20"/>
  <c r="I16" i="20"/>
  <c r="H16" i="20"/>
  <c r="G16" i="20"/>
  <c r="F16" i="20"/>
  <c r="E16" i="20"/>
  <c r="Q15" i="21"/>
  <c r="Q13" i="21"/>
  <c r="Q11" i="21"/>
  <c r="Q9" i="21"/>
  <c r="Q7" i="21"/>
  <c r="C15" i="30" l="1"/>
  <c r="Q13" i="24"/>
  <c r="H28" i="23"/>
  <c r="H29" i="23" s="1"/>
  <c r="H30" i="23" s="1"/>
  <c r="G111" i="23"/>
  <c r="G126" i="23"/>
  <c r="G69" i="23"/>
  <c r="G41" i="23"/>
  <c r="G15" i="23"/>
  <c r="G132" i="23" s="1"/>
  <c r="G82" i="23"/>
  <c r="G83" i="23" s="1"/>
  <c r="G96" i="23"/>
  <c r="F53" i="23"/>
  <c r="W113" i="20"/>
  <c r="W112" i="20"/>
  <c r="W111" i="20"/>
  <c r="W96" i="20"/>
  <c r="W95" i="20"/>
  <c r="W94" i="20"/>
  <c r="Q66" i="24" l="1"/>
  <c r="Q67" i="24" s="1"/>
  <c r="Q14" i="24"/>
  <c r="Q15" i="24" s="1"/>
  <c r="R13" i="24" s="1"/>
  <c r="C64" i="30"/>
  <c r="D13" i="30"/>
  <c r="G70" i="23"/>
  <c r="G71" i="23" s="1"/>
  <c r="G97" i="23"/>
  <c r="G98" i="23" s="1"/>
  <c r="G42" i="23"/>
  <c r="G43" i="23" s="1"/>
  <c r="F54" i="23"/>
  <c r="F55" i="23" s="1"/>
  <c r="F133" i="23"/>
  <c r="G16" i="23"/>
  <c r="G17" i="23" s="1"/>
  <c r="G112" i="23"/>
  <c r="G113" i="23" s="1"/>
  <c r="I28" i="23"/>
  <c r="I29" i="23" s="1"/>
  <c r="I30" i="23" s="1"/>
  <c r="H81" i="23"/>
  <c r="G127" i="23"/>
  <c r="G128" i="23" s="1"/>
  <c r="D12" i="13"/>
  <c r="D66" i="30" l="1"/>
  <c r="D14" i="30"/>
  <c r="D15" i="30" s="1"/>
  <c r="E13" i="30" s="1"/>
  <c r="D67" i="30"/>
  <c r="R66" i="24"/>
  <c r="R67" i="24" s="1"/>
  <c r="R14" i="24"/>
  <c r="R15" i="24" s="1"/>
  <c r="H82" i="23"/>
  <c r="H83" i="23" s="1"/>
  <c r="H96" i="23"/>
  <c r="H97" i="23" s="1"/>
  <c r="H98" i="23" s="1"/>
  <c r="H111" i="23"/>
  <c r="H112" i="23" s="1"/>
  <c r="H113" i="23" s="1"/>
  <c r="J28" i="23"/>
  <c r="J29" i="23" s="1"/>
  <c r="J30" i="23" s="1"/>
  <c r="H126" i="23"/>
  <c r="H127" i="23" s="1"/>
  <c r="H128" i="23" s="1"/>
  <c r="H15" i="23"/>
  <c r="H132" i="23" s="1"/>
  <c r="G53" i="23"/>
  <c r="H41" i="23"/>
  <c r="H69" i="23"/>
  <c r="H70" i="23" s="1"/>
  <c r="H71" i="23" s="1"/>
  <c r="I82" i="20"/>
  <c r="H82" i="20"/>
  <c r="G82" i="20"/>
  <c r="H13" i="20"/>
  <c r="G13" i="20"/>
  <c r="E14" i="30" l="1"/>
  <c r="E15" i="30" s="1"/>
  <c r="F13" i="30" s="1"/>
  <c r="E66" i="30"/>
  <c r="E67" i="30" s="1"/>
  <c r="K28" i="23"/>
  <c r="K29" i="23" s="1"/>
  <c r="K30" i="23" s="1"/>
  <c r="I69" i="23"/>
  <c r="I70" i="23" s="1"/>
  <c r="I71" i="23" s="1"/>
  <c r="I126" i="23"/>
  <c r="I127" i="23" s="1"/>
  <c r="I128" i="23" s="1"/>
  <c r="I96" i="23"/>
  <c r="I97" i="23" s="1"/>
  <c r="I98" i="23" s="1"/>
  <c r="H16" i="23"/>
  <c r="H17" i="23" s="1"/>
  <c r="I111" i="23"/>
  <c r="I112" i="23" s="1"/>
  <c r="I113" i="23" s="1"/>
  <c r="H42" i="23"/>
  <c r="H43" i="23" s="1"/>
  <c r="G54" i="23"/>
  <c r="G55" i="23" s="1"/>
  <c r="G133" i="23"/>
  <c r="I81" i="23"/>
  <c r="I82" i="23" s="1"/>
  <c r="I83" i="23" s="1"/>
  <c r="F82" i="20"/>
  <c r="E82" i="20"/>
  <c r="F13" i="20"/>
  <c r="E13" i="20"/>
  <c r="F66" i="30" l="1"/>
  <c r="F67" i="30" s="1"/>
  <c r="F14" i="30"/>
  <c r="F15" i="30" s="1"/>
  <c r="G13" i="30" s="1"/>
  <c r="J81" i="23"/>
  <c r="J82" i="23" s="1"/>
  <c r="J83" i="23" s="1"/>
  <c r="J111" i="23"/>
  <c r="J112" i="23" s="1"/>
  <c r="J113" i="23" s="1"/>
  <c r="J96" i="23"/>
  <c r="J97" i="23" s="1"/>
  <c r="J98" i="23" s="1"/>
  <c r="J69" i="23"/>
  <c r="J70" i="23" s="1"/>
  <c r="J71" i="23" s="1"/>
  <c r="H53" i="23"/>
  <c r="M28" i="23"/>
  <c r="L28" i="23"/>
  <c r="L29" i="23" s="1"/>
  <c r="L30" i="23" s="1"/>
  <c r="I41" i="23"/>
  <c r="I42" i="23" s="1"/>
  <c r="I43" i="23" s="1"/>
  <c r="I15" i="23"/>
  <c r="I132" i="23" s="1"/>
  <c r="J126" i="23"/>
  <c r="J127" i="23" s="1"/>
  <c r="J128" i="23" s="1"/>
  <c r="P98" i="20"/>
  <c r="O98" i="20"/>
  <c r="M98" i="20"/>
  <c r="L98" i="20"/>
  <c r="K98" i="20"/>
  <c r="J98" i="20"/>
  <c r="I98" i="20"/>
  <c r="H98" i="20"/>
  <c r="G98" i="20"/>
  <c r="F98" i="20"/>
  <c r="E98" i="20"/>
  <c r="D27" i="20"/>
  <c r="D98" i="20"/>
  <c r="D82" i="20"/>
  <c r="G66" i="30" l="1"/>
  <c r="G67" i="30" s="1"/>
  <c r="G14" i="30"/>
  <c r="G15" i="30" s="1"/>
  <c r="H13" i="30" s="1"/>
  <c r="K81" i="23"/>
  <c r="K82" i="23" s="1"/>
  <c r="K83" i="23" s="1"/>
  <c r="K111" i="23"/>
  <c r="K112" i="23" s="1"/>
  <c r="K113" i="23" s="1"/>
  <c r="K126" i="23"/>
  <c r="K127" i="23" s="1"/>
  <c r="K128" i="23" s="1"/>
  <c r="K96" i="23"/>
  <c r="K97" i="23" s="1"/>
  <c r="K98" i="23" s="1"/>
  <c r="I16" i="23"/>
  <c r="I17" i="23" s="1"/>
  <c r="K69" i="23"/>
  <c r="K70" i="23" s="1"/>
  <c r="K71" i="23" s="1"/>
  <c r="J41" i="23"/>
  <c r="J42" i="23" s="1"/>
  <c r="J43" i="23" s="1"/>
  <c r="M29" i="23"/>
  <c r="M30" i="23" s="1"/>
  <c r="N28" i="23"/>
  <c r="H54" i="23"/>
  <c r="H55" i="23" s="1"/>
  <c r="H133" i="23"/>
  <c r="D130" i="20"/>
  <c r="D129" i="20"/>
  <c r="D115" i="20"/>
  <c r="D114" i="20"/>
  <c r="D100" i="20"/>
  <c r="D83" i="20"/>
  <c r="D67" i="20"/>
  <c r="D50" i="20"/>
  <c r="H66" i="30" l="1"/>
  <c r="H67" i="30" s="1"/>
  <c r="H14" i="30"/>
  <c r="H15" i="30" s="1"/>
  <c r="I13" i="30" s="1"/>
  <c r="K41" i="23"/>
  <c r="K42" i="23" s="1"/>
  <c r="K43" i="23" s="1"/>
  <c r="M96" i="23"/>
  <c r="L96" i="23"/>
  <c r="L97" i="23" s="1"/>
  <c r="L98" i="23" s="1"/>
  <c r="M126" i="23"/>
  <c r="L126" i="23"/>
  <c r="L127" i="23" s="1"/>
  <c r="L128" i="23" s="1"/>
  <c r="M81" i="23"/>
  <c r="L81" i="23"/>
  <c r="L82" i="23" s="1"/>
  <c r="L83" i="23" s="1"/>
  <c r="M69" i="23"/>
  <c r="L69" i="23"/>
  <c r="L70" i="23" s="1"/>
  <c r="L71" i="23" s="1"/>
  <c r="M111" i="23"/>
  <c r="L111" i="23"/>
  <c r="L112" i="23" s="1"/>
  <c r="L113" i="23" s="1"/>
  <c r="I53" i="23"/>
  <c r="J15" i="23"/>
  <c r="J132" i="23" s="1"/>
  <c r="D131" i="20"/>
  <c r="D51" i="20"/>
  <c r="D116" i="20"/>
  <c r="D118" i="20" s="1"/>
  <c r="D164" i="20" s="1"/>
  <c r="D84" i="20"/>
  <c r="D14" i="20"/>
  <c r="O149" i="20"/>
  <c r="D149" i="20"/>
  <c r="P145" i="20"/>
  <c r="O145" i="20"/>
  <c r="M145" i="20"/>
  <c r="L145" i="20"/>
  <c r="K145" i="20"/>
  <c r="J145" i="20"/>
  <c r="I145" i="20"/>
  <c r="H145" i="20"/>
  <c r="G145" i="20"/>
  <c r="F145" i="20"/>
  <c r="E145" i="20"/>
  <c r="D145" i="20"/>
  <c r="P144" i="20"/>
  <c r="O144" i="20"/>
  <c r="M144" i="20"/>
  <c r="L144" i="20"/>
  <c r="L146" i="20" s="1"/>
  <c r="L148" i="20" s="1"/>
  <c r="K144" i="20"/>
  <c r="K146" i="20" s="1"/>
  <c r="K148" i="20" s="1"/>
  <c r="J144" i="20"/>
  <c r="I144" i="20"/>
  <c r="H144" i="20"/>
  <c r="G144" i="20"/>
  <c r="F144" i="20"/>
  <c r="E144" i="20"/>
  <c r="D144" i="20"/>
  <c r="D146" i="20" s="1"/>
  <c r="D148" i="20" s="1"/>
  <c r="P130" i="20"/>
  <c r="O130" i="20"/>
  <c r="M130" i="20"/>
  <c r="L130" i="20"/>
  <c r="K130" i="20"/>
  <c r="J130" i="20"/>
  <c r="I130" i="20"/>
  <c r="H130" i="20"/>
  <c r="G130" i="20"/>
  <c r="F130" i="20"/>
  <c r="E130" i="20"/>
  <c r="U129" i="20"/>
  <c r="V126" i="20" s="1"/>
  <c r="Y126" i="20" s="1"/>
  <c r="P129" i="20"/>
  <c r="O129" i="20"/>
  <c r="M129" i="20"/>
  <c r="L129" i="20"/>
  <c r="K129" i="20"/>
  <c r="J129" i="20"/>
  <c r="J131" i="20" s="1"/>
  <c r="I129" i="20"/>
  <c r="I131" i="20" s="1"/>
  <c r="H129" i="20"/>
  <c r="G129" i="20"/>
  <c r="F129" i="20"/>
  <c r="E129" i="20"/>
  <c r="U128" i="20"/>
  <c r="U125" i="20" s="1"/>
  <c r="U127" i="20"/>
  <c r="V127" i="20"/>
  <c r="Y127" i="20" s="1"/>
  <c r="U115" i="20"/>
  <c r="U113" i="20" s="1"/>
  <c r="P115" i="20"/>
  <c r="O115" i="20"/>
  <c r="M115" i="20"/>
  <c r="L115" i="20"/>
  <c r="L116" i="20" s="1"/>
  <c r="L118" i="20" s="1"/>
  <c r="K115" i="20"/>
  <c r="J115" i="20"/>
  <c r="I115" i="20"/>
  <c r="H115" i="20"/>
  <c r="G115" i="20"/>
  <c r="F115" i="20"/>
  <c r="E115" i="20"/>
  <c r="Y114" i="20"/>
  <c r="W114" i="20"/>
  <c r="V114" i="20"/>
  <c r="U114" i="20"/>
  <c r="P114" i="20"/>
  <c r="O114" i="20"/>
  <c r="M114" i="20"/>
  <c r="L114" i="20"/>
  <c r="K114" i="20"/>
  <c r="K116" i="20" s="1"/>
  <c r="K118" i="20" s="1"/>
  <c r="J114" i="20"/>
  <c r="J116" i="20" s="1"/>
  <c r="J118" i="20" s="1"/>
  <c r="J164" i="20" s="1"/>
  <c r="I114" i="20"/>
  <c r="I116" i="20" s="1"/>
  <c r="H114" i="20"/>
  <c r="G114" i="20"/>
  <c r="F114" i="20"/>
  <c r="E114" i="20"/>
  <c r="V113" i="20"/>
  <c r="Y113" i="20" s="1"/>
  <c r="V112" i="20"/>
  <c r="Y112" i="20" s="1"/>
  <c r="U112" i="20"/>
  <c r="V111" i="20"/>
  <c r="Y111" i="20" s="1"/>
  <c r="U111" i="20"/>
  <c r="U99" i="20"/>
  <c r="V96" i="20" s="1"/>
  <c r="Y96" i="20" s="1"/>
  <c r="U98" i="20"/>
  <c r="V95" i="20" s="1"/>
  <c r="Y95" i="20" s="1"/>
  <c r="V97" i="20"/>
  <c r="U97" i="20"/>
  <c r="P97" i="20"/>
  <c r="P99" i="20" s="1"/>
  <c r="O97" i="20"/>
  <c r="O99" i="20" s="1"/>
  <c r="M97" i="20"/>
  <c r="L97" i="20"/>
  <c r="L99" i="20" s="1"/>
  <c r="K97" i="20"/>
  <c r="K99" i="20" s="1"/>
  <c r="L100" i="20" s="1"/>
  <c r="J97" i="20"/>
  <c r="J99" i="20" s="1"/>
  <c r="I97" i="20"/>
  <c r="I99" i="20" s="1"/>
  <c r="J100" i="20" s="1"/>
  <c r="H97" i="20"/>
  <c r="H99" i="20" s="1"/>
  <c r="G97" i="20"/>
  <c r="G99" i="20" s="1"/>
  <c r="F97" i="20"/>
  <c r="E97" i="20"/>
  <c r="D97" i="20"/>
  <c r="D99" i="20" s="1"/>
  <c r="D101" i="20" s="1"/>
  <c r="P83" i="20"/>
  <c r="O83" i="20"/>
  <c r="M83" i="20"/>
  <c r="K82" i="20"/>
  <c r="L83" i="20" s="1"/>
  <c r="J82" i="20"/>
  <c r="K83" i="20" s="1"/>
  <c r="J83" i="20"/>
  <c r="I83" i="20"/>
  <c r="I84" i="20" s="1"/>
  <c r="H83" i="20"/>
  <c r="G83" i="20"/>
  <c r="F83" i="20"/>
  <c r="E83" i="20"/>
  <c r="U81" i="20"/>
  <c r="V94" i="20" s="1"/>
  <c r="Y94" i="20" s="1"/>
  <c r="W80" i="20"/>
  <c r="V80" i="20"/>
  <c r="U80" i="20"/>
  <c r="V79" i="20"/>
  <c r="Y79" i="20" s="1"/>
  <c r="U79" i="20"/>
  <c r="U68" i="20"/>
  <c r="V63" i="20" s="1"/>
  <c r="Y63" i="20" s="1"/>
  <c r="D68" i="20"/>
  <c r="U66" i="20"/>
  <c r="V62" i="20" s="1"/>
  <c r="Y62" i="20" s="1"/>
  <c r="P67" i="20"/>
  <c r="P70" i="20" s="1"/>
  <c r="O67" i="20"/>
  <c r="O68" i="20" s="1"/>
  <c r="M67" i="20"/>
  <c r="M68" i="20" s="1"/>
  <c r="L67" i="20"/>
  <c r="L68" i="20" s="1"/>
  <c r="K67" i="20"/>
  <c r="K68" i="20" s="1"/>
  <c r="J67" i="20"/>
  <c r="J68" i="20" s="1"/>
  <c r="I67" i="20"/>
  <c r="I68" i="20" s="1"/>
  <c r="H67" i="20"/>
  <c r="H68" i="20" s="1"/>
  <c r="G67" i="20"/>
  <c r="G68" i="20" s="1"/>
  <c r="F67" i="20"/>
  <c r="F68" i="20" s="1"/>
  <c r="E67" i="20"/>
  <c r="E68" i="20" s="1"/>
  <c r="U65" i="20"/>
  <c r="V61" i="20" s="1"/>
  <c r="Y61" i="20" s="1"/>
  <c r="V64" i="20"/>
  <c r="Y64" i="20" s="1"/>
  <c r="U64" i="20"/>
  <c r="U62" i="20"/>
  <c r="U61" i="20"/>
  <c r="U63" i="20" s="1"/>
  <c r="P50" i="20"/>
  <c r="P51" i="20" s="1"/>
  <c r="O50" i="20"/>
  <c r="O51" i="20" s="1"/>
  <c r="M50" i="20"/>
  <c r="M51" i="20" s="1"/>
  <c r="L50" i="20"/>
  <c r="L51" i="20" s="1"/>
  <c r="K50" i="20"/>
  <c r="K51" i="20" s="1"/>
  <c r="J50" i="20"/>
  <c r="J51" i="20" s="1"/>
  <c r="I50" i="20"/>
  <c r="I51" i="20" s="1"/>
  <c r="H50" i="20"/>
  <c r="H51" i="20" s="1"/>
  <c r="G50" i="20"/>
  <c r="G51" i="20" s="1"/>
  <c r="F50" i="20"/>
  <c r="F51" i="20" s="1"/>
  <c r="E50" i="20"/>
  <c r="E51" i="20" s="1"/>
  <c r="U49" i="20"/>
  <c r="U48" i="20"/>
  <c r="V47" i="20"/>
  <c r="V48" i="20" s="1"/>
  <c r="Y48" i="20" s="1"/>
  <c r="U42" i="20"/>
  <c r="V38" i="20" s="1"/>
  <c r="Y38" i="20" s="1"/>
  <c r="U41" i="20"/>
  <c r="V37" i="20" s="1"/>
  <c r="Y37" i="20" s="1"/>
  <c r="U40" i="20"/>
  <c r="V36" i="20" s="1"/>
  <c r="Y36" i="20" s="1"/>
  <c r="W97" i="20"/>
  <c r="V39" i="20"/>
  <c r="U39" i="20"/>
  <c r="P39" i="20"/>
  <c r="O39" i="20"/>
  <c r="M39" i="20"/>
  <c r="L39" i="20"/>
  <c r="L41" i="20" s="1"/>
  <c r="K39" i="20"/>
  <c r="J39" i="20"/>
  <c r="I39" i="20"/>
  <c r="I41" i="20" s="1"/>
  <c r="H39" i="20"/>
  <c r="H41" i="20" s="1"/>
  <c r="G39" i="20"/>
  <c r="F39" i="20"/>
  <c r="E39" i="20"/>
  <c r="D39" i="20"/>
  <c r="U30" i="20"/>
  <c r="V26" i="20" s="1"/>
  <c r="Y26" i="20" s="1"/>
  <c r="U29" i="20"/>
  <c r="V25" i="20" s="1"/>
  <c r="Y25" i="20" s="1"/>
  <c r="U28" i="20"/>
  <c r="V24" i="20" s="1"/>
  <c r="Y24" i="20" s="1"/>
  <c r="V27" i="20"/>
  <c r="Y27" i="20" s="1"/>
  <c r="U27" i="20"/>
  <c r="P27" i="20"/>
  <c r="O27" i="20"/>
  <c r="M29" i="20"/>
  <c r="L27" i="20"/>
  <c r="L29" i="20" s="1"/>
  <c r="K27" i="20"/>
  <c r="J27" i="20"/>
  <c r="I27" i="20"/>
  <c r="H27" i="20"/>
  <c r="G27" i="20"/>
  <c r="F27" i="20"/>
  <c r="F29" i="20" s="1"/>
  <c r="E27" i="20"/>
  <c r="O14" i="20"/>
  <c r="K13" i="20"/>
  <c r="L14" i="20" s="1"/>
  <c r="J13" i="20"/>
  <c r="K14" i="20" s="1"/>
  <c r="I13" i="20"/>
  <c r="J14" i="20" s="1"/>
  <c r="I14" i="20"/>
  <c r="H14" i="20"/>
  <c r="G14" i="20"/>
  <c r="F14" i="20"/>
  <c r="U12" i="20"/>
  <c r="V11" i="20"/>
  <c r="Y11" i="20" s="1"/>
  <c r="U11" i="20"/>
  <c r="E6" i="20"/>
  <c r="F6" i="20" s="1"/>
  <c r="G6" i="20" s="1"/>
  <c r="H6" i="20" s="1"/>
  <c r="I6" i="20" s="1"/>
  <c r="J6" i="20" s="1"/>
  <c r="K6" i="20" s="1"/>
  <c r="L6" i="20" s="1"/>
  <c r="M6" i="20" s="1"/>
  <c r="O6" i="20" s="1"/>
  <c r="P6" i="20" s="1"/>
  <c r="P97" i="17"/>
  <c r="O12" i="17"/>
  <c r="P13" i="17"/>
  <c r="W80" i="17"/>
  <c r="U35" i="17"/>
  <c r="V39" i="17" s="1"/>
  <c r="U61" i="17"/>
  <c r="I66" i="30" l="1"/>
  <c r="I67" i="30" s="1"/>
  <c r="I14" i="30"/>
  <c r="I15" i="30" s="1"/>
  <c r="J13" i="30" s="1"/>
  <c r="M70" i="23"/>
  <c r="M71" i="23" s="1"/>
  <c r="N69" i="23"/>
  <c r="M112" i="23"/>
  <c r="M113" i="23" s="1"/>
  <c r="N111" i="23"/>
  <c r="M97" i="23"/>
  <c r="M98" i="23" s="1"/>
  <c r="N96" i="23"/>
  <c r="J16" i="23"/>
  <c r="J17" i="23" s="1"/>
  <c r="I54" i="23"/>
  <c r="I55" i="23" s="1"/>
  <c r="I133" i="23"/>
  <c r="M127" i="23"/>
  <c r="M128" i="23" s="1"/>
  <c r="N126" i="23"/>
  <c r="M41" i="23"/>
  <c r="L41" i="23"/>
  <c r="L42" i="23" s="1"/>
  <c r="L43" i="23" s="1"/>
  <c r="M82" i="23"/>
  <c r="M83" i="23" s="1"/>
  <c r="N81" i="23"/>
  <c r="M99" i="20"/>
  <c r="O100" i="20" s="1"/>
  <c r="O101" i="20" s="1"/>
  <c r="O103" i="20" s="1"/>
  <c r="K70" i="20"/>
  <c r="K41" i="20"/>
  <c r="K29" i="20"/>
  <c r="K162" i="20" s="1"/>
  <c r="M116" i="20"/>
  <c r="M70" i="20"/>
  <c r="K84" i="20"/>
  <c r="K86" i="20" s="1"/>
  <c r="F116" i="20"/>
  <c r="F118" i="20" s="1"/>
  <c r="F164" i="20" s="1"/>
  <c r="O116" i="20"/>
  <c r="O118" i="20" s="1"/>
  <c r="O164" i="20" s="1"/>
  <c r="L53" i="20"/>
  <c r="E146" i="20"/>
  <c r="E148" i="20" s="1"/>
  <c r="M146" i="20"/>
  <c r="M148" i="20" s="1"/>
  <c r="H116" i="20"/>
  <c r="H118" i="20" s="1"/>
  <c r="H164" i="20" s="1"/>
  <c r="O53" i="20"/>
  <c r="E116" i="20"/>
  <c r="E118" i="20" s="1"/>
  <c r="P84" i="20"/>
  <c r="P86" i="20" s="1"/>
  <c r="J133" i="20"/>
  <c r="J41" i="20"/>
  <c r="J29" i="20"/>
  <c r="J162" i="20" s="1"/>
  <c r="K131" i="20"/>
  <c r="K133" i="20" s="1"/>
  <c r="K165" i="20" s="1"/>
  <c r="I133" i="20"/>
  <c r="I70" i="20"/>
  <c r="I53" i="20"/>
  <c r="I29" i="20"/>
  <c r="I162" i="20" s="1"/>
  <c r="M53" i="20"/>
  <c r="F70" i="20"/>
  <c r="L84" i="20"/>
  <c r="L86" i="20" s="1"/>
  <c r="P53" i="20"/>
  <c r="D133" i="20"/>
  <c r="D165" i="20" s="1"/>
  <c r="G116" i="20"/>
  <c r="G118" i="20" s="1"/>
  <c r="G164" i="20" s="1"/>
  <c r="H173" i="20" s="1"/>
  <c r="P116" i="20"/>
  <c r="P118" i="20" s="1"/>
  <c r="P164" i="20" s="1"/>
  <c r="L131" i="20"/>
  <c r="L133" i="20" s="1"/>
  <c r="L165" i="20" s="1"/>
  <c r="F146" i="20"/>
  <c r="F148" i="20" s="1"/>
  <c r="O146" i="20"/>
  <c r="O148" i="20" s="1"/>
  <c r="O150" i="20" s="1"/>
  <c r="O151" i="20" s="1"/>
  <c r="P149" i="20" s="1"/>
  <c r="P150" i="20" s="1"/>
  <c r="P151" i="20" s="1"/>
  <c r="J146" i="20"/>
  <c r="J148" i="20" s="1"/>
  <c r="E99" i="20"/>
  <c r="F100" i="20" s="1"/>
  <c r="F101" i="20" s="1"/>
  <c r="F103" i="20" s="1"/>
  <c r="G146" i="20"/>
  <c r="G148" i="20" s="1"/>
  <c r="P146" i="20"/>
  <c r="P148" i="20" s="1"/>
  <c r="D53" i="20"/>
  <c r="F99" i="20"/>
  <c r="G100" i="20" s="1"/>
  <c r="G101" i="20" s="1"/>
  <c r="G103" i="20" s="1"/>
  <c r="O131" i="20"/>
  <c r="O133" i="20" s="1"/>
  <c r="H146" i="20"/>
  <c r="H148" i="20" s="1"/>
  <c r="L70" i="20"/>
  <c r="Y80" i="20"/>
  <c r="J84" i="20"/>
  <c r="J86" i="20" s="1"/>
  <c r="I146" i="20"/>
  <c r="I148" i="20" s="1"/>
  <c r="H70" i="20"/>
  <c r="H29" i="20"/>
  <c r="G70" i="20"/>
  <c r="G53" i="20"/>
  <c r="G41" i="20"/>
  <c r="G29" i="20"/>
  <c r="F84" i="20"/>
  <c r="F86" i="20" s="1"/>
  <c r="F53" i="20"/>
  <c r="F41" i="20"/>
  <c r="F162" i="20" s="1"/>
  <c r="V49" i="20"/>
  <c r="Y49" i="20" s="1"/>
  <c r="U38" i="20"/>
  <c r="L101" i="20"/>
  <c r="L103" i="20" s="1"/>
  <c r="F131" i="20"/>
  <c r="F133" i="20" s="1"/>
  <c r="F165" i="20" s="1"/>
  <c r="E53" i="20"/>
  <c r="M118" i="20"/>
  <c r="M164" i="20" s="1"/>
  <c r="E41" i="20"/>
  <c r="E29" i="20"/>
  <c r="U95" i="20"/>
  <c r="Y97" i="20"/>
  <c r="E131" i="20"/>
  <c r="E133" i="20" s="1"/>
  <c r="E165" i="20" s="1"/>
  <c r="E182" i="20" s="1"/>
  <c r="D86" i="20"/>
  <c r="D70" i="20"/>
  <c r="D41" i="20"/>
  <c r="D29" i="20"/>
  <c r="D17" i="20"/>
  <c r="D161" i="20" s="1"/>
  <c r="U126" i="20"/>
  <c r="V125" i="20"/>
  <c r="Y125" i="20" s="1"/>
  <c r="U96" i="20"/>
  <c r="U94" i="20"/>
  <c r="U37" i="20"/>
  <c r="U25" i="20"/>
  <c r="U26" i="20"/>
  <c r="G131" i="20"/>
  <c r="G133" i="20" s="1"/>
  <c r="P131" i="20"/>
  <c r="P133" i="20" s="1"/>
  <c r="P165" i="20" s="1"/>
  <c r="H131" i="20"/>
  <c r="H133" i="20" s="1"/>
  <c r="H165" i="20" s="1"/>
  <c r="M131" i="20"/>
  <c r="M133" i="20" s="1"/>
  <c r="M165" i="20" s="1"/>
  <c r="O84" i="20"/>
  <c r="O86" i="20" s="1"/>
  <c r="M84" i="20"/>
  <c r="M86" i="20" s="1"/>
  <c r="H84" i="20"/>
  <c r="H86" i="20" s="1"/>
  <c r="G84" i="20"/>
  <c r="G86" i="20" s="1"/>
  <c r="J70" i="20"/>
  <c r="E70" i="20"/>
  <c r="H53" i="20"/>
  <c r="J53" i="20"/>
  <c r="O41" i="20"/>
  <c r="P41" i="20"/>
  <c r="L162" i="20"/>
  <c r="M41" i="20"/>
  <c r="M162" i="20" s="1"/>
  <c r="P29" i="20"/>
  <c r="O29" i="20"/>
  <c r="J15" i="20"/>
  <c r="J17" i="20" s="1"/>
  <c r="J161" i="20" s="1"/>
  <c r="L15" i="20"/>
  <c r="L17" i="20" s="1"/>
  <c r="L161" i="20" s="1"/>
  <c r="K15" i="20"/>
  <c r="K161" i="20" s="1"/>
  <c r="I118" i="20"/>
  <c r="D103" i="20"/>
  <c r="L164" i="20"/>
  <c r="D150" i="20"/>
  <c r="D151" i="20" s="1"/>
  <c r="I15" i="20"/>
  <c r="I17" i="20" s="1"/>
  <c r="H162" i="20"/>
  <c r="P14" i="20"/>
  <c r="P15" i="20" s="1"/>
  <c r="P17" i="20" s="1"/>
  <c r="O15" i="20"/>
  <c r="O17" i="20" s="1"/>
  <c r="G15" i="20"/>
  <c r="G17" i="20" s="1"/>
  <c r="F15" i="20"/>
  <c r="F17" i="20" s="1"/>
  <c r="H100" i="20"/>
  <c r="H101" i="20" s="1"/>
  <c r="H103" i="20" s="1"/>
  <c r="P100" i="20"/>
  <c r="P101" i="20" s="1"/>
  <c r="P103" i="20" s="1"/>
  <c r="K164" i="20"/>
  <c r="E14" i="20"/>
  <c r="E15" i="20" s="1"/>
  <c r="E17" i="20" s="1"/>
  <c r="M14" i="20"/>
  <c r="M15" i="20" s="1"/>
  <c r="K53" i="20"/>
  <c r="I86" i="20"/>
  <c r="U36" i="20"/>
  <c r="E100" i="20"/>
  <c r="U24" i="20"/>
  <c r="O70" i="20"/>
  <c r="H15" i="20"/>
  <c r="H17" i="20" s="1"/>
  <c r="E84" i="20"/>
  <c r="E86" i="20" s="1"/>
  <c r="I100" i="20"/>
  <c r="I101" i="20" s="1"/>
  <c r="I103" i="20" s="1"/>
  <c r="E164" i="20"/>
  <c r="E181" i="20" s="1"/>
  <c r="K100" i="20"/>
  <c r="K101" i="20" s="1"/>
  <c r="K103" i="20" s="1"/>
  <c r="J101" i="20"/>
  <c r="J103" i="20" s="1"/>
  <c r="M100" i="20"/>
  <c r="U124" i="17"/>
  <c r="V27" i="17"/>
  <c r="Y27" i="17" s="1"/>
  <c r="P99" i="17"/>
  <c r="P82" i="17"/>
  <c r="O82" i="17"/>
  <c r="M82" i="17"/>
  <c r="L82" i="17"/>
  <c r="K82" i="17"/>
  <c r="J82" i="17"/>
  <c r="I82" i="17"/>
  <c r="H82" i="17"/>
  <c r="G82" i="17"/>
  <c r="F82" i="17"/>
  <c r="E82" i="17"/>
  <c r="D82" i="17"/>
  <c r="M97" i="17"/>
  <c r="M99" i="17" s="1"/>
  <c r="L97" i="17"/>
  <c r="L99" i="17" s="1"/>
  <c r="K97" i="17"/>
  <c r="K99" i="17" s="1"/>
  <c r="J97" i="17"/>
  <c r="J99" i="17" s="1"/>
  <c r="I97" i="17"/>
  <c r="I99" i="17" s="1"/>
  <c r="H97" i="17"/>
  <c r="H99" i="17" s="1"/>
  <c r="G97" i="17"/>
  <c r="G99" i="17" s="1"/>
  <c r="F97" i="17"/>
  <c r="F99" i="17" s="1"/>
  <c r="E97" i="17"/>
  <c r="E99" i="17" s="1"/>
  <c r="D97" i="17"/>
  <c r="D99" i="17" s="1"/>
  <c r="O97" i="17"/>
  <c r="O99" i="17" s="1"/>
  <c r="J66" i="30" l="1"/>
  <c r="J67" i="30" s="1"/>
  <c r="J14" i="30"/>
  <c r="J15" i="30" s="1"/>
  <c r="K13" i="30" s="1"/>
  <c r="K15" i="23"/>
  <c r="K132" i="23" s="1"/>
  <c r="M42" i="23"/>
  <c r="M43" i="23" s="1"/>
  <c r="N41" i="23"/>
  <c r="J53" i="23"/>
  <c r="M101" i="20"/>
  <c r="M103" i="20" s="1"/>
  <c r="P162" i="20"/>
  <c r="L154" i="20"/>
  <c r="L160" i="20" s="1"/>
  <c r="L163" i="20"/>
  <c r="J165" i="20"/>
  <c r="O165" i="20"/>
  <c r="E101" i="20"/>
  <c r="E103" i="20" s="1"/>
  <c r="E163" i="20" s="1"/>
  <c r="E180" i="20" s="1"/>
  <c r="Q148" i="20"/>
  <c r="I165" i="20"/>
  <c r="G165" i="20"/>
  <c r="H174" i="20" s="1"/>
  <c r="O162" i="20"/>
  <c r="J154" i="20"/>
  <c r="J160" i="20" s="1"/>
  <c r="G162" i="20"/>
  <c r="H171" i="20" s="1"/>
  <c r="F163" i="20"/>
  <c r="I164" i="20"/>
  <c r="R164" i="20" s="1"/>
  <c r="E162" i="20"/>
  <c r="E179" i="20" s="1"/>
  <c r="D162" i="20"/>
  <c r="O163" i="20"/>
  <c r="D163" i="20"/>
  <c r="D154" i="20"/>
  <c r="I163" i="20"/>
  <c r="H163" i="20"/>
  <c r="M163" i="20"/>
  <c r="M161" i="20"/>
  <c r="M154" i="20"/>
  <c r="M160" i="20" s="1"/>
  <c r="E161" i="20"/>
  <c r="E178" i="20" s="1"/>
  <c r="P163" i="20"/>
  <c r="K160" i="20"/>
  <c r="H161" i="20"/>
  <c r="H154" i="20"/>
  <c r="H160" i="20" s="1"/>
  <c r="J163" i="20"/>
  <c r="E149" i="20"/>
  <c r="K163" i="20"/>
  <c r="P161" i="20"/>
  <c r="P154" i="20"/>
  <c r="P160" i="20" s="1"/>
  <c r="G161" i="20"/>
  <c r="H170" i="20" s="1"/>
  <c r="G154" i="20"/>
  <c r="G160" i="20" s="1"/>
  <c r="H169" i="20" s="1"/>
  <c r="I161" i="20"/>
  <c r="I154" i="20"/>
  <c r="I160" i="20" s="1"/>
  <c r="O161" i="20"/>
  <c r="O154" i="20"/>
  <c r="O160" i="20" s="1"/>
  <c r="G163" i="20"/>
  <c r="H172" i="20" s="1"/>
  <c r="F161" i="20"/>
  <c r="F154" i="20"/>
  <c r="F160" i="20" s="1"/>
  <c r="D13" i="17"/>
  <c r="E14" i="17" s="1"/>
  <c r="E13" i="17"/>
  <c r="F14" i="17" s="1"/>
  <c r="F13" i="17"/>
  <c r="G13" i="17"/>
  <c r="H14" i="17" s="1"/>
  <c r="H13" i="17"/>
  <c r="I14" i="17" s="1"/>
  <c r="M13" i="17"/>
  <c r="O14" i="17" s="1"/>
  <c r="L13" i="17"/>
  <c r="M14" i="17" s="1"/>
  <c r="K13" i="17"/>
  <c r="J13" i="17"/>
  <c r="K14" i="17" s="1"/>
  <c r="I13" i="17"/>
  <c r="J14" i="17" s="1"/>
  <c r="O13" i="17"/>
  <c r="P14" i="17" s="1"/>
  <c r="K66" i="30" l="1"/>
  <c r="K67" i="30" s="1"/>
  <c r="K14" i="30"/>
  <c r="K15" i="30" s="1"/>
  <c r="L13" i="30" s="1"/>
  <c r="J54" i="23"/>
  <c r="J55" i="23" s="1"/>
  <c r="J133" i="23"/>
  <c r="K16" i="23"/>
  <c r="K17" i="23" s="1"/>
  <c r="E154" i="20"/>
  <c r="E160" i="20" s="1"/>
  <c r="E177" i="20" s="1"/>
  <c r="R165" i="20"/>
  <c r="R162" i="20"/>
  <c r="R161" i="20"/>
  <c r="D160" i="20"/>
  <c r="R163" i="20"/>
  <c r="E150" i="20"/>
  <c r="E151" i="20" s="1"/>
  <c r="H15" i="17"/>
  <c r="E15" i="17"/>
  <c r="F15" i="17"/>
  <c r="G14" i="17"/>
  <c r="G15" i="17" s="1"/>
  <c r="K15" i="17"/>
  <c r="J15" i="17"/>
  <c r="L14" i="17"/>
  <c r="L15" i="17" s="1"/>
  <c r="M15" i="17"/>
  <c r="I15" i="17"/>
  <c r="P15" i="17"/>
  <c r="L66" i="30" l="1"/>
  <c r="L67" i="30" s="1"/>
  <c r="L14" i="30"/>
  <c r="L15" i="30" s="1"/>
  <c r="M13" i="30" s="1"/>
  <c r="M15" i="23"/>
  <c r="L132" i="23"/>
  <c r="K53" i="23"/>
  <c r="R160" i="20"/>
  <c r="F149" i="20"/>
  <c r="O132" i="17"/>
  <c r="U62" i="17"/>
  <c r="M66" i="30" l="1"/>
  <c r="M67" i="30" s="1"/>
  <c r="M14" i="30"/>
  <c r="M15" i="30" s="1"/>
  <c r="N13" i="30" s="1"/>
  <c r="L16" i="23"/>
  <c r="L17" i="23" s="1"/>
  <c r="K54" i="23"/>
  <c r="K55" i="23" s="1"/>
  <c r="K133" i="23"/>
  <c r="M16" i="23"/>
  <c r="N15" i="23"/>
  <c r="F150" i="20"/>
  <c r="F151" i="20" s="1"/>
  <c r="M141" i="19"/>
  <c r="L141" i="19"/>
  <c r="K141" i="19"/>
  <c r="J141" i="19"/>
  <c r="I141" i="19"/>
  <c r="H141" i="19"/>
  <c r="G141" i="19"/>
  <c r="F141" i="19"/>
  <c r="E141" i="19"/>
  <c r="D141" i="19"/>
  <c r="N66" i="30" l="1"/>
  <c r="N67" i="30" s="1"/>
  <c r="N14" i="30"/>
  <c r="N15" i="30" s="1"/>
  <c r="O13" i="30" s="1"/>
  <c r="M17" i="23"/>
  <c r="M53" i="23"/>
  <c r="L53" i="23"/>
  <c r="G149" i="20"/>
  <c r="M134" i="19"/>
  <c r="M133" i="19"/>
  <c r="L133" i="19"/>
  <c r="L135" i="19" s="1"/>
  <c r="K133" i="19"/>
  <c r="K135" i="19" s="1"/>
  <c r="J133" i="19"/>
  <c r="J135" i="19" s="1"/>
  <c r="I133" i="19"/>
  <c r="I135" i="19" s="1"/>
  <c r="H133" i="19"/>
  <c r="H135" i="19" s="1"/>
  <c r="G133" i="19"/>
  <c r="G135" i="19" s="1"/>
  <c r="F133" i="19"/>
  <c r="F135" i="19" s="1"/>
  <c r="E133" i="19"/>
  <c r="E135" i="19" s="1"/>
  <c r="D133" i="19"/>
  <c r="D135" i="19" s="1"/>
  <c r="C133" i="19"/>
  <c r="L120" i="19"/>
  <c r="M119" i="19"/>
  <c r="M118" i="19"/>
  <c r="L118" i="19"/>
  <c r="K118" i="19"/>
  <c r="K120" i="19" s="1"/>
  <c r="J118" i="19"/>
  <c r="J120" i="19" s="1"/>
  <c r="I118" i="19"/>
  <c r="I120" i="19" s="1"/>
  <c r="H118" i="19"/>
  <c r="H120" i="19" s="1"/>
  <c r="G118" i="19"/>
  <c r="G120" i="19" s="1"/>
  <c r="F118" i="19"/>
  <c r="F120" i="19" s="1"/>
  <c r="E118" i="19"/>
  <c r="E120" i="19" s="1"/>
  <c r="D118" i="19"/>
  <c r="D120" i="19" s="1"/>
  <c r="C118" i="19"/>
  <c r="C105" i="19"/>
  <c r="C106" i="19" s="1"/>
  <c r="C107" i="19" s="1"/>
  <c r="C108" i="19" s="1"/>
  <c r="M104" i="19"/>
  <c r="M103" i="19"/>
  <c r="L103" i="19"/>
  <c r="L105" i="19" s="1"/>
  <c r="K103" i="19"/>
  <c r="K105" i="19" s="1"/>
  <c r="J103" i="19"/>
  <c r="J105" i="19" s="1"/>
  <c r="I103" i="19"/>
  <c r="I105" i="19" s="1"/>
  <c r="H103" i="19"/>
  <c r="H105" i="19" s="1"/>
  <c r="G103" i="19"/>
  <c r="G105" i="19" s="1"/>
  <c r="F103" i="19"/>
  <c r="F105" i="19" s="1"/>
  <c r="E103" i="19"/>
  <c r="E105" i="19" s="1"/>
  <c r="D103" i="19"/>
  <c r="D105" i="19" s="1"/>
  <c r="C103" i="19"/>
  <c r="M94" i="19"/>
  <c r="M93" i="19"/>
  <c r="L93" i="19"/>
  <c r="L95" i="19" s="1"/>
  <c r="K93" i="19"/>
  <c r="K95" i="19" s="1"/>
  <c r="J93" i="19"/>
  <c r="J95" i="19" s="1"/>
  <c r="I93" i="19"/>
  <c r="I95" i="19" s="1"/>
  <c r="H93" i="19"/>
  <c r="H95" i="19" s="1"/>
  <c r="G93" i="19"/>
  <c r="G95" i="19" s="1"/>
  <c r="F93" i="19"/>
  <c r="F95" i="19" s="1"/>
  <c r="E93" i="19"/>
  <c r="E95" i="19" s="1"/>
  <c r="D93" i="19"/>
  <c r="D95" i="19" s="1"/>
  <c r="C93" i="19"/>
  <c r="M78" i="19"/>
  <c r="L78" i="19"/>
  <c r="L80" i="19" s="1"/>
  <c r="K78" i="19"/>
  <c r="K80" i="19" s="1"/>
  <c r="J78" i="19"/>
  <c r="J80" i="19" s="1"/>
  <c r="I78" i="19"/>
  <c r="I80" i="19" s="1"/>
  <c r="H78" i="19"/>
  <c r="H80" i="19" s="1"/>
  <c r="G78" i="19"/>
  <c r="G80" i="19" s="1"/>
  <c r="F78" i="19"/>
  <c r="F80" i="19" s="1"/>
  <c r="E78" i="19"/>
  <c r="E80" i="19" s="1"/>
  <c r="D78" i="19"/>
  <c r="D80" i="19" s="1"/>
  <c r="C78" i="19"/>
  <c r="M63" i="19"/>
  <c r="M62" i="19"/>
  <c r="L62" i="19"/>
  <c r="L64" i="19" s="1"/>
  <c r="K62" i="19"/>
  <c r="K64" i="19" s="1"/>
  <c r="J62" i="19"/>
  <c r="J64" i="19" s="1"/>
  <c r="I62" i="19"/>
  <c r="I64" i="19" s="1"/>
  <c r="H62" i="19"/>
  <c r="H64" i="19" s="1"/>
  <c r="G62" i="19"/>
  <c r="G64" i="19" s="1"/>
  <c r="F62" i="19"/>
  <c r="F64" i="19" s="1"/>
  <c r="E62" i="19"/>
  <c r="E64" i="19" s="1"/>
  <c r="D62" i="19"/>
  <c r="D64" i="19" s="1"/>
  <c r="C62" i="19"/>
  <c r="M51" i="19"/>
  <c r="M50" i="19"/>
  <c r="M52" i="19" s="1"/>
  <c r="L50" i="19"/>
  <c r="L52" i="19" s="1"/>
  <c r="K50" i="19"/>
  <c r="K52" i="19" s="1"/>
  <c r="J50" i="19"/>
  <c r="J52" i="19" s="1"/>
  <c r="I50" i="19"/>
  <c r="I52" i="19" s="1"/>
  <c r="H50" i="19"/>
  <c r="H52" i="19" s="1"/>
  <c r="G50" i="19"/>
  <c r="G52" i="19" s="1"/>
  <c r="F50" i="19"/>
  <c r="F52" i="19" s="1"/>
  <c r="E50" i="19"/>
  <c r="E52" i="19" s="1"/>
  <c r="D50" i="19"/>
  <c r="D52" i="19" s="1"/>
  <c r="C50" i="19"/>
  <c r="M39" i="19"/>
  <c r="M38" i="19"/>
  <c r="L38" i="19"/>
  <c r="L40" i="19" s="1"/>
  <c r="K38" i="19"/>
  <c r="K40" i="19" s="1"/>
  <c r="J38" i="19"/>
  <c r="J40" i="19" s="1"/>
  <c r="I38" i="19"/>
  <c r="I40" i="19" s="1"/>
  <c r="H38" i="19"/>
  <c r="H40" i="19" s="1"/>
  <c r="G38" i="19"/>
  <c r="G40" i="19" s="1"/>
  <c r="F38" i="19"/>
  <c r="F40" i="19" s="1"/>
  <c r="E38" i="19"/>
  <c r="E40" i="19" s="1"/>
  <c r="D38" i="19"/>
  <c r="D40" i="19" s="1"/>
  <c r="C38" i="19"/>
  <c r="M26" i="19"/>
  <c r="M25" i="19"/>
  <c r="L25" i="19"/>
  <c r="L27" i="19" s="1"/>
  <c r="K25" i="19"/>
  <c r="K27" i="19" s="1"/>
  <c r="J25" i="19"/>
  <c r="J27" i="19" s="1"/>
  <c r="I25" i="19"/>
  <c r="I27" i="19" s="1"/>
  <c r="H25" i="19"/>
  <c r="H27" i="19" s="1"/>
  <c r="G25" i="19"/>
  <c r="G27" i="19" s="1"/>
  <c r="F25" i="19"/>
  <c r="F27" i="19" s="1"/>
  <c r="E25" i="19"/>
  <c r="E27" i="19" s="1"/>
  <c r="D25" i="19"/>
  <c r="D27" i="19" s="1"/>
  <c r="C25" i="19"/>
  <c r="M13" i="19"/>
  <c r="M12" i="19"/>
  <c r="L12" i="19"/>
  <c r="L14" i="19" s="1"/>
  <c r="K12" i="19"/>
  <c r="K14" i="19" s="1"/>
  <c r="J12" i="19"/>
  <c r="J14" i="19" s="1"/>
  <c r="I12" i="19"/>
  <c r="I14" i="19" s="1"/>
  <c r="H12" i="19"/>
  <c r="H14" i="19" s="1"/>
  <c r="G12" i="19"/>
  <c r="G14" i="19" s="1"/>
  <c r="F12" i="19"/>
  <c r="F14" i="19" s="1"/>
  <c r="E12" i="19"/>
  <c r="E14" i="19" s="1"/>
  <c r="D12" i="19"/>
  <c r="D14" i="19" s="1"/>
  <c r="C12" i="19"/>
  <c r="L50" i="17"/>
  <c r="O66" i="30" l="1"/>
  <c r="O67" i="30" s="1"/>
  <c r="P67" i="30" s="1"/>
  <c r="O14" i="30"/>
  <c r="O15" i="30" s="1"/>
  <c r="P15" i="30" s="1"/>
  <c r="M54" i="23"/>
  <c r="N53" i="23"/>
  <c r="N133" i="23" s="1"/>
  <c r="L54" i="23"/>
  <c r="L55" i="23" s="1"/>
  <c r="M55" i="23" s="1"/>
  <c r="G150" i="20"/>
  <c r="G151" i="20" s="1"/>
  <c r="D106" i="19"/>
  <c r="D107" i="19" s="1"/>
  <c r="D108" i="19" s="1"/>
  <c r="K28" i="17"/>
  <c r="P132" i="17"/>
  <c r="M132" i="17"/>
  <c r="L132" i="17"/>
  <c r="K132" i="17"/>
  <c r="P117" i="17"/>
  <c r="O117" i="17"/>
  <c r="M117" i="17"/>
  <c r="L117" i="17"/>
  <c r="K117" i="17"/>
  <c r="P102" i="17"/>
  <c r="O102" i="17"/>
  <c r="M102" i="17"/>
  <c r="L102" i="17"/>
  <c r="K102" i="17"/>
  <c r="P85" i="17"/>
  <c r="O85" i="17"/>
  <c r="M85" i="17"/>
  <c r="L85" i="17"/>
  <c r="K85" i="17"/>
  <c r="P69" i="17"/>
  <c r="O69" i="17"/>
  <c r="M69" i="17"/>
  <c r="L69" i="17"/>
  <c r="K69" i="17"/>
  <c r="P52" i="17"/>
  <c r="O52" i="17"/>
  <c r="M52" i="17"/>
  <c r="L52" i="17"/>
  <c r="K52" i="17"/>
  <c r="P40" i="17"/>
  <c r="O40" i="17"/>
  <c r="M40" i="17"/>
  <c r="L40" i="17"/>
  <c r="K40" i="17"/>
  <c r="P28" i="17"/>
  <c r="O28" i="17"/>
  <c r="M28" i="17"/>
  <c r="L28" i="17"/>
  <c r="P16" i="17"/>
  <c r="O16" i="17"/>
  <c r="M16" i="17"/>
  <c r="L16" i="17"/>
  <c r="K16" i="17"/>
  <c r="C15" i="32" l="1"/>
  <c r="Q13" i="30"/>
  <c r="M132" i="23"/>
  <c r="M133" i="23" s="1"/>
  <c r="L133" i="23"/>
  <c r="H149" i="20"/>
  <c r="H150" i="20" s="1"/>
  <c r="H151" i="20" s="1"/>
  <c r="E106" i="19"/>
  <c r="E107" i="19" s="1"/>
  <c r="E108" i="19" s="1"/>
  <c r="J132" i="17"/>
  <c r="J117" i="17"/>
  <c r="J102" i="17"/>
  <c r="J85" i="17"/>
  <c r="J69" i="17"/>
  <c r="J52" i="17"/>
  <c r="J40" i="17"/>
  <c r="J28" i="17"/>
  <c r="J16" i="17"/>
  <c r="Q15" i="18"/>
  <c r="Q13" i="18"/>
  <c r="Q11" i="18"/>
  <c r="Q9" i="18"/>
  <c r="Q7" i="18"/>
  <c r="Q66" i="30" l="1"/>
  <c r="Q67" i="30" s="1"/>
  <c r="Q14" i="30"/>
  <c r="Q15" i="30" s="1"/>
  <c r="R13" i="30" s="1"/>
  <c r="D13" i="32"/>
  <c r="C64" i="32"/>
  <c r="I149" i="20"/>
  <c r="I150" i="20" s="1"/>
  <c r="I151" i="20" s="1"/>
  <c r="F106" i="19"/>
  <c r="D14" i="32" l="1"/>
  <c r="D15" i="32" s="1"/>
  <c r="E13" i="32" s="1"/>
  <c r="D66" i="32"/>
  <c r="D67" i="32" s="1"/>
  <c r="R66" i="30"/>
  <c r="R14" i="30"/>
  <c r="R15" i="30" s="1"/>
  <c r="R67" i="30"/>
  <c r="J149" i="20"/>
  <c r="J150" i="20" s="1"/>
  <c r="J151" i="20" s="1"/>
  <c r="F107" i="19"/>
  <c r="F108" i="19" s="1"/>
  <c r="E66" i="32" l="1"/>
  <c r="E67" i="32" s="1"/>
  <c r="E14" i="32"/>
  <c r="E15" i="32" s="1"/>
  <c r="F13" i="32" s="1"/>
  <c r="K149" i="20"/>
  <c r="K150" i="20" s="1"/>
  <c r="K151" i="20" s="1"/>
  <c r="G106" i="19"/>
  <c r="I129" i="17"/>
  <c r="F66" i="32" l="1"/>
  <c r="F67" i="32" s="1"/>
  <c r="F14" i="32"/>
  <c r="F15" i="32" s="1"/>
  <c r="G13" i="32" s="1"/>
  <c r="L149" i="20"/>
  <c r="L150" i="20" s="1"/>
  <c r="L151" i="20" s="1"/>
  <c r="G107" i="19"/>
  <c r="G108" i="19" s="1"/>
  <c r="G14" i="32" l="1"/>
  <c r="G15" i="32" s="1"/>
  <c r="H13" i="32" s="1"/>
  <c r="G66" i="32"/>
  <c r="G67" i="32" s="1"/>
  <c r="M149" i="20"/>
  <c r="H106" i="19"/>
  <c r="H14" i="32" l="1"/>
  <c r="H15" i="32" s="1"/>
  <c r="I13" i="32" s="1"/>
  <c r="H66" i="32"/>
  <c r="H67" i="32" s="1"/>
  <c r="M150" i="20"/>
  <c r="M151" i="20" s="1"/>
  <c r="Q149" i="20"/>
  <c r="Q150" i="20" s="1"/>
  <c r="H107" i="19"/>
  <c r="H108" i="19" s="1"/>
  <c r="F85" i="17"/>
  <c r="I66" i="32" l="1"/>
  <c r="I67" i="32" s="1"/>
  <c r="I14" i="32"/>
  <c r="I15" i="32" s="1"/>
  <c r="J13" i="32" s="1"/>
  <c r="I106" i="19"/>
  <c r="I107" i="19" s="1"/>
  <c r="I108" i="19" s="1"/>
  <c r="V80" i="17"/>
  <c r="J66" i="32" l="1"/>
  <c r="J67" i="32" s="1"/>
  <c r="J14" i="32"/>
  <c r="J15" i="32" s="1"/>
  <c r="K13" i="32" s="1"/>
  <c r="J106" i="19"/>
  <c r="J107" i="19" s="1"/>
  <c r="J108" i="19" s="1"/>
  <c r="E40" i="17"/>
  <c r="K14" i="32" l="1"/>
  <c r="K15" i="32" s="1"/>
  <c r="L13" i="32" s="1"/>
  <c r="K66" i="32"/>
  <c r="K67" i="32" s="1"/>
  <c r="K106" i="19"/>
  <c r="K107" i="19" s="1"/>
  <c r="K108" i="19" s="1"/>
  <c r="L14" i="32" l="1"/>
  <c r="L15" i="32" s="1"/>
  <c r="M13" i="32" s="1"/>
  <c r="L66" i="32"/>
  <c r="L67" i="32" s="1"/>
  <c r="M106" i="19"/>
  <c r="L106" i="19"/>
  <c r="L107" i="19" s="1"/>
  <c r="L108" i="19" s="1"/>
  <c r="V11" i="17"/>
  <c r="Y11" i="17" s="1"/>
  <c r="V12" i="17"/>
  <c r="Y12" i="17" s="1"/>
  <c r="V127" i="17"/>
  <c r="M66" i="32" l="1"/>
  <c r="M67" i="32" s="1"/>
  <c r="M14" i="32"/>
  <c r="M15" i="32" s="1"/>
  <c r="N13" i="32" s="1"/>
  <c r="M107" i="19"/>
  <c r="M108" i="19" s="1"/>
  <c r="N106" i="19"/>
  <c r="U65" i="17"/>
  <c r="V65" i="17"/>
  <c r="N66" i="32" l="1"/>
  <c r="N67" i="32" s="1"/>
  <c r="N14" i="32"/>
  <c r="N15" i="32" s="1"/>
  <c r="O13" i="32" s="1"/>
  <c r="Y65" i="17"/>
  <c r="U68" i="17"/>
  <c r="V64" i="17" s="1"/>
  <c r="Y64" i="17" s="1"/>
  <c r="U67" i="17"/>
  <c r="V63" i="17" s="1"/>
  <c r="Y63" i="17" s="1"/>
  <c r="U66" i="17"/>
  <c r="V62" i="17" s="1"/>
  <c r="Y62" i="17" s="1"/>
  <c r="U63" i="17"/>
  <c r="U64" i="17"/>
  <c r="O14" i="32" l="1"/>
  <c r="O15" i="32" s="1"/>
  <c r="P15" i="32" s="1"/>
  <c r="Q13" i="32" s="1"/>
  <c r="O66" i="32"/>
  <c r="D16" i="13"/>
  <c r="D132" i="17"/>
  <c r="E132" i="17"/>
  <c r="D117" i="17"/>
  <c r="E117" i="17"/>
  <c r="D102" i="17"/>
  <c r="E102" i="17"/>
  <c r="E69" i="17"/>
  <c r="D69" i="17"/>
  <c r="D85" i="17"/>
  <c r="E85" i="17"/>
  <c r="E52" i="17"/>
  <c r="D52" i="17"/>
  <c r="D40" i="17"/>
  <c r="E28" i="17"/>
  <c r="D28" i="17"/>
  <c r="E16" i="17"/>
  <c r="D16" i="17"/>
  <c r="O67" i="32" l="1"/>
  <c r="P67" i="32" s="1"/>
  <c r="Q66" i="32"/>
  <c r="Q14" i="32"/>
  <c r="Q15" i="32" s="1"/>
  <c r="R13" i="32" s="1"/>
  <c r="D130" i="17"/>
  <c r="D129" i="17"/>
  <c r="D115" i="17"/>
  <c r="D114" i="17"/>
  <c r="D67" i="17"/>
  <c r="D68" i="17" s="1"/>
  <c r="D70" i="17" s="1"/>
  <c r="D50" i="17"/>
  <c r="D51" i="17" s="1"/>
  <c r="D53" i="17" s="1"/>
  <c r="E6" i="17"/>
  <c r="O149" i="17"/>
  <c r="D149" i="17"/>
  <c r="P145" i="17"/>
  <c r="O145" i="17"/>
  <c r="M145" i="17"/>
  <c r="L145" i="17"/>
  <c r="K145" i="17"/>
  <c r="J145" i="17"/>
  <c r="I145" i="17"/>
  <c r="H145" i="17"/>
  <c r="G145" i="17"/>
  <c r="F145" i="17"/>
  <c r="E145" i="17"/>
  <c r="D145" i="17"/>
  <c r="P144" i="17"/>
  <c r="O144" i="17"/>
  <c r="M144" i="17"/>
  <c r="M146" i="17" s="1"/>
  <c r="M148" i="17" s="1"/>
  <c r="L144" i="17"/>
  <c r="K144" i="17"/>
  <c r="J144" i="17"/>
  <c r="I144" i="17"/>
  <c r="H144" i="17"/>
  <c r="G144" i="17"/>
  <c r="G146" i="17" s="1"/>
  <c r="G148" i="17" s="1"/>
  <c r="F144" i="17"/>
  <c r="E144" i="17"/>
  <c r="E146" i="17" s="1"/>
  <c r="E148" i="17" s="1"/>
  <c r="D144" i="17"/>
  <c r="I132" i="17"/>
  <c r="H132" i="17"/>
  <c r="G132" i="17"/>
  <c r="F132" i="17"/>
  <c r="P130" i="17"/>
  <c r="O130" i="17"/>
  <c r="M130" i="17"/>
  <c r="L130" i="17"/>
  <c r="K130" i="17"/>
  <c r="J130" i="17"/>
  <c r="I130" i="17"/>
  <c r="H130" i="17"/>
  <c r="G130" i="17"/>
  <c r="F130" i="17"/>
  <c r="E130" i="17"/>
  <c r="P129" i="17"/>
  <c r="O129" i="17"/>
  <c r="M129" i="17"/>
  <c r="L129" i="17"/>
  <c r="K129" i="17"/>
  <c r="J129" i="17"/>
  <c r="J131" i="17" s="1"/>
  <c r="H129" i="17"/>
  <c r="G129" i="17"/>
  <c r="F129" i="17"/>
  <c r="E129" i="17"/>
  <c r="U127" i="17"/>
  <c r="Y127" i="17"/>
  <c r="U129" i="17"/>
  <c r="U126" i="17" s="1"/>
  <c r="U128" i="17"/>
  <c r="I117" i="17"/>
  <c r="H117" i="17"/>
  <c r="G117" i="17"/>
  <c r="F117" i="17"/>
  <c r="P115" i="17"/>
  <c r="O115" i="17"/>
  <c r="M115" i="17"/>
  <c r="L115" i="17"/>
  <c r="K115" i="17"/>
  <c r="J115" i="17"/>
  <c r="I115" i="17"/>
  <c r="H115" i="17"/>
  <c r="G115" i="17"/>
  <c r="F115" i="17"/>
  <c r="E115" i="17"/>
  <c r="W114" i="17"/>
  <c r="V114" i="17"/>
  <c r="U114" i="17"/>
  <c r="P114" i="17"/>
  <c r="O114" i="17"/>
  <c r="M114" i="17"/>
  <c r="L114" i="17"/>
  <c r="K114" i="17"/>
  <c r="J114" i="17"/>
  <c r="I114" i="17"/>
  <c r="H114" i="17"/>
  <c r="G114" i="17"/>
  <c r="F114" i="17"/>
  <c r="E114" i="17"/>
  <c r="V111" i="17"/>
  <c r="Y111" i="17" s="1"/>
  <c r="U111" i="17"/>
  <c r="U115" i="17"/>
  <c r="V113" i="17" s="1"/>
  <c r="Y113" i="17" s="1"/>
  <c r="I102" i="17"/>
  <c r="H102" i="17"/>
  <c r="G102" i="17"/>
  <c r="F102" i="17"/>
  <c r="P100" i="17"/>
  <c r="P101" i="17" s="1"/>
  <c r="O100" i="17"/>
  <c r="O101" i="17" s="1"/>
  <c r="K100" i="17"/>
  <c r="K101" i="17" s="1"/>
  <c r="J100" i="17"/>
  <c r="J101" i="17" s="1"/>
  <c r="G100" i="17"/>
  <c r="G101" i="17" s="1"/>
  <c r="F100" i="17"/>
  <c r="F101" i="17" s="1"/>
  <c r="V97" i="17"/>
  <c r="U97" i="17"/>
  <c r="M100" i="17"/>
  <c r="M101" i="17" s="1"/>
  <c r="L100" i="17"/>
  <c r="L101" i="17" s="1"/>
  <c r="I100" i="17"/>
  <c r="I101" i="17" s="1"/>
  <c r="H100" i="17"/>
  <c r="H101" i="17" s="1"/>
  <c r="E100" i="17"/>
  <c r="U99" i="17"/>
  <c r="U96" i="17" s="1"/>
  <c r="U98" i="17"/>
  <c r="V95" i="17" s="1"/>
  <c r="Y95" i="17" s="1"/>
  <c r="U81" i="17"/>
  <c r="U94" i="17" s="1"/>
  <c r="I69" i="17"/>
  <c r="H69" i="17"/>
  <c r="G69" i="17"/>
  <c r="F69" i="17"/>
  <c r="P67" i="17"/>
  <c r="P68" i="17" s="1"/>
  <c r="O67" i="17"/>
  <c r="O68" i="17" s="1"/>
  <c r="M67" i="17"/>
  <c r="M68" i="17" s="1"/>
  <c r="L67" i="17"/>
  <c r="L68" i="17" s="1"/>
  <c r="K67" i="17"/>
  <c r="K68" i="17" s="1"/>
  <c r="J67" i="17"/>
  <c r="J68" i="17" s="1"/>
  <c r="I67" i="17"/>
  <c r="I68" i="17" s="1"/>
  <c r="H67" i="17"/>
  <c r="H68" i="17" s="1"/>
  <c r="G67" i="17"/>
  <c r="G68" i="17" s="1"/>
  <c r="F67" i="17"/>
  <c r="F68" i="17" s="1"/>
  <c r="E67" i="17"/>
  <c r="E68" i="17" s="1"/>
  <c r="E70" i="17" s="1"/>
  <c r="I85" i="17"/>
  <c r="H85" i="17"/>
  <c r="G85" i="17"/>
  <c r="P83" i="17"/>
  <c r="P84" i="17" s="1"/>
  <c r="O83" i="17"/>
  <c r="O84" i="17" s="1"/>
  <c r="K83" i="17"/>
  <c r="K84" i="17" s="1"/>
  <c r="J83" i="17"/>
  <c r="J84" i="17" s="1"/>
  <c r="G83" i="17"/>
  <c r="G84" i="17" s="1"/>
  <c r="F83" i="17"/>
  <c r="F84" i="17" s="1"/>
  <c r="U80" i="17"/>
  <c r="M83" i="17"/>
  <c r="M84" i="17" s="1"/>
  <c r="L83" i="17"/>
  <c r="L84" i="17" s="1"/>
  <c r="I83" i="17"/>
  <c r="I84" i="17" s="1"/>
  <c r="H83" i="17"/>
  <c r="H84" i="17" s="1"/>
  <c r="E83" i="17"/>
  <c r="E84" i="17" s="1"/>
  <c r="V79" i="17"/>
  <c r="Y79" i="17" s="1"/>
  <c r="U79" i="17"/>
  <c r="I52" i="17"/>
  <c r="H52" i="17"/>
  <c r="G52" i="17"/>
  <c r="F52" i="17"/>
  <c r="P50" i="17"/>
  <c r="P51" i="17" s="1"/>
  <c r="O50" i="17"/>
  <c r="O51" i="17" s="1"/>
  <c r="M50" i="17"/>
  <c r="M51" i="17" s="1"/>
  <c r="L51" i="17"/>
  <c r="K50" i="17"/>
  <c r="K51" i="17" s="1"/>
  <c r="J50" i="17"/>
  <c r="J51" i="17" s="1"/>
  <c r="I50" i="17"/>
  <c r="I51" i="17" s="1"/>
  <c r="H50" i="17"/>
  <c r="H51" i="17" s="1"/>
  <c r="G50" i="17"/>
  <c r="G51" i="17" s="1"/>
  <c r="F50" i="17"/>
  <c r="F51" i="17" s="1"/>
  <c r="E50" i="17"/>
  <c r="E51" i="17" s="1"/>
  <c r="E53" i="17" s="1"/>
  <c r="U49" i="17"/>
  <c r="U48" i="17"/>
  <c r="V47" i="17"/>
  <c r="V48" i="17" s="1"/>
  <c r="Y48" i="17" s="1"/>
  <c r="I40" i="17"/>
  <c r="H40" i="17"/>
  <c r="G40" i="17"/>
  <c r="F40" i="17"/>
  <c r="W39" i="17"/>
  <c r="W97" i="17" s="1"/>
  <c r="U39" i="17"/>
  <c r="P39" i="17"/>
  <c r="O39" i="17"/>
  <c r="M39" i="17"/>
  <c r="L39" i="17"/>
  <c r="K39" i="17"/>
  <c r="J39" i="17"/>
  <c r="I39" i="17"/>
  <c r="H39" i="17"/>
  <c r="G39" i="17"/>
  <c r="F39" i="17"/>
  <c r="E39" i="17"/>
  <c r="E41" i="17" s="1"/>
  <c r="D39" i="17"/>
  <c r="D41" i="17" s="1"/>
  <c r="U42" i="17"/>
  <c r="V38" i="17" s="1"/>
  <c r="Y38" i="17" s="1"/>
  <c r="U41" i="17"/>
  <c r="U40" i="17"/>
  <c r="U36" i="17" s="1"/>
  <c r="I28" i="17"/>
  <c r="H28" i="17"/>
  <c r="G28" i="17"/>
  <c r="F28" i="17"/>
  <c r="U27" i="17"/>
  <c r="P27" i="17"/>
  <c r="O27" i="17"/>
  <c r="O29" i="17" s="1"/>
  <c r="M27" i="17"/>
  <c r="L27" i="17"/>
  <c r="K27" i="17"/>
  <c r="J27" i="17"/>
  <c r="I27" i="17"/>
  <c r="H27" i="17"/>
  <c r="G27" i="17"/>
  <c r="F27" i="17"/>
  <c r="E27" i="17"/>
  <c r="E29" i="17" s="1"/>
  <c r="D27" i="17"/>
  <c r="D29" i="17" s="1"/>
  <c r="U30" i="17"/>
  <c r="U26" i="17" s="1"/>
  <c r="U29" i="17"/>
  <c r="V25" i="17" s="1"/>
  <c r="Y25" i="17" s="1"/>
  <c r="U28" i="17"/>
  <c r="V24" i="17" s="1"/>
  <c r="Y24" i="17" s="1"/>
  <c r="I16" i="17"/>
  <c r="H16" i="17"/>
  <c r="G16" i="17"/>
  <c r="F16" i="17"/>
  <c r="O15" i="17"/>
  <c r="M17" i="17"/>
  <c r="U12" i="17"/>
  <c r="U11" i="17"/>
  <c r="F6" i="17"/>
  <c r="G6" i="17" s="1"/>
  <c r="H6" i="17" s="1"/>
  <c r="I6" i="17" s="1"/>
  <c r="J6" i="17" s="1"/>
  <c r="K6" i="17" s="1"/>
  <c r="L6" i="17" s="1"/>
  <c r="M6" i="17" s="1"/>
  <c r="O6" i="17" s="1"/>
  <c r="P6" i="17" s="1"/>
  <c r="Q67" i="32" l="1"/>
  <c r="R66" i="32"/>
  <c r="R14" i="32"/>
  <c r="R15" i="32" s="1"/>
  <c r="L116" i="17"/>
  <c r="L118" i="17" s="1"/>
  <c r="E101" i="17"/>
  <c r="E103" i="17" s="1"/>
  <c r="H146" i="17"/>
  <c r="H148" i="17" s="1"/>
  <c r="J146" i="17"/>
  <c r="J148" i="17" s="1"/>
  <c r="E17" i="17"/>
  <c r="E161" i="17" s="1"/>
  <c r="H116" i="17"/>
  <c r="H118" i="17" s="1"/>
  <c r="H164" i="17" s="1"/>
  <c r="I146" i="17"/>
  <c r="I148" i="17" s="1"/>
  <c r="K146" i="17"/>
  <c r="K148" i="17" s="1"/>
  <c r="D146" i="17"/>
  <c r="D148" i="17" s="1"/>
  <c r="L146" i="17"/>
  <c r="L148" i="17" s="1"/>
  <c r="F146" i="17"/>
  <c r="F148" i="17" s="1"/>
  <c r="O146" i="17"/>
  <c r="O148" i="17" s="1"/>
  <c r="O131" i="17"/>
  <c r="O133" i="17" s="1"/>
  <c r="F17" i="17"/>
  <c r="F161" i="17" s="1"/>
  <c r="J29" i="17"/>
  <c r="J86" i="17"/>
  <c r="I103" i="17"/>
  <c r="F29" i="17"/>
  <c r="F131" i="17"/>
  <c r="F133" i="17" s="1"/>
  <c r="F165" i="17" s="1"/>
  <c r="P146" i="17"/>
  <c r="P148" i="17" s="1"/>
  <c r="U125" i="17"/>
  <c r="V125" i="17"/>
  <c r="Y125" i="17" s="1"/>
  <c r="F41" i="17"/>
  <c r="J41" i="17"/>
  <c r="O41" i="17"/>
  <c r="O162" i="17" s="1"/>
  <c r="G41" i="17"/>
  <c r="K41" i="17"/>
  <c r="P41" i="17"/>
  <c r="V49" i="17"/>
  <c r="Y49" i="17" s="1"/>
  <c r="G70" i="17"/>
  <c r="K70" i="17"/>
  <c r="P70" i="17"/>
  <c r="V96" i="17"/>
  <c r="Y96" i="17" s="1"/>
  <c r="K53" i="17"/>
  <c r="P53" i="17"/>
  <c r="P86" i="17"/>
  <c r="H70" i="17"/>
  <c r="L70" i="17"/>
  <c r="Y39" i="17"/>
  <c r="M103" i="17"/>
  <c r="E116" i="17"/>
  <c r="E118" i="17" s="1"/>
  <c r="E164" i="17" s="1"/>
  <c r="H131" i="17"/>
  <c r="H133" i="17" s="1"/>
  <c r="H165" i="17" s="1"/>
  <c r="L131" i="17"/>
  <c r="L133" i="17" s="1"/>
  <c r="L165" i="17" s="1"/>
  <c r="I29" i="17"/>
  <c r="I53" i="17"/>
  <c r="M53" i="17"/>
  <c r="Y80" i="17"/>
  <c r="Y97" i="17"/>
  <c r="G131" i="17"/>
  <c r="G133" i="17" s="1"/>
  <c r="G165" i="17" s="1"/>
  <c r="K131" i="17"/>
  <c r="K133" i="17" s="1"/>
  <c r="P131" i="17"/>
  <c r="P133" i="17" s="1"/>
  <c r="P165" i="17" s="1"/>
  <c r="I41" i="17"/>
  <c r="M41" i="17"/>
  <c r="J53" i="17"/>
  <c r="O53" i="17"/>
  <c r="F70" i="17"/>
  <c r="J70" i="17"/>
  <c r="O70" i="17"/>
  <c r="F116" i="17"/>
  <c r="F118" i="17" s="1"/>
  <c r="F164" i="17" s="1"/>
  <c r="E131" i="17"/>
  <c r="E133" i="17" s="1"/>
  <c r="E165" i="17" s="1"/>
  <c r="I131" i="17"/>
  <c r="I133" i="17" s="1"/>
  <c r="M131" i="17"/>
  <c r="M133" i="17" s="1"/>
  <c r="M165" i="17" s="1"/>
  <c r="U95" i="17"/>
  <c r="V36" i="17"/>
  <c r="Y36" i="17" s="1"/>
  <c r="U25" i="17"/>
  <c r="V26" i="17"/>
  <c r="Y26" i="17" s="1"/>
  <c r="K17" i="17"/>
  <c r="K161" i="17" s="1"/>
  <c r="H41" i="17"/>
  <c r="L41" i="17"/>
  <c r="H53" i="17"/>
  <c r="L53" i="17"/>
  <c r="I70" i="17"/>
  <c r="M70" i="17"/>
  <c r="D131" i="17"/>
  <c r="D133" i="17" s="1"/>
  <c r="G103" i="17"/>
  <c r="O17" i="17"/>
  <c r="O161" i="17" s="1"/>
  <c r="M161" i="17"/>
  <c r="O86" i="17"/>
  <c r="J17" i="17"/>
  <c r="J161" i="17" s="1"/>
  <c r="F86" i="17"/>
  <c r="F103" i="17"/>
  <c r="J103" i="17"/>
  <c r="O103" i="17"/>
  <c r="G53" i="17"/>
  <c r="I17" i="17"/>
  <c r="I161" i="17" s="1"/>
  <c r="D116" i="17"/>
  <c r="D118" i="17" s="1"/>
  <c r="J133" i="17"/>
  <c r="J165" i="17" s="1"/>
  <c r="M116" i="17"/>
  <c r="M118" i="17" s="1"/>
  <c r="M164" i="17" s="1"/>
  <c r="I116" i="17"/>
  <c r="I118" i="17" s="1"/>
  <c r="I164" i="17" s="1"/>
  <c r="G116" i="17"/>
  <c r="G118" i="17" s="1"/>
  <c r="G164" i="17" s="1"/>
  <c r="K116" i="17"/>
  <c r="K118" i="17" s="1"/>
  <c r="K164" i="17" s="1"/>
  <c r="P116" i="17"/>
  <c r="P118" i="17" s="1"/>
  <c r="P164" i="17" s="1"/>
  <c r="P103" i="17"/>
  <c r="F53" i="17"/>
  <c r="G29" i="17"/>
  <c r="P29" i="17"/>
  <c r="H29" i="17"/>
  <c r="L29" i="17"/>
  <c r="M29" i="17"/>
  <c r="K29" i="17"/>
  <c r="D162" i="17"/>
  <c r="E162" i="17"/>
  <c r="V37" i="17"/>
  <c r="Y37" i="17" s="1"/>
  <c r="U37" i="17"/>
  <c r="L17" i="17"/>
  <c r="U24" i="17"/>
  <c r="E86" i="17"/>
  <c r="I86" i="17"/>
  <c r="M86" i="17"/>
  <c r="G86" i="17"/>
  <c r="K86" i="17"/>
  <c r="U38" i="17"/>
  <c r="H86" i="17"/>
  <c r="L86" i="17"/>
  <c r="K103" i="17"/>
  <c r="V94" i="17"/>
  <c r="Y94" i="17" s="1"/>
  <c r="J116" i="17"/>
  <c r="J118" i="17" s="1"/>
  <c r="O116" i="17"/>
  <c r="O118" i="17" s="1"/>
  <c r="L164" i="17"/>
  <c r="V112" i="17"/>
  <c r="Y112" i="17" s="1"/>
  <c r="U112" i="17"/>
  <c r="H103" i="17"/>
  <c r="L103" i="17"/>
  <c r="U113" i="17"/>
  <c r="Y114" i="17"/>
  <c r="O150" i="17"/>
  <c r="O151" i="17" s="1"/>
  <c r="V126" i="17"/>
  <c r="Y126" i="17" s="1"/>
  <c r="P59" i="13"/>
  <c r="D83" i="17" s="1"/>
  <c r="D84" i="17" s="1"/>
  <c r="D86" i="17" s="1"/>
  <c r="R67" i="32" l="1"/>
  <c r="O165" i="17"/>
  <c r="K165" i="17"/>
  <c r="E163" i="17"/>
  <c r="Q148" i="17"/>
  <c r="D150" i="17"/>
  <c r="D151" i="17" s="1"/>
  <c r="G17" i="17"/>
  <c r="H17" i="17"/>
  <c r="P17" i="17"/>
  <c r="F162" i="17"/>
  <c r="I165" i="17"/>
  <c r="K154" i="17"/>
  <c r="K160" i="17" s="1"/>
  <c r="P162" i="17"/>
  <c r="J162" i="17"/>
  <c r="K162" i="17"/>
  <c r="G162" i="17"/>
  <c r="L162" i="17"/>
  <c r="P163" i="17"/>
  <c r="I162" i="17"/>
  <c r="E154" i="17"/>
  <c r="E160" i="17" s="1"/>
  <c r="M162" i="17"/>
  <c r="F163" i="17"/>
  <c r="F154" i="17"/>
  <c r="F160" i="17" s="1"/>
  <c r="M163" i="17"/>
  <c r="J163" i="17"/>
  <c r="O163" i="17"/>
  <c r="D165" i="17"/>
  <c r="D164" i="17"/>
  <c r="I154" i="17"/>
  <c r="I160" i="17" s="1"/>
  <c r="H162" i="17"/>
  <c r="K163" i="17"/>
  <c r="E149" i="17"/>
  <c r="O164" i="17"/>
  <c r="L161" i="17"/>
  <c r="L154" i="17"/>
  <c r="L160" i="17" s="1"/>
  <c r="J164" i="17"/>
  <c r="H163" i="17"/>
  <c r="M154" i="17"/>
  <c r="M160" i="17" s="1"/>
  <c r="G163" i="17"/>
  <c r="O154" i="17"/>
  <c r="O160" i="17" s="1"/>
  <c r="L163" i="17"/>
  <c r="P149" i="17"/>
  <c r="P150" i="17" s="1"/>
  <c r="P151" i="17" s="1"/>
  <c r="I163" i="17"/>
  <c r="J154" i="17"/>
  <c r="J160" i="17" s="1"/>
  <c r="P90" i="13"/>
  <c r="D100" i="17" s="1"/>
  <c r="D101" i="17" s="1"/>
  <c r="D103" i="17" s="1"/>
  <c r="D163" i="17" s="1"/>
  <c r="P11" i="13"/>
  <c r="D14" i="17" s="1"/>
  <c r="D15" i="17" s="1"/>
  <c r="D17" i="17" s="1"/>
  <c r="D161" i="17" s="1"/>
  <c r="D154" i="17" l="1"/>
  <c r="R165" i="17"/>
  <c r="H161" i="17"/>
  <c r="H154" i="17"/>
  <c r="H160" i="17" s="1"/>
  <c r="G154" i="17"/>
  <c r="G160" i="17" s="1"/>
  <c r="G161" i="17"/>
  <c r="R161" i="17" s="1"/>
  <c r="P154" i="17"/>
  <c r="P160" i="17" s="1"/>
  <c r="P161" i="17"/>
  <c r="R162" i="17"/>
  <c r="R164" i="17"/>
  <c r="R163" i="17"/>
  <c r="D160" i="17"/>
  <c r="E150" i="17"/>
  <c r="E151" i="17" s="1"/>
  <c r="U18" i="13"/>
  <c r="Y37" i="13"/>
  <c r="U10" i="13"/>
  <c r="R160" i="17" l="1"/>
  <c r="F149" i="17"/>
  <c r="F150" i="17" l="1"/>
  <c r="F151" i="17" s="1"/>
  <c r="O90" i="13"/>
  <c r="O59" i="13"/>
  <c r="O11" i="13"/>
  <c r="G149" i="17" l="1"/>
  <c r="R24" i="11"/>
  <c r="R25" i="11"/>
  <c r="N125" i="13"/>
  <c r="N109" i="13"/>
  <c r="N94" i="13"/>
  <c r="N80" i="13"/>
  <c r="N63" i="13"/>
  <c r="N51" i="13"/>
  <c r="N39" i="13"/>
  <c r="N27" i="13"/>
  <c r="P167" i="11"/>
  <c r="O167" i="11"/>
  <c r="D167" i="11"/>
  <c r="E167" i="11"/>
  <c r="F167" i="11"/>
  <c r="G167" i="11"/>
  <c r="H167" i="11"/>
  <c r="I167" i="11"/>
  <c r="J167" i="11"/>
  <c r="K167" i="11"/>
  <c r="L167" i="11"/>
  <c r="M167" i="11"/>
  <c r="G150" i="17" l="1"/>
  <c r="G151" i="17" s="1"/>
  <c r="C160" i="16"/>
  <c r="C161" i="16" s="1"/>
  <c r="C145" i="16"/>
  <c r="C130" i="16"/>
  <c r="C115" i="16"/>
  <c r="C116" i="16" s="1"/>
  <c r="C105" i="16"/>
  <c r="C90" i="16"/>
  <c r="C91" i="16" s="1"/>
  <c r="M88" i="16"/>
  <c r="L88" i="16"/>
  <c r="L90" i="16" s="1"/>
  <c r="K88" i="16"/>
  <c r="K90" i="16" s="1"/>
  <c r="J88" i="16"/>
  <c r="J90" i="16" s="1"/>
  <c r="I88" i="16"/>
  <c r="I90" i="16" s="1"/>
  <c r="H88" i="16"/>
  <c r="H90" i="16" s="1"/>
  <c r="G88" i="16"/>
  <c r="G90" i="16" s="1"/>
  <c r="F88" i="16"/>
  <c r="F90" i="16" s="1"/>
  <c r="E88" i="16"/>
  <c r="E90" i="16" s="1"/>
  <c r="D88" i="16"/>
  <c r="D90" i="16" s="1"/>
  <c r="C88" i="16"/>
  <c r="C106" i="16"/>
  <c r="C74" i="16"/>
  <c r="C75" i="16" s="1"/>
  <c r="C62" i="16"/>
  <c r="C50" i="16"/>
  <c r="C37" i="16"/>
  <c r="C38" i="16" s="1"/>
  <c r="C12" i="16"/>
  <c r="M159" i="16"/>
  <c r="M158" i="16"/>
  <c r="L158" i="16"/>
  <c r="L160" i="16" s="1"/>
  <c r="K158" i="16"/>
  <c r="K160" i="16" s="1"/>
  <c r="J158" i="16"/>
  <c r="J160" i="16" s="1"/>
  <c r="I158" i="16"/>
  <c r="I160" i="16" s="1"/>
  <c r="H158" i="16"/>
  <c r="H160" i="16" s="1"/>
  <c r="G158" i="16"/>
  <c r="G160" i="16" s="1"/>
  <c r="F158" i="16"/>
  <c r="F160" i="16" s="1"/>
  <c r="E158" i="16"/>
  <c r="E160" i="16" s="1"/>
  <c r="D158" i="16"/>
  <c r="D160" i="16" s="1"/>
  <c r="C158" i="16"/>
  <c r="M144" i="16"/>
  <c r="M143" i="16"/>
  <c r="L143" i="16"/>
  <c r="L145" i="16" s="1"/>
  <c r="K143" i="16"/>
  <c r="K145" i="16" s="1"/>
  <c r="J143" i="16"/>
  <c r="J145" i="16" s="1"/>
  <c r="I143" i="16"/>
  <c r="I145" i="16" s="1"/>
  <c r="H143" i="16"/>
  <c r="H145" i="16" s="1"/>
  <c r="G143" i="16"/>
  <c r="G145" i="16" s="1"/>
  <c r="F143" i="16"/>
  <c r="F145" i="16" s="1"/>
  <c r="E143" i="16"/>
  <c r="E145" i="16" s="1"/>
  <c r="D143" i="16"/>
  <c r="D145" i="16" s="1"/>
  <c r="C143" i="16"/>
  <c r="M129" i="16"/>
  <c r="M128" i="16"/>
  <c r="L128" i="16"/>
  <c r="L130" i="16" s="1"/>
  <c r="K128" i="16"/>
  <c r="K130" i="16" s="1"/>
  <c r="J128" i="16"/>
  <c r="J130" i="16" s="1"/>
  <c r="I128" i="16"/>
  <c r="I130" i="16" s="1"/>
  <c r="H128" i="16"/>
  <c r="H130" i="16" s="1"/>
  <c r="G128" i="16"/>
  <c r="G130" i="16" s="1"/>
  <c r="F128" i="16"/>
  <c r="F130" i="16" s="1"/>
  <c r="E128" i="16"/>
  <c r="E130" i="16" s="1"/>
  <c r="D128" i="16"/>
  <c r="D130" i="16" s="1"/>
  <c r="C128" i="16"/>
  <c r="F115" i="16"/>
  <c r="M114" i="16"/>
  <c r="M113" i="16"/>
  <c r="L113" i="16"/>
  <c r="L115" i="16" s="1"/>
  <c r="K113" i="16"/>
  <c r="K115" i="16" s="1"/>
  <c r="J113" i="16"/>
  <c r="J115" i="16" s="1"/>
  <c r="I113" i="16"/>
  <c r="I115" i="16" s="1"/>
  <c r="H113" i="16"/>
  <c r="H115" i="16" s="1"/>
  <c r="G113" i="16"/>
  <c r="G115" i="16" s="1"/>
  <c r="F113" i="16"/>
  <c r="E113" i="16"/>
  <c r="E115" i="16" s="1"/>
  <c r="D113" i="16"/>
  <c r="D115" i="16" s="1"/>
  <c r="C113" i="16"/>
  <c r="E105" i="16"/>
  <c r="M104" i="16"/>
  <c r="M103" i="16"/>
  <c r="L103" i="16"/>
  <c r="L105" i="16" s="1"/>
  <c r="K103" i="16"/>
  <c r="K105" i="16" s="1"/>
  <c r="J103" i="16"/>
  <c r="J105" i="16" s="1"/>
  <c r="I103" i="16"/>
  <c r="I105" i="16" s="1"/>
  <c r="H103" i="16"/>
  <c r="H105" i="16" s="1"/>
  <c r="G103" i="16"/>
  <c r="G105" i="16" s="1"/>
  <c r="F103" i="16"/>
  <c r="F105" i="16" s="1"/>
  <c r="E103" i="16"/>
  <c r="D103" i="16"/>
  <c r="D105" i="16" s="1"/>
  <c r="C103" i="16"/>
  <c r="J74" i="16"/>
  <c r="M73" i="16"/>
  <c r="M72" i="16"/>
  <c r="L72" i="16"/>
  <c r="L74" i="16" s="1"/>
  <c r="K72" i="16"/>
  <c r="K74" i="16" s="1"/>
  <c r="J72" i="16"/>
  <c r="I72" i="16"/>
  <c r="I74" i="16" s="1"/>
  <c r="H72" i="16"/>
  <c r="H74" i="16" s="1"/>
  <c r="G72" i="16"/>
  <c r="G74" i="16" s="1"/>
  <c r="F72" i="16"/>
  <c r="F74" i="16" s="1"/>
  <c r="E72" i="16"/>
  <c r="E74" i="16" s="1"/>
  <c r="D72" i="16"/>
  <c r="D74" i="16" s="1"/>
  <c r="C72" i="16"/>
  <c r="M61" i="16"/>
  <c r="M60" i="16"/>
  <c r="L60" i="16"/>
  <c r="L62" i="16" s="1"/>
  <c r="K60" i="16"/>
  <c r="K62" i="16" s="1"/>
  <c r="J60" i="16"/>
  <c r="J62" i="16" s="1"/>
  <c r="I60" i="16"/>
  <c r="I62" i="16" s="1"/>
  <c r="H60" i="16"/>
  <c r="H62" i="16" s="1"/>
  <c r="G60" i="16"/>
  <c r="G62" i="16" s="1"/>
  <c r="F60" i="16"/>
  <c r="F62" i="16" s="1"/>
  <c r="E60" i="16"/>
  <c r="E62" i="16" s="1"/>
  <c r="D60" i="16"/>
  <c r="D62" i="16" s="1"/>
  <c r="C60" i="16"/>
  <c r="C51" i="16"/>
  <c r="M49" i="16"/>
  <c r="M48" i="16"/>
  <c r="L48" i="16"/>
  <c r="L50" i="16" s="1"/>
  <c r="K48" i="16"/>
  <c r="K50" i="16" s="1"/>
  <c r="J48" i="16"/>
  <c r="J50" i="16" s="1"/>
  <c r="I48" i="16"/>
  <c r="I50" i="16" s="1"/>
  <c r="H48" i="16"/>
  <c r="H50" i="16" s="1"/>
  <c r="G48" i="16"/>
  <c r="G50" i="16" s="1"/>
  <c r="F48" i="16"/>
  <c r="F50" i="16" s="1"/>
  <c r="E48" i="16"/>
  <c r="E50" i="16" s="1"/>
  <c r="D48" i="16"/>
  <c r="D50" i="16" s="1"/>
  <c r="C48" i="16"/>
  <c r="M36" i="16"/>
  <c r="M35" i="16"/>
  <c r="L35" i="16"/>
  <c r="L37" i="16" s="1"/>
  <c r="K35" i="16"/>
  <c r="K37" i="16" s="1"/>
  <c r="J35" i="16"/>
  <c r="J37" i="16" s="1"/>
  <c r="I35" i="16"/>
  <c r="I37" i="16" s="1"/>
  <c r="H35" i="16"/>
  <c r="H37" i="16" s="1"/>
  <c r="G35" i="16"/>
  <c r="G37" i="16" s="1"/>
  <c r="F35" i="16"/>
  <c r="F37" i="16" s="1"/>
  <c r="E35" i="16"/>
  <c r="E37" i="16" s="1"/>
  <c r="D35" i="16"/>
  <c r="D37" i="16" s="1"/>
  <c r="C35" i="16"/>
  <c r="M23" i="16"/>
  <c r="M22" i="16"/>
  <c r="L22" i="16"/>
  <c r="L24" i="16" s="1"/>
  <c r="K22" i="16"/>
  <c r="K24" i="16" s="1"/>
  <c r="J22" i="16"/>
  <c r="J24" i="16" s="1"/>
  <c r="I22" i="16"/>
  <c r="I24" i="16" s="1"/>
  <c r="H22" i="16"/>
  <c r="H24" i="16" s="1"/>
  <c r="G22" i="16"/>
  <c r="G24" i="16" s="1"/>
  <c r="F22" i="16"/>
  <c r="F24" i="16" s="1"/>
  <c r="E22" i="16"/>
  <c r="E24" i="16" s="1"/>
  <c r="D22" i="16"/>
  <c r="D24" i="16" s="1"/>
  <c r="C22" i="16"/>
  <c r="M11" i="16"/>
  <c r="M10" i="16"/>
  <c r="L10" i="16"/>
  <c r="L12" i="16" s="1"/>
  <c r="K10" i="16"/>
  <c r="K12" i="16" s="1"/>
  <c r="J10" i="16"/>
  <c r="J12" i="16" s="1"/>
  <c r="I10" i="16"/>
  <c r="I12" i="16" s="1"/>
  <c r="H10" i="16"/>
  <c r="H12" i="16" s="1"/>
  <c r="G10" i="16"/>
  <c r="G12" i="16" s="1"/>
  <c r="F10" i="16"/>
  <c r="F12" i="16" s="1"/>
  <c r="E10" i="16"/>
  <c r="E12" i="16" s="1"/>
  <c r="D10" i="16"/>
  <c r="D12" i="16" s="1"/>
  <c r="C10" i="16"/>
  <c r="H149" i="17" l="1"/>
  <c r="H150" i="17" s="1"/>
  <c r="H151" i="17" s="1"/>
  <c r="M62" i="16"/>
  <c r="C92" i="16"/>
  <c r="C93" i="16" s="1"/>
  <c r="G166" i="16"/>
  <c r="K166" i="16"/>
  <c r="D166" i="16"/>
  <c r="L166" i="16"/>
  <c r="C52" i="16"/>
  <c r="C53" i="16" s="1"/>
  <c r="C13" i="16"/>
  <c r="H166" i="16"/>
  <c r="C39" i="16"/>
  <c r="C40" i="16" s="1"/>
  <c r="C117" i="16"/>
  <c r="C118" i="16" s="1"/>
  <c r="C146" i="16"/>
  <c r="J166" i="16"/>
  <c r="E166" i="16"/>
  <c r="I166" i="16"/>
  <c r="F166" i="16"/>
  <c r="M166" i="16"/>
  <c r="C63" i="16"/>
  <c r="C76" i="16"/>
  <c r="C77" i="16" s="1"/>
  <c r="C131" i="16"/>
  <c r="C162" i="16"/>
  <c r="C163" i="16" s="1"/>
  <c r="C107" i="16"/>
  <c r="C108" i="16" s="1"/>
  <c r="I149" i="17" l="1"/>
  <c r="I150" i="17" s="1"/>
  <c r="I151" i="17" s="1"/>
  <c r="D91" i="16"/>
  <c r="D75" i="16"/>
  <c r="D51" i="16"/>
  <c r="D161" i="16"/>
  <c r="C64" i="16"/>
  <c r="C65" i="16" s="1"/>
  <c r="C14" i="16"/>
  <c r="C15" i="16" s="1"/>
  <c r="C147" i="16"/>
  <c r="C148" i="16" s="1"/>
  <c r="D116" i="16"/>
  <c r="C132" i="16"/>
  <c r="C133" i="16" s="1"/>
  <c r="D106" i="16"/>
  <c r="D38" i="16"/>
  <c r="M90" i="13"/>
  <c r="M59" i="13"/>
  <c r="M11" i="13"/>
  <c r="O12" i="13" s="1"/>
  <c r="J149" i="17" l="1"/>
  <c r="J150" i="17" s="1"/>
  <c r="J151" i="17" s="1"/>
  <c r="D92" i="16"/>
  <c r="D93" i="16" s="1"/>
  <c r="D117" i="16"/>
  <c r="D118" i="16" s="1"/>
  <c r="D146" i="16"/>
  <c r="D162" i="16"/>
  <c r="D163" i="16" s="1"/>
  <c r="D76" i="16"/>
  <c r="D77" i="16" s="1"/>
  <c r="D39" i="16"/>
  <c r="D40" i="16" s="1"/>
  <c r="D13" i="16"/>
  <c r="D107" i="16"/>
  <c r="D108" i="16" s="1"/>
  <c r="D131" i="16"/>
  <c r="D63" i="16"/>
  <c r="D52" i="16"/>
  <c r="D53" i="16" s="1"/>
  <c r="L90" i="13"/>
  <c r="L59" i="13"/>
  <c r="L11" i="13"/>
  <c r="K149" i="17" l="1"/>
  <c r="K150" i="17" s="1"/>
  <c r="K151" i="17" s="1"/>
  <c r="E91" i="16"/>
  <c r="E51" i="16"/>
  <c r="E161" i="16"/>
  <c r="D64" i="16"/>
  <c r="D65" i="16" s="1"/>
  <c r="E106" i="16"/>
  <c r="E75" i="16"/>
  <c r="D147" i="16"/>
  <c r="D148" i="16" s="1"/>
  <c r="D132" i="16"/>
  <c r="D133" i="16" s="1"/>
  <c r="D14" i="16"/>
  <c r="D15" i="16" s="1"/>
  <c r="E38" i="16"/>
  <c r="E116" i="16"/>
  <c r="D15" i="8"/>
  <c r="L149" i="17" l="1"/>
  <c r="L150" i="17" s="1"/>
  <c r="L151" i="17" s="1"/>
  <c r="E92" i="16"/>
  <c r="E93" i="16" s="1"/>
  <c r="E162" i="16"/>
  <c r="E163" i="16" s="1"/>
  <c r="E131" i="16"/>
  <c r="E146" i="16"/>
  <c r="E13" i="16"/>
  <c r="E107" i="16"/>
  <c r="E108" i="16" s="1"/>
  <c r="E39" i="16"/>
  <c r="E40" i="16" s="1"/>
  <c r="E117" i="16"/>
  <c r="E118" i="16" s="1"/>
  <c r="E52" i="16"/>
  <c r="E53" i="16" s="1"/>
  <c r="E76" i="16"/>
  <c r="E77" i="16" s="1"/>
  <c r="E63" i="16"/>
  <c r="K90" i="13"/>
  <c r="K59" i="13"/>
  <c r="K11" i="13"/>
  <c r="M149" i="17" l="1"/>
  <c r="F91" i="16"/>
  <c r="E64" i="16"/>
  <c r="E65" i="16" s="1"/>
  <c r="F38" i="16"/>
  <c r="F75" i="16"/>
  <c r="F116" i="16"/>
  <c r="F106" i="16"/>
  <c r="E147" i="16"/>
  <c r="E148" i="16" s="1"/>
  <c r="E132" i="16"/>
  <c r="E133" i="16" s="1"/>
  <c r="E14" i="16"/>
  <c r="E15" i="16" s="1"/>
  <c r="F51" i="16"/>
  <c r="F161" i="16"/>
  <c r="K25" i="13"/>
  <c r="K26" i="13"/>
  <c r="K37" i="13"/>
  <c r="K38" i="13"/>
  <c r="K48" i="13"/>
  <c r="K49" i="13" s="1"/>
  <c r="K50" i="13"/>
  <c r="M150" i="17" l="1"/>
  <c r="M151" i="17" s="1"/>
  <c r="Q149" i="17"/>
  <c r="Q150" i="17" s="1"/>
  <c r="F92" i="16"/>
  <c r="F93" i="16" s="1"/>
  <c r="F52" i="16"/>
  <c r="F53" i="16" s="1"/>
  <c r="F162" i="16"/>
  <c r="F163" i="16" s="1"/>
  <c r="F13" i="16"/>
  <c r="F131" i="16"/>
  <c r="F107" i="16"/>
  <c r="F108" i="16" s="1"/>
  <c r="F76" i="16"/>
  <c r="F77" i="16" s="1"/>
  <c r="F39" i="16"/>
  <c r="F40" i="16" s="1"/>
  <c r="F146" i="16"/>
  <c r="F117" i="16"/>
  <c r="F118" i="16" s="1"/>
  <c r="F63" i="16"/>
  <c r="K51" i="13"/>
  <c r="K39" i="13"/>
  <c r="K27" i="13"/>
  <c r="J90" i="13"/>
  <c r="J59" i="13"/>
  <c r="J11" i="13"/>
  <c r="G91" i="16" l="1"/>
  <c r="F64" i="16"/>
  <c r="F65" i="16" s="1"/>
  <c r="F147" i="16"/>
  <c r="F148" i="16" s="1"/>
  <c r="G75" i="16"/>
  <c r="F132" i="16"/>
  <c r="F133" i="16" s="1"/>
  <c r="G161" i="16"/>
  <c r="F14" i="16"/>
  <c r="F15" i="16" s="1"/>
  <c r="G116" i="16"/>
  <c r="G38" i="16"/>
  <c r="G39" i="16" s="1"/>
  <c r="G40" i="16" s="1"/>
  <c r="G106" i="16"/>
  <c r="G107" i="16" s="1"/>
  <c r="G108" i="16" s="1"/>
  <c r="G51" i="16"/>
  <c r="I90" i="13"/>
  <c r="I59" i="13"/>
  <c r="I11" i="13"/>
  <c r="J12" i="13" s="1"/>
  <c r="G92" i="16" l="1"/>
  <c r="G93" i="16" s="1"/>
  <c r="H38" i="16"/>
  <c r="H39" i="16" s="1"/>
  <c r="H40" i="16" s="1"/>
  <c r="H106" i="16"/>
  <c r="H107" i="16" s="1"/>
  <c r="H108" i="16" s="1"/>
  <c r="G146" i="16"/>
  <c r="G76" i="16"/>
  <c r="G77" i="16" s="1"/>
  <c r="G52" i="16"/>
  <c r="G53" i="16" s="1"/>
  <c r="G162" i="16"/>
  <c r="G163" i="16" s="1"/>
  <c r="G63" i="16"/>
  <c r="G131" i="16"/>
  <c r="G117" i="16"/>
  <c r="G118" i="16" s="1"/>
  <c r="G13" i="16"/>
  <c r="U84" i="13"/>
  <c r="U83" i="13"/>
  <c r="H91" i="16" l="1"/>
  <c r="H92" i="16" s="1"/>
  <c r="H93" i="16" s="1"/>
  <c r="H75" i="16"/>
  <c r="H76" i="16" s="1"/>
  <c r="H77" i="16" s="1"/>
  <c r="I106" i="16"/>
  <c r="I107" i="16" s="1"/>
  <c r="I108" i="16" s="1"/>
  <c r="G14" i="16"/>
  <c r="G15" i="16" s="1"/>
  <c r="G132" i="16"/>
  <c r="G133" i="16" s="1"/>
  <c r="H161" i="16"/>
  <c r="H162" i="16" s="1"/>
  <c r="H163" i="16" s="1"/>
  <c r="I38" i="16"/>
  <c r="I39" i="16" s="1"/>
  <c r="I40" i="16" s="1"/>
  <c r="G147" i="16"/>
  <c r="G148" i="16" s="1"/>
  <c r="H116" i="16"/>
  <c r="H117" i="16" s="1"/>
  <c r="H118" i="16" s="1"/>
  <c r="G64" i="16"/>
  <c r="G65" i="16" s="1"/>
  <c r="H51" i="16"/>
  <c r="H52" i="16" s="1"/>
  <c r="H53" i="16" s="1"/>
  <c r="H90" i="13"/>
  <c r="H59" i="13"/>
  <c r="H11" i="13"/>
  <c r="I91" i="16" l="1"/>
  <c r="I92" i="16" s="1"/>
  <c r="I93" i="16" s="1"/>
  <c r="I116" i="16"/>
  <c r="I117" i="16" s="1"/>
  <c r="I118" i="16" s="1"/>
  <c r="I75" i="16"/>
  <c r="I76" i="16" s="1"/>
  <c r="I77" i="16" s="1"/>
  <c r="J38" i="16"/>
  <c r="J39" i="16" s="1"/>
  <c r="J40" i="16" s="1"/>
  <c r="I161" i="16"/>
  <c r="I162" i="16" s="1"/>
  <c r="I163" i="16"/>
  <c r="J106" i="16"/>
  <c r="J107" i="16" s="1"/>
  <c r="J108" i="16" s="1"/>
  <c r="H146" i="16"/>
  <c r="H147" i="16" s="1"/>
  <c r="H148" i="16" s="1"/>
  <c r="H63" i="16"/>
  <c r="H64" i="16" s="1"/>
  <c r="H65" i="16" s="1"/>
  <c r="H13" i="16"/>
  <c r="I51" i="16"/>
  <c r="I52" i="16" s="1"/>
  <c r="I53" i="16" s="1"/>
  <c r="H131" i="16"/>
  <c r="H132" i="16" s="1"/>
  <c r="H133" i="16" s="1"/>
  <c r="G90" i="13"/>
  <c r="G59" i="13"/>
  <c r="G11" i="13"/>
  <c r="J91" i="16" l="1"/>
  <c r="J92" i="16" s="1"/>
  <c r="J93" i="16" s="1"/>
  <c r="I63" i="16"/>
  <c r="I64" i="16" s="1"/>
  <c r="I65" i="16" s="1"/>
  <c r="I146" i="16"/>
  <c r="I147" i="16" s="1"/>
  <c r="I148" i="16" s="1"/>
  <c r="K38" i="16"/>
  <c r="K39" i="16" s="1"/>
  <c r="K40" i="16" s="1"/>
  <c r="J51" i="16"/>
  <c r="J52" i="16" s="1"/>
  <c r="J53" i="16" s="1"/>
  <c r="K106" i="16"/>
  <c r="K107" i="16" s="1"/>
  <c r="K108" i="16" s="1"/>
  <c r="J75" i="16"/>
  <c r="J76" i="16" s="1"/>
  <c r="J77" i="16" s="1"/>
  <c r="I131" i="16"/>
  <c r="I132" i="16" s="1"/>
  <c r="I133" i="16" s="1"/>
  <c r="J161" i="16"/>
  <c r="J162" i="16" s="1"/>
  <c r="J163" i="16" s="1"/>
  <c r="H14" i="16"/>
  <c r="H15" i="16" s="1"/>
  <c r="J116" i="16"/>
  <c r="J117" i="16" s="1"/>
  <c r="J118" i="16" s="1"/>
  <c r="F11" i="13"/>
  <c r="K91" i="16" l="1"/>
  <c r="K92" i="16" s="1"/>
  <c r="K93" i="16" s="1"/>
  <c r="J131" i="16"/>
  <c r="J132" i="16" s="1"/>
  <c r="J133" i="16" s="1"/>
  <c r="J146" i="16"/>
  <c r="J147" i="16" s="1"/>
  <c r="J148" i="16" s="1"/>
  <c r="J63" i="16"/>
  <c r="J64" i="16" s="1"/>
  <c r="J65" i="16" s="1"/>
  <c r="K51" i="16"/>
  <c r="K52" i="16" s="1"/>
  <c r="K53" i="16" s="1"/>
  <c r="K161" i="16"/>
  <c r="K162" i="16" s="1"/>
  <c r="K163" i="16" s="1"/>
  <c r="K116" i="16"/>
  <c r="K117" i="16" s="1"/>
  <c r="K118" i="16" s="1"/>
  <c r="K75" i="16"/>
  <c r="K76" i="16" s="1"/>
  <c r="K77" i="16" s="1"/>
  <c r="I13" i="16"/>
  <c r="M106" i="16"/>
  <c r="L106" i="16"/>
  <c r="L107" i="16" s="1"/>
  <c r="L108" i="16" s="1"/>
  <c r="L38" i="16"/>
  <c r="L39" i="16" s="1"/>
  <c r="L40" i="16"/>
  <c r="M38" i="16"/>
  <c r="U9" i="13"/>
  <c r="N38" i="16" l="1"/>
  <c r="L91" i="16"/>
  <c r="L92" i="16" s="1"/>
  <c r="L93" i="16"/>
  <c r="M91" i="16"/>
  <c r="L51" i="16"/>
  <c r="L52" i="16" s="1"/>
  <c r="L53" i="16" s="1"/>
  <c r="M51" i="16"/>
  <c r="M75" i="16"/>
  <c r="L75" i="16"/>
  <c r="L76" i="16" s="1"/>
  <c r="L77" i="16" s="1"/>
  <c r="M116" i="16"/>
  <c r="L116" i="16"/>
  <c r="L117" i="16" s="1"/>
  <c r="L118" i="16" s="1"/>
  <c r="K146" i="16"/>
  <c r="K147" i="16" s="1"/>
  <c r="K148" i="16" s="1"/>
  <c r="L161" i="16"/>
  <c r="L162" i="16" s="1"/>
  <c r="L163" i="16" s="1"/>
  <c r="M161" i="16"/>
  <c r="K63" i="16"/>
  <c r="K64" i="16" s="1"/>
  <c r="K65" i="16" s="1"/>
  <c r="K131" i="16"/>
  <c r="K132" i="16" s="1"/>
  <c r="K133" i="16" s="1"/>
  <c r="M39" i="16"/>
  <c r="M40" i="16" s="1"/>
  <c r="M107" i="16"/>
  <c r="M108" i="16" s="1"/>
  <c r="N106" i="16"/>
  <c r="I14" i="16"/>
  <c r="I15" i="16" s="1"/>
  <c r="F59" i="13"/>
  <c r="F90" i="13"/>
  <c r="N95" i="13" l="1"/>
  <c r="N96" i="13" s="1"/>
  <c r="N28" i="13"/>
  <c r="N29" i="13" s="1"/>
  <c r="M92" i="16"/>
  <c r="N91" i="16"/>
  <c r="M93" i="16"/>
  <c r="M146" i="16"/>
  <c r="L146" i="16"/>
  <c r="L147" i="16" s="1"/>
  <c r="L148" i="16" s="1"/>
  <c r="L131" i="16"/>
  <c r="L132" i="16" s="1"/>
  <c r="L133" i="16" s="1"/>
  <c r="M131" i="16"/>
  <c r="J13" i="16"/>
  <c r="M63" i="16"/>
  <c r="L63" i="16"/>
  <c r="L64" i="16" s="1"/>
  <c r="L65" i="16" s="1"/>
  <c r="M52" i="16"/>
  <c r="M53" i="16" s="1"/>
  <c r="N51" i="16"/>
  <c r="M162" i="16"/>
  <c r="M163" i="16" s="1"/>
  <c r="N161" i="16"/>
  <c r="M117" i="16"/>
  <c r="M118" i="16" s="1"/>
  <c r="N116" i="16"/>
  <c r="M76" i="16"/>
  <c r="M77" i="16" s="1"/>
  <c r="N75" i="16"/>
  <c r="P124" i="13"/>
  <c r="O124" i="13"/>
  <c r="M124" i="13"/>
  <c r="L124" i="13"/>
  <c r="K124" i="13"/>
  <c r="J124" i="13"/>
  <c r="I124" i="13"/>
  <c r="H124" i="13"/>
  <c r="G124" i="13"/>
  <c r="P108" i="13"/>
  <c r="O108" i="13"/>
  <c r="M108" i="13"/>
  <c r="L108" i="13"/>
  <c r="K108" i="13"/>
  <c r="J108" i="13"/>
  <c r="I108" i="13"/>
  <c r="H108" i="13"/>
  <c r="G108" i="13"/>
  <c r="P93" i="13"/>
  <c r="O93" i="13"/>
  <c r="M93" i="13"/>
  <c r="L93" i="13"/>
  <c r="K93" i="13"/>
  <c r="J93" i="13"/>
  <c r="I93" i="13"/>
  <c r="H93" i="13"/>
  <c r="G93" i="13"/>
  <c r="P79" i="13"/>
  <c r="O79" i="13"/>
  <c r="M79" i="13"/>
  <c r="L79" i="13"/>
  <c r="K79" i="13"/>
  <c r="J79" i="13"/>
  <c r="I79" i="13"/>
  <c r="H79" i="13"/>
  <c r="G79" i="13"/>
  <c r="P62" i="13"/>
  <c r="O62" i="13"/>
  <c r="M62" i="13"/>
  <c r="L62" i="13"/>
  <c r="K62" i="13"/>
  <c r="J62" i="13"/>
  <c r="I62" i="13"/>
  <c r="H62" i="13"/>
  <c r="G62" i="13"/>
  <c r="P50" i="13"/>
  <c r="O50" i="13"/>
  <c r="M50" i="13"/>
  <c r="L50" i="13"/>
  <c r="J50" i="13"/>
  <c r="I50" i="13"/>
  <c r="H50" i="13"/>
  <c r="G50" i="13"/>
  <c r="P38" i="13"/>
  <c r="O38" i="13"/>
  <c r="M38" i="13"/>
  <c r="L38" i="13"/>
  <c r="J38" i="13"/>
  <c r="I38" i="13"/>
  <c r="H38" i="13"/>
  <c r="G38" i="13"/>
  <c r="F38" i="13"/>
  <c r="P26" i="13"/>
  <c r="O26" i="13"/>
  <c r="M26" i="13"/>
  <c r="L26" i="13"/>
  <c r="J26" i="13"/>
  <c r="I26" i="13"/>
  <c r="H26" i="13"/>
  <c r="G26" i="13"/>
  <c r="G14" i="13"/>
  <c r="H14" i="13"/>
  <c r="I14" i="13"/>
  <c r="J14" i="13"/>
  <c r="K14" i="13"/>
  <c r="L14" i="13"/>
  <c r="M14" i="13"/>
  <c r="O14" i="13"/>
  <c r="P14" i="13"/>
  <c r="F124" i="13"/>
  <c r="F108" i="13"/>
  <c r="F93" i="13"/>
  <c r="F79" i="13"/>
  <c r="F62" i="13"/>
  <c r="F50" i="13"/>
  <c r="F26" i="13"/>
  <c r="F14" i="13"/>
  <c r="N64" i="13" l="1"/>
  <c r="N65" i="13" s="1"/>
  <c r="N81" i="13"/>
  <c r="N40" i="13"/>
  <c r="N41" i="13" s="1"/>
  <c r="M132" i="16"/>
  <c r="M133" i="16" s="1"/>
  <c r="N131" i="16"/>
  <c r="M147" i="16"/>
  <c r="M148" i="16" s="1"/>
  <c r="N146" i="16"/>
  <c r="M64" i="16"/>
  <c r="M65" i="16" s="1"/>
  <c r="N63" i="16"/>
  <c r="J14" i="16"/>
  <c r="J15" i="16" s="1"/>
  <c r="Q15" i="15"/>
  <c r="Q13" i="15"/>
  <c r="Q11" i="15"/>
  <c r="Q9" i="15"/>
  <c r="Q7" i="15"/>
  <c r="N126" i="13" l="1"/>
  <c r="N127" i="13" s="1"/>
  <c r="N52" i="13"/>
  <c r="N53" i="13" s="1"/>
  <c r="N110" i="13"/>
  <c r="N111" i="13" s="1"/>
  <c r="K13" i="16"/>
  <c r="E11" i="13"/>
  <c r="F12" i="13" s="1"/>
  <c r="K14" i="16" l="1"/>
  <c r="K15" i="16" s="1"/>
  <c r="D11" i="13"/>
  <c r="M13" i="16" l="1"/>
  <c r="L13" i="16"/>
  <c r="O77" i="13"/>
  <c r="P77" i="13"/>
  <c r="M77" i="13"/>
  <c r="L77" i="13"/>
  <c r="K77" i="13"/>
  <c r="J77" i="13"/>
  <c r="I77" i="13"/>
  <c r="H77" i="13"/>
  <c r="G77" i="13"/>
  <c r="F77" i="13"/>
  <c r="E77" i="13"/>
  <c r="E105" i="13"/>
  <c r="F105" i="13"/>
  <c r="G105" i="13"/>
  <c r="H105" i="13"/>
  <c r="I105" i="13"/>
  <c r="J105" i="13"/>
  <c r="K105" i="13"/>
  <c r="L105" i="13"/>
  <c r="M105" i="13"/>
  <c r="O105" i="13"/>
  <c r="P105" i="13"/>
  <c r="E79" i="13"/>
  <c r="E90" i="13"/>
  <c r="E59" i="13"/>
  <c r="W105" i="13"/>
  <c r="W102" i="13"/>
  <c r="U102" i="13"/>
  <c r="L14" i="16" l="1"/>
  <c r="L15" i="16" s="1"/>
  <c r="M14" i="16"/>
  <c r="N13" i="16"/>
  <c r="E121" i="13"/>
  <c r="D77" i="13"/>
  <c r="U105" i="13"/>
  <c r="U100" i="13"/>
  <c r="W104" i="13" s="1"/>
  <c r="AA104" i="13" s="1"/>
  <c r="T99" i="13"/>
  <c r="W103" i="13" s="1"/>
  <c r="AA103" i="13" s="1"/>
  <c r="AA102" i="13"/>
  <c r="U85" i="13"/>
  <c r="M15" i="16" l="1"/>
  <c r="U103" i="13"/>
  <c r="U104" i="13"/>
  <c r="D90" i="13" l="1"/>
  <c r="D59" i="13"/>
  <c r="D37" i="13" l="1"/>
  <c r="D106" i="13"/>
  <c r="D105" i="13"/>
  <c r="D122" i="13"/>
  <c r="D121" i="13"/>
  <c r="E124" i="13"/>
  <c r="E108" i="13"/>
  <c r="E93" i="13"/>
  <c r="E62" i="13"/>
  <c r="E50" i="13"/>
  <c r="E38" i="13"/>
  <c r="E26" i="13"/>
  <c r="E14" i="13"/>
  <c r="D14" i="13"/>
  <c r="D124" i="13"/>
  <c r="D108" i="13"/>
  <c r="D93" i="13"/>
  <c r="D79" i="13"/>
  <c r="D62" i="13"/>
  <c r="D50" i="13"/>
  <c r="D38" i="13"/>
  <c r="D26" i="13"/>
  <c r="F91" i="13"/>
  <c r="D48" i="13"/>
  <c r="D49" i="13" s="1"/>
  <c r="D35" i="11"/>
  <c r="E5" i="13"/>
  <c r="F5" i="13" s="1"/>
  <c r="G5" i="13" s="1"/>
  <c r="H5" i="13" s="1"/>
  <c r="I5" i="13" s="1"/>
  <c r="J5" i="13" s="1"/>
  <c r="K5" i="13" s="1"/>
  <c r="L5" i="13" s="1"/>
  <c r="M5" i="13" s="1"/>
  <c r="O5" i="13" s="1"/>
  <c r="P5" i="13" s="1"/>
  <c r="P137" i="13"/>
  <c r="O137" i="13"/>
  <c r="M137" i="13"/>
  <c r="L137" i="13"/>
  <c r="K137" i="13"/>
  <c r="J137" i="13"/>
  <c r="I137" i="13"/>
  <c r="H137" i="13"/>
  <c r="G137" i="13"/>
  <c r="F137" i="13"/>
  <c r="E137" i="13"/>
  <c r="D137" i="13"/>
  <c r="P136" i="13"/>
  <c r="O136" i="13"/>
  <c r="O138" i="13" s="1"/>
  <c r="O140" i="13" s="1"/>
  <c r="M136" i="13"/>
  <c r="L136" i="13"/>
  <c r="K136" i="13"/>
  <c r="J136" i="13"/>
  <c r="I136" i="13"/>
  <c r="I138" i="13" s="1"/>
  <c r="I140" i="13" s="1"/>
  <c r="H136" i="13"/>
  <c r="H138" i="13" s="1"/>
  <c r="H140" i="13" s="1"/>
  <c r="G136" i="13"/>
  <c r="G138" i="13" s="1"/>
  <c r="G140" i="13" s="1"/>
  <c r="F136" i="13"/>
  <c r="F138" i="13" s="1"/>
  <c r="F140" i="13" s="1"/>
  <c r="E136" i="13"/>
  <c r="D136" i="13"/>
  <c r="N157" i="13"/>
  <c r="P122" i="13"/>
  <c r="O122" i="13"/>
  <c r="M122" i="13"/>
  <c r="L122" i="13"/>
  <c r="K122" i="13"/>
  <c r="J122" i="13"/>
  <c r="I122" i="13"/>
  <c r="H122" i="13"/>
  <c r="G122" i="13"/>
  <c r="F122" i="13"/>
  <c r="E122" i="13"/>
  <c r="P121" i="13"/>
  <c r="O121" i="13"/>
  <c r="M121" i="13"/>
  <c r="L121" i="13"/>
  <c r="K121" i="13"/>
  <c r="J121" i="13"/>
  <c r="I121" i="13"/>
  <c r="H121" i="13"/>
  <c r="G121" i="13"/>
  <c r="F121" i="13"/>
  <c r="U119" i="13"/>
  <c r="W116" i="13"/>
  <c r="W119" i="13" s="1"/>
  <c r="AA119" i="13" s="1"/>
  <c r="U115" i="13"/>
  <c r="W118" i="13" s="1"/>
  <c r="AA118" i="13" s="1"/>
  <c r="U113" i="13"/>
  <c r="P106" i="13"/>
  <c r="O106" i="13"/>
  <c r="M106" i="13"/>
  <c r="L106" i="13"/>
  <c r="K106" i="13"/>
  <c r="J106" i="13"/>
  <c r="I106" i="13"/>
  <c r="H106" i="13"/>
  <c r="G106" i="13"/>
  <c r="F106" i="13"/>
  <c r="E106" i="13"/>
  <c r="Y105" i="13"/>
  <c r="Y90" i="13"/>
  <c r="W90" i="13"/>
  <c r="U90" i="13"/>
  <c r="O91" i="13"/>
  <c r="M91" i="13"/>
  <c r="J91" i="13"/>
  <c r="I91" i="13"/>
  <c r="H91" i="13"/>
  <c r="E91" i="13"/>
  <c r="D78" i="13"/>
  <c r="P78" i="13"/>
  <c r="O78" i="13"/>
  <c r="M78" i="13"/>
  <c r="L78" i="13"/>
  <c r="K78" i="13"/>
  <c r="K80" i="13" s="1"/>
  <c r="J78" i="13"/>
  <c r="I78" i="13"/>
  <c r="H78" i="13"/>
  <c r="G78" i="13"/>
  <c r="G80" i="13" s="1"/>
  <c r="F78" i="13"/>
  <c r="E78" i="13"/>
  <c r="W88" i="13"/>
  <c r="AA88" i="13" s="1"/>
  <c r="Y59" i="13"/>
  <c r="W59" i="13"/>
  <c r="U59" i="13"/>
  <c r="P60" i="13"/>
  <c r="O60" i="13"/>
  <c r="M60" i="13"/>
  <c r="L60" i="13"/>
  <c r="K60" i="13"/>
  <c r="J60" i="13"/>
  <c r="I60" i="13"/>
  <c r="H60" i="13"/>
  <c r="G60" i="13"/>
  <c r="F60" i="13"/>
  <c r="E60" i="13"/>
  <c r="W58" i="13"/>
  <c r="AA58" i="13" s="1"/>
  <c r="U58" i="13"/>
  <c r="U54" i="13"/>
  <c r="P48" i="13"/>
  <c r="P49" i="13" s="1"/>
  <c r="O48" i="13"/>
  <c r="O49" i="13" s="1"/>
  <c r="M48" i="13"/>
  <c r="M49" i="13" s="1"/>
  <c r="L48" i="13"/>
  <c r="L49" i="13" s="1"/>
  <c r="J48" i="13"/>
  <c r="J49" i="13" s="1"/>
  <c r="I48" i="13"/>
  <c r="I49" i="13" s="1"/>
  <c r="H48" i="13"/>
  <c r="H49" i="13" s="1"/>
  <c r="G48" i="13"/>
  <c r="G49" i="13" s="1"/>
  <c r="F48" i="13"/>
  <c r="F49" i="13" s="1"/>
  <c r="E48" i="13"/>
  <c r="E49" i="13" s="1"/>
  <c r="U47" i="13"/>
  <c r="U46" i="13"/>
  <c r="W45" i="13"/>
  <c r="W46" i="13" s="1"/>
  <c r="W37" i="13"/>
  <c r="AA37" i="13" s="1"/>
  <c r="U37" i="13"/>
  <c r="P37" i="13"/>
  <c r="O37" i="13"/>
  <c r="M37" i="13"/>
  <c r="L37" i="13"/>
  <c r="J37" i="13"/>
  <c r="I37" i="13"/>
  <c r="H37" i="13"/>
  <c r="G37" i="13"/>
  <c r="F37" i="13"/>
  <c r="E37" i="13"/>
  <c r="U32" i="13"/>
  <c r="U36" i="13" s="1"/>
  <c r="U31" i="13"/>
  <c r="W35" i="13" s="1"/>
  <c r="AA35" i="13" s="1"/>
  <c r="U30" i="13"/>
  <c r="W25" i="13"/>
  <c r="AA25" i="13" s="1"/>
  <c r="U25" i="13"/>
  <c r="P25" i="13"/>
  <c r="O25" i="13"/>
  <c r="M25" i="13"/>
  <c r="L25" i="13"/>
  <c r="J25" i="13"/>
  <c r="I25" i="13"/>
  <c r="H25" i="13"/>
  <c r="G25" i="13"/>
  <c r="F25" i="13"/>
  <c r="E25" i="13"/>
  <c r="D25" i="13"/>
  <c r="U20" i="13"/>
  <c r="W24" i="13" s="1"/>
  <c r="AA24" i="13" s="1"/>
  <c r="U19" i="13"/>
  <c r="M12" i="13"/>
  <c r="L12" i="13"/>
  <c r="K12" i="13"/>
  <c r="I12" i="13"/>
  <c r="H12" i="13"/>
  <c r="E12" i="13"/>
  <c r="W8" i="13"/>
  <c r="W9" i="13" s="1"/>
  <c r="AA9" i="13" s="1"/>
  <c r="J138" i="13" l="1"/>
  <c r="J140" i="13" s="1"/>
  <c r="K138" i="13"/>
  <c r="K140" i="13" s="1"/>
  <c r="D138" i="13"/>
  <c r="D140" i="13" s="1"/>
  <c r="L138" i="13"/>
  <c r="L140" i="13" s="1"/>
  <c r="M138" i="13"/>
  <c r="M140" i="13" s="1"/>
  <c r="P138" i="13"/>
  <c r="P140" i="13" s="1"/>
  <c r="AA59" i="13"/>
  <c r="W34" i="13"/>
  <c r="AA34" i="13" s="1"/>
  <c r="U34" i="13"/>
  <c r="AA46" i="13"/>
  <c r="W47" i="13"/>
  <c r="AA47" i="13" s="1"/>
  <c r="U117" i="13"/>
  <c r="V115" i="13"/>
  <c r="W23" i="13"/>
  <c r="AA23" i="13" s="1"/>
  <c r="U23" i="13"/>
  <c r="W22" i="13"/>
  <c r="AA22" i="13" s="1"/>
  <c r="U22" i="13"/>
  <c r="G39" i="13"/>
  <c r="P39" i="13"/>
  <c r="F80" i="13"/>
  <c r="J80" i="13"/>
  <c r="D123" i="13"/>
  <c r="D125" i="13" s="1"/>
  <c r="AA105" i="13"/>
  <c r="G123" i="13"/>
  <c r="G125" i="13" s="1"/>
  <c r="G157" i="13" s="1"/>
  <c r="K123" i="13"/>
  <c r="K125" i="13" s="1"/>
  <c r="K157" i="13" s="1"/>
  <c r="P123" i="13"/>
  <c r="P125" i="13" s="1"/>
  <c r="L123" i="13"/>
  <c r="L125" i="13" s="1"/>
  <c r="L157" i="13" s="1"/>
  <c r="I123" i="13"/>
  <c r="I125" i="13" s="1"/>
  <c r="I157" i="13" s="1"/>
  <c r="M123" i="13"/>
  <c r="M125" i="13" s="1"/>
  <c r="M157" i="13" s="1"/>
  <c r="F123" i="13"/>
  <c r="F125" i="13" s="1"/>
  <c r="F157" i="13" s="1"/>
  <c r="J123" i="13"/>
  <c r="J125" i="13" s="1"/>
  <c r="J157" i="13" s="1"/>
  <c r="O123" i="13"/>
  <c r="O125" i="13" s="1"/>
  <c r="O157" i="13" s="1"/>
  <c r="E138" i="13"/>
  <c r="E140" i="13" s="1"/>
  <c r="H123" i="13"/>
  <c r="H125" i="13" s="1"/>
  <c r="H157" i="13" s="1"/>
  <c r="G51" i="13"/>
  <c r="P51" i="13"/>
  <c r="H80" i="13"/>
  <c r="L80" i="13"/>
  <c r="N155" i="13"/>
  <c r="D107" i="13"/>
  <c r="D109" i="13" s="1"/>
  <c r="D156" i="13" s="1"/>
  <c r="H107" i="13"/>
  <c r="H109" i="13" s="1"/>
  <c r="H156" i="13" s="1"/>
  <c r="L107" i="13"/>
  <c r="L109" i="13" s="1"/>
  <c r="L156" i="13" s="1"/>
  <c r="N82" i="13"/>
  <c r="E107" i="13"/>
  <c r="E109" i="13" s="1"/>
  <c r="E156" i="13" s="1"/>
  <c r="J39" i="13"/>
  <c r="M80" i="13"/>
  <c r="F39" i="13"/>
  <c r="I80" i="13"/>
  <c r="O39" i="13"/>
  <c r="F51" i="13"/>
  <c r="J51" i="13"/>
  <c r="O51" i="13"/>
  <c r="J107" i="13"/>
  <c r="J109" i="13" s="1"/>
  <c r="J156" i="13" s="1"/>
  <c r="E51" i="13"/>
  <c r="I51" i="13"/>
  <c r="M51" i="13"/>
  <c r="AA90" i="13"/>
  <c r="H27" i="13"/>
  <c r="L27" i="13"/>
  <c r="P107" i="13"/>
  <c r="P109" i="13" s="1"/>
  <c r="P156" i="13" s="1"/>
  <c r="E123" i="13"/>
  <c r="E125" i="13" s="1"/>
  <c r="I107" i="13"/>
  <c r="I109" i="13" s="1"/>
  <c r="I156" i="13" s="1"/>
  <c r="M107" i="13"/>
  <c r="M109" i="13" s="1"/>
  <c r="M156" i="13" s="1"/>
  <c r="O107" i="13"/>
  <c r="O109" i="13" s="1"/>
  <c r="O156" i="13" s="1"/>
  <c r="P80" i="13"/>
  <c r="E80" i="13"/>
  <c r="O80" i="13"/>
  <c r="M39" i="13"/>
  <c r="D27" i="13"/>
  <c r="O27" i="13"/>
  <c r="P27" i="13"/>
  <c r="W10" i="13"/>
  <c r="AA10" i="13" s="1"/>
  <c r="F27" i="13"/>
  <c r="J27" i="13"/>
  <c r="V32" i="13"/>
  <c r="W36" i="13"/>
  <c r="AA36" i="13" s="1"/>
  <c r="D80" i="13"/>
  <c r="G107" i="13"/>
  <c r="G109" i="13" s="1"/>
  <c r="G156" i="13" s="1"/>
  <c r="K107" i="13"/>
  <c r="K109" i="13" s="1"/>
  <c r="K156" i="13" s="1"/>
  <c r="G27" i="13"/>
  <c r="L51" i="13"/>
  <c r="F92" i="13"/>
  <c r="F94" i="13" s="1"/>
  <c r="J92" i="13"/>
  <c r="J94" i="13" s="1"/>
  <c r="U24" i="13"/>
  <c r="U35" i="13"/>
  <c r="P61" i="13"/>
  <c r="P63" i="13" s="1"/>
  <c r="E61" i="13"/>
  <c r="E63" i="13" s="1"/>
  <c r="U88" i="13"/>
  <c r="F107" i="13"/>
  <c r="F109" i="13" s="1"/>
  <c r="F156" i="13" s="1"/>
  <c r="U118" i="13"/>
  <c r="F13" i="13"/>
  <c r="F15" i="13" s="1"/>
  <c r="O13" i="13"/>
  <c r="O15" i="13" s="1"/>
  <c r="V20" i="13"/>
  <c r="H39" i="13"/>
  <c r="L39" i="13"/>
  <c r="I61" i="13"/>
  <c r="I63" i="13" s="1"/>
  <c r="E27" i="13"/>
  <c r="I27" i="13"/>
  <c r="M27" i="13"/>
  <c r="D39" i="13"/>
  <c r="D51" i="13"/>
  <c r="H51" i="13"/>
  <c r="E39" i="13"/>
  <c r="I39" i="13"/>
  <c r="E13" i="13"/>
  <c r="E15" i="13" s="1"/>
  <c r="I13" i="13"/>
  <c r="I15" i="13" s="1"/>
  <c r="M13" i="13"/>
  <c r="M15" i="13" s="1"/>
  <c r="J13" i="13"/>
  <c r="J15" i="13" s="1"/>
  <c r="U89" i="13"/>
  <c r="W89" i="13"/>
  <c r="AA89" i="13" s="1"/>
  <c r="G12" i="13"/>
  <c r="G13" i="13" s="1"/>
  <c r="G15" i="13" s="1"/>
  <c r="P12" i="13"/>
  <c r="P13" i="13" s="1"/>
  <c r="P15" i="13" s="1"/>
  <c r="K13" i="13"/>
  <c r="K15" i="13" s="1"/>
  <c r="H61" i="13"/>
  <c r="H63" i="13" s="1"/>
  <c r="L61" i="13"/>
  <c r="L63" i="13" s="1"/>
  <c r="N154" i="13"/>
  <c r="H13" i="13"/>
  <c r="H15" i="13" s="1"/>
  <c r="L13" i="13"/>
  <c r="L15" i="13" s="1"/>
  <c r="M61" i="13"/>
  <c r="M63" i="13" s="1"/>
  <c r="O92" i="13"/>
  <c r="O94" i="13" s="1"/>
  <c r="L91" i="13"/>
  <c r="L92" i="13" s="1"/>
  <c r="L94" i="13" s="1"/>
  <c r="F61" i="13"/>
  <c r="F63" i="13" s="1"/>
  <c r="J61" i="13"/>
  <c r="J63" i="13" s="1"/>
  <c r="O61" i="13"/>
  <c r="O63" i="13" s="1"/>
  <c r="P91" i="13"/>
  <c r="P92" i="13" s="1"/>
  <c r="P94" i="13" s="1"/>
  <c r="H92" i="13"/>
  <c r="H94" i="13" s="1"/>
  <c r="G61" i="13"/>
  <c r="G63" i="13" s="1"/>
  <c r="K61" i="13"/>
  <c r="K63" i="13" s="1"/>
  <c r="V85" i="13"/>
  <c r="U87" i="13"/>
  <c r="E92" i="13"/>
  <c r="E94" i="13" s="1"/>
  <c r="I92" i="13"/>
  <c r="I94" i="13" s="1"/>
  <c r="M92" i="13"/>
  <c r="M94" i="13" s="1"/>
  <c r="K91" i="13"/>
  <c r="K92" i="13" s="1"/>
  <c r="K94" i="13" s="1"/>
  <c r="V100" i="13"/>
  <c r="W87" i="13"/>
  <c r="AA87" i="13" s="1"/>
  <c r="G91" i="13"/>
  <c r="G92" i="13" s="1"/>
  <c r="G94" i="13" s="1"/>
  <c r="N156" i="13"/>
  <c r="W117" i="13"/>
  <c r="AA117" i="13" s="1"/>
  <c r="P157" i="13" l="1"/>
  <c r="Q140" i="13"/>
  <c r="P154" i="13"/>
  <c r="G154" i="13"/>
  <c r="L146" i="13"/>
  <c r="K154" i="13"/>
  <c r="M146" i="13"/>
  <c r="M152" i="13" s="1"/>
  <c r="I146" i="13"/>
  <c r="I152" i="13" s="1"/>
  <c r="E157" i="13"/>
  <c r="K146" i="13"/>
  <c r="E146" i="13"/>
  <c r="E152" i="13" s="1"/>
  <c r="O146" i="13"/>
  <c r="O152" i="13" s="1"/>
  <c r="D157" i="13"/>
  <c r="Q125" i="13"/>
  <c r="G146" i="13"/>
  <c r="H146" i="13"/>
  <c r="H152" i="13" s="1"/>
  <c r="P146" i="13"/>
  <c r="P152" i="13" s="1"/>
  <c r="J146" i="13"/>
  <c r="F146" i="13"/>
  <c r="F152" i="13" s="1"/>
  <c r="F154" i="13"/>
  <c r="J154" i="13"/>
  <c r="O154" i="13"/>
  <c r="M155" i="13"/>
  <c r="E154" i="13"/>
  <c r="L154" i="13"/>
  <c r="I155" i="13"/>
  <c r="J155" i="13"/>
  <c r="O155" i="13"/>
  <c r="P153" i="13"/>
  <c r="E153" i="13"/>
  <c r="K155" i="13"/>
  <c r="H153" i="13"/>
  <c r="G153" i="13"/>
  <c r="J153" i="13"/>
  <c r="M154" i="13"/>
  <c r="O153" i="13"/>
  <c r="H154" i="13"/>
  <c r="E155" i="13"/>
  <c r="F155" i="13"/>
  <c r="K153" i="13"/>
  <c r="I153" i="13"/>
  <c r="L155" i="13"/>
  <c r="L153" i="13"/>
  <c r="G155" i="13"/>
  <c r="M153" i="13"/>
  <c r="H155" i="13"/>
  <c r="I154" i="13"/>
  <c r="F153" i="13"/>
  <c r="P155" i="13"/>
  <c r="Q80" i="13"/>
  <c r="D154" i="13"/>
  <c r="Q27" i="13"/>
  <c r="Q109" i="13"/>
  <c r="Q51" i="13"/>
  <c r="Q39" i="13"/>
  <c r="R156" i="13"/>
  <c r="X35" i="11"/>
  <c r="AB35" i="11" s="1"/>
  <c r="V35" i="11"/>
  <c r="Z126" i="11"/>
  <c r="Z101" i="11"/>
  <c r="Z70" i="11"/>
  <c r="V19" i="11"/>
  <c r="L152" i="13" l="1"/>
  <c r="G152" i="13"/>
  <c r="R157" i="13"/>
  <c r="K152" i="13"/>
  <c r="J152" i="13"/>
  <c r="R154" i="13"/>
  <c r="P101" i="11"/>
  <c r="D91" i="13" s="1"/>
  <c r="D92" i="13" s="1"/>
  <c r="D94" i="13" s="1"/>
  <c r="P70" i="11"/>
  <c r="D60" i="13" s="1"/>
  <c r="D61" i="13" s="1"/>
  <c r="D63" i="13" s="1"/>
  <c r="P20" i="11"/>
  <c r="Q94" i="13" l="1"/>
  <c r="Q63" i="13"/>
  <c r="D155" i="13"/>
  <c r="O70" i="11"/>
  <c r="O101" i="11"/>
  <c r="R155" i="13" l="1"/>
  <c r="P89" i="11"/>
  <c r="O89" i="11"/>
  <c r="O20" i="11" l="1"/>
  <c r="P87" i="11"/>
  <c r="O87" i="11"/>
  <c r="N91" i="11" l="1"/>
  <c r="M161" i="12" l="1"/>
  <c r="M160" i="12"/>
  <c r="M158" i="12"/>
  <c r="M157" i="12"/>
  <c r="M142" i="12"/>
  <c r="L142" i="12"/>
  <c r="L144" i="12" s="1"/>
  <c r="K142" i="12"/>
  <c r="K144" i="12" s="1"/>
  <c r="J142" i="12"/>
  <c r="J144" i="12" s="1"/>
  <c r="I142" i="12"/>
  <c r="I144" i="12" s="1"/>
  <c r="H142" i="12"/>
  <c r="H144" i="12" s="1"/>
  <c r="G142" i="12"/>
  <c r="G144" i="12" s="1"/>
  <c r="F142" i="12"/>
  <c r="F144" i="12" s="1"/>
  <c r="E142" i="12"/>
  <c r="E144" i="12" s="1"/>
  <c r="D142" i="12"/>
  <c r="D144" i="12" s="1"/>
  <c r="C142" i="12"/>
  <c r="M127" i="12"/>
  <c r="L127" i="12"/>
  <c r="L129" i="12" s="1"/>
  <c r="K127" i="12"/>
  <c r="K129" i="12" s="1"/>
  <c r="J127" i="12"/>
  <c r="J129" i="12" s="1"/>
  <c r="I127" i="12"/>
  <c r="I129" i="12" s="1"/>
  <c r="H127" i="12"/>
  <c r="H129" i="12" s="1"/>
  <c r="G127" i="12"/>
  <c r="G129" i="12" s="1"/>
  <c r="F127" i="12"/>
  <c r="F129" i="12" s="1"/>
  <c r="E127" i="12"/>
  <c r="E129" i="12" s="1"/>
  <c r="D127" i="12"/>
  <c r="D129" i="12" s="1"/>
  <c r="C127" i="12"/>
  <c r="M112" i="12"/>
  <c r="L112" i="12"/>
  <c r="L114" i="12" s="1"/>
  <c r="L160" i="12" s="1"/>
  <c r="K112" i="12"/>
  <c r="K114" i="12" s="1"/>
  <c r="J112" i="12"/>
  <c r="J114" i="12" s="1"/>
  <c r="I112" i="12"/>
  <c r="I114" i="12" s="1"/>
  <c r="H112" i="12"/>
  <c r="H114" i="12" s="1"/>
  <c r="H160" i="12" s="1"/>
  <c r="G112" i="12"/>
  <c r="G114" i="12" s="1"/>
  <c r="F112" i="12"/>
  <c r="F114" i="12" s="1"/>
  <c r="E112" i="12"/>
  <c r="E114" i="12" s="1"/>
  <c r="E160" i="12" s="1"/>
  <c r="D112" i="12"/>
  <c r="D114" i="12" s="1"/>
  <c r="D160" i="12" s="1"/>
  <c r="C112" i="12"/>
  <c r="M97" i="12"/>
  <c r="L97" i="12"/>
  <c r="L99" i="12" s="1"/>
  <c r="K97" i="12"/>
  <c r="K99" i="12" s="1"/>
  <c r="J97" i="12"/>
  <c r="J99" i="12" s="1"/>
  <c r="I97" i="12"/>
  <c r="I99" i="12" s="1"/>
  <c r="H97" i="12"/>
  <c r="H99" i="12" s="1"/>
  <c r="G97" i="12"/>
  <c r="G99" i="12" s="1"/>
  <c r="F97" i="12"/>
  <c r="F99" i="12" s="1"/>
  <c r="E97" i="12"/>
  <c r="E99" i="12" s="1"/>
  <c r="D97" i="12"/>
  <c r="D99" i="12" s="1"/>
  <c r="C97" i="12"/>
  <c r="M87" i="12"/>
  <c r="L87" i="12"/>
  <c r="L89" i="12" s="1"/>
  <c r="K87" i="12"/>
  <c r="K89" i="12" s="1"/>
  <c r="J87" i="12"/>
  <c r="J89" i="12" s="1"/>
  <c r="I87" i="12"/>
  <c r="I89" i="12" s="1"/>
  <c r="H87" i="12"/>
  <c r="H89" i="12" s="1"/>
  <c r="G87" i="12"/>
  <c r="G89" i="12" s="1"/>
  <c r="F87" i="12"/>
  <c r="F89" i="12" s="1"/>
  <c r="E87" i="12"/>
  <c r="E89" i="12" s="1"/>
  <c r="D87" i="12"/>
  <c r="D89" i="12" s="1"/>
  <c r="C87" i="12"/>
  <c r="M72" i="12"/>
  <c r="L72" i="12"/>
  <c r="L74" i="12" s="1"/>
  <c r="K72" i="12"/>
  <c r="K74" i="12" s="1"/>
  <c r="J72" i="12"/>
  <c r="J74" i="12" s="1"/>
  <c r="I72" i="12"/>
  <c r="I74" i="12" s="1"/>
  <c r="H72" i="12"/>
  <c r="H74" i="12" s="1"/>
  <c r="G72" i="12"/>
  <c r="G74" i="12" s="1"/>
  <c r="F72" i="12"/>
  <c r="F74" i="12" s="1"/>
  <c r="E72" i="12"/>
  <c r="E74" i="12" s="1"/>
  <c r="D72" i="12"/>
  <c r="D74" i="12" s="1"/>
  <c r="C72" i="12"/>
  <c r="M60" i="12"/>
  <c r="L60" i="12"/>
  <c r="L62" i="12" s="1"/>
  <c r="K60" i="12"/>
  <c r="K62" i="12" s="1"/>
  <c r="J60" i="12"/>
  <c r="J62" i="12" s="1"/>
  <c r="I60" i="12"/>
  <c r="I62" i="12" s="1"/>
  <c r="H60" i="12"/>
  <c r="H62" i="12" s="1"/>
  <c r="G60" i="12"/>
  <c r="G62" i="12" s="1"/>
  <c r="F60" i="12"/>
  <c r="F62" i="12" s="1"/>
  <c r="E60" i="12"/>
  <c r="E62" i="12" s="1"/>
  <c r="D60" i="12"/>
  <c r="D62" i="12" s="1"/>
  <c r="C60" i="12"/>
  <c r="M48" i="12"/>
  <c r="L48" i="12"/>
  <c r="L50" i="12" s="1"/>
  <c r="K48" i="12"/>
  <c r="K50" i="12" s="1"/>
  <c r="J48" i="12"/>
  <c r="J50" i="12" s="1"/>
  <c r="I48" i="12"/>
  <c r="I50" i="12" s="1"/>
  <c r="H48" i="12"/>
  <c r="H50" i="12" s="1"/>
  <c r="G48" i="12"/>
  <c r="G50" i="12" s="1"/>
  <c r="F48" i="12"/>
  <c r="F50" i="12" s="1"/>
  <c r="E48" i="12"/>
  <c r="E50" i="12" s="1"/>
  <c r="D48" i="12"/>
  <c r="D50" i="12" s="1"/>
  <c r="C48" i="12"/>
  <c r="M35" i="12"/>
  <c r="L35" i="12"/>
  <c r="L37" i="12" s="1"/>
  <c r="K35" i="12"/>
  <c r="K37" i="12" s="1"/>
  <c r="J35" i="12"/>
  <c r="J37" i="12" s="1"/>
  <c r="I35" i="12"/>
  <c r="I37" i="12" s="1"/>
  <c r="H35" i="12"/>
  <c r="H37" i="12" s="1"/>
  <c r="G35" i="12"/>
  <c r="G37" i="12" s="1"/>
  <c r="F35" i="12"/>
  <c r="F37" i="12" s="1"/>
  <c r="E35" i="12"/>
  <c r="E37" i="12" s="1"/>
  <c r="D35" i="12"/>
  <c r="D37" i="12" s="1"/>
  <c r="C35" i="12"/>
  <c r="M22" i="12"/>
  <c r="L22" i="12"/>
  <c r="L24" i="12" s="1"/>
  <c r="K22" i="12"/>
  <c r="K24" i="12" s="1"/>
  <c r="J22" i="12"/>
  <c r="J24" i="12" s="1"/>
  <c r="I22" i="12"/>
  <c r="I24" i="12" s="1"/>
  <c r="H22" i="12"/>
  <c r="H24" i="12" s="1"/>
  <c r="G22" i="12"/>
  <c r="G24" i="12" s="1"/>
  <c r="F22" i="12"/>
  <c r="F24" i="12" s="1"/>
  <c r="E22" i="12"/>
  <c r="E24" i="12" s="1"/>
  <c r="D22" i="12"/>
  <c r="D24" i="12" s="1"/>
  <c r="C22" i="12"/>
  <c r="M10" i="12"/>
  <c r="L10" i="12"/>
  <c r="L12" i="12" s="1"/>
  <c r="K10" i="12"/>
  <c r="K12" i="12" s="1"/>
  <c r="J10" i="12"/>
  <c r="J12" i="12" s="1"/>
  <c r="I10" i="12"/>
  <c r="I12" i="12" s="1"/>
  <c r="H10" i="12"/>
  <c r="H12" i="12" s="1"/>
  <c r="G10" i="12"/>
  <c r="G12" i="12" s="1"/>
  <c r="F10" i="12"/>
  <c r="F12" i="12" s="1"/>
  <c r="E10" i="12"/>
  <c r="E12" i="12" s="1"/>
  <c r="D10" i="12"/>
  <c r="D12" i="12" s="1"/>
  <c r="C10" i="12"/>
  <c r="D158" i="12" l="1"/>
  <c r="H158" i="12"/>
  <c r="L158" i="12"/>
  <c r="F159" i="12"/>
  <c r="K159" i="12"/>
  <c r="D161" i="12"/>
  <c r="H161" i="12"/>
  <c r="L161" i="12"/>
  <c r="G159" i="12"/>
  <c r="H159" i="12"/>
  <c r="G158" i="12"/>
  <c r="E159" i="12"/>
  <c r="I159" i="12"/>
  <c r="E157" i="12"/>
  <c r="E150" i="12"/>
  <c r="E156" i="12" s="1"/>
  <c r="F150" i="12"/>
  <c r="F156" i="12" s="1"/>
  <c r="F157" i="12"/>
  <c r="J150" i="12"/>
  <c r="J156" i="12" s="1"/>
  <c r="J157" i="12"/>
  <c r="G157" i="12"/>
  <c r="G150" i="12"/>
  <c r="G156" i="12" s="1"/>
  <c r="K157" i="12"/>
  <c r="K150" i="12"/>
  <c r="K156" i="12" s="1"/>
  <c r="F158" i="12"/>
  <c r="J158" i="12"/>
  <c r="I157" i="12"/>
  <c r="I150" i="12"/>
  <c r="I156" i="12" s="1"/>
  <c r="D157" i="12"/>
  <c r="D150" i="12"/>
  <c r="D156" i="12" s="1"/>
  <c r="H157" i="12"/>
  <c r="H150" i="12"/>
  <c r="H156" i="12" s="1"/>
  <c r="L157" i="12"/>
  <c r="L150" i="12"/>
  <c r="L156" i="12" s="1"/>
  <c r="K158" i="12"/>
  <c r="I158" i="12"/>
  <c r="E158" i="12"/>
  <c r="J159" i="12"/>
  <c r="F160" i="12"/>
  <c r="J160" i="12"/>
  <c r="F161" i="12"/>
  <c r="J161" i="12"/>
  <c r="D159" i="12"/>
  <c r="L159" i="12"/>
  <c r="G160" i="12"/>
  <c r="K160" i="12"/>
  <c r="G161" i="12"/>
  <c r="K161" i="12"/>
  <c r="E161" i="12"/>
  <c r="I161" i="12"/>
  <c r="I160" i="12"/>
  <c r="M89" i="11"/>
  <c r="N90" i="11"/>
  <c r="N92" i="11" s="1"/>
  <c r="L89" i="11"/>
  <c r="K89" i="11"/>
  <c r="J89" i="11"/>
  <c r="I89" i="11"/>
  <c r="H89" i="11"/>
  <c r="G89" i="11"/>
  <c r="F89" i="11"/>
  <c r="E89" i="11"/>
  <c r="D89" i="11"/>
  <c r="P88" i="11"/>
  <c r="P90" i="11" s="1"/>
  <c r="O88" i="11"/>
  <c r="M87" i="11"/>
  <c r="M88" i="11" s="1"/>
  <c r="L87" i="11"/>
  <c r="L88" i="11" s="1"/>
  <c r="L90" i="11" s="1"/>
  <c r="K87" i="11"/>
  <c r="K88" i="11" s="1"/>
  <c r="K90" i="11" s="1"/>
  <c r="J87" i="11"/>
  <c r="J88" i="11" s="1"/>
  <c r="J90" i="11" s="1"/>
  <c r="I87" i="11"/>
  <c r="I88" i="11" s="1"/>
  <c r="H87" i="11"/>
  <c r="H88" i="11" s="1"/>
  <c r="G87" i="11"/>
  <c r="G88" i="11" s="1"/>
  <c r="G90" i="11" s="1"/>
  <c r="F87" i="11"/>
  <c r="F88" i="11" s="1"/>
  <c r="F90" i="11" s="1"/>
  <c r="E87" i="11"/>
  <c r="E88" i="11" s="1"/>
  <c r="D88" i="11"/>
  <c r="D90" i="11" s="1"/>
  <c r="M101" i="11"/>
  <c r="M70" i="11"/>
  <c r="M20" i="11"/>
  <c r="O21" i="11" s="1"/>
  <c r="E90" i="11" l="1"/>
  <c r="I90" i="11"/>
  <c r="O90" i="11"/>
  <c r="H90" i="11"/>
  <c r="D92" i="11"/>
  <c r="E92" i="11" s="1"/>
  <c r="E93" i="11" s="1"/>
  <c r="M90" i="11"/>
  <c r="R90" i="11" l="1"/>
  <c r="F92" i="11"/>
  <c r="F93" i="11" s="1"/>
  <c r="G92" i="11" l="1"/>
  <c r="G93" i="11" s="1"/>
  <c r="H92" i="11" l="1"/>
  <c r="H93" i="11" s="1"/>
  <c r="I92" i="11" l="1"/>
  <c r="I93" i="11" s="1"/>
  <c r="J92" i="11" l="1"/>
  <c r="J93" i="11" s="1"/>
  <c r="O141" i="13" l="1"/>
  <c r="K92" i="11"/>
  <c r="K93" i="11" s="1"/>
  <c r="O142" i="13" l="1"/>
  <c r="O143" i="13" s="1"/>
  <c r="P141" i="13" s="1"/>
  <c r="L92" i="11"/>
  <c r="L93" i="11" s="1"/>
  <c r="P142" i="13" l="1"/>
  <c r="P143" i="13" s="1"/>
  <c r="M91" i="11"/>
  <c r="M92" i="11" l="1"/>
  <c r="M93" i="11" s="1"/>
  <c r="N93" i="11" s="1"/>
  <c r="O91" i="11" s="1"/>
  <c r="O92" i="11" l="1"/>
  <c r="O93" i="11" s="1"/>
  <c r="P91" i="11" s="1"/>
  <c r="P92" i="11" l="1"/>
  <c r="P93" i="11" s="1"/>
  <c r="D81" i="13" s="1"/>
  <c r="R91" i="11"/>
  <c r="D82" i="13" l="1"/>
  <c r="D83" i="13" s="1"/>
  <c r="R92" i="11"/>
  <c r="E81" i="13" l="1"/>
  <c r="X48" i="11"/>
  <c r="AB48" i="11" s="1"/>
  <c r="E82" i="13" l="1"/>
  <c r="E83" i="13" s="1"/>
  <c r="F81" i="13" s="1"/>
  <c r="F82" i="13" s="1"/>
  <c r="F83" i="13" s="1"/>
  <c r="G81" i="13" s="1"/>
  <c r="G82" i="13" s="1"/>
  <c r="G83" i="13" s="1"/>
  <c r="H81" i="13" s="1"/>
  <c r="H82" i="13" s="1"/>
  <c r="H83" i="13" s="1"/>
  <c r="I81" i="13" s="1"/>
  <c r="I82" i="13" s="1"/>
  <c r="I83" i="13" s="1"/>
  <c r="J81" i="13" s="1"/>
  <c r="J82" i="13" s="1"/>
  <c r="J83" i="13" s="1"/>
  <c r="K81" i="13" s="1"/>
  <c r="K82" i="13" s="1"/>
  <c r="K83" i="13" s="1"/>
  <c r="L81" i="13" s="1"/>
  <c r="L82" i="13" s="1"/>
  <c r="L83" i="13" s="1"/>
  <c r="M81" i="13" s="1"/>
  <c r="M82" i="13" s="1"/>
  <c r="M83" i="13" s="1"/>
  <c r="N83" i="13" s="1"/>
  <c r="O81" i="13" s="1"/>
  <c r="O82" i="13" s="1"/>
  <c r="O83" i="13" s="1"/>
  <c r="P81" i="13" s="1"/>
  <c r="P82" i="13" s="1"/>
  <c r="P83" i="13" s="1"/>
  <c r="X101" i="11"/>
  <c r="X70" i="11"/>
  <c r="X69" i="11"/>
  <c r="V18" i="11"/>
  <c r="L59" i="11"/>
  <c r="L101" i="11"/>
  <c r="L70" i="11"/>
  <c r="K70" i="11"/>
  <c r="L71" i="11" s="1"/>
  <c r="L142" i="11"/>
  <c r="L141" i="11"/>
  <c r="K126" i="11"/>
  <c r="L126" i="11"/>
  <c r="L20" i="11"/>
  <c r="D71" i="17" l="1"/>
  <c r="Q81" i="13"/>
  <c r="Q82" i="13" s="1"/>
  <c r="L127" i="11"/>
  <c r="N70" i="17" l="1"/>
  <c r="C80" i="19"/>
  <c r="C81" i="19" s="1"/>
  <c r="D72" i="17"/>
  <c r="D73" i="17" s="1"/>
  <c r="E71" i="17" s="1"/>
  <c r="E72" i="17" s="1"/>
  <c r="E73" i="17" s="1"/>
  <c r="F71" i="17" s="1"/>
  <c r="F72" i="17" s="1"/>
  <c r="F73" i="17" s="1"/>
  <c r="G71" i="17" s="1"/>
  <c r="G72" i="17" s="1"/>
  <c r="G73" i="17" s="1"/>
  <c r="H71" i="17" s="1"/>
  <c r="H72" i="17" s="1"/>
  <c r="H73" i="17" s="1"/>
  <c r="I71" i="17" s="1"/>
  <c r="I72" i="17" s="1"/>
  <c r="I73" i="17" s="1"/>
  <c r="J71" i="17" s="1"/>
  <c r="J72" i="17" s="1"/>
  <c r="J73" i="17" s="1"/>
  <c r="K71" i="17" s="1"/>
  <c r="K72" i="17" s="1"/>
  <c r="K73" i="17" s="1"/>
  <c r="L71" i="17" s="1"/>
  <c r="L72" i="17" s="1"/>
  <c r="L73" i="17" s="1"/>
  <c r="M71" i="17" s="1"/>
  <c r="M72" i="17" s="1"/>
  <c r="M73" i="17" s="1"/>
  <c r="K101" i="11"/>
  <c r="C82" i="19" l="1"/>
  <c r="C83" i="19" s="1"/>
  <c r="D81" i="19" s="1"/>
  <c r="D82" i="19" s="1"/>
  <c r="D83" i="19" s="1"/>
  <c r="E81" i="19" s="1"/>
  <c r="E82" i="19" s="1"/>
  <c r="E83" i="19" s="1"/>
  <c r="F81" i="19" s="1"/>
  <c r="F82" i="19" s="1"/>
  <c r="F83" i="19" s="1"/>
  <c r="G81" i="19" s="1"/>
  <c r="G82" i="19" s="1"/>
  <c r="G83" i="19" s="1"/>
  <c r="H81" i="19" s="1"/>
  <c r="H82" i="19" s="1"/>
  <c r="H83" i="19" s="1"/>
  <c r="I81" i="19" s="1"/>
  <c r="I82" i="19" s="1"/>
  <c r="I83" i="19" s="1"/>
  <c r="J81" i="19" s="1"/>
  <c r="J82" i="19" s="1"/>
  <c r="J83" i="19" s="1"/>
  <c r="K81" i="19" s="1"/>
  <c r="K82" i="19" s="1"/>
  <c r="K83" i="19" s="1"/>
  <c r="Q70" i="17"/>
  <c r="Q70" i="20"/>
  <c r="K23" i="11"/>
  <c r="K20" i="11"/>
  <c r="M81" i="19" l="1"/>
  <c r="M82" i="19" s="1"/>
  <c r="L81" i="19"/>
  <c r="L82" i="19" s="1"/>
  <c r="L83" i="19" s="1"/>
  <c r="J101" i="11"/>
  <c r="J70" i="11"/>
  <c r="J20" i="11"/>
  <c r="K21" i="11" s="1"/>
  <c r="M83" i="19" l="1"/>
  <c r="N81" i="19"/>
  <c r="I101" i="11"/>
  <c r="I70" i="11"/>
  <c r="I20" i="11"/>
  <c r="N72" i="20" l="1"/>
  <c r="N71" i="17"/>
  <c r="H101" i="11"/>
  <c r="H70" i="11"/>
  <c r="H20" i="11"/>
  <c r="N72" i="17" l="1"/>
  <c r="N73" i="17" s="1"/>
  <c r="O71" i="17" s="1"/>
  <c r="O72" i="17" s="1"/>
  <c r="O73" i="17" s="1"/>
  <c r="P71" i="17" s="1"/>
  <c r="P72" i="17" s="1"/>
  <c r="P73" i="17" s="1"/>
  <c r="D71" i="20" s="1"/>
  <c r="G101" i="11"/>
  <c r="G70" i="11"/>
  <c r="Q71" i="17" l="1"/>
  <c r="Q72" i="17" s="1"/>
  <c r="D72" i="20"/>
  <c r="D73" i="20" s="1"/>
  <c r="E71" i="20" s="1"/>
  <c r="E72" i="20" s="1"/>
  <c r="E73" i="20" s="1"/>
  <c r="F71" i="20" s="1"/>
  <c r="F72" i="20" s="1"/>
  <c r="F73" i="20" s="1"/>
  <c r="G71" i="20" s="1"/>
  <c r="G72" i="20" s="1"/>
  <c r="G73" i="20" s="1"/>
  <c r="H71" i="20" s="1"/>
  <c r="H72" i="20" s="1"/>
  <c r="H73" i="20" s="1"/>
  <c r="I71" i="20" s="1"/>
  <c r="I72" i="20" s="1"/>
  <c r="I73" i="20" s="1"/>
  <c r="J71" i="20" s="1"/>
  <c r="J72" i="20" s="1"/>
  <c r="J73" i="20" s="1"/>
  <c r="K71" i="20" s="1"/>
  <c r="K72" i="20" s="1"/>
  <c r="K73" i="20" s="1"/>
  <c r="L71" i="20" s="1"/>
  <c r="L72" i="20" s="1"/>
  <c r="L73" i="20" s="1"/>
  <c r="M71" i="20" s="1"/>
  <c r="M72" i="20" s="1"/>
  <c r="M73" i="20" s="1"/>
  <c r="N73" i="20" s="1"/>
  <c r="O71" i="20" s="1"/>
  <c r="O72" i="20" s="1"/>
  <c r="O73" i="20" s="1"/>
  <c r="P71" i="20" s="1"/>
  <c r="P72" i="20" s="1"/>
  <c r="P73" i="20" s="1"/>
  <c r="G20" i="11"/>
  <c r="Q71" i="20" l="1"/>
  <c r="Q72" i="20" s="1"/>
  <c r="F101" i="11"/>
  <c r="F70" i="11"/>
  <c r="F20" i="11"/>
  <c r="E101" i="11" l="1"/>
  <c r="E70" i="11"/>
  <c r="E20" i="11"/>
  <c r="D23" i="11" l="1"/>
  <c r="D129" i="11"/>
  <c r="I144" i="11"/>
  <c r="H144" i="11"/>
  <c r="G144" i="11"/>
  <c r="F144" i="11"/>
  <c r="E144" i="11"/>
  <c r="D144" i="11"/>
  <c r="I61" i="11"/>
  <c r="H61" i="11"/>
  <c r="G61" i="11"/>
  <c r="F61" i="11"/>
  <c r="E61" i="11"/>
  <c r="D61" i="11"/>
  <c r="D101" i="11"/>
  <c r="D70" i="11"/>
  <c r="D20" i="11"/>
  <c r="J144" i="11" l="1"/>
  <c r="I73" i="11"/>
  <c r="H73" i="11"/>
  <c r="G73" i="11"/>
  <c r="F73" i="11"/>
  <c r="E73" i="11"/>
  <c r="D73" i="11"/>
  <c r="I104" i="11"/>
  <c r="H104" i="11"/>
  <c r="G104" i="11"/>
  <c r="F104" i="11"/>
  <c r="E104" i="11"/>
  <c r="D104" i="11"/>
  <c r="I129" i="11"/>
  <c r="H129" i="11"/>
  <c r="G129" i="11"/>
  <c r="F129" i="11"/>
  <c r="E129" i="11"/>
  <c r="J129" i="11"/>
  <c r="J104" i="11"/>
  <c r="J73" i="11"/>
  <c r="J61" i="11"/>
  <c r="K61" i="11"/>
  <c r="I49" i="11"/>
  <c r="H49" i="11"/>
  <c r="G49" i="11"/>
  <c r="F49" i="11"/>
  <c r="E49" i="11"/>
  <c r="D49" i="11"/>
  <c r="J49" i="11"/>
  <c r="I23" i="11"/>
  <c r="H23" i="11"/>
  <c r="G23" i="11"/>
  <c r="F23" i="11"/>
  <c r="E23" i="11"/>
  <c r="I36" i="11"/>
  <c r="H36" i="11"/>
  <c r="G36" i="11"/>
  <c r="F36" i="11"/>
  <c r="E36" i="11"/>
  <c r="D36" i="11"/>
  <c r="J36" i="11"/>
  <c r="J23" i="11"/>
  <c r="D157" i="11"/>
  <c r="D156" i="11"/>
  <c r="K156" i="11"/>
  <c r="K141" i="11"/>
  <c r="D142" i="11"/>
  <c r="D141" i="11"/>
  <c r="D127" i="11"/>
  <c r="D126" i="11"/>
  <c r="D59" i="11"/>
  <c r="P157" i="11" l="1"/>
  <c r="O157" i="11"/>
  <c r="M157" i="11"/>
  <c r="L157" i="11"/>
  <c r="K157" i="11"/>
  <c r="J157" i="11"/>
  <c r="I157" i="11"/>
  <c r="H157" i="11"/>
  <c r="G157" i="11"/>
  <c r="F157" i="11"/>
  <c r="E157" i="11"/>
  <c r="P156" i="11"/>
  <c r="O156" i="11"/>
  <c r="M156" i="11"/>
  <c r="L156" i="11"/>
  <c r="J156" i="11"/>
  <c r="I156" i="11"/>
  <c r="H156" i="11"/>
  <c r="G156" i="11"/>
  <c r="F156" i="11"/>
  <c r="E156" i="11"/>
  <c r="D158" i="11"/>
  <c r="D160" i="11" s="1"/>
  <c r="P144" i="11"/>
  <c r="O144" i="11"/>
  <c r="M144" i="11"/>
  <c r="L144" i="11"/>
  <c r="K144" i="11"/>
  <c r="P142" i="11"/>
  <c r="O142" i="11"/>
  <c r="M142" i="11"/>
  <c r="K142" i="11"/>
  <c r="K143" i="11" s="1"/>
  <c r="J142" i="11"/>
  <c r="I142" i="11"/>
  <c r="H142" i="11"/>
  <c r="G142" i="11"/>
  <c r="F142" i="11"/>
  <c r="E142" i="11"/>
  <c r="P141" i="11"/>
  <c r="O141" i="11"/>
  <c r="M141" i="11"/>
  <c r="J141" i="11"/>
  <c r="I141" i="11"/>
  <c r="H141" i="11"/>
  <c r="G141" i="11"/>
  <c r="F141" i="11"/>
  <c r="E141" i="11"/>
  <c r="D143" i="11"/>
  <c r="V139" i="11"/>
  <c r="X136" i="11"/>
  <c r="X139" i="11" s="1"/>
  <c r="AB139" i="11" s="1"/>
  <c r="V135" i="11"/>
  <c r="X138" i="11" s="1"/>
  <c r="AB138" i="11" s="1"/>
  <c r="V134" i="11"/>
  <c r="V137" i="11" s="1"/>
  <c r="P129" i="11"/>
  <c r="O129" i="11"/>
  <c r="M129" i="11"/>
  <c r="L129" i="11"/>
  <c r="K129" i="11"/>
  <c r="P127" i="11"/>
  <c r="O127" i="11"/>
  <c r="M127" i="11"/>
  <c r="K127" i="11"/>
  <c r="J127" i="11"/>
  <c r="I127" i="11"/>
  <c r="H127" i="11"/>
  <c r="G127" i="11"/>
  <c r="F127" i="11"/>
  <c r="E127" i="11"/>
  <c r="D128" i="11"/>
  <c r="D130" i="11" s="1"/>
  <c r="V126" i="11"/>
  <c r="P126" i="11"/>
  <c r="O126" i="11"/>
  <c r="M126" i="11"/>
  <c r="J126" i="11"/>
  <c r="I126" i="11"/>
  <c r="H126" i="11"/>
  <c r="G126" i="11"/>
  <c r="F126" i="11"/>
  <c r="E126" i="11"/>
  <c r="AB122" i="11"/>
  <c r="X121" i="11"/>
  <c r="X126" i="11" s="1"/>
  <c r="AB126" i="11" s="1"/>
  <c r="V120" i="11"/>
  <c r="V125" i="11" s="1"/>
  <c r="V119" i="11"/>
  <c r="V124" i="11" s="1"/>
  <c r="V118" i="11"/>
  <c r="X123" i="11" s="1"/>
  <c r="AB123" i="11" s="1"/>
  <c r="P113" i="11"/>
  <c r="P115" i="11" s="1"/>
  <c r="O113" i="11"/>
  <c r="O115" i="11" s="1"/>
  <c r="M113" i="11"/>
  <c r="M115" i="11" s="1"/>
  <c r="L113" i="11"/>
  <c r="L115" i="11" s="1"/>
  <c r="K113" i="11"/>
  <c r="K115" i="11" s="1"/>
  <c r="J113" i="11"/>
  <c r="J115" i="11" s="1"/>
  <c r="I113" i="11"/>
  <c r="H113" i="11"/>
  <c r="G113" i="11"/>
  <c r="F113" i="11"/>
  <c r="F115" i="11" s="1"/>
  <c r="E113" i="11"/>
  <c r="D113" i="11"/>
  <c r="P104" i="11"/>
  <c r="O104" i="11"/>
  <c r="M104" i="11"/>
  <c r="L104" i="11"/>
  <c r="K104" i="11"/>
  <c r="V101" i="11"/>
  <c r="M102" i="11"/>
  <c r="L102" i="11"/>
  <c r="J102" i="11"/>
  <c r="H102" i="11"/>
  <c r="AB97" i="11"/>
  <c r="AB101" i="11"/>
  <c r="V95" i="11"/>
  <c r="X100" i="11" s="1"/>
  <c r="AB100" i="11" s="1"/>
  <c r="V78" i="11"/>
  <c r="X99" i="11" s="1"/>
  <c r="AB99" i="11" s="1"/>
  <c r="V77" i="11"/>
  <c r="X98" i="11" s="1"/>
  <c r="AB98" i="11" s="1"/>
  <c r="P73" i="11"/>
  <c r="O73" i="11"/>
  <c r="M73" i="11"/>
  <c r="L73" i="11"/>
  <c r="K73" i="11"/>
  <c r="V70" i="11"/>
  <c r="O71" i="11"/>
  <c r="M71" i="11"/>
  <c r="M72" i="11" s="1"/>
  <c r="K71" i="11"/>
  <c r="J71" i="11"/>
  <c r="H71" i="11"/>
  <c r="G71" i="11"/>
  <c r="F71" i="11"/>
  <c r="V69" i="11"/>
  <c r="AB70" i="11"/>
  <c r="V65" i="11"/>
  <c r="P61" i="11"/>
  <c r="O61" i="11"/>
  <c r="M61" i="11"/>
  <c r="L61" i="11"/>
  <c r="P59" i="11"/>
  <c r="P60" i="11" s="1"/>
  <c r="O59" i="11"/>
  <c r="O60" i="11" s="1"/>
  <c r="M59" i="11"/>
  <c r="M60" i="11" s="1"/>
  <c r="L60" i="11"/>
  <c r="K59" i="11"/>
  <c r="K60" i="11" s="1"/>
  <c r="K62" i="11" s="1"/>
  <c r="J59" i="11"/>
  <c r="J60" i="11" s="1"/>
  <c r="I59" i="11"/>
  <c r="I60" i="11" s="1"/>
  <c r="I62" i="11" s="1"/>
  <c r="H59" i="11"/>
  <c r="H60" i="11" s="1"/>
  <c r="G59" i="11"/>
  <c r="G60" i="11" s="1"/>
  <c r="G62" i="11" s="1"/>
  <c r="F59" i="11"/>
  <c r="F60" i="11" s="1"/>
  <c r="E59" i="11"/>
  <c r="E60" i="11" s="1"/>
  <c r="E62" i="11" s="1"/>
  <c r="D60" i="11"/>
  <c r="V58" i="11"/>
  <c r="V57" i="11"/>
  <c r="X56" i="11"/>
  <c r="X57" i="11" s="1"/>
  <c r="AB57" i="11" s="1"/>
  <c r="P49" i="11"/>
  <c r="O49" i="11"/>
  <c r="M49" i="11"/>
  <c r="L49" i="11"/>
  <c r="K49" i="11"/>
  <c r="P48" i="11"/>
  <c r="O48" i="11"/>
  <c r="M48" i="11"/>
  <c r="L48" i="11"/>
  <c r="K48" i="11"/>
  <c r="J48" i="11"/>
  <c r="I48" i="11"/>
  <c r="H48" i="11"/>
  <c r="H50" i="11" s="1"/>
  <c r="G48" i="11"/>
  <c r="F48" i="11"/>
  <c r="E48" i="11"/>
  <c r="D48" i="11"/>
  <c r="D50" i="11" s="1"/>
  <c r="AB44" i="11"/>
  <c r="V42" i="11"/>
  <c r="X47" i="11" s="1"/>
  <c r="AB47" i="11" s="1"/>
  <c r="V41" i="11"/>
  <c r="V46" i="11" s="1"/>
  <c r="V40" i="11"/>
  <c r="P36" i="11"/>
  <c r="O36" i="11"/>
  <c r="M36" i="11"/>
  <c r="L36" i="11"/>
  <c r="K36" i="11"/>
  <c r="P35" i="11"/>
  <c r="O35" i="11"/>
  <c r="M35" i="11"/>
  <c r="L35" i="11"/>
  <c r="K35" i="11"/>
  <c r="J35" i="11"/>
  <c r="J37" i="11" s="1"/>
  <c r="I35" i="11"/>
  <c r="H35" i="11"/>
  <c r="G35" i="11"/>
  <c r="F35" i="11"/>
  <c r="F37" i="11" s="1"/>
  <c r="E35" i="11"/>
  <c r="AB31" i="11"/>
  <c r="V29" i="11"/>
  <c r="V34" i="11" s="1"/>
  <c r="V28" i="11"/>
  <c r="X33" i="11" s="1"/>
  <c r="AB33" i="11" s="1"/>
  <c r="V27" i="11"/>
  <c r="P23" i="11"/>
  <c r="O23" i="11"/>
  <c r="M23" i="11"/>
  <c r="L23" i="11"/>
  <c r="P21" i="11"/>
  <c r="K22" i="11"/>
  <c r="K24" i="11" s="1"/>
  <c r="E21" i="11"/>
  <c r="E22" i="11" s="1"/>
  <c r="E24" i="11" s="1"/>
  <c r="L21" i="11"/>
  <c r="J21" i="11"/>
  <c r="F21" i="11"/>
  <c r="X17" i="11"/>
  <c r="X19" i="11" s="1"/>
  <c r="AB19" i="11" s="1"/>
  <c r="P10" i="11"/>
  <c r="P12" i="11" s="1"/>
  <c r="O10" i="11"/>
  <c r="O12" i="11" s="1"/>
  <c r="M10" i="11"/>
  <c r="M12" i="11" s="1"/>
  <c r="L10" i="11"/>
  <c r="L12" i="11" s="1"/>
  <c r="J10" i="11"/>
  <c r="I10" i="11"/>
  <c r="H10" i="11"/>
  <c r="E10" i="11"/>
  <c r="D10" i="11"/>
  <c r="D12" i="11" s="1"/>
  <c r="K9" i="11"/>
  <c r="K10" i="11" s="1"/>
  <c r="K12" i="11" s="1"/>
  <c r="G10" i="11"/>
  <c r="F10" i="11"/>
  <c r="P22" i="11" l="1"/>
  <c r="D13" i="13"/>
  <c r="D15" i="13" s="1"/>
  <c r="P62" i="11"/>
  <c r="V32" i="11"/>
  <c r="X32" i="11"/>
  <c r="M62" i="11"/>
  <c r="W42" i="11"/>
  <c r="X45" i="11"/>
  <c r="AB45" i="11" s="1"/>
  <c r="AB32" i="11"/>
  <c r="W29" i="11"/>
  <c r="L50" i="11"/>
  <c r="X124" i="11"/>
  <c r="AB124" i="11" s="1"/>
  <c r="H158" i="11"/>
  <c r="H160" i="11" s="1"/>
  <c r="M158" i="11"/>
  <c r="M160" i="11" s="1"/>
  <c r="M143" i="11"/>
  <c r="M145" i="11" s="1"/>
  <c r="E143" i="11"/>
  <c r="E145" i="11" s="1"/>
  <c r="I143" i="11"/>
  <c r="I145" i="11" s="1"/>
  <c r="E158" i="11"/>
  <c r="E160" i="11" s="1"/>
  <c r="I158" i="11"/>
  <c r="I160" i="11" s="1"/>
  <c r="F128" i="11"/>
  <c r="F130" i="11" s="1"/>
  <c r="F176" i="11" s="1"/>
  <c r="J128" i="11"/>
  <c r="J130" i="11" s="1"/>
  <c r="J176" i="11" s="1"/>
  <c r="O128" i="11"/>
  <c r="O130" i="11" s="1"/>
  <c r="O176" i="11" s="1"/>
  <c r="O193" i="11" s="1"/>
  <c r="P143" i="11"/>
  <c r="P145" i="11" s="1"/>
  <c r="F158" i="11"/>
  <c r="F160" i="11" s="1"/>
  <c r="P158" i="11"/>
  <c r="P160" i="11" s="1"/>
  <c r="L128" i="11"/>
  <c r="L130" i="11" s="1"/>
  <c r="L176" i="11" s="1"/>
  <c r="L193" i="11" s="1"/>
  <c r="O143" i="11"/>
  <c r="O145" i="11" s="1"/>
  <c r="O158" i="11"/>
  <c r="O160" i="11" s="1"/>
  <c r="M50" i="11"/>
  <c r="F143" i="11"/>
  <c r="F145" i="11" s="1"/>
  <c r="J143" i="11"/>
  <c r="J145" i="11" s="1"/>
  <c r="J158" i="11"/>
  <c r="J160" i="11" s="1"/>
  <c r="O37" i="11"/>
  <c r="X58" i="11"/>
  <c r="AB58" i="11" s="1"/>
  <c r="G143" i="11"/>
  <c r="G145" i="11" s="1"/>
  <c r="L143" i="11"/>
  <c r="L145" i="11" s="1"/>
  <c r="G158" i="11"/>
  <c r="G160" i="11" s="1"/>
  <c r="L158" i="11"/>
  <c r="L160" i="11" s="1"/>
  <c r="H143" i="11"/>
  <c r="H145" i="11" s="1"/>
  <c r="V123" i="11"/>
  <c r="H128" i="11"/>
  <c r="H130" i="11" s="1"/>
  <c r="H176" i="11" s="1"/>
  <c r="K145" i="11"/>
  <c r="M74" i="11"/>
  <c r="G37" i="11"/>
  <c r="K37" i="11"/>
  <c r="X46" i="11"/>
  <c r="AB46" i="11" s="1"/>
  <c r="G50" i="11"/>
  <c r="M103" i="11"/>
  <c r="M105" i="11" s="1"/>
  <c r="E12" i="11"/>
  <c r="E173" i="11" s="1"/>
  <c r="G72" i="11"/>
  <c r="G74" i="11" s="1"/>
  <c r="E37" i="11"/>
  <c r="I37" i="11"/>
  <c r="M37" i="11"/>
  <c r="K50" i="11"/>
  <c r="D37" i="11"/>
  <c r="H37" i="11"/>
  <c r="H174" i="11" s="1"/>
  <c r="L37" i="11"/>
  <c r="F50" i="11"/>
  <c r="F174" i="11" s="1"/>
  <c r="J50" i="11"/>
  <c r="J174" i="11" s="1"/>
  <c r="O50" i="11"/>
  <c r="E50" i="11"/>
  <c r="I50" i="11"/>
  <c r="O62" i="11"/>
  <c r="E115" i="11"/>
  <c r="I115" i="11"/>
  <c r="E128" i="11"/>
  <c r="E130" i="11" s="1"/>
  <c r="E176" i="11" s="1"/>
  <c r="I128" i="11"/>
  <c r="I130" i="11" s="1"/>
  <c r="I176" i="11" s="1"/>
  <c r="M128" i="11"/>
  <c r="M130" i="11" s="1"/>
  <c r="P24" i="11"/>
  <c r="H12" i="11"/>
  <c r="I12" i="11"/>
  <c r="G12" i="11"/>
  <c r="L22" i="11"/>
  <c r="L24" i="11" s="1"/>
  <c r="L173" i="11" s="1"/>
  <c r="L190" i="11" s="1"/>
  <c r="P50" i="11"/>
  <c r="J62" i="11"/>
  <c r="K72" i="11"/>
  <c r="K74" i="11" s="1"/>
  <c r="E71" i="11"/>
  <c r="E72" i="11" s="1"/>
  <c r="E74" i="11" s="1"/>
  <c r="V99" i="11"/>
  <c r="F12" i="11"/>
  <c r="H103" i="11"/>
  <c r="H105" i="11" s="1"/>
  <c r="L103" i="11"/>
  <c r="L105" i="11" s="1"/>
  <c r="D115" i="11"/>
  <c r="H115" i="11"/>
  <c r="D145" i="11"/>
  <c r="K158" i="11"/>
  <c r="K160" i="11" s="1"/>
  <c r="X137" i="11"/>
  <c r="AB137" i="11" s="1"/>
  <c r="J12" i="11"/>
  <c r="F22" i="11"/>
  <c r="F24" i="11" s="1"/>
  <c r="J22" i="11"/>
  <c r="J24" i="11" s="1"/>
  <c r="O22" i="11"/>
  <c r="O24" i="11" s="1"/>
  <c r="O173" i="11" s="1"/>
  <c r="O190" i="11" s="1"/>
  <c r="G21" i="11"/>
  <c r="G22" i="11" s="1"/>
  <c r="G24" i="11" s="1"/>
  <c r="X34" i="11"/>
  <c r="AB34" i="11" s="1"/>
  <c r="P37" i="11"/>
  <c r="D62" i="11"/>
  <c r="H62" i="11"/>
  <c r="L62" i="11"/>
  <c r="F62" i="11"/>
  <c r="G128" i="11"/>
  <c r="G130" i="11" s="1"/>
  <c r="G176" i="11" s="1"/>
  <c r="K128" i="11"/>
  <c r="K130" i="11" s="1"/>
  <c r="K176" i="11" s="1"/>
  <c r="P128" i="11"/>
  <c r="P130" i="11" s="1"/>
  <c r="P176" i="11" s="1"/>
  <c r="K173" i="11"/>
  <c r="X18" i="11"/>
  <c r="AB18" i="11" s="1"/>
  <c r="H21" i="11"/>
  <c r="H22" i="11" s="1"/>
  <c r="H24" i="11" s="1"/>
  <c r="M21" i="11"/>
  <c r="M22" i="11" s="1"/>
  <c r="M24" i="11" s="1"/>
  <c r="H72" i="11"/>
  <c r="H74" i="11" s="1"/>
  <c r="G102" i="11"/>
  <c r="G103" i="11" s="1"/>
  <c r="G105" i="11" s="1"/>
  <c r="J103" i="11"/>
  <c r="J105" i="11" s="1"/>
  <c r="K102" i="11"/>
  <c r="K103" i="11" s="1"/>
  <c r="K105" i="11" s="1"/>
  <c r="P102" i="11"/>
  <c r="P103" i="11" s="1"/>
  <c r="P105" i="11" s="1"/>
  <c r="I21" i="11"/>
  <c r="I22" i="11" s="1"/>
  <c r="I24" i="11" s="1"/>
  <c r="V33" i="11"/>
  <c r="V100" i="11"/>
  <c r="V45" i="11"/>
  <c r="D176" i="11"/>
  <c r="X125" i="11"/>
  <c r="AB125" i="11" s="1"/>
  <c r="V47" i="11"/>
  <c r="AB69" i="11"/>
  <c r="F72" i="11"/>
  <c r="F74" i="11" s="1"/>
  <c r="J72" i="11"/>
  <c r="J74" i="11" s="1"/>
  <c r="O72" i="11"/>
  <c r="O74" i="11" s="1"/>
  <c r="I71" i="11"/>
  <c r="I72" i="11" s="1"/>
  <c r="I74" i="11" s="1"/>
  <c r="P71" i="11"/>
  <c r="P72" i="11" s="1"/>
  <c r="P74" i="11" s="1"/>
  <c r="I102" i="11"/>
  <c r="I103" i="11" s="1"/>
  <c r="I105" i="11" s="1"/>
  <c r="O102" i="11"/>
  <c r="O103" i="11" s="1"/>
  <c r="O105" i="11" s="1"/>
  <c r="G115" i="11"/>
  <c r="W120" i="11"/>
  <c r="V98" i="11"/>
  <c r="W95" i="11"/>
  <c r="E102" i="11"/>
  <c r="E103" i="11" s="1"/>
  <c r="E105" i="11" s="1"/>
  <c r="L72" i="11"/>
  <c r="L74" i="11" s="1"/>
  <c r="F102" i="11"/>
  <c r="F103" i="11" s="1"/>
  <c r="F105" i="11" s="1"/>
  <c r="V138" i="11"/>
  <c r="W135" i="11"/>
  <c r="O85" i="8"/>
  <c r="D102" i="11" s="1"/>
  <c r="D103" i="11" s="1"/>
  <c r="D105" i="11" s="1"/>
  <c r="O70" i="8"/>
  <c r="D71" i="11" s="1"/>
  <c r="D72" i="11" s="1"/>
  <c r="D74" i="11" s="1"/>
  <c r="O20" i="8"/>
  <c r="D21" i="11" s="1"/>
  <c r="D22" i="11" s="1"/>
  <c r="D24" i="11" s="1"/>
  <c r="P166" i="11" l="1"/>
  <c r="P172" i="11" s="1"/>
  <c r="P173" i="11"/>
  <c r="F177" i="11"/>
  <c r="D153" i="13"/>
  <c r="D146" i="13"/>
  <c r="O177" i="11"/>
  <c r="O194" i="11" s="1"/>
  <c r="O174" i="11"/>
  <c r="O191" i="11" s="1"/>
  <c r="O175" i="11"/>
  <c r="O192" i="11" s="1"/>
  <c r="P175" i="11"/>
  <c r="O166" i="11"/>
  <c r="O172" i="11" s="1"/>
  <c r="O189" i="11" s="1"/>
  <c r="M175" i="11"/>
  <c r="M192" i="11" s="1"/>
  <c r="M176" i="11"/>
  <c r="M193" i="11" s="1"/>
  <c r="M166" i="11"/>
  <c r="M172" i="11" s="1"/>
  <c r="M189" i="11" s="1"/>
  <c r="L174" i="11"/>
  <c r="L191" i="11" s="1"/>
  <c r="M177" i="11"/>
  <c r="M194" i="11" s="1"/>
  <c r="P177" i="11"/>
  <c r="H177" i="11"/>
  <c r="V48" i="11"/>
  <c r="I177" i="11"/>
  <c r="J177" i="11"/>
  <c r="M174" i="11"/>
  <c r="M191" i="11" s="1"/>
  <c r="E177" i="11"/>
  <c r="G177" i="11"/>
  <c r="K177" i="11"/>
  <c r="P174" i="11"/>
  <c r="L177" i="11"/>
  <c r="L194" i="11" s="1"/>
  <c r="K174" i="11"/>
  <c r="D174" i="11"/>
  <c r="D177" i="11"/>
  <c r="F173" i="11"/>
  <c r="I174" i="11"/>
  <c r="G174" i="11"/>
  <c r="J173" i="11"/>
  <c r="L166" i="11"/>
  <c r="L172" i="11" s="1"/>
  <c r="L189" i="11" s="1"/>
  <c r="E175" i="11"/>
  <c r="G173" i="11"/>
  <c r="J175" i="11"/>
  <c r="E174" i="11"/>
  <c r="K166" i="11"/>
  <c r="K172" i="11" s="1"/>
  <c r="H175" i="11"/>
  <c r="D175" i="11"/>
  <c r="K175" i="11"/>
  <c r="D173" i="11"/>
  <c r="G175" i="11"/>
  <c r="D166" i="11"/>
  <c r="M173" i="11"/>
  <c r="M190" i="11" s="1"/>
  <c r="H166" i="11"/>
  <c r="H172" i="11" s="1"/>
  <c r="H173" i="11"/>
  <c r="I166" i="11"/>
  <c r="I172" i="11" s="1"/>
  <c r="F175" i="11"/>
  <c r="I173" i="11"/>
  <c r="L175" i="11"/>
  <c r="L192" i="11" s="1"/>
  <c r="S176" i="11"/>
  <c r="I175" i="11"/>
  <c r="J166" i="11"/>
  <c r="J172" i="11" s="1"/>
  <c r="E166" i="11"/>
  <c r="E172" i="11" s="1"/>
  <c r="G166" i="11"/>
  <c r="G172" i="11" s="1"/>
  <c r="F166" i="11"/>
  <c r="F172" i="11" s="1"/>
  <c r="O59" i="8"/>
  <c r="R153" i="13" l="1"/>
  <c r="D152" i="13"/>
  <c r="S177" i="11"/>
  <c r="D172" i="11"/>
  <c r="S172" i="11" s="1"/>
  <c r="S174" i="11"/>
  <c r="S173" i="11"/>
  <c r="S175" i="11"/>
  <c r="AH120" i="8"/>
  <c r="AG120" i="8"/>
  <c r="AH105" i="8"/>
  <c r="AG105" i="8"/>
  <c r="AH80" i="8"/>
  <c r="AG80" i="8"/>
  <c r="AH68" i="8"/>
  <c r="AG68" i="8"/>
  <c r="AH56" i="8"/>
  <c r="AG56" i="8"/>
  <c r="AH43" i="8"/>
  <c r="AG43" i="8"/>
  <c r="AH30" i="8"/>
  <c r="AG30" i="8"/>
  <c r="AH18" i="8"/>
  <c r="AG18" i="8"/>
  <c r="R152" i="13" l="1"/>
  <c r="N85" i="8"/>
  <c r="N70" i="8"/>
  <c r="N20" i="8"/>
  <c r="N59" i="8" l="1"/>
  <c r="AG150" i="8" l="1"/>
  <c r="AH150" i="8" l="1"/>
  <c r="AF120" i="8"/>
  <c r="AE120" i="8"/>
  <c r="AD120" i="8"/>
  <c r="AF80" i="8"/>
  <c r="AE80" i="8"/>
  <c r="AD80" i="8"/>
  <c r="AF43" i="8"/>
  <c r="AE43" i="8"/>
  <c r="AD43" i="8"/>
  <c r="AF30" i="8"/>
  <c r="AE30" i="8"/>
  <c r="AD30" i="8"/>
  <c r="AF105" i="8"/>
  <c r="AE105" i="8"/>
  <c r="AD105" i="8"/>
  <c r="AF68" i="8"/>
  <c r="AE68" i="8"/>
  <c r="AD68" i="8"/>
  <c r="AF56" i="8"/>
  <c r="AE56" i="8"/>
  <c r="AD56" i="8"/>
  <c r="AF18" i="8"/>
  <c r="AE18" i="8"/>
  <c r="AE150" i="8" s="1"/>
  <c r="AD18" i="8"/>
  <c r="AF150" i="8" l="1"/>
  <c r="AD150" i="8"/>
  <c r="L85" i="8"/>
  <c r="L70" i="8"/>
  <c r="L20" i="8"/>
  <c r="L59" i="8"/>
  <c r="K85" i="8" l="1"/>
  <c r="K70" i="8"/>
  <c r="K20" i="8"/>
  <c r="K59" i="8" l="1"/>
  <c r="J20" i="8" l="1"/>
  <c r="J85" i="8" l="1"/>
  <c r="J70" i="8"/>
  <c r="J9" i="8" l="1"/>
  <c r="J136" i="8"/>
  <c r="J137" i="8"/>
  <c r="J140" i="8"/>
  <c r="J125" i="8"/>
  <c r="J121" i="8"/>
  <c r="J59" i="8"/>
  <c r="J19" i="8" l="1"/>
  <c r="O128" i="8"/>
  <c r="N128" i="8"/>
  <c r="L128" i="8"/>
  <c r="K128" i="8"/>
  <c r="J128" i="8"/>
  <c r="O113" i="8"/>
  <c r="N113" i="8"/>
  <c r="L113" i="8"/>
  <c r="K113" i="8"/>
  <c r="J113" i="8"/>
  <c r="O88" i="8"/>
  <c r="N88" i="8"/>
  <c r="L88" i="8"/>
  <c r="K88" i="8"/>
  <c r="J88" i="8"/>
  <c r="O73" i="8"/>
  <c r="N73" i="8"/>
  <c r="L73" i="8"/>
  <c r="K73" i="8"/>
  <c r="J73" i="8"/>
  <c r="O61" i="8"/>
  <c r="N61" i="8"/>
  <c r="L61" i="8"/>
  <c r="K61" i="8"/>
  <c r="J61" i="8"/>
  <c r="O49" i="8"/>
  <c r="N49" i="8"/>
  <c r="L49" i="8"/>
  <c r="K49" i="8"/>
  <c r="J49" i="8"/>
  <c r="O36" i="8"/>
  <c r="N36" i="8"/>
  <c r="L36" i="8"/>
  <c r="K36" i="8"/>
  <c r="J36" i="8"/>
  <c r="O23" i="8"/>
  <c r="N23" i="8"/>
  <c r="K23" i="8"/>
  <c r="L23" i="8"/>
  <c r="J23" i="8"/>
  <c r="I85" i="8" l="1"/>
  <c r="I70" i="8"/>
  <c r="I20" i="8"/>
  <c r="I59" i="8"/>
  <c r="H85" i="8" l="1"/>
  <c r="H70" i="8"/>
  <c r="H20" i="8"/>
  <c r="H59" i="8"/>
  <c r="G85" i="8" l="1"/>
  <c r="G70" i="8"/>
  <c r="G20" i="8"/>
  <c r="G59" i="8"/>
  <c r="F85" i="8" l="1"/>
  <c r="F70" i="8"/>
  <c r="F20" i="8"/>
  <c r="F9" i="8"/>
  <c r="F59" i="8"/>
  <c r="E70" i="8" l="1"/>
  <c r="E85" i="8"/>
  <c r="E20" i="8"/>
  <c r="E59" i="8"/>
  <c r="E9" i="8"/>
  <c r="D70" i="8" l="1"/>
  <c r="D85" i="8"/>
  <c r="D20" i="8"/>
  <c r="D59" i="8"/>
  <c r="U65" i="8" l="1"/>
  <c r="C59" i="8"/>
  <c r="C85" i="8"/>
  <c r="C70" i="8"/>
  <c r="C20" i="8"/>
  <c r="C111" i="8" l="1"/>
  <c r="C110" i="8"/>
  <c r="C112" i="8" s="1"/>
  <c r="C126" i="8"/>
  <c r="C125" i="8"/>
  <c r="C127" i="8" s="1"/>
  <c r="C141" i="8"/>
  <c r="C140" i="8"/>
  <c r="C142" i="8" s="1"/>
  <c r="C60" i="8"/>
  <c r="M161" i="9"/>
  <c r="M160" i="9"/>
  <c r="M158" i="9"/>
  <c r="M157" i="9"/>
  <c r="M142" i="9"/>
  <c r="L142" i="9"/>
  <c r="L144" i="9" s="1"/>
  <c r="K142" i="9"/>
  <c r="K144" i="9" s="1"/>
  <c r="J142" i="9"/>
  <c r="J144" i="9" s="1"/>
  <c r="I142" i="9"/>
  <c r="I144" i="9" s="1"/>
  <c r="H142" i="9"/>
  <c r="H144" i="9" s="1"/>
  <c r="G142" i="9"/>
  <c r="G144" i="9" s="1"/>
  <c r="F142" i="9"/>
  <c r="F144" i="9" s="1"/>
  <c r="E142" i="9"/>
  <c r="E144" i="9" s="1"/>
  <c r="D142" i="9"/>
  <c r="D144" i="9" s="1"/>
  <c r="C142" i="9"/>
  <c r="H129" i="9"/>
  <c r="M127" i="9"/>
  <c r="L127" i="9"/>
  <c r="L129" i="9" s="1"/>
  <c r="K127" i="9"/>
  <c r="K129" i="9" s="1"/>
  <c r="J127" i="9"/>
  <c r="J129" i="9" s="1"/>
  <c r="I127" i="9"/>
  <c r="I129" i="9" s="1"/>
  <c r="I161" i="9" s="1"/>
  <c r="H127" i="9"/>
  <c r="G127" i="9"/>
  <c r="G129" i="9" s="1"/>
  <c r="F127" i="9"/>
  <c r="F129" i="9" s="1"/>
  <c r="E127" i="9"/>
  <c r="E129" i="9" s="1"/>
  <c r="D127" i="9"/>
  <c r="D129" i="9" s="1"/>
  <c r="C127" i="9"/>
  <c r="M112" i="9"/>
  <c r="L112" i="9"/>
  <c r="L114" i="9" s="1"/>
  <c r="K112" i="9"/>
  <c r="K114" i="9" s="1"/>
  <c r="J112" i="9"/>
  <c r="J114" i="9" s="1"/>
  <c r="J160" i="9" s="1"/>
  <c r="I112" i="9"/>
  <c r="I114" i="9" s="1"/>
  <c r="I160" i="9" s="1"/>
  <c r="H112" i="9"/>
  <c r="H114" i="9" s="1"/>
  <c r="G112" i="9"/>
  <c r="G114" i="9" s="1"/>
  <c r="G160" i="9" s="1"/>
  <c r="F112" i="9"/>
  <c r="F114" i="9" s="1"/>
  <c r="F160" i="9" s="1"/>
  <c r="E112" i="9"/>
  <c r="E114" i="9" s="1"/>
  <c r="E160" i="9" s="1"/>
  <c r="D112" i="9"/>
  <c r="D114" i="9" s="1"/>
  <c r="C112" i="9"/>
  <c r="M97" i="9"/>
  <c r="L97" i="9"/>
  <c r="L99" i="9" s="1"/>
  <c r="K97" i="9"/>
  <c r="K99" i="9" s="1"/>
  <c r="J97" i="9"/>
  <c r="J99" i="9" s="1"/>
  <c r="I97" i="9"/>
  <c r="I99" i="9" s="1"/>
  <c r="H97" i="9"/>
  <c r="H99" i="9" s="1"/>
  <c r="G97" i="9"/>
  <c r="G99" i="9" s="1"/>
  <c r="F97" i="9"/>
  <c r="F99" i="9" s="1"/>
  <c r="E97" i="9"/>
  <c r="E99" i="9" s="1"/>
  <c r="D97" i="9"/>
  <c r="D99" i="9" s="1"/>
  <c r="C97" i="9"/>
  <c r="M87" i="9"/>
  <c r="L87" i="9"/>
  <c r="L89" i="9" s="1"/>
  <c r="K87" i="9"/>
  <c r="K89" i="9" s="1"/>
  <c r="J87" i="9"/>
  <c r="J89" i="9" s="1"/>
  <c r="I87" i="9"/>
  <c r="I89" i="9" s="1"/>
  <c r="H87" i="9"/>
  <c r="H89" i="9" s="1"/>
  <c r="G87" i="9"/>
  <c r="G89" i="9" s="1"/>
  <c r="F87" i="9"/>
  <c r="F89" i="9" s="1"/>
  <c r="E87" i="9"/>
  <c r="E89" i="9" s="1"/>
  <c r="D87" i="9"/>
  <c r="D89" i="9" s="1"/>
  <c r="C87" i="9"/>
  <c r="M72" i="9"/>
  <c r="L72" i="9"/>
  <c r="L74" i="9" s="1"/>
  <c r="K72" i="9"/>
  <c r="K74" i="9" s="1"/>
  <c r="J72" i="9"/>
  <c r="J74" i="9" s="1"/>
  <c r="I72" i="9"/>
  <c r="I74" i="9" s="1"/>
  <c r="H72" i="9"/>
  <c r="H74" i="9" s="1"/>
  <c r="G72" i="9"/>
  <c r="G74" i="9" s="1"/>
  <c r="F72" i="9"/>
  <c r="F74" i="9" s="1"/>
  <c r="E72" i="9"/>
  <c r="E74" i="9" s="1"/>
  <c r="D72" i="9"/>
  <c r="D74" i="9" s="1"/>
  <c r="C72" i="9"/>
  <c r="M60" i="9"/>
  <c r="L60" i="9"/>
  <c r="L62" i="9" s="1"/>
  <c r="K60" i="9"/>
  <c r="K62" i="9" s="1"/>
  <c r="J60" i="9"/>
  <c r="J62" i="9" s="1"/>
  <c r="I60" i="9"/>
  <c r="I62" i="9" s="1"/>
  <c r="H60" i="9"/>
  <c r="H62" i="9" s="1"/>
  <c r="G60" i="9"/>
  <c r="G62" i="9" s="1"/>
  <c r="F60" i="9"/>
  <c r="F62" i="9" s="1"/>
  <c r="E60" i="9"/>
  <c r="E62" i="9" s="1"/>
  <c r="D60" i="9"/>
  <c r="D62" i="9" s="1"/>
  <c r="C60" i="9"/>
  <c r="M48" i="9"/>
  <c r="L48" i="9"/>
  <c r="L50" i="9" s="1"/>
  <c r="K48" i="9"/>
  <c r="K50" i="9" s="1"/>
  <c r="J48" i="9"/>
  <c r="J50" i="9" s="1"/>
  <c r="I48" i="9"/>
  <c r="I50" i="9" s="1"/>
  <c r="H48" i="9"/>
  <c r="H50" i="9" s="1"/>
  <c r="G48" i="9"/>
  <c r="G50" i="9" s="1"/>
  <c r="F48" i="9"/>
  <c r="F50" i="9" s="1"/>
  <c r="E48" i="9"/>
  <c r="E50" i="9" s="1"/>
  <c r="D48" i="9"/>
  <c r="D50" i="9" s="1"/>
  <c r="C48" i="9"/>
  <c r="M35" i="9"/>
  <c r="L35" i="9"/>
  <c r="L37" i="9" s="1"/>
  <c r="K35" i="9"/>
  <c r="K37" i="9" s="1"/>
  <c r="J35" i="9"/>
  <c r="J37" i="9" s="1"/>
  <c r="I35" i="9"/>
  <c r="I37" i="9" s="1"/>
  <c r="H35" i="9"/>
  <c r="H37" i="9" s="1"/>
  <c r="G35" i="9"/>
  <c r="G37" i="9" s="1"/>
  <c r="F35" i="9"/>
  <c r="F37" i="9" s="1"/>
  <c r="E35" i="9"/>
  <c r="E37" i="9" s="1"/>
  <c r="D35" i="9"/>
  <c r="D37" i="9" s="1"/>
  <c r="C35" i="9"/>
  <c r="M22" i="9"/>
  <c r="L22" i="9"/>
  <c r="L24" i="9" s="1"/>
  <c r="K22" i="9"/>
  <c r="K24" i="9" s="1"/>
  <c r="J22" i="9"/>
  <c r="J24" i="9" s="1"/>
  <c r="I22" i="9"/>
  <c r="I24" i="9" s="1"/>
  <c r="H22" i="9"/>
  <c r="H24" i="9" s="1"/>
  <c r="G22" i="9"/>
  <c r="G24" i="9" s="1"/>
  <c r="F22" i="9"/>
  <c r="F24" i="9" s="1"/>
  <c r="E22" i="9"/>
  <c r="E24" i="9" s="1"/>
  <c r="D22" i="9"/>
  <c r="D24" i="9" s="1"/>
  <c r="C22" i="9"/>
  <c r="M10" i="9"/>
  <c r="L10" i="9"/>
  <c r="L12" i="9" s="1"/>
  <c r="K10" i="9"/>
  <c r="K12" i="9" s="1"/>
  <c r="J10" i="9"/>
  <c r="J12" i="9" s="1"/>
  <c r="I10" i="9"/>
  <c r="I12" i="9" s="1"/>
  <c r="H10" i="9"/>
  <c r="H12" i="9" s="1"/>
  <c r="G10" i="9"/>
  <c r="G12" i="9" s="1"/>
  <c r="F10" i="9"/>
  <c r="F12" i="9" s="1"/>
  <c r="E10" i="9"/>
  <c r="E12" i="9" s="1"/>
  <c r="D10" i="9"/>
  <c r="D12" i="9" s="1"/>
  <c r="C10" i="9"/>
  <c r="D110" i="8"/>
  <c r="E110" i="8"/>
  <c r="F110" i="8"/>
  <c r="G110" i="8"/>
  <c r="H110" i="8"/>
  <c r="I110" i="8"/>
  <c r="J110" i="8"/>
  <c r="K110" i="8"/>
  <c r="L110" i="8"/>
  <c r="N110" i="8"/>
  <c r="O110" i="8"/>
  <c r="D111" i="8"/>
  <c r="E111" i="8"/>
  <c r="F111" i="8"/>
  <c r="G111" i="8"/>
  <c r="H111" i="8"/>
  <c r="I111" i="8"/>
  <c r="J111" i="8"/>
  <c r="K111" i="8"/>
  <c r="L111" i="8"/>
  <c r="N111" i="8"/>
  <c r="O111" i="8"/>
  <c r="O141" i="8"/>
  <c r="N141" i="8"/>
  <c r="L141" i="8"/>
  <c r="K141" i="8"/>
  <c r="J141" i="8"/>
  <c r="I141" i="8"/>
  <c r="H141" i="8"/>
  <c r="G141" i="8"/>
  <c r="F141" i="8"/>
  <c r="E141" i="8"/>
  <c r="D141" i="8"/>
  <c r="O140" i="8"/>
  <c r="N140" i="8"/>
  <c r="N142" i="8" s="1"/>
  <c r="L140" i="8"/>
  <c r="K140" i="8"/>
  <c r="I140" i="8"/>
  <c r="I142" i="8" s="1"/>
  <c r="H140" i="8"/>
  <c r="G140" i="8"/>
  <c r="F140" i="8"/>
  <c r="E140" i="8"/>
  <c r="E142" i="8" s="1"/>
  <c r="D140" i="8"/>
  <c r="U138" i="8"/>
  <c r="W135" i="8"/>
  <c r="W138" i="8" s="1"/>
  <c r="AA138" i="8" s="1"/>
  <c r="U134" i="8"/>
  <c r="W137" i="8" s="1"/>
  <c r="AA137" i="8" s="1"/>
  <c r="U133" i="8"/>
  <c r="U136" i="8" s="1"/>
  <c r="O126" i="8"/>
  <c r="N126" i="8"/>
  <c r="L126" i="8"/>
  <c r="K126" i="8"/>
  <c r="J126" i="8"/>
  <c r="I126" i="8"/>
  <c r="H126" i="8"/>
  <c r="G126" i="8"/>
  <c r="F126" i="8"/>
  <c r="E126" i="8"/>
  <c r="D126" i="8"/>
  <c r="O125" i="8"/>
  <c r="N125" i="8"/>
  <c r="L125" i="8"/>
  <c r="K125" i="8"/>
  <c r="I125" i="8"/>
  <c r="H125" i="8"/>
  <c r="G125" i="8"/>
  <c r="F125" i="8"/>
  <c r="E125" i="8"/>
  <c r="D125" i="8"/>
  <c r="U123" i="8"/>
  <c r="W120" i="8"/>
  <c r="W123" i="8" s="1"/>
  <c r="AA123" i="8" s="1"/>
  <c r="U119" i="8"/>
  <c r="W122" i="8" s="1"/>
  <c r="AA122" i="8" s="1"/>
  <c r="U118" i="8"/>
  <c r="U121" i="8" s="1"/>
  <c r="U110" i="8"/>
  <c r="AA106" i="8"/>
  <c r="W105" i="8"/>
  <c r="W110" i="8" s="1"/>
  <c r="AA110" i="8" s="1"/>
  <c r="U104" i="8"/>
  <c r="U103" i="8"/>
  <c r="U108" i="8" s="1"/>
  <c r="U102" i="8"/>
  <c r="W107" i="8" s="1"/>
  <c r="AA107" i="8" s="1"/>
  <c r="U97" i="8"/>
  <c r="O97" i="8"/>
  <c r="N97" i="8"/>
  <c r="L97" i="8"/>
  <c r="K97" i="8"/>
  <c r="J97" i="8"/>
  <c r="I97" i="8"/>
  <c r="H97" i="8"/>
  <c r="G97" i="8"/>
  <c r="F97" i="8"/>
  <c r="E97" i="8"/>
  <c r="D97" i="8"/>
  <c r="C97" i="8"/>
  <c r="U96" i="8"/>
  <c r="W95" i="8"/>
  <c r="W97" i="8" s="1"/>
  <c r="AA97" i="8" s="1"/>
  <c r="K86" i="8"/>
  <c r="K87" i="8" s="1"/>
  <c r="U85" i="8"/>
  <c r="O86" i="8"/>
  <c r="N86" i="8"/>
  <c r="N87" i="8" s="1"/>
  <c r="L86" i="8"/>
  <c r="L87" i="8" s="1"/>
  <c r="I86" i="8"/>
  <c r="H86" i="8"/>
  <c r="H87" i="8" s="1"/>
  <c r="G86" i="8"/>
  <c r="G87" i="8" s="1"/>
  <c r="E86" i="8"/>
  <c r="D86" i="8"/>
  <c r="D87" i="8" s="1"/>
  <c r="AA81" i="8"/>
  <c r="W80" i="8"/>
  <c r="W85" i="8" s="1"/>
  <c r="AA85" i="8" s="1"/>
  <c r="U79" i="8"/>
  <c r="U84" i="8" s="1"/>
  <c r="U78" i="8"/>
  <c r="W83" i="8" s="1"/>
  <c r="AA83" i="8" s="1"/>
  <c r="U77" i="8"/>
  <c r="W82" i="8" s="1"/>
  <c r="AA82" i="8" s="1"/>
  <c r="K71" i="8"/>
  <c r="K72" i="8" s="1"/>
  <c r="J71" i="8"/>
  <c r="J72" i="8" s="1"/>
  <c r="G71" i="8"/>
  <c r="G72" i="8" s="1"/>
  <c r="F71" i="8"/>
  <c r="F72" i="8" s="1"/>
  <c r="U70" i="8"/>
  <c r="O71" i="8"/>
  <c r="O72" i="8" s="1"/>
  <c r="L71" i="8"/>
  <c r="H71" i="8"/>
  <c r="D71" i="8"/>
  <c r="D72" i="8" s="1"/>
  <c r="U69" i="8"/>
  <c r="W68" i="8"/>
  <c r="W70" i="8" s="1"/>
  <c r="AA70" i="8" s="1"/>
  <c r="O60" i="8"/>
  <c r="L60" i="8"/>
  <c r="K60" i="8"/>
  <c r="J60" i="8"/>
  <c r="I60" i="8"/>
  <c r="H60" i="8"/>
  <c r="G60" i="8"/>
  <c r="F60" i="8"/>
  <c r="E60" i="8"/>
  <c r="D60" i="8"/>
  <c r="N60" i="8"/>
  <c r="U58" i="8"/>
  <c r="U57" i="8"/>
  <c r="W56" i="8"/>
  <c r="W58" i="8" s="1"/>
  <c r="AA58" i="8" s="1"/>
  <c r="U48" i="8"/>
  <c r="O48" i="8"/>
  <c r="N48" i="8"/>
  <c r="L48" i="8"/>
  <c r="K48" i="8"/>
  <c r="J48" i="8"/>
  <c r="I48" i="8"/>
  <c r="H48" i="8"/>
  <c r="G48" i="8"/>
  <c r="F48" i="8"/>
  <c r="E48" i="8"/>
  <c r="D48" i="8"/>
  <c r="C48" i="8"/>
  <c r="AA44" i="8"/>
  <c r="W43" i="8"/>
  <c r="W48" i="8" s="1"/>
  <c r="AA48" i="8" s="1"/>
  <c r="U42" i="8"/>
  <c r="W47" i="8" s="1"/>
  <c r="AA47" i="8" s="1"/>
  <c r="U41" i="8"/>
  <c r="W46" i="8" s="1"/>
  <c r="AA46" i="8" s="1"/>
  <c r="U40" i="8"/>
  <c r="U35" i="8"/>
  <c r="O35" i="8"/>
  <c r="N35" i="8"/>
  <c r="L35" i="8"/>
  <c r="K35" i="8"/>
  <c r="J35" i="8"/>
  <c r="I35" i="8"/>
  <c r="H35" i="8"/>
  <c r="G35" i="8"/>
  <c r="F35" i="8"/>
  <c r="E35" i="8"/>
  <c r="D35" i="8"/>
  <c r="C35" i="8"/>
  <c r="AA31" i="8"/>
  <c r="W30" i="8"/>
  <c r="W35" i="8" s="1"/>
  <c r="AA35" i="8" s="1"/>
  <c r="U29" i="8"/>
  <c r="W34" i="8" s="1"/>
  <c r="AA34" i="8" s="1"/>
  <c r="U28" i="8"/>
  <c r="W33" i="8" s="1"/>
  <c r="AA33" i="8" s="1"/>
  <c r="U27" i="8"/>
  <c r="U32" i="8" s="1"/>
  <c r="K21" i="8"/>
  <c r="G21" i="8"/>
  <c r="N21" i="8"/>
  <c r="L21" i="8"/>
  <c r="J21" i="8"/>
  <c r="I21" i="8"/>
  <c r="H21" i="8"/>
  <c r="F21" i="8"/>
  <c r="E21" i="8"/>
  <c r="U19" i="8"/>
  <c r="U18" i="8"/>
  <c r="W17" i="8"/>
  <c r="U10" i="8"/>
  <c r="O10" i="8"/>
  <c r="N10" i="8"/>
  <c r="L10" i="8"/>
  <c r="K10" i="8"/>
  <c r="J10" i="8"/>
  <c r="I10" i="8"/>
  <c r="H10" i="8"/>
  <c r="G10" i="8"/>
  <c r="F10" i="8"/>
  <c r="E10" i="8"/>
  <c r="D10" i="8"/>
  <c r="C10" i="8"/>
  <c r="U9" i="8"/>
  <c r="W8" i="8"/>
  <c r="E112" i="8" l="1"/>
  <c r="G112" i="8"/>
  <c r="O127" i="8"/>
  <c r="J127" i="8"/>
  <c r="J112" i="8"/>
  <c r="K127" i="8"/>
  <c r="G157" i="9"/>
  <c r="D127" i="8"/>
  <c r="L127" i="8"/>
  <c r="F142" i="8"/>
  <c r="J142" i="8"/>
  <c r="O142" i="8"/>
  <c r="L112" i="8"/>
  <c r="H112" i="8"/>
  <c r="D112" i="8"/>
  <c r="F161" i="9"/>
  <c r="J161" i="9"/>
  <c r="K142" i="8"/>
  <c r="I159" i="9"/>
  <c r="G142" i="8"/>
  <c r="E159" i="9"/>
  <c r="K161" i="9"/>
  <c r="N127" i="8"/>
  <c r="D142" i="8"/>
  <c r="L142" i="8"/>
  <c r="I127" i="8"/>
  <c r="H142" i="8"/>
  <c r="H127" i="8"/>
  <c r="W96" i="8"/>
  <c r="AA96" i="8" s="1"/>
  <c r="G127" i="8"/>
  <c r="F127" i="8"/>
  <c r="E127" i="8"/>
  <c r="W69" i="8"/>
  <c r="AA69" i="8" s="1"/>
  <c r="U122" i="8"/>
  <c r="W57" i="8"/>
  <c r="AA57" i="8" s="1"/>
  <c r="W32" i="8"/>
  <c r="AA32" i="8" s="1"/>
  <c r="I157" i="9"/>
  <c r="I150" i="9"/>
  <c r="I156" i="9" s="1"/>
  <c r="E158" i="9"/>
  <c r="I158" i="9"/>
  <c r="J158" i="9"/>
  <c r="K150" i="9"/>
  <c r="K156" i="9" s="1"/>
  <c r="J157" i="9"/>
  <c r="J150" i="9"/>
  <c r="J156" i="9" s="1"/>
  <c r="F158" i="9"/>
  <c r="H160" i="9"/>
  <c r="K160" i="9"/>
  <c r="K157" i="9"/>
  <c r="D150" i="9"/>
  <c r="D156" i="9" s="1"/>
  <c r="D157" i="9"/>
  <c r="H157" i="9"/>
  <c r="H150" i="9"/>
  <c r="H156" i="9" s="1"/>
  <c r="L150" i="9"/>
  <c r="L156" i="9" s="1"/>
  <c r="L157" i="9"/>
  <c r="E157" i="9"/>
  <c r="E150" i="9"/>
  <c r="E156" i="9" s="1"/>
  <c r="F159" i="9"/>
  <c r="F157" i="9"/>
  <c r="F150" i="9"/>
  <c r="F156" i="9" s="1"/>
  <c r="G158" i="9"/>
  <c r="K158" i="9"/>
  <c r="G159" i="9"/>
  <c r="D158" i="9"/>
  <c r="H158" i="9"/>
  <c r="L158" i="9"/>
  <c r="E161" i="9"/>
  <c r="D160" i="9"/>
  <c r="L160" i="9"/>
  <c r="J159" i="9"/>
  <c r="K159" i="9"/>
  <c r="D161" i="9"/>
  <c r="L161" i="9"/>
  <c r="G161" i="9"/>
  <c r="G150" i="9"/>
  <c r="G156" i="9" s="1"/>
  <c r="H159" i="9"/>
  <c r="H161" i="9"/>
  <c r="D159" i="9"/>
  <c r="L159" i="9"/>
  <c r="U47" i="8"/>
  <c r="U82" i="8"/>
  <c r="U107" i="8"/>
  <c r="V134" i="8"/>
  <c r="V29" i="8"/>
  <c r="U34" i="8"/>
  <c r="K112" i="8"/>
  <c r="U46" i="8"/>
  <c r="W84" i="8"/>
  <c r="AA84" i="8" s="1"/>
  <c r="W108" i="8"/>
  <c r="AA108" i="8" s="1"/>
  <c r="W136" i="8"/>
  <c r="AA136" i="8" s="1"/>
  <c r="N112" i="8"/>
  <c r="O112" i="8"/>
  <c r="F112" i="8"/>
  <c r="I112" i="8"/>
  <c r="D21" i="8"/>
  <c r="D22" i="8" s="1"/>
  <c r="K22" i="8"/>
  <c r="E71" i="8"/>
  <c r="E72" i="8" s="1"/>
  <c r="E87" i="8"/>
  <c r="F86" i="8"/>
  <c r="F87" i="8" s="1"/>
  <c r="I87" i="8"/>
  <c r="W18" i="8"/>
  <c r="AA18" i="8" s="1"/>
  <c r="W19" i="8"/>
  <c r="AA19" i="8" s="1"/>
  <c r="G22" i="8"/>
  <c r="L72" i="8"/>
  <c r="N71" i="8"/>
  <c r="N72" i="8" s="1"/>
  <c r="V79" i="8"/>
  <c r="U83" i="8"/>
  <c r="W10" i="8"/>
  <c r="AA10" i="8" s="1"/>
  <c r="W9" i="8"/>
  <c r="AA9" i="8" s="1"/>
  <c r="H22" i="8"/>
  <c r="W109" i="8"/>
  <c r="AA109" i="8" s="1"/>
  <c r="U109" i="8"/>
  <c r="V104" i="8"/>
  <c r="N22" i="8"/>
  <c r="W45" i="8"/>
  <c r="AA45" i="8" s="1"/>
  <c r="V42" i="8"/>
  <c r="U45" i="8"/>
  <c r="F22" i="8"/>
  <c r="J22" i="8"/>
  <c r="L22" i="8"/>
  <c r="O87" i="8"/>
  <c r="J86" i="8"/>
  <c r="J87" i="8" s="1"/>
  <c r="H72" i="8"/>
  <c r="I71" i="8"/>
  <c r="I72" i="8" s="1"/>
  <c r="E22" i="8"/>
  <c r="I22" i="8"/>
  <c r="U33" i="8"/>
  <c r="O21" i="8"/>
  <c r="O22" i="8" s="1"/>
  <c r="V119" i="8"/>
  <c r="W121" i="8"/>
  <c r="AA121" i="8" s="1"/>
  <c r="U137" i="8"/>
  <c r="O85" i="6" l="1"/>
  <c r="C86" i="8" s="1"/>
  <c r="C87" i="8" s="1"/>
  <c r="O70" i="6"/>
  <c r="C71" i="8" s="1"/>
  <c r="C72" i="8" s="1"/>
  <c r="O20" i="6"/>
  <c r="C21" i="8" s="1"/>
  <c r="C22" i="8" s="1"/>
  <c r="M142" i="7" l="1"/>
  <c r="L142" i="7"/>
  <c r="K142" i="7"/>
  <c r="K144" i="7" s="1"/>
  <c r="J142" i="7"/>
  <c r="J144" i="7" s="1"/>
  <c r="I142" i="7"/>
  <c r="I144" i="7" s="1"/>
  <c r="H142" i="7"/>
  <c r="G142" i="7"/>
  <c r="G144" i="7" s="1"/>
  <c r="F142" i="7"/>
  <c r="F144" i="7" s="1"/>
  <c r="E142" i="7"/>
  <c r="E144" i="7" s="1"/>
  <c r="D142" i="7"/>
  <c r="D144" i="7" s="1"/>
  <c r="C142" i="7"/>
  <c r="M127" i="7"/>
  <c r="K127" i="7"/>
  <c r="K129" i="7" s="1"/>
  <c r="L127" i="7"/>
  <c r="L129" i="7" s="1"/>
  <c r="J127" i="7"/>
  <c r="I127" i="7"/>
  <c r="I129" i="7" s="1"/>
  <c r="H127" i="7"/>
  <c r="H129" i="7" s="1"/>
  <c r="G127" i="7"/>
  <c r="G129" i="7" s="1"/>
  <c r="F127" i="7"/>
  <c r="E127" i="7"/>
  <c r="E129" i="7" s="1"/>
  <c r="D127" i="7"/>
  <c r="D129" i="7" s="1"/>
  <c r="C127" i="7"/>
  <c r="M160" i="7"/>
  <c r="M112" i="7"/>
  <c r="J112" i="7"/>
  <c r="J114" i="7" s="1"/>
  <c r="I112" i="7"/>
  <c r="H112" i="7"/>
  <c r="H114" i="7" s="1"/>
  <c r="F112" i="7"/>
  <c r="F114" i="7" s="1"/>
  <c r="E112" i="7"/>
  <c r="L112" i="7"/>
  <c r="L114" i="7" s="1"/>
  <c r="K112" i="7"/>
  <c r="K114" i="7" s="1"/>
  <c r="G112" i="7"/>
  <c r="G114" i="7" s="1"/>
  <c r="D112" i="7"/>
  <c r="D114" i="7" s="1"/>
  <c r="C112" i="7"/>
  <c r="M97" i="7"/>
  <c r="L97" i="7"/>
  <c r="L99" i="7" s="1"/>
  <c r="K97" i="7"/>
  <c r="K99" i="7" s="1"/>
  <c r="J97" i="7"/>
  <c r="J99" i="7" s="1"/>
  <c r="I97" i="7"/>
  <c r="I99" i="7" s="1"/>
  <c r="H97" i="7"/>
  <c r="H99" i="7" s="1"/>
  <c r="G97" i="7"/>
  <c r="G99" i="7" s="1"/>
  <c r="F97" i="7"/>
  <c r="F99" i="7" s="1"/>
  <c r="E97" i="7"/>
  <c r="E99" i="7" s="1"/>
  <c r="D97" i="7"/>
  <c r="D99" i="7" s="1"/>
  <c r="C97" i="7"/>
  <c r="M87" i="7"/>
  <c r="C87" i="7"/>
  <c r="G87" i="7"/>
  <c r="G89" i="7" s="1"/>
  <c r="M72" i="7"/>
  <c r="H72" i="7"/>
  <c r="H74" i="7" s="1"/>
  <c r="I72" i="7"/>
  <c r="I74" i="7" s="1"/>
  <c r="E72" i="7"/>
  <c r="E74" i="7" s="1"/>
  <c r="C72" i="7"/>
  <c r="M60" i="7"/>
  <c r="L60" i="7"/>
  <c r="K60" i="7"/>
  <c r="K62" i="7" s="1"/>
  <c r="J60" i="7"/>
  <c r="J62" i="7" s="1"/>
  <c r="I60" i="7"/>
  <c r="I62" i="7" s="1"/>
  <c r="H60" i="7"/>
  <c r="G60" i="7"/>
  <c r="G62" i="7" s="1"/>
  <c r="F60" i="7"/>
  <c r="F62" i="7" s="1"/>
  <c r="E60" i="7"/>
  <c r="E62" i="7" s="1"/>
  <c r="D60" i="7"/>
  <c r="D62" i="7" s="1"/>
  <c r="C60" i="7"/>
  <c r="M48" i="7"/>
  <c r="L48" i="7"/>
  <c r="K48" i="7"/>
  <c r="K50" i="7" s="1"/>
  <c r="J48" i="7"/>
  <c r="J50" i="7" s="1"/>
  <c r="I48" i="7"/>
  <c r="I50" i="7" s="1"/>
  <c r="H48" i="7"/>
  <c r="G48" i="7"/>
  <c r="G50" i="7" s="1"/>
  <c r="F48" i="7"/>
  <c r="F50" i="7" s="1"/>
  <c r="E48" i="7"/>
  <c r="E50" i="7" s="1"/>
  <c r="D48" i="7"/>
  <c r="D50" i="7" s="1"/>
  <c r="C48" i="7"/>
  <c r="M35" i="7"/>
  <c r="L35" i="7"/>
  <c r="L37" i="7" s="1"/>
  <c r="K35" i="7"/>
  <c r="K37" i="7" s="1"/>
  <c r="J35" i="7"/>
  <c r="J37" i="7" s="1"/>
  <c r="I35" i="7"/>
  <c r="H35" i="7"/>
  <c r="H37" i="7" s="1"/>
  <c r="G35" i="7"/>
  <c r="G37" i="7" s="1"/>
  <c r="F35" i="7"/>
  <c r="F37" i="7" s="1"/>
  <c r="E35" i="7"/>
  <c r="D35" i="7"/>
  <c r="D37" i="7" s="1"/>
  <c r="C35" i="7"/>
  <c r="M22" i="7"/>
  <c r="C22" i="7"/>
  <c r="E22" i="7"/>
  <c r="E24" i="7" s="1"/>
  <c r="J22" i="7"/>
  <c r="J24" i="7" s="1"/>
  <c r="F22" i="7"/>
  <c r="F24" i="7" s="1"/>
  <c r="M10" i="7"/>
  <c r="L10" i="7"/>
  <c r="L12" i="7" s="1"/>
  <c r="K10" i="7"/>
  <c r="K12" i="7" s="1"/>
  <c r="J10" i="7"/>
  <c r="J12" i="7" s="1"/>
  <c r="I10" i="7"/>
  <c r="I12" i="7" s="1"/>
  <c r="H10" i="7"/>
  <c r="H12" i="7" s="1"/>
  <c r="G10" i="7"/>
  <c r="G12" i="7" s="1"/>
  <c r="F10" i="7"/>
  <c r="F12" i="7" s="1"/>
  <c r="E10" i="7"/>
  <c r="E12" i="7" s="1"/>
  <c r="D10" i="7"/>
  <c r="D12" i="7" s="1"/>
  <c r="C10" i="7"/>
  <c r="M35" i="6"/>
  <c r="M87" i="6"/>
  <c r="M142" i="6"/>
  <c r="M127" i="6"/>
  <c r="M112" i="6"/>
  <c r="M97" i="6"/>
  <c r="M72" i="6"/>
  <c r="M60" i="6"/>
  <c r="M48" i="6"/>
  <c r="M22" i="6"/>
  <c r="M10" i="6"/>
  <c r="N85" i="6"/>
  <c r="N70" i="6"/>
  <c r="N20" i="6"/>
  <c r="M161" i="7" l="1"/>
  <c r="F158" i="7"/>
  <c r="J158" i="7"/>
  <c r="H62" i="7"/>
  <c r="L62" i="7"/>
  <c r="D160" i="7"/>
  <c r="H160" i="7"/>
  <c r="G158" i="7"/>
  <c r="K158" i="7"/>
  <c r="E157" i="7"/>
  <c r="H50" i="7"/>
  <c r="L50" i="7"/>
  <c r="L160" i="7"/>
  <c r="J157" i="7"/>
  <c r="D22" i="7"/>
  <c r="D24" i="7" s="1"/>
  <c r="H22" i="7"/>
  <c r="H24" i="7" s="1"/>
  <c r="H157" i="7" s="1"/>
  <c r="I22" i="7"/>
  <c r="I24" i="7" s="1"/>
  <c r="L22" i="7"/>
  <c r="L24" i="7" s="1"/>
  <c r="G22" i="7"/>
  <c r="G24" i="7" s="1"/>
  <c r="J72" i="7"/>
  <c r="J74" i="7" s="1"/>
  <c r="K87" i="7"/>
  <c r="K89" i="7" s="1"/>
  <c r="J87" i="7"/>
  <c r="J89" i="7" s="1"/>
  <c r="F87" i="7"/>
  <c r="F89" i="7" s="1"/>
  <c r="F157" i="7"/>
  <c r="E37" i="7"/>
  <c r="I37" i="7"/>
  <c r="H158" i="7"/>
  <c r="G72" i="7"/>
  <c r="G74" i="7" s="1"/>
  <c r="K72" i="7"/>
  <c r="K74" i="7" s="1"/>
  <c r="D72" i="7"/>
  <c r="D74" i="7" s="1"/>
  <c r="L72" i="7"/>
  <c r="L74" i="7" s="1"/>
  <c r="F160" i="7"/>
  <c r="K22" i="7"/>
  <c r="K24" i="7" s="1"/>
  <c r="K157" i="7" s="1"/>
  <c r="F72" i="7"/>
  <c r="F74" i="7" s="1"/>
  <c r="D87" i="7"/>
  <c r="D89" i="7" s="1"/>
  <c r="H87" i="7"/>
  <c r="H89" i="7" s="1"/>
  <c r="L87" i="7"/>
  <c r="L89" i="7" s="1"/>
  <c r="G160" i="7"/>
  <c r="K160" i="7"/>
  <c r="J160" i="7"/>
  <c r="K161" i="7"/>
  <c r="E87" i="7"/>
  <c r="E89" i="7" s="1"/>
  <c r="E159" i="7" s="1"/>
  <c r="I87" i="7"/>
  <c r="I89" i="7" s="1"/>
  <c r="I159" i="7" s="1"/>
  <c r="I161" i="7"/>
  <c r="E161" i="7"/>
  <c r="M158" i="7"/>
  <c r="E114" i="7"/>
  <c r="I114" i="7"/>
  <c r="G161" i="7"/>
  <c r="M157" i="7"/>
  <c r="F129" i="7"/>
  <c r="J129" i="7"/>
  <c r="H144" i="7"/>
  <c r="H161" i="7" s="1"/>
  <c r="L144" i="7"/>
  <c r="L85" i="6"/>
  <c r="L70" i="6"/>
  <c r="L20" i="6"/>
  <c r="F159" i="7" l="1"/>
  <c r="J150" i="7"/>
  <c r="J156" i="7" s="1"/>
  <c r="H159" i="7"/>
  <c r="J159" i="7"/>
  <c r="E158" i="7"/>
  <c r="J161" i="7"/>
  <c r="K159" i="7"/>
  <c r="D159" i="7"/>
  <c r="D150" i="7"/>
  <c r="D156" i="7" s="1"/>
  <c r="K150" i="7"/>
  <c r="K156" i="7" s="1"/>
  <c r="L157" i="7"/>
  <c r="F161" i="7"/>
  <c r="L161" i="7"/>
  <c r="D161" i="7"/>
  <c r="F150" i="7"/>
  <c r="F156" i="7" s="1"/>
  <c r="D157" i="7"/>
  <c r="I157" i="7"/>
  <c r="E150" i="7"/>
  <c r="E156" i="7" s="1"/>
  <c r="L158" i="7"/>
  <c r="G159" i="7"/>
  <c r="G157" i="7"/>
  <c r="E160" i="7"/>
  <c r="L150" i="7"/>
  <c r="L156" i="7" s="1"/>
  <c r="I160" i="7"/>
  <c r="I158" i="7"/>
  <c r="L159" i="7"/>
  <c r="H150" i="7"/>
  <c r="H156" i="7" s="1"/>
  <c r="I150" i="7"/>
  <c r="I156" i="7" s="1"/>
  <c r="D158" i="7"/>
  <c r="G150" i="7"/>
  <c r="G156" i="7" s="1"/>
  <c r="U110" i="6"/>
  <c r="AA106" i="6"/>
  <c r="W105" i="6"/>
  <c r="W110" i="6" s="1"/>
  <c r="AA110" i="6" s="1"/>
  <c r="U104" i="6"/>
  <c r="W109" i="6" s="1"/>
  <c r="AA109" i="6" s="1"/>
  <c r="U103" i="6"/>
  <c r="U108" i="6" s="1"/>
  <c r="U102" i="6"/>
  <c r="W107" i="6" s="1"/>
  <c r="AA107" i="6" s="1"/>
  <c r="O111" i="6"/>
  <c r="O110" i="6"/>
  <c r="N111" i="6"/>
  <c r="N110" i="6"/>
  <c r="L111" i="6"/>
  <c r="L110" i="6"/>
  <c r="K111" i="6"/>
  <c r="K110" i="6"/>
  <c r="J111" i="6"/>
  <c r="J110" i="6"/>
  <c r="I111" i="6"/>
  <c r="I110" i="6"/>
  <c r="H111" i="6"/>
  <c r="H110" i="6"/>
  <c r="G111" i="6"/>
  <c r="G110" i="6"/>
  <c r="F111" i="6"/>
  <c r="F110" i="6"/>
  <c r="E111" i="6"/>
  <c r="E110" i="6"/>
  <c r="D111" i="6"/>
  <c r="D110" i="6"/>
  <c r="C110" i="6"/>
  <c r="O59" i="6"/>
  <c r="O60" i="6" s="1"/>
  <c r="N59" i="6"/>
  <c r="N60" i="6" s="1"/>
  <c r="U58" i="6"/>
  <c r="C60" i="6"/>
  <c r="U57" i="6"/>
  <c r="W56" i="6"/>
  <c r="W57" i="6" s="1"/>
  <c r="AA57" i="6" s="1"/>
  <c r="W108" i="6" l="1"/>
  <c r="AA108" i="6" s="1"/>
  <c r="U107" i="6"/>
  <c r="V104" i="6"/>
  <c r="U109" i="6"/>
  <c r="W58" i="6"/>
  <c r="AA58" i="6" s="1"/>
  <c r="G60" i="6"/>
  <c r="K60" i="6"/>
  <c r="E60" i="6"/>
  <c r="I60" i="6"/>
  <c r="F60" i="6"/>
  <c r="D60" i="6"/>
  <c r="H60" i="6"/>
  <c r="L60" i="6"/>
  <c r="J60" i="6"/>
  <c r="C136" i="2" l="1"/>
  <c r="D63" i="6" l="1"/>
  <c r="R169" i="6"/>
  <c r="R168" i="6"/>
  <c r="R167" i="6"/>
  <c r="R166" i="6"/>
  <c r="R165" i="6"/>
  <c r="R164" i="6"/>
  <c r="K85" i="6" l="1"/>
  <c r="K70" i="6"/>
  <c r="K20" i="6"/>
  <c r="J70" i="6" l="1"/>
  <c r="J85" i="6"/>
  <c r="J20" i="6"/>
  <c r="U19" i="6" l="1"/>
  <c r="U18" i="6"/>
  <c r="I70" i="6" l="1"/>
  <c r="I85" i="6"/>
  <c r="I20" i="6"/>
  <c r="H70" i="6" l="1"/>
  <c r="H85" i="6"/>
  <c r="H20" i="6"/>
  <c r="G85" i="6" l="1"/>
  <c r="G70" i="6"/>
  <c r="G20" i="6"/>
  <c r="F70" i="6" l="1"/>
  <c r="F85" i="6"/>
  <c r="F20" i="6"/>
  <c r="E70" i="6" l="1"/>
  <c r="E85" i="6"/>
  <c r="E20" i="6"/>
  <c r="D70" i="6" l="1"/>
  <c r="D85" i="6"/>
  <c r="D20" i="6"/>
  <c r="U77" i="6" l="1"/>
  <c r="U27" i="6"/>
  <c r="C85" i="6" l="1"/>
  <c r="C70" i="6"/>
  <c r="C20" i="6"/>
  <c r="O21" i="6" l="1"/>
  <c r="O22" i="6" s="1"/>
  <c r="O71" i="6"/>
  <c r="O72" i="6" s="1"/>
  <c r="O86" i="6"/>
  <c r="O87" i="6" s="1"/>
  <c r="O112" i="6"/>
  <c r="O126" i="6"/>
  <c r="O125" i="6"/>
  <c r="O141" i="6"/>
  <c r="O140" i="6"/>
  <c r="F140" i="6"/>
  <c r="E140" i="6"/>
  <c r="D140" i="6"/>
  <c r="C141" i="6"/>
  <c r="C140" i="6"/>
  <c r="C126" i="6"/>
  <c r="C125" i="6"/>
  <c r="C112" i="6"/>
  <c r="N141" i="6"/>
  <c r="L141" i="6"/>
  <c r="K141" i="6"/>
  <c r="J141" i="6"/>
  <c r="N140" i="6"/>
  <c r="N142" i="6" s="1"/>
  <c r="L140" i="6"/>
  <c r="K140" i="6"/>
  <c r="K142" i="6" s="1"/>
  <c r="J140" i="6"/>
  <c r="J142" i="6" s="1"/>
  <c r="N126" i="6"/>
  <c r="L126" i="6"/>
  <c r="K126" i="6"/>
  <c r="J126" i="6"/>
  <c r="N125" i="6"/>
  <c r="N127" i="6" s="1"/>
  <c r="L125" i="6"/>
  <c r="L127" i="6" s="1"/>
  <c r="K125" i="6"/>
  <c r="K127" i="6" s="1"/>
  <c r="J125" i="6"/>
  <c r="J127" i="6" s="1"/>
  <c r="N112" i="6"/>
  <c r="L112" i="6"/>
  <c r="K112" i="6"/>
  <c r="J112" i="6"/>
  <c r="N97" i="6"/>
  <c r="L97" i="6"/>
  <c r="K97" i="6"/>
  <c r="J97" i="6"/>
  <c r="N86" i="6"/>
  <c r="N87" i="6" s="1"/>
  <c r="L86" i="6"/>
  <c r="L87" i="6" s="1"/>
  <c r="K86" i="6"/>
  <c r="K87" i="6" s="1"/>
  <c r="J86" i="6"/>
  <c r="J87" i="6" s="1"/>
  <c r="N71" i="6"/>
  <c r="N72" i="6" s="1"/>
  <c r="L71" i="6"/>
  <c r="L72" i="6" s="1"/>
  <c r="K71" i="6"/>
  <c r="K72" i="6" s="1"/>
  <c r="J71" i="6"/>
  <c r="J72" i="6" s="1"/>
  <c r="N48" i="6"/>
  <c r="L48" i="6"/>
  <c r="K48" i="6"/>
  <c r="J48" i="6"/>
  <c r="N35" i="6"/>
  <c r="L35" i="6"/>
  <c r="K35" i="6"/>
  <c r="J35" i="6"/>
  <c r="N21" i="6"/>
  <c r="N22" i="6" s="1"/>
  <c r="L21" i="6"/>
  <c r="L22" i="6" s="1"/>
  <c r="K21" i="6"/>
  <c r="K22" i="6" s="1"/>
  <c r="J21" i="6"/>
  <c r="J22" i="6" s="1"/>
  <c r="N10" i="6"/>
  <c r="L10" i="6"/>
  <c r="K10" i="6"/>
  <c r="J10" i="6"/>
  <c r="I141" i="6"/>
  <c r="H141" i="6"/>
  <c r="G141" i="6"/>
  <c r="F141" i="6"/>
  <c r="E141" i="6"/>
  <c r="D141" i="6"/>
  <c r="I140" i="6"/>
  <c r="H140" i="6"/>
  <c r="G140" i="6"/>
  <c r="U138" i="6"/>
  <c r="W135" i="6"/>
  <c r="W138" i="6" s="1"/>
  <c r="AA138" i="6" s="1"/>
  <c r="U134" i="6"/>
  <c r="U133" i="6"/>
  <c r="W136" i="6" s="1"/>
  <c r="AA136" i="6" s="1"/>
  <c r="I126" i="6"/>
  <c r="H126" i="6"/>
  <c r="G126" i="6"/>
  <c r="F126" i="6"/>
  <c r="E126" i="6"/>
  <c r="D126" i="6"/>
  <c r="I125" i="6"/>
  <c r="H125" i="6"/>
  <c r="G125" i="6"/>
  <c r="F125" i="6"/>
  <c r="E125" i="6"/>
  <c r="D125" i="6"/>
  <c r="U123" i="6"/>
  <c r="W120" i="6"/>
  <c r="W123" i="6" s="1"/>
  <c r="AA123" i="6" s="1"/>
  <c r="U119" i="6"/>
  <c r="U122" i="6" s="1"/>
  <c r="U118" i="6"/>
  <c r="U121" i="6" s="1"/>
  <c r="I112" i="6"/>
  <c r="H112" i="6"/>
  <c r="G112" i="6"/>
  <c r="F112" i="6"/>
  <c r="E112" i="6"/>
  <c r="D112" i="6"/>
  <c r="U97" i="6"/>
  <c r="O97" i="6"/>
  <c r="I97" i="6"/>
  <c r="H97" i="6"/>
  <c r="G97" i="6"/>
  <c r="F97" i="6"/>
  <c r="E97" i="6"/>
  <c r="D97" i="6"/>
  <c r="C97" i="6"/>
  <c r="U96" i="6"/>
  <c r="W95" i="6"/>
  <c r="W96" i="6" s="1"/>
  <c r="AA96" i="6" s="1"/>
  <c r="I86" i="6"/>
  <c r="I87" i="6" s="1"/>
  <c r="H86" i="6"/>
  <c r="H87" i="6" s="1"/>
  <c r="G86" i="6"/>
  <c r="G87" i="6" s="1"/>
  <c r="F86" i="6"/>
  <c r="F87" i="6" s="1"/>
  <c r="E86" i="6"/>
  <c r="E87" i="6" s="1"/>
  <c r="D86" i="6"/>
  <c r="D87" i="6" s="1"/>
  <c r="U85" i="6"/>
  <c r="AA81" i="6"/>
  <c r="W80" i="6"/>
  <c r="W85" i="6" s="1"/>
  <c r="AA85" i="6" s="1"/>
  <c r="U79" i="6"/>
  <c r="W84" i="6" s="1"/>
  <c r="AA84" i="6" s="1"/>
  <c r="U78" i="6"/>
  <c r="U83" i="6" s="1"/>
  <c r="W82" i="6"/>
  <c r="AA82" i="6" s="1"/>
  <c r="I71" i="6"/>
  <c r="I72" i="6" s="1"/>
  <c r="H71" i="6"/>
  <c r="H72" i="6" s="1"/>
  <c r="G71" i="6"/>
  <c r="G72" i="6" s="1"/>
  <c r="F71" i="6"/>
  <c r="F72" i="6" s="1"/>
  <c r="E71" i="6"/>
  <c r="E72" i="6" s="1"/>
  <c r="D71" i="6"/>
  <c r="D72" i="6" s="1"/>
  <c r="U70" i="6"/>
  <c r="U69" i="6"/>
  <c r="W68" i="6"/>
  <c r="W70" i="6" s="1"/>
  <c r="AA70" i="6" s="1"/>
  <c r="U48" i="6"/>
  <c r="O48" i="6"/>
  <c r="I48" i="6"/>
  <c r="H48" i="6"/>
  <c r="G48" i="6"/>
  <c r="F48" i="6"/>
  <c r="E48" i="6"/>
  <c r="D48" i="6"/>
  <c r="C48" i="6"/>
  <c r="AA44" i="6"/>
  <c r="W43" i="6"/>
  <c r="W48" i="6" s="1"/>
  <c r="AA48" i="6" s="1"/>
  <c r="U42" i="6"/>
  <c r="W47" i="6" s="1"/>
  <c r="AA47" i="6" s="1"/>
  <c r="U41" i="6"/>
  <c r="U40" i="6"/>
  <c r="W45" i="6" s="1"/>
  <c r="AA45" i="6" s="1"/>
  <c r="U35" i="6"/>
  <c r="O35" i="6"/>
  <c r="I35" i="6"/>
  <c r="H35" i="6"/>
  <c r="G35" i="6"/>
  <c r="F35" i="6"/>
  <c r="E35" i="6"/>
  <c r="D35" i="6"/>
  <c r="C35" i="6"/>
  <c r="AA31" i="6"/>
  <c r="W30" i="6"/>
  <c r="W35" i="6" s="1"/>
  <c r="AA35" i="6" s="1"/>
  <c r="U29" i="6"/>
  <c r="U34" i="6" s="1"/>
  <c r="U28" i="6"/>
  <c r="W33" i="6" s="1"/>
  <c r="AA33" i="6" s="1"/>
  <c r="W32" i="6"/>
  <c r="AA32" i="6" s="1"/>
  <c r="I21" i="6"/>
  <c r="I22" i="6" s="1"/>
  <c r="H21" i="6"/>
  <c r="H22" i="6" s="1"/>
  <c r="G21" i="6"/>
  <c r="G22" i="6" s="1"/>
  <c r="F21" i="6"/>
  <c r="F22" i="6" s="1"/>
  <c r="E21" i="6"/>
  <c r="E22" i="6" s="1"/>
  <c r="D21" i="6"/>
  <c r="D22" i="6" s="1"/>
  <c r="W17" i="6"/>
  <c r="W18" i="6" s="1"/>
  <c r="AA18" i="6" s="1"/>
  <c r="U10" i="6"/>
  <c r="O10" i="6"/>
  <c r="I10" i="6"/>
  <c r="H10" i="6"/>
  <c r="G10" i="6"/>
  <c r="F10" i="6"/>
  <c r="E10" i="6"/>
  <c r="D10" i="6"/>
  <c r="C10" i="6"/>
  <c r="U9" i="6"/>
  <c r="W8" i="6"/>
  <c r="W9" i="6" s="1"/>
  <c r="AA9" i="6" s="1"/>
  <c r="O127" i="6" l="1"/>
  <c r="D142" i="6"/>
  <c r="I142" i="6"/>
  <c r="O142" i="6"/>
  <c r="L142" i="6"/>
  <c r="U136" i="6"/>
  <c r="E142" i="6"/>
  <c r="F142" i="6"/>
  <c r="G127" i="6"/>
  <c r="F127" i="6"/>
  <c r="C127" i="6"/>
  <c r="D127" i="6"/>
  <c r="H127" i="6"/>
  <c r="G142" i="6"/>
  <c r="E127" i="6"/>
  <c r="I127" i="6"/>
  <c r="H142" i="6"/>
  <c r="C142" i="6"/>
  <c r="V42" i="6"/>
  <c r="U45" i="6"/>
  <c r="W34" i="6"/>
  <c r="AA34" i="6" s="1"/>
  <c r="U84" i="6"/>
  <c r="W122" i="6"/>
  <c r="AA122" i="6" s="1"/>
  <c r="U33" i="6"/>
  <c r="W69" i="6"/>
  <c r="AA69" i="6" s="1"/>
  <c r="V119" i="6"/>
  <c r="U47" i="6"/>
  <c r="U82" i="6"/>
  <c r="W121" i="6"/>
  <c r="AA121" i="6" s="1"/>
  <c r="W10" i="6"/>
  <c r="AA10" i="6" s="1"/>
  <c r="W19" i="6"/>
  <c r="AA19" i="6" s="1"/>
  <c r="U32" i="6"/>
  <c r="V29" i="6"/>
  <c r="U46" i="6"/>
  <c r="W46" i="6"/>
  <c r="AA46" i="6" s="1"/>
  <c r="W137" i="6"/>
  <c r="AA137" i="6" s="1"/>
  <c r="U137" i="6"/>
  <c r="W97" i="6"/>
  <c r="AA97" i="6" s="1"/>
  <c r="V79" i="6"/>
  <c r="W83" i="6"/>
  <c r="AA83" i="6" s="1"/>
  <c r="V134" i="6"/>
  <c r="F73" i="2"/>
  <c r="C86" i="6" s="1"/>
  <c r="C87" i="6" s="1"/>
  <c r="F58" i="2"/>
  <c r="C71" i="6" s="1"/>
  <c r="C72" i="6" s="1"/>
  <c r="F20" i="2"/>
  <c r="C21" i="6" s="1"/>
  <c r="C22" i="6" s="1"/>
  <c r="N120" i="2" l="1"/>
  <c r="N105" i="2"/>
  <c r="N93" i="2"/>
  <c r="N83" i="2"/>
  <c r="N68" i="2"/>
  <c r="N56" i="2"/>
  <c r="N43" i="2"/>
  <c r="N30" i="2"/>
  <c r="N8" i="2"/>
  <c r="N17" i="2"/>
  <c r="E73" i="2" l="1"/>
  <c r="E58" i="2"/>
  <c r="E20" i="2"/>
  <c r="D73" i="2" l="1"/>
  <c r="D58" i="2"/>
  <c r="D20" i="2"/>
  <c r="L35" i="2" l="1"/>
  <c r="L27" i="2"/>
  <c r="L29" i="2"/>
  <c r="L28" i="2"/>
  <c r="M29" i="2" s="1"/>
  <c r="D194" i="4" l="1"/>
  <c r="D193" i="4"/>
  <c r="D195" i="4" s="1"/>
  <c r="E192" i="4"/>
  <c r="E194" i="4" s="1"/>
  <c r="E191" i="4"/>
  <c r="F191" i="4" s="1"/>
  <c r="F193" i="4" s="1"/>
  <c r="O190" i="4"/>
  <c r="N190" i="4"/>
  <c r="M190" i="4"/>
  <c r="L190" i="4"/>
  <c r="K190" i="4"/>
  <c r="J190" i="4"/>
  <c r="I190" i="4"/>
  <c r="H190" i="4"/>
  <c r="G190" i="4"/>
  <c r="F190" i="4"/>
  <c r="E190" i="4"/>
  <c r="D190" i="4"/>
  <c r="D184" i="4"/>
  <c r="D183" i="4"/>
  <c r="E182" i="4"/>
  <c r="E184" i="4" s="1"/>
  <c r="E181" i="4"/>
  <c r="O180" i="4"/>
  <c r="N180" i="4"/>
  <c r="M180" i="4"/>
  <c r="L180" i="4"/>
  <c r="K180" i="4"/>
  <c r="J180" i="4"/>
  <c r="I180" i="4"/>
  <c r="H180" i="4"/>
  <c r="G180" i="4"/>
  <c r="F180" i="4"/>
  <c r="E180" i="4"/>
  <c r="D180" i="4"/>
  <c r="O177" i="4"/>
  <c r="N177" i="4"/>
  <c r="M177" i="4"/>
  <c r="L177" i="4"/>
  <c r="K177" i="4"/>
  <c r="J177" i="4"/>
  <c r="I177" i="4"/>
  <c r="H177" i="4"/>
  <c r="G177" i="4"/>
  <c r="F177" i="4"/>
  <c r="E177" i="4"/>
  <c r="D177" i="4"/>
  <c r="D185" i="4" s="1"/>
  <c r="O174" i="4"/>
  <c r="N174" i="4"/>
  <c r="M174" i="4"/>
  <c r="L174" i="4"/>
  <c r="K174" i="4"/>
  <c r="J174" i="4"/>
  <c r="I174" i="4"/>
  <c r="H174" i="4"/>
  <c r="G174" i="4"/>
  <c r="F174" i="4"/>
  <c r="E174" i="4"/>
  <c r="D174" i="4"/>
  <c r="D168" i="4"/>
  <c r="D169" i="4" s="1"/>
  <c r="E167" i="4"/>
  <c r="E168" i="4" s="1"/>
  <c r="D162" i="4"/>
  <c r="D161" i="4"/>
  <c r="D160" i="4"/>
  <c r="E159" i="4"/>
  <c r="F159" i="4" s="1"/>
  <c r="F162" i="4" s="1"/>
  <c r="E158" i="4"/>
  <c r="E161" i="4" s="1"/>
  <c r="E157" i="4"/>
  <c r="O156" i="4"/>
  <c r="N156" i="4"/>
  <c r="M156" i="4"/>
  <c r="L156" i="4"/>
  <c r="K156" i="4"/>
  <c r="J156" i="4"/>
  <c r="I156" i="4"/>
  <c r="H156" i="4"/>
  <c r="G156" i="4"/>
  <c r="F156" i="4"/>
  <c r="E156" i="4"/>
  <c r="D156" i="4"/>
  <c r="D149" i="4"/>
  <c r="D148" i="4"/>
  <c r="D147" i="4"/>
  <c r="E146" i="4"/>
  <c r="E149" i="4" s="1"/>
  <c r="E145" i="4"/>
  <c r="E148" i="4" s="1"/>
  <c r="E144" i="4"/>
  <c r="E147" i="4" s="1"/>
  <c r="O143" i="4"/>
  <c r="N143" i="4"/>
  <c r="M143" i="4"/>
  <c r="L143" i="4"/>
  <c r="K143" i="4"/>
  <c r="J143" i="4"/>
  <c r="I143" i="4"/>
  <c r="H143" i="4"/>
  <c r="G143" i="4"/>
  <c r="F143" i="4"/>
  <c r="E143" i="4"/>
  <c r="D143" i="4"/>
  <c r="D136" i="4"/>
  <c r="D137" i="4" s="1"/>
  <c r="E135" i="4"/>
  <c r="F135" i="4" s="1"/>
  <c r="F136" i="4" s="1"/>
  <c r="F137" i="4" s="1"/>
  <c r="D130" i="4"/>
  <c r="D131" i="4" s="1"/>
  <c r="E129" i="4"/>
  <c r="F129" i="4" s="1"/>
  <c r="D124" i="4"/>
  <c r="D125" i="4" s="1"/>
  <c r="E123" i="4"/>
  <c r="F123" i="4" s="1"/>
  <c r="D194" i="1"/>
  <c r="D193" i="1"/>
  <c r="D195" i="1" s="1"/>
  <c r="E192" i="1"/>
  <c r="E194" i="1" s="1"/>
  <c r="E191" i="1"/>
  <c r="F191" i="1" s="1"/>
  <c r="G191" i="1" s="1"/>
  <c r="G193" i="1" s="1"/>
  <c r="O190" i="1"/>
  <c r="N190" i="1"/>
  <c r="M190" i="1"/>
  <c r="L190" i="1"/>
  <c r="K190" i="1"/>
  <c r="J190" i="1"/>
  <c r="I190" i="1"/>
  <c r="H190" i="1"/>
  <c r="G190" i="1"/>
  <c r="F190" i="1"/>
  <c r="E190" i="1"/>
  <c r="D190" i="1"/>
  <c r="D184" i="1"/>
  <c r="D183" i="1"/>
  <c r="E182" i="1"/>
  <c r="E184" i="1" s="1"/>
  <c r="E181" i="1"/>
  <c r="F181" i="1" s="1"/>
  <c r="F183" i="1" s="1"/>
  <c r="O180" i="1"/>
  <c r="N180" i="1"/>
  <c r="M180" i="1"/>
  <c r="L180" i="1"/>
  <c r="K180" i="1"/>
  <c r="J180" i="1"/>
  <c r="I180" i="1"/>
  <c r="H180" i="1"/>
  <c r="G180" i="1"/>
  <c r="F180" i="1"/>
  <c r="E180" i="1"/>
  <c r="D180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D168" i="1"/>
  <c r="D175" i="1" s="1"/>
  <c r="E167" i="1"/>
  <c r="F167" i="1" s="1"/>
  <c r="G167" i="1" s="1"/>
  <c r="D162" i="1"/>
  <c r="D161" i="1"/>
  <c r="D160" i="1"/>
  <c r="E159" i="1"/>
  <c r="F159" i="1" s="1"/>
  <c r="E158" i="1"/>
  <c r="F158" i="1" s="1"/>
  <c r="F161" i="1" s="1"/>
  <c r="E157" i="1"/>
  <c r="E160" i="1" s="1"/>
  <c r="O156" i="1"/>
  <c r="N156" i="1"/>
  <c r="M156" i="1"/>
  <c r="L156" i="1"/>
  <c r="K156" i="1"/>
  <c r="J156" i="1"/>
  <c r="I156" i="1"/>
  <c r="H156" i="1"/>
  <c r="G156" i="1"/>
  <c r="F156" i="1"/>
  <c r="E156" i="1"/>
  <c r="D156" i="1"/>
  <c r="D149" i="1"/>
  <c r="D148" i="1"/>
  <c r="D147" i="1"/>
  <c r="E146" i="1"/>
  <c r="E149" i="1" s="1"/>
  <c r="E145" i="1"/>
  <c r="E148" i="1" s="1"/>
  <c r="E144" i="1"/>
  <c r="F144" i="1" s="1"/>
  <c r="G144" i="1" s="1"/>
  <c r="O143" i="1"/>
  <c r="N143" i="1"/>
  <c r="M143" i="1"/>
  <c r="L143" i="1"/>
  <c r="K143" i="1"/>
  <c r="J143" i="1"/>
  <c r="I143" i="1"/>
  <c r="H143" i="1"/>
  <c r="G143" i="1"/>
  <c r="F143" i="1"/>
  <c r="E143" i="1"/>
  <c r="D143" i="1"/>
  <c r="D136" i="1"/>
  <c r="D137" i="1" s="1"/>
  <c r="E135" i="1"/>
  <c r="E136" i="1" s="1"/>
  <c r="E137" i="1" s="1"/>
  <c r="D130" i="1"/>
  <c r="D131" i="1" s="1"/>
  <c r="E129" i="1"/>
  <c r="E130" i="1" s="1"/>
  <c r="E131" i="1" s="1"/>
  <c r="D124" i="1"/>
  <c r="D125" i="1" s="1"/>
  <c r="E123" i="1"/>
  <c r="F123" i="1" s="1"/>
  <c r="E150" i="4" l="1"/>
  <c r="F157" i="1"/>
  <c r="F160" i="1" s="1"/>
  <c r="F158" i="4"/>
  <c r="F146" i="4"/>
  <c r="F149" i="4" s="1"/>
  <c r="F129" i="1"/>
  <c r="F130" i="1" s="1"/>
  <c r="F131" i="1" s="1"/>
  <c r="D163" i="1"/>
  <c r="D185" i="1"/>
  <c r="F192" i="4"/>
  <c r="G192" i="4" s="1"/>
  <c r="G194" i="4" s="1"/>
  <c r="E168" i="1"/>
  <c r="E175" i="1" s="1"/>
  <c r="E162" i="1"/>
  <c r="F147" i="1"/>
  <c r="G135" i="4"/>
  <c r="E161" i="1"/>
  <c r="E183" i="1"/>
  <c r="E185" i="1" s="1"/>
  <c r="D163" i="4"/>
  <c r="F167" i="4"/>
  <c r="G167" i="4" s="1"/>
  <c r="G168" i="4" s="1"/>
  <c r="G169" i="4" s="1"/>
  <c r="F182" i="4"/>
  <c r="G182" i="4" s="1"/>
  <c r="G184" i="4" s="1"/>
  <c r="G191" i="4"/>
  <c r="H191" i="4" s="1"/>
  <c r="E136" i="4"/>
  <c r="E137" i="4" s="1"/>
  <c r="F135" i="1"/>
  <c r="D150" i="1"/>
  <c r="D150" i="4"/>
  <c r="G123" i="4"/>
  <c r="F124" i="4"/>
  <c r="F125" i="4" s="1"/>
  <c r="G129" i="4"/>
  <c r="F130" i="4"/>
  <c r="F131" i="4" s="1"/>
  <c r="E130" i="4"/>
  <c r="E131" i="4" s="1"/>
  <c r="E124" i="4"/>
  <c r="E125" i="4" s="1"/>
  <c r="F144" i="4"/>
  <c r="F145" i="4"/>
  <c r="G175" i="4"/>
  <c r="E183" i="4"/>
  <c r="E185" i="4" s="1"/>
  <c r="F181" i="4"/>
  <c r="E160" i="4"/>
  <c r="F157" i="4"/>
  <c r="F161" i="4"/>
  <c r="G158" i="4"/>
  <c r="G159" i="4"/>
  <c r="D175" i="4"/>
  <c r="E175" i="4"/>
  <c r="E169" i="4"/>
  <c r="E193" i="4"/>
  <c r="E195" i="4" s="1"/>
  <c r="E162" i="4"/>
  <c r="G123" i="1"/>
  <c r="F124" i="1"/>
  <c r="F125" i="1" s="1"/>
  <c r="G147" i="1"/>
  <c r="H144" i="1"/>
  <c r="E124" i="1"/>
  <c r="E125" i="1" s="1"/>
  <c r="E193" i="1"/>
  <c r="E195" i="1" s="1"/>
  <c r="F146" i="1"/>
  <c r="G158" i="1"/>
  <c r="H191" i="1"/>
  <c r="F193" i="1"/>
  <c r="F162" i="1"/>
  <c r="F163" i="1" s="1"/>
  <c r="G159" i="1"/>
  <c r="G181" i="1"/>
  <c r="F192" i="1"/>
  <c r="E147" i="1"/>
  <c r="E150" i="1" s="1"/>
  <c r="G157" i="1"/>
  <c r="F168" i="1"/>
  <c r="G168" i="1"/>
  <c r="H167" i="1"/>
  <c r="F145" i="1"/>
  <c r="D169" i="1"/>
  <c r="F182" i="1"/>
  <c r="C131" i="5"/>
  <c r="N106" i="5"/>
  <c r="M106" i="5"/>
  <c r="L106" i="5"/>
  <c r="K106" i="5"/>
  <c r="J106" i="5"/>
  <c r="I106" i="5"/>
  <c r="H106" i="5"/>
  <c r="G106" i="5"/>
  <c r="F106" i="5"/>
  <c r="E106" i="5"/>
  <c r="D106" i="5"/>
  <c r="C106" i="5"/>
  <c r="N105" i="5"/>
  <c r="N107" i="5" s="1"/>
  <c r="M105" i="5"/>
  <c r="M107" i="5" s="1"/>
  <c r="L105" i="5"/>
  <c r="L107" i="5" s="1"/>
  <c r="K105" i="5"/>
  <c r="K107" i="5" s="1"/>
  <c r="K108" i="5" s="1"/>
  <c r="J105" i="5"/>
  <c r="J107" i="5" s="1"/>
  <c r="I105" i="5"/>
  <c r="I107" i="5" s="1"/>
  <c r="H105" i="5"/>
  <c r="H107" i="5" s="1"/>
  <c r="G105" i="5"/>
  <c r="G107" i="5" s="1"/>
  <c r="G108" i="5" s="1"/>
  <c r="F105" i="5"/>
  <c r="F107" i="5" s="1"/>
  <c r="E105" i="5"/>
  <c r="E107" i="5" s="1"/>
  <c r="D105" i="5"/>
  <c r="D107" i="5" s="1"/>
  <c r="C105" i="5"/>
  <c r="U103" i="5"/>
  <c r="Y103" i="5" s="1"/>
  <c r="S103" i="5"/>
  <c r="C102" i="5"/>
  <c r="C101" i="5"/>
  <c r="S99" i="5"/>
  <c r="U102" i="5" s="1"/>
  <c r="Y102" i="5" s="1"/>
  <c r="S98" i="5"/>
  <c r="S101" i="5" s="1"/>
  <c r="N93" i="5"/>
  <c r="M93" i="5"/>
  <c r="L93" i="5"/>
  <c r="K93" i="5"/>
  <c r="J93" i="5"/>
  <c r="I93" i="5"/>
  <c r="H93" i="5"/>
  <c r="G93" i="5"/>
  <c r="F93" i="5"/>
  <c r="E93" i="5"/>
  <c r="D93" i="5"/>
  <c r="C93" i="5"/>
  <c r="N92" i="5"/>
  <c r="N94" i="5" s="1"/>
  <c r="M92" i="5"/>
  <c r="M94" i="5" s="1"/>
  <c r="L92" i="5"/>
  <c r="L94" i="5" s="1"/>
  <c r="K92" i="5"/>
  <c r="K94" i="5" s="1"/>
  <c r="J92" i="5"/>
  <c r="J94" i="5" s="1"/>
  <c r="I92" i="5"/>
  <c r="I94" i="5" s="1"/>
  <c r="H92" i="5"/>
  <c r="H94" i="5" s="1"/>
  <c r="G92" i="5"/>
  <c r="G94" i="5" s="1"/>
  <c r="F92" i="5"/>
  <c r="F94" i="5" s="1"/>
  <c r="E92" i="5"/>
  <c r="E94" i="5" s="1"/>
  <c r="D92" i="5"/>
  <c r="D94" i="5" s="1"/>
  <c r="C92" i="5"/>
  <c r="U90" i="5"/>
  <c r="Y90" i="5" s="1"/>
  <c r="S90" i="5"/>
  <c r="C89" i="5"/>
  <c r="C88" i="5"/>
  <c r="S86" i="5"/>
  <c r="U89" i="5" s="1"/>
  <c r="Y89" i="5" s="1"/>
  <c r="S85" i="5"/>
  <c r="S88" i="5" s="1"/>
  <c r="N80" i="5"/>
  <c r="N81" i="5" s="1"/>
  <c r="M80" i="5"/>
  <c r="M81" i="5" s="1"/>
  <c r="L80" i="5"/>
  <c r="L81" i="5" s="1"/>
  <c r="K80" i="5"/>
  <c r="K81" i="5" s="1"/>
  <c r="K82" i="5" s="1"/>
  <c r="J80" i="5"/>
  <c r="J81" i="5" s="1"/>
  <c r="I80" i="5"/>
  <c r="I81" i="5" s="1"/>
  <c r="H80" i="5"/>
  <c r="H81" i="5" s="1"/>
  <c r="G80" i="5"/>
  <c r="G81" i="5" s="1"/>
  <c r="F80" i="5"/>
  <c r="F81" i="5" s="1"/>
  <c r="E80" i="5"/>
  <c r="E81" i="5" s="1"/>
  <c r="D80" i="5"/>
  <c r="D81" i="5" s="1"/>
  <c r="C80" i="5"/>
  <c r="U79" i="5"/>
  <c r="Y79" i="5" s="1"/>
  <c r="S79" i="5"/>
  <c r="U78" i="5"/>
  <c r="Y78" i="5" s="1"/>
  <c r="S78" i="5"/>
  <c r="C78" i="5"/>
  <c r="U71" i="5"/>
  <c r="Y71" i="5" s="1"/>
  <c r="S71" i="5"/>
  <c r="N71" i="5"/>
  <c r="M71" i="5"/>
  <c r="L71" i="5"/>
  <c r="K71" i="5"/>
  <c r="K72" i="5" s="1"/>
  <c r="J71" i="5"/>
  <c r="J72" i="5" s="1"/>
  <c r="I71" i="5"/>
  <c r="H71" i="5"/>
  <c r="G71" i="5"/>
  <c r="G72" i="5" s="1"/>
  <c r="F71" i="5"/>
  <c r="F72" i="5" s="1"/>
  <c r="E71" i="5"/>
  <c r="D71" i="5"/>
  <c r="U70" i="5"/>
  <c r="Y70" i="5" s="1"/>
  <c r="S70" i="5"/>
  <c r="C70" i="5"/>
  <c r="C71" i="5" s="1"/>
  <c r="N62" i="5"/>
  <c r="N63" i="5" s="1"/>
  <c r="M62" i="5"/>
  <c r="M63" i="5" s="1"/>
  <c r="L62" i="5"/>
  <c r="L63" i="5" s="1"/>
  <c r="K62" i="5"/>
  <c r="K63" i="5" s="1"/>
  <c r="J62" i="5"/>
  <c r="J63" i="5" s="1"/>
  <c r="I62" i="5"/>
  <c r="I63" i="5" s="1"/>
  <c r="H62" i="5"/>
  <c r="H63" i="5" s="1"/>
  <c r="G62" i="5"/>
  <c r="G63" i="5" s="1"/>
  <c r="F62" i="5"/>
  <c r="F63" i="5" s="1"/>
  <c r="E62" i="5"/>
  <c r="E63" i="5" s="1"/>
  <c r="E64" i="5" s="1"/>
  <c r="C62" i="5"/>
  <c r="U61" i="5"/>
  <c r="Y61" i="5" s="1"/>
  <c r="S61" i="5"/>
  <c r="C61" i="5"/>
  <c r="D62" i="5" s="1"/>
  <c r="D63" i="5" s="1"/>
  <c r="U57" i="5"/>
  <c r="Y57" i="5" s="1"/>
  <c r="S57" i="5"/>
  <c r="C57" i="5"/>
  <c r="S55" i="5"/>
  <c r="S60" i="5" s="1"/>
  <c r="S54" i="5"/>
  <c r="S59" i="5" s="1"/>
  <c r="S53" i="5"/>
  <c r="U58" i="5" s="1"/>
  <c r="Y58" i="5" s="1"/>
  <c r="N49" i="5"/>
  <c r="N50" i="5" s="1"/>
  <c r="M49" i="5"/>
  <c r="M50" i="5" s="1"/>
  <c r="M51" i="5" s="1"/>
  <c r="L49" i="5"/>
  <c r="L50" i="5" s="1"/>
  <c r="K49" i="5"/>
  <c r="K50" i="5" s="1"/>
  <c r="J49" i="5"/>
  <c r="J50" i="5" s="1"/>
  <c r="I49" i="5"/>
  <c r="I50" i="5" s="1"/>
  <c r="H49" i="5"/>
  <c r="H50" i="5" s="1"/>
  <c r="G49" i="5"/>
  <c r="G50" i="5" s="1"/>
  <c r="G51" i="5" s="1"/>
  <c r="F49" i="5"/>
  <c r="F50" i="5" s="1"/>
  <c r="E49" i="5"/>
  <c r="E50" i="5" s="1"/>
  <c r="C49" i="5"/>
  <c r="U48" i="5"/>
  <c r="Y48" i="5" s="1"/>
  <c r="S48" i="5"/>
  <c r="C48" i="5"/>
  <c r="D49" i="5" s="1"/>
  <c r="D50" i="5" s="1"/>
  <c r="U47" i="5"/>
  <c r="Y47" i="5" s="1"/>
  <c r="S47" i="5"/>
  <c r="C47" i="5"/>
  <c r="U40" i="5"/>
  <c r="Y40" i="5" s="1"/>
  <c r="S40" i="5"/>
  <c r="N40" i="5"/>
  <c r="N41" i="5" s="1"/>
  <c r="M40" i="5"/>
  <c r="M41" i="5" s="1"/>
  <c r="L40" i="5"/>
  <c r="K40" i="5"/>
  <c r="J40" i="5"/>
  <c r="J41" i="5" s="1"/>
  <c r="I40" i="5"/>
  <c r="I41" i="5" s="1"/>
  <c r="H40" i="5"/>
  <c r="G40" i="5"/>
  <c r="G41" i="5" s="1"/>
  <c r="F40" i="5"/>
  <c r="F41" i="5" s="1"/>
  <c r="E40" i="5"/>
  <c r="D40" i="5"/>
  <c r="U36" i="5"/>
  <c r="Y36" i="5" s="1"/>
  <c r="S36" i="5"/>
  <c r="C36" i="5"/>
  <c r="C40" i="5" s="1"/>
  <c r="C41" i="5" s="1"/>
  <c r="S34" i="5"/>
  <c r="S39" i="5" s="1"/>
  <c r="S33" i="5"/>
  <c r="U38" i="5" s="1"/>
  <c r="Y38" i="5" s="1"/>
  <c r="S32" i="5"/>
  <c r="S37" i="5" s="1"/>
  <c r="U29" i="5"/>
  <c r="Y29" i="5" s="1"/>
  <c r="S29" i="5"/>
  <c r="N29" i="5"/>
  <c r="N30" i="5" s="1"/>
  <c r="M29" i="5"/>
  <c r="M30" i="5" s="1"/>
  <c r="L29" i="5"/>
  <c r="K29" i="5"/>
  <c r="J29" i="5"/>
  <c r="J30" i="5" s="1"/>
  <c r="I29" i="5"/>
  <c r="I30" i="5" s="1"/>
  <c r="H29" i="5"/>
  <c r="G29" i="5"/>
  <c r="F29" i="5"/>
  <c r="F30" i="5" s="1"/>
  <c r="E29" i="5"/>
  <c r="E30" i="5" s="1"/>
  <c r="D29" i="5"/>
  <c r="U25" i="5"/>
  <c r="Y25" i="5" s="1"/>
  <c r="S25" i="5"/>
  <c r="C25" i="5"/>
  <c r="C29" i="5" s="1"/>
  <c r="S23" i="5"/>
  <c r="S28" i="5" s="1"/>
  <c r="S22" i="5"/>
  <c r="U27" i="5" s="1"/>
  <c r="Y27" i="5" s="1"/>
  <c r="S21" i="5"/>
  <c r="S26" i="5" s="1"/>
  <c r="N17" i="5"/>
  <c r="N18" i="5" s="1"/>
  <c r="M17" i="5"/>
  <c r="M18" i="5" s="1"/>
  <c r="L17" i="5"/>
  <c r="L18" i="5" s="1"/>
  <c r="K17" i="5"/>
  <c r="K18" i="5" s="1"/>
  <c r="J17" i="5"/>
  <c r="J18" i="5" s="1"/>
  <c r="I17" i="5"/>
  <c r="I18" i="5" s="1"/>
  <c r="H17" i="5"/>
  <c r="H18" i="5" s="1"/>
  <c r="G17" i="5"/>
  <c r="G18" i="5" s="1"/>
  <c r="F17" i="5"/>
  <c r="F18" i="5" s="1"/>
  <c r="E17" i="5"/>
  <c r="E18" i="5" s="1"/>
  <c r="C17" i="5"/>
  <c r="C16" i="5"/>
  <c r="D17" i="5" s="1"/>
  <c r="D18" i="5" s="1"/>
  <c r="U15" i="5"/>
  <c r="Y15" i="5" s="1"/>
  <c r="S15" i="5"/>
  <c r="C15" i="5"/>
  <c r="U14" i="5"/>
  <c r="Y14" i="5" s="1"/>
  <c r="S14" i="5"/>
  <c r="U8" i="5"/>
  <c r="Y8" i="5" s="1"/>
  <c r="S8" i="5"/>
  <c r="N8" i="5"/>
  <c r="N9" i="5" s="1"/>
  <c r="M8" i="5"/>
  <c r="M9" i="5" s="1"/>
  <c r="L8" i="5"/>
  <c r="K8" i="5"/>
  <c r="J8" i="5"/>
  <c r="J9" i="5" s="1"/>
  <c r="I8" i="5"/>
  <c r="I9" i="5" s="1"/>
  <c r="H8" i="5"/>
  <c r="G8" i="5"/>
  <c r="F8" i="5"/>
  <c r="F9" i="5" s="1"/>
  <c r="E8" i="5"/>
  <c r="E9" i="5" s="1"/>
  <c r="D8" i="5"/>
  <c r="U7" i="5"/>
  <c r="Y7" i="5" s="1"/>
  <c r="S7" i="5"/>
  <c r="C7" i="5"/>
  <c r="C8" i="5" s="1"/>
  <c r="G146" i="4" l="1"/>
  <c r="G149" i="4" s="1"/>
  <c r="E163" i="1"/>
  <c r="G193" i="4"/>
  <c r="G195" i="4" s="1"/>
  <c r="F168" i="4"/>
  <c r="F175" i="4" s="1"/>
  <c r="H182" i="4"/>
  <c r="E169" i="1"/>
  <c r="F194" i="4"/>
  <c r="F195" i="4" s="1"/>
  <c r="C50" i="5"/>
  <c r="C51" i="5" s="1"/>
  <c r="G129" i="1"/>
  <c r="G130" i="1" s="1"/>
  <c r="G131" i="1" s="1"/>
  <c r="H192" i="4"/>
  <c r="H146" i="4"/>
  <c r="H167" i="4"/>
  <c r="H168" i="4" s="1"/>
  <c r="F184" i="4"/>
  <c r="I64" i="5"/>
  <c r="U59" i="5"/>
  <c r="Y59" i="5" s="1"/>
  <c r="N72" i="5"/>
  <c r="S89" i="5"/>
  <c r="U101" i="5"/>
  <c r="Y101" i="5" s="1"/>
  <c r="U26" i="5"/>
  <c r="Y26" i="5" s="1"/>
  <c r="U37" i="5"/>
  <c r="Y37" i="5" s="1"/>
  <c r="E41" i="5"/>
  <c r="T55" i="5"/>
  <c r="C94" i="5"/>
  <c r="T99" i="5"/>
  <c r="C107" i="5"/>
  <c r="C108" i="5" s="1"/>
  <c r="H135" i="4"/>
  <c r="G136" i="4"/>
  <c r="G137" i="4" s="1"/>
  <c r="U60" i="5"/>
  <c r="Y60" i="5" s="1"/>
  <c r="C18" i="5"/>
  <c r="C19" i="5" s="1"/>
  <c r="C63" i="5"/>
  <c r="C64" i="5" s="1"/>
  <c r="C81" i="5"/>
  <c r="F136" i="1"/>
  <c r="F137" i="1" s="1"/>
  <c r="G135" i="1"/>
  <c r="I167" i="4"/>
  <c r="F160" i="4"/>
  <c r="F163" i="4" s="1"/>
  <c r="G157" i="4"/>
  <c r="I182" i="4"/>
  <c r="H184" i="4"/>
  <c r="G145" i="4"/>
  <c r="F148" i="4"/>
  <c r="H129" i="4"/>
  <c r="G130" i="4"/>
  <c r="G131" i="4" s="1"/>
  <c r="H159" i="4"/>
  <c r="G162" i="4"/>
  <c r="E163" i="4"/>
  <c r="I192" i="4"/>
  <c r="H194" i="4"/>
  <c r="G181" i="4"/>
  <c r="F183" i="4"/>
  <c r="G144" i="4"/>
  <c r="F147" i="4"/>
  <c r="H158" i="4"/>
  <c r="G161" i="4"/>
  <c r="I191" i="4"/>
  <c r="H193" i="4"/>
  <c r="H195" i="4" s="1"/>
  <c r="G124" i="4"/>
  <c r="G125" i="4" s="1"/>
  <c r="H123" i="4"/>
  <c r="F175" i="1"/>
  <c r="F169" i="1"/>
  <c r="H181" i="1"/>
  <c r="G183" i="1"/>
  <c r="G161" i="1"/>
  <c r="H158" i="1"/>
  <c r="H157" i="1"/>
  <c r="G160" i="1"/>
  <c r="G146" i="1"/>
  <c r="F149" i="1"/>
  <c r="H168" i="1"/>
  <c r="I167" i="1"/>
  <c r="H193" i="1"/>
  <c r="I191" i="1"/>
  <c r="H123" i="1"/>
  <c r="G124" i="1"/>
  <c r="G125" i="1" s="1"/>
  <c r="F184" i="1"/>
  <c r="F185" i="1" s="1"/>
  <c r="G182" i="1"/>
  <c r="G145" i="1"/>
  <c r="F148" i="1"/>
  <c r="F150" i="1" s="1"/>
  <c r="G175" i="1"/>
  <c r="G169" i="1"/>
  <c r="G192" i="1"/>
  <c r="F194" i="1"/>
  <c r="F195" i="1" s="1"/>
  <c r="G162" i="1"/>
  <c r="H159" i="1"/>
  <c r="H147" i="1"/>
  <c r="I144" i="1"/>
  <c r="D19" i="5"/>
  <c r="H19" i="5"/>
  <c r="L19" i="5"/>
  <c r="K19" i="5"/>
  <c r="K51" i="5"/>
  <c r="C9" i="5"/>
  <c r="E19" i="5"/>
  <c r="I19" i="5"/>
  <c r="M19" i="5"/>
  <c r="E51" i="5"/>
  <c r="I51" i="5"/>
  <c r="E95" i="5"/>
  <c r="I95" i="5"/>
  <c r="M95" i="5"/>
  <c r="G19" i="5"/>
  <c r="F19" i="5"/>
  <c r="J19" i="5"/>
  <c r="N19" i="5"/>
  <c r="F51" i="5"/>
  <c r="J51" i="5"/>
  <c r="N51" i="5"/>
  <c r="M64" i="5"/>
  <c r="C82" i="5"/>
  <c r="G82" i="5"/>
  <c r="L41" i="5"/>
  <c r="J82" i="5"/>
  <c r="I108" i="5"/>
  <c r="T23" i="5"/>
  <c r="U28" i="5"/>
  <c r="Y28" i="5" s="1"/>
  <c r="T34" i="5"/>
  <c r="S38" i="5"/>
  <c r="U39" i="5"/>
  <c r="Y39" i="5" s="1"/>
  <c r="D64" i="5"/>
  <c r="H64" i="5"/>
  <c r="L64" i="5"/>
  <c r="C72" i="5"/>
  <c r="E72" i="5"/>
  <c r="I72" i="5"/>
  <c r="M72" i="5"/>
  <c r="F95" i="5"/>
  <c r="J95" i="5"/>
  <c r="N95" i="5"/>
  <c r="F108" i="5"/>
  <c r="J108" i="5"/>
  <c r="N108" i="5"/>
  <c r="G64" i="5"/>
  <c r="K64" i="5"/>
  <c r="F82" i="5"/>
  <c r="N82" i="5"/>
  <c r="C95" i="5"/>
  <c r="E108" i="5"/>
  <c r="M108" i="5"/>
  <c r="S27" i="5"/>
  <c r="G9" i="5"/>
  <c r="K9" i="5"/>
  <c r="C30" i="5"/>
  <c r="G30" i="5"/>
  <c r="K30" i="5"/>
  <c r="K41" i="5"/>
  <c r="D51" i="5"/>
  <c r="H51" i="5"/>
  <c r="L51" i="5"/>
  <c r="D82" i="5"/>
  <c r="H82" i="5"/>
  <c r="L82" i="5"/>
  <c r="T86" i="5"/>
  <c r="U88" i="5"/>
  <c r="Y88" i="5" s="1"/>
  <c r="G95" i="5"/>
  <c r="K95" i="5"/>
  <c r="D9" i="5"/>
  <c r="H9" i="5"/>
  <c r="L9" i="5"/>
  <c r="D30" i="5"/>
  <c r="H30" i="5"/>
  <c r="L30" i="5"/>
  <c r="D41" i="5"/>
  <c r="H41" i="5"/>
  <c r="F64" i="5"/>
  <c r="J64" i="5"/>
  <c r="N64" i="5"/>
  <c r="E82" i="5"/>
  <c r="I82" i="5"/>
  <c r="M82" i="5"/>
  <c r="D95" i="5"/>
  <c r="H95" i="5"/>
  <c r="L95" i="5"/>
  <c r="D108" i="5"/>
  <c r="H108" i="5"/>
  <c r="L108" i="5"/>
  <c r="S58" i="5"/>
  <c r="D72" i="5"/>
  <c r="H72" i="5"/>
  <c r="L72" i="5"/>
  <c r="S102" i="5"/>
  <c r="F96" i="2"/>
  <c r="E96" i="2"/>
  <c r="D96" i="2"/>
  <c r="F111" i="2"/>
  <c r="E111" i="2"/>
  <c r="F110" i="2"/>
  <c r="E110" i="2"/>
  <c r="D111" i="2"/>
  <c r="D110" i="2"/>
  <c r="F126" i="2"/>
  <c r="E126" i="2"/>
  <c r="F125" i="2"/>
  <c r="E125" i="2"/>
  <c r="D126" i="2"/>
  <c r="D125" i="2"/>
  <c r="C73" i="2"/>
  <c r="C58" i="2"/>
  <c r="C20" i="2"/>
  <c r="F169" i="4" l="1"/>
  <c r="H129" i="1"/>
  <c r="F185" i="4"/>
  <c r="I146" i="4"/>
  <c r="H149" i="4"/>
  <c r="F150" i="4"/>
  <c r="G136" i="1"/>
  <c r="G137" i="1" s="1"/>
  <c r="H135" i="1"/>
  <c r="H136" i="4"/>
  <c r="H137" i="4" s="1"/>
  <c r="I135" i="4"/>
  <c r="H130" i="4"/>
  <c r="H131" i="4" s="1"/>
  <c r="I129" i="4"/>
  <c r="I184" i="4"/>
  <c r="J182" i="4"/>
  <c r="J167" i="4"/>
  <c r="I168" i="4"/>
  <c r="I158" i="4"/>
  <c r="H161" i="4"/>
  <c r="H181" i="4"/>
  <c r="G183" i="4"/>
  <c r="G185" i="4" s="1"/>
  <c r="H157" i="4"/>
  <c r="G160" i="4"/>
  <c r="G163" i="4" s="1"/>
  <c r="I123" i="4"/>
  <c r="H124" i="4"/>
  <c r="H125" i="4" s="1"/>
  <c r="I159" i="4"/>
  <c r="H162" i="4"/>
  <c r="H145" i="4"/>
  <c r="G148" i="4"/>
  <c r="J191" i="4"/>
  <c r="I193" i="4"/>
  <c r="G147" i="4"/>
  <c r="H144" i="4"/>
  <c r="J192" i="4"/>
  <c r="I194" i="4"/>
  <c r="H175" i="4"/>
  <c r="H169" i="4"/>
  <c r="G194" i="1"/>
  <c r="G195" i="1" s="1"/>
  <c r="H192" i="1"/>
  <c r="G148" i="1"/>
  <c r="H145" i="1"/>
  <c r="G149" i="1"/>
  <c r="H146" i="1"/>
  <c r="I181" i="1"/>
  <c r="H183" i="1"/>
  <c r="J144" i="1"/>
  <c r="I147" i="1"/>
  <c r="H162" i="1"/>
  <c r="I159" i="1"/>
  <c r="H182" i="1"/>
  <c r="G184" i="1"/>
  <c r="J167" i="1"/>
  <c r="I168" i="1"/>
  <c r="I158" i="1"/>
  <c r="H161" i="1"/>
  <c r="H175" i="1"/>
  <c r="H169" i="1"/>
  <c r="G163" i="1"/>
  <c r="I129" i="1"/>
  <c r="H130" i="1"/>
  <c r="H131" i="1" s="1"/>
  <c r="J191" i="1"/>
  <c r="I193" i="1"/>
  <c r="I157" i="1"/>
  <c r="H160" i="1"/>
  <c r="G185" i="1"/>
  <c r="I123" i="1"/>
  <c r="H124" i="1"/>
  <c r="H125" i="1" s="1"/>
  <c r="D104" i="4"/>
  <c r="D103" i="4"/>
  <c r="E102" i="4"/>
  <c r="F102" i="4" s="1"/>
  <c r="E101" i="4"/>
  <c r="E103" i="4" s="1"/>
  <c r="O100" i="4"/>
  <c r="N100" i="4"/>
  <c r="M100" i="4"/>
  <c r="L100" i="4"/>
  <c r="K100" i="4"/>
  <c r="J100" i="4"/>
  <c r="I100" i="4"/>
  <c r="H100" i="4"/>
  <c r="G100" i="4"/>
  <c r="F100" i="4"/>
  <c r="E100" i="4"/>
  <c r="D100" i="4"/>
  <c r="D94" i="4"/>
  <c r="D93" i="4"/>
  <c r="E92" i="4"/>
  <c r="E94" i="4" s="1"/>
  <c r="E91" i="4"/>
  <c r="O90" i="4"/>
  <c r="N90" i="4"/>
  <c r="M90" i="4"/>
  <c r="L90" i="4"/>
  <c r="K90" i="4"/>
  <c r="J90" i="4"/>
  <c r="I90" i="4"/>
  <c r="H90" i="4"/>
  <c r="G90" i="4"/>
  <c r="F90" i="4"/>
  <c r="E90" i="4"/>
  <c r="D90" i="4"/>
  <c r="O87" i="4"/>
  <c r="N87" i="4"/>
  <c r="M87" i="4"/>
  <c r="L87" i="4"/>
  <c r="K87" i="4"/>
  <c r="J87" i="4"/>
  <c r="I87" i="4"/>
  <c r="H87" i="4"/>
  <c r="G87" i="4"/>
  <c r="F87" i="4"/>
  <c r="E87" i="4"/>
  <c r="D87" i="4"/>
  <c r="O84" i="4"/>
  <c r="N84" i="4"/>
  <c r="M84" i="4"/>
  <c r="L84" i="4"/>
  <c r="K84" i="4"/>
  <c r="J84" i="4"/>
  <c r="I84" i="4"/>
  <c r="H84" i="4"/>
  <c r="G84" i="4"/>
  <c r="F84" i="4"/>
  <c r="E84" i="4"/>
  <c r="D84" i="4"/>
  <c r="D78" i="4"/>
  <c r="G77" i="4"/>
  <c r="E77" i="4"/>
  <c r="F77" i="4" s="1"/>
  <c r="F78" i="4" s="1"/>
  <c r="F79" i="4" s="1"/>
  <c r="C73" i="5" s="1"/>
  <c r="C74" i="5" s="1"/>
  <c r="D72" i="4"/>
  <c r="D71" i="4"/>
  <c r="D70" i="4"/>
  <c r="E69" i="4"/>
  <c r="E72" i="4" s="1"/>
  <c r="E68" i="4"/>
  <c r="E71" i="4" s="1"/>
  <c r="E67" i="4"/>
  <c r="E70" i="4" s="1"/>
  <c r="O66" i="4"/>
  <c r="N66" i="4"/>
  <c r="M66" i="4"/>
  <c r="L66" i="4"/>
  <c r="K66" i="4"/>
  <c r="J66" i="4"/>
  <c r="I66" i="4"/>
  <c r="H66" i="4"/>
  <c r="G66" i="4"/>
  <c r="F66" i="4"/>
  <c r="E66" i="4"/>
  <c r="D66" i="4"/>
  <c r="D59" i="4"/>
  <c r="D58" i="4"/>
  <c r="D57" i="4"/>
  <c r="E56" i="4"/>
  <c r="F56" i="4" s="1"/>
  <c r="F59" i="4" s="1"/>
  <c r="E55" i="4"/>
  <c r="F55" i="4" s="1"/>
  <c r="E54" i="4"/>
  <c r="E57" i="4" s="1"/>
  <c r="O53" i="4"/>
  <c r="N53" i="4"/>
  <c r="M53" i="4"/>
  <c r="L53" i="4"/>
  <c r="K53" i="4"/>
  <c r="J53" i="4"/>
  <c r="I53" i="4"/>
  <c r="H53" i="4"/>
  <c r="G53" i="4"/>
  <c r="F53" i="4"/>
  <c r="E53" i="4"/>
  <c r="D53" i="4"/>
  <c r="D46" i="4"/>
  <c r="D47" i="4" s="1"/>
  <c r="M52" i="5" s="1"/>
  <c r="M53" i="5" s="1"/>
  <c r="E45" i="4"/>
  <c r="F45" i="4" s="1"/>
  <c r="G45" i="4" s="1"/>
  <c r="G46" i="4" s="1"/>
  <c r="G47" i="4" s="1"/>
  <c r="D52" i="5" s="1"/>
  <c r="D53" i="5" s="1"/>
  <c r="D40" i="4"/>
  <c r="D41" i="4" s="1"/>
  <c r="M20" i="5" s="1"/>
  <c r="M21" i="5" s="1"/>
  <c r="E39" i="4"/>
  <c r="F39" i="4" s="1"/>
  <c r="G39" i="4" s="1"/>
  <c r="D34" i="4"/>
  <c r="D35" i="4" s="1"/>
  <c r="M10" i="5" s="1"/>
  <c r="M11" i="5" s="1"/>
  <c r="E33" i="4"/>
  <c r="E34" i="4" s="1"/>
  <c r="E35" i="4" s="1"/>
  <c r="N10" i="5" s="1"/>
  <c r="N11" i="5" s="1"/>
  <c r="E78" i="4" l="1"/>
  <c r="E79" i="4" s="1"/>
  <c r="N73" i="5" s="1"/>
  <c r="N74" i="5" s="1"/>
  <c r="E73" i="4"/>
  <c r="N42" i="5" s="1"/>
  <c r="N43" i="5" s="1"/>
  <c r="D105" i="4"/>
  <c r="M109" i="5" s="1"/>
  <c r="M110" i="5" s="1"/>
  <c r="E46" i="4"/>
  <c r="E47" i="4" s="1"/>
  <c r="N52" i="5" s="1"/>
  <c r="N53" i="5" s="1"/>
  <c r="M118" i="5"/>
  <c r="F68" i="4"/>
  <c r="F71" i="4" s="1"/>
  <c r="G150" i="1"/>
  <c r="I149" i="4"/>
  <c r="J146" i="4"/>
  <c r="F58" i="4"/>
  <c r="G55" i="4"/>
  <c r="G58" i="4" s="1"/>
  <c r="E40" i="4"/>
  <c r="E41" i="4" s="1"/>
  <c r="N20" i="5" s="1"/>
  <c r="N21" i="5" s="1"/>
  <c r="N118" i="5" s="1"/>
  <c r="E58" i="4"/>
  <c r="F67" i="4"/>
  <c r="D85" i="4"/>
  <c r="D79" i="4"/>
  <c r="M73" i="5" s="1"/>
  <c r="M74" i="5" s="1"/>
  <c r="F92" i="4"/>
  <c r="G150" i="4"/>
  <c r="I135" i="1"/>
  <c r="H136" i="1"/>
  <c r="H137" i="1" s="1"/>
  <c r="G56" i="4"/>
  <c r="G59" i="4" s="1"/>
  <c r="F69" i="4"/>
  <c r="F72" i="4" s="1"/>
  <c r="F101" i="4"/>
  <c r="D60" i="4"/>
  <c r="E59" i="4"/>
  <c r="D73" i="4"/>
  <c r="D95" i="4"/>
  <c r="M96" i="5" s="1"/>
  <c r="M97" i="5" s="1"/>
  <c r="M122" i="5" s="1"/>
  <c r="J135" i="4"/>
  <c r="I136" i="4"/>
  <c r="I137" i="4" s="1"/>
  <c r="I195" i="4"/>
  <c r="K182" i="4"/>
  <c r="J184" i="4"/>
  <c r="K192" i="4"/>
  <c r="J194" i="4"/>
  <c r="J193" i="4"/>
  <c r="K191" i="4"/>
  <c r="J159" i="4"/>
  <c r="I162" i="4"/>
  <c r="H160" i="4"/>
  <c r="H163" i="4" s="1"/>
  <c r="I157" i="4"/>
  <c r="I161" i="4"/>
  <c r="J158" i="4"/>
  <c r="I144" i="4"/>
  <c r="H147" i="4"/>
  <c r="I175" i="4"/>
  <c r="I169" i="4"/>
  <c r="I130" i="4"/>
  <c r="I131" i="4" s="1"/>
  <c r="J129" i="4"/>
  <c r="I145" i="4"/>
  <c r="H148" i="4"/>
  <c r="J123" i="4"/>
  <c r="I124" i="4"/>
  <c r="I125" i="4" s="1"/>
  <c r="H183" i="4"/>
  <c r="H185" i="4" s="1"/>
  <c r="I181" i="4"/>
  <c r="K167" i="4"/>
  <c r="J168" i="4"/>
  <c r="I124" i="1"/>
  <c r="I125" i="1" s="1"/>
  <c r="J123" i="1"/>
  <c r="I169" i="1"/>
  <c r="I175" i="1"/>
  <c r="J159" i="1"/>
  <c r="I162" i="1"/>
  <c r="K191" i="1"/>
  <c r="J193" i="1"/>
  <c r="K167" i="1"/>
  <c r="J168" i="1"/>
  <c r="I183" i="1"/>
  <c r="J181" i="1"/>
  <c r="H148" i="1"/>
  <c r="I145" i="1"/>
  <c r="H163" i="1"/>
  <c r="H149" i="1"/>
  <c r="I146" i="1"/>
  <c r="J157" i="1"/>
  <c r="I160" i="1"/>
  <c r="I130" i="1"/>
  <c r="I131" i="1" s="1"/>
  <c r="J129" i="1"/>
  <c r="J158" i="1"/>
  <c r="I161" i="1"/>
  <c r="I182" i="1"/>
  <c r="H184" i="1"/>
  <c r="H185" i="1" s="1"/>
  <c r="K144" i="1"/>
  <c r="J147" i="1"/>
  <c r="H194" i="1"/>
  <c r="H195" i="1" s="1"/>
  <c r="I192" i="1"/>
  <c r="H39" i="4"/>
  <c r="G40" i="4"/>
  <c r="G41" i="4" s="1"/>
  <c r="D20" i="5" s="1"/>
  <c r="D21" i="5" s="1"/>
  <c r="F54" i="4"/>
  <c r="F33" i="4"/>
  <c r="F40" i="4"/>
  <c r="F41" i="4" s="1"/>
  <c r="C20" i="5" s="1"/>
  <c r="C21" i="5" s="1"/>
  <c r="G69" i="4"/>
  <c r="F46" i="4"/>
  <c r="F47" i="4" s="1"/>
  <c r="C52" i="5" s="1"/>
  <c r="C53" i="5" s="1"/>
  <c r="G78" i="4"/>
  <c r="G79" i="4" s="1"/>
  <c r="D73" i="5" s="1"/>
  <c r="D74" i="5" s="1"/>
  <c r="H77" i="4"/>
  <c r="H45" i="4"/>
  <c r="G68" i="4"/>
  <c r="F85" i="4"/>
  <c r="E85" i="4"/>
  <c r="E93" i="4"/>
  <c r="E95" i="4" s="1"/>
  <c r="N96" i="5" s="1"/>
  <c r="N97" i="5" s="1"/>
  <c r="F91" i="4"/>
  <c r="G102" i="4"/>
  <c r="F104" i="4"/>
  <c r="E104" i="4"/>
  <c r="E105" i="4" s="1"/>
  <c r="N109" i="5" s="1"/>
  <c r="N110" i="5" s="1"/>
  <c r="C126" i="2"/>
  <c r="C125" i="2"/>
  <c r="C122" i="2"/>
  <c r="C121" i="2"/>
  <c r="C111" i="2"/>
  <c r="C110" i="2"/>
  <c r="C107" i="2"/>
  <c r="C106" i="2"/>
  <c r="C69" i="2"/>
  <c r="R69" i="2"/>
  <c r="C44" i="2"/>
  <c r="C48" i="2" s="1"/>
  <c r="F48" i="2"/>
  <c r="E48" i="2"/>
  <c r="D48" i="2"/>
  <c r="R44" i="2"/>
  <c r="F35" i="2"/>
  <c r="E35" i="2"/>
  <c r="D35" i="2"/>
  <c r="C31" i="2"/>
  <c r="C35" i="2" s="1"/>
  <c r="R31" i="2"/>
  <c r="C74" i="2"/>
  <c r="C59" i="2"/>
  <c r="C21" i="2"/>
  <c r="H55" i="4" l="1"/>
  <c r="E60" i="4"/>
  <c r="N83" i="5" s="1"/>
  <c r="N84" i="5" s="1"/>
  <c r="N121" i="5" s="1"/>
  <c r="J149" i="4"/>
  <c r="K146" i="4"/>
  <c r="G67" i="4"/>
  <c r="F70" i="4"/>
  <c r="F73" i="4" s="1"/>
  <c r="H56" i="4"/>
  <c r="H59" i="4" s="1"/>
  <c r="M83" i="5"/>
  <c r="M84" i="5" s="1"/>
  <c r="M121" i="5" s="1"/>
  <c r="M31" i="5"/>
  <c r="M32" i="5" s="1"/>
  <c r="N122" i="5"/>
  <c r="F94" i="4"/>
  <c r="G92" i="4"/>
  <c r="K135" i="4"/>
  <c r="J136" i="4"/>
  <c r="J137" i="4" s="1"/>
  <c r="N65" i="5"/>
  <c r="N66" i="5" s="1"/>
  <c r="N120" i="5" s="1"/>
  <c r="M65" i="5"/>
  <c r="M66" i="5" s="1"/>
  <c r="M120" i="5" s="1"/>
  <c r="M42" i="5"/>
  <c r="M43" i="5" s="1"/>
  <c r="F103" i="4"/>
  <c r="F105" i="4" s="1"/>
  <c r="C109" i="5" s="1"/>
  <c r="C110" i="5" s="1"/>
  <c r="G101" i="4"/>
  <c r="I136" i="1"/>
  <c r="I137" i="1" s="1"/>
  <c r="J135" i="1"/>
  <c r="C75" i="2"/>
  <c r="H150" i="4"/>
  <c r="I148" i="4"/>
  <c r="J145" i="4"/>
  <c r="K194" i="4"/>
  <c r="L192" i="4"/>
  <c r="J175" i="4"/>
  <c r="J169" i="4"/>
  <c r="K129" i="4"/>
  <c r="J130" i="4"/>
  <c r="J131" i="4" s="1"/>
  <c r="I160" i="4"/>
  <c r="I163" i="4" s="1"/>
  <c r="J157" i="4"/>
  <c r="K193" i="4"/>
  <c r="L191" i="4"/>
  <c r="I183" i="4"/>
  <c r="I185" i="4" s="1"/>
  <c r="J181" i="4"/>
  <c r="J161" i="4"/>
  <c r="K158" i="4"/>
  <c r="I147" i="4"/>
  <c r="I150" i="4" s="1"/>
  <c r="J144" i="4"/>
  <c r="J162" i="4"/>
  <c r="K159" i="4"/>
  <c r="K168" i="4"/>
  <c r="L167" i="4"/>
  <c r="K123" i="4"/>
  <c r="J124" i="4"/>
  <c r="J125" i="4" s="1"/>
  <c r="J195" i="4"/>
  <c r="L182" i="4"/>
  <c r="K184" i="4"/>
  <c r="I184" i="1"/>
  <c r="J182" i="1"/>
  <c r="J160" i="1"/>
  <c r="K157" i="1"/>
  <c r="I185" i="1"/>
  <c r="K193" i="1"/>
  <c r="L191" i="1"/>
  <c r="K129" i="1"/>
  <c r="J130" i="1"/>
  <c r="J131" i="1" s="1"/>
  <c r="I149" i="1"/>
  <c r="J146" i="1"/>
  <c r="J145" i="1"/>
  <c r="I148" i="1"/>
  <c r="J169" i="1"/>
  <c r="J175" i="1"/>
  <c r="K147" i="1"/>
  <c r="L144" i="1"/>
  <c r="J161" i="1"/>
  <c r="K158" i="1"/>
  <c r="H150" i="1"/>
  <c r="K168" i="1"/>
  <c r="L167" i="1"/>
  <c r="I194" i="1"/>
  <c r="I195" i="1" s="1"/>
  <c r="J192" i="1"/>
  <c r="I163" i="1"/>
  <c r="J183" i="1"/>
  <c r="K181" i="1"/>
  <c r="J162" i="1"/>
  <c r="K159" i="1"/>
  <c r="K123" i="1"/>
  <c r="J124" i="1"/>
  <c r="J125" i="1" s="1"/>
  <c r="G104" i="4"/>
  <c r="H102" i="4"/>
  <c r="H68" i="4"/>
  <c r="G71" i="4"/>
  <c r="G91" i="4"/>
  <c r="F93" i="4"/>
  <c r="H78" i="4"/>
  <c r="H79" i="4" s="1"/>
  <c r="E73" i="5" s="1"/>
  <c r="E74" i="5" s="1"/>
  <c r="I77" i="4"/>
  <c r="G85" i="4"/>
  <c r="H69" i="4"/>
  <c r="G72" i="4"/>
  <c r="I45" i="4"/>
  <c r="H46" i="4"/>
  <c r="H47" i="4" s="1"/>
  <c r="E52" i="5" s="1"/>
  <c r="E53" i="5" s="1"/>
  <c r="I55" i="4"/>
  <c r="H58" i="4"/>
  <c r="G33" i="4"/>
  <c r="F34" i="4"/>
  <c r="F35" i="4" s="1"/>
  <c r="C10" i="5" s="1"/>
  <c r="C11" i="5" s="1"/>
  <c r="F57" i="4"/>
  <c r="F60" i="4" s="1"/>
  <c r="G54" i="4"/>
  <c r="H40" i="4"/>
  <c r="H41" i="4" s="1"/>
  <c r="E20" i="5" s="1"/>
  <c r="E21" i="5" s="1"/>
  <c r="I39" i="4"/>
  <c r="C96" i="2"/>
  <c r="C94" i="2"/>
  <c r="N31" i="5" l="1"/>
  <c r="N32" i="5" s="1"/>
  <c r="I56" i="4"/>
  <c r="L146" i="4"/>
  <c r="K149" i="4"/>
  <c r="F95" i="4"/>
  <c r="C96" i="5" s="1"/>
  <c r="C97" i="5" s="1"/>
  <c r="C122" i="5" s="1"/>
  <c r="J136" i="1"/>
  <c r="J137" i="1" s="1"/>
  <c r="K135" i="1"/>
  <c r="K136" i="4"/>
  <c r="K137" i="4" s="1"/>
  <c r="L135" i="4"/>
  <c r="H92" i="4"/>
  <c r="G94" i="4"/>
  <c r="M119" i="5"/>
  <c r="M113" i="5"/>
  <c r="M117" i="5" s="1"/>
  <c r="G70" i="4"/>
  <c r="G73" i="4" s="1"/>
  <c r="H67" i="4"/>
  <c r="G103" i="4"/>
  <c r="G105" i="4" s="1"/>
  <c r="D109" i="5" s="1"/>
  <c r="D110" i="5" s="1"/>
  <c r="H101" i="4"/>
  <c r="N119" i="5"/>
  <c r="N113" i="5"/>
  <c r="N117" i="5" s="1"/>
  <c r="C65" i="5"/>
  <c r="C66" i="5" s="1"/>
  <c r="C120" i="5" s="1"/>
  <c r="C42" i="5"/>
  <c r="C43" i="5" s="1"/>
  <c r="C83" i="5"/>
  <c r="C84" i="5" s="1"/>
  <c r="C121" i="5" s="1"/>
  <c r="C31" i="5"/>
  <c r="C32" i="5" s="1"/>
  <c r="C118" i="5"/>
  <c r="K144" i="4"/>
  <c r="J147" i="4"/>
  <c r="M192" i="4"/>
  <c r="L194" i="4"/>
  <c r="M182" i="4"/>
  <c r="L184" i="4"/>
  <c r="L159" i="4"/>
  <c r="K162" i="4"/>
  <c r="L158" i="4"/>
  <c r="K161" i="4"/>
  <c r="M191" i="4"/>
  <c r="L193" i="4"/>
  <c r="L195" i="4" s="1"/>
  <c r="J148" i="4"/>
  <c r="K145" i="4"/>
  <c r="M167" i="4"/>
  <c r="L168" i="4"/>
  <c r="K181" i="4"/>
  <c r="J183" i="4"/>
  <c r="J185" i="4" s="1"/>
  <c r="J160" i="4"/>
  <c r="J163" i="4" s="1"/>
  <c r="K157" i="4"/>
  <c r="K175" i="4"/>
  <c r="K169" i="4"/>
  <c r="L129" i="4"/>
  <c r="K130" i="4"/>
  <c r="K131" i="4" s="1"/>
  <c r="K124" i="4"/>
  <c r="K125" i="4" s="1"/>
  <c r="L123" i="4"/>
  <c r="K195" i="4"/>
  <c r="K162" i="1"/>
  <c r="L159" i="1"/>
  <c r="K192" i="1"/>
  <c r="J194" i="1"/>
  <c r="J195" i="1" s="1"/>
  <c r="K145" i="1"/>
  <c r="J148" i="1"/>
  <c r="L129" i="1"/>
  <c r="K130" i="1"/>
  <c r="K131" i="1" s="1"/>
  <c r="K161" i="1"/>
  <c r="L158" i="1"/>
  <c r="K146" i="1"/>
  <c r="J149" i="1"/>
  <c r="L157" i="1"/>
  <c r="K160" i="1"/>
  <c r="L168" i="1"/>
  <c r="M167" i="1"/>
  <c r="L193" i="1"/>
  <c r="M191" i="1"/>
  <c r="J163" i="1"/>
  <c r="K124" i="1"/>
  <c r="K125" i="1" s="1"/>
  <c r="L123" i="1"/>
  <c r="L181" i="1"/>
  <c r="K183" i="1"/>
  <c r="K175" i="1"/>
  <c r="K169" i="1"/>
  <c r="L147" i="1"/>
  <c r="M144" i="1"/>
  <c r="I150" i="1"/>
  <c r="J184" i="1"/>
  <c r="J185" i="1" s="1"/>
  <c r="K182" i="1"/>
  <c r="H54" i="4"/>
  <c r="G57" i="4"/>
  <c r="G60" i="4" s="1"/>
  <c r="J56" i="4"/>
  <c r="I59" i="4"/>
  <c r="I46" i="4"/>
  <c r="I47" i="4" s="1"/>
  <c r="F52" i="5" s="1"/>
  <c r="F53" i="5" s="1"/>
  <c r="J45" i="4"/>
  <c r="H85" i="4"/>
  <c r="I68" i="4"/>
  <c r="H71" i="4"/>
  <c r="J39" i="4"/>
  <c r="I40" i="4"/>
  <c r="I41" i="4" s="1"/>
  <c r="F20" i="5" s="1"/>
  <c r="F21" i="5" s="1"/>
  <c r="I102" i="4"/>
  <c r="H104" i="4"/>
  <c r="J77" i="4"/>
  <c r="I78" i="4"/>
  <c r="I79" i="4" s="1"/>
  <c r="F73" i="5" s="1"/>
  <c r="F74" i="5" s="1"/>
  <c r="G34" i="4"/>
  <c r="G35" i="4" s="1"/>
  <c r="D10" i="5" s="1"/>
  <c r="D11" i="5" s="1"/>
  <c r="H33" i="4"/>
  <c r="J55" i="4"/>
  <c r="I58" i="4"/>
  <c r="I69" i="4"/>
  <c r="H72" i="4"/>
  <c r="H91" i="4"/>
  <c r="G93" i="4"/>
  <c r="G95" i="4" s="1"/>
  <c r="D96" i="5" s="1"/>
  <c r="D97" i="5" s="1"/>
  <c r="C84" i="2"/>
  <c r="C57" i="2"/>
  <c r="C19" i="2"/>
  <c r="C9" i="2"/>
  <c r="C113" i="5" l="1"/>
  <c r="C117" i="5" s="1"/>
  <c r="C119" i="5"/>
  <c r="M146" i="4"/>
  <c r="L149" i="4"/>
  <c r="D118" i="5"/>
  <c r="H70" i="4"/>
  <c r="H73" i="4" s="1"/>
  <c r="I67" i="4"/>
  <c r="L136" i="4"/>
  <c r="L137" i="4" s="1"/>
  <c r="M135" i="4"/>
  <c r="D122" i="5"/>
  <c r="D65" i="5"/>
  <c r="D66" i="5" s="1"/>
  <c r="D120" i="5" s="1"/>
  <c r="D42" i="5"/>
  <c r="D43" i="5" s="1"/>
  <c r="I92" i="4"/>
  <c r="H94" i="4"/>
  <c r="L135" i="1"/>
  <c r="K136" i="1"/>
  <c r="K137" i="1" s="1"/>
  <c r="D83" i="5"/>
  <c r="D84" i="5" s="1"/>
  <c r="D121" i="5" s="1"/>
  <c r="D31" i="5"/>
  <c r="D32" i="5" s="1"/>
  <c r="J150" i="1"/>
  <c r="H103" i="4"/>
  <c r="H105" i="4" s="1"/>
  <c r="E109" i="5" s="1"/>
  <c r="E110" i="5" s="1"/>
  <c r="I101" i="4"/>
  <c r="L181" i="4"/>
  <c r="K183" i="4"/>
  <c r="K185" i="4" s="1"/>
  <c r="N191" i="4"/>
  <c r="M193" i="4"/>
  <c r="N192" i="4"/>
  <c r="M194" i="4"/>
  <c r="L175" i="4"/>
  <c r="L169" i="4"/>
  <c r="J150" i="4"/>
  <c r="L130" i="4"/>
  <c r="L131" i="4" s="1"/>
  <c r="M129" i="4"/>
  <c r="N167" i="4"/>
  <c r="M168" i="4"/>
  <c r="M158" i="4"/>
  <c r="L161" i="4"/>
  <c r="M184" i="4"/>
  <c r="N182" i="4"/>
  <c r="K147" i="4"/>
  <c r="L144" i="4"/>
  <c r="M159" i="4"/>
  <c r="L162" i="4"/>
  <c r="L157" i="4"/>
  <c r="K160" i="4"/>
  <c r="K163" i="4" s="1"/>
  <c r="L124" i="4"/>
  <c r="L125" i="4" s="1"/>
  <c r="M123" i="4"/>
  <c r="L145" i="4"/>
  <c r="K148" i="4"/>
  <c r="M123" i="1"/>
  <c r="L124" i="1"/>
  <c r="L125" i="1" s="1"/>
  <c r="K149" i="1"/>
  <c r="L146" i="1"/>
  <c r="L130" i="1"/>
  <c r="L131" i="1" s="1"/>
  <c r="M129" i="1"/>
  <c r="M168" i="1"/>
  <c r="N167" i="1"/>
  <c r="K163" i="1"/>
  <c r="M158" i="1"/>
  <c r="L161" i="1"/>
  <c r="K194" i="1"/>
  <c r="K195" i="1" s="1"/>
  <c r="L192" i="1"/>
  <c r="K184" i="1"/>
  <c r="L182" i="1"/>
  <c r="N144" i="1"/>
  <c r="M147" i="1"/>
  <c r="K185" i="1"/>
  <c r="L175" i="1"/>
  <c r="L169" i="1"/>
  <c r="M157" i="1"/>
  <c r="L160" i="1"/>
  <c r="K148" i="1"/>
  <c r="K150" i="1" s="1"/>
  <c r="L145" i="1"/>
  <c r="M181" i="1"/>
  <c r="L183" i="1"/>
  <c r="N191" i="1"/>
  <c r="M193" i="1"/>
  <c r="L162" i="1"/>
  <c r="M159" i="1"/>
  <c r="J78" i="4"/>
  <c r="J79" i="4" s="1"/>
  <c r="G73" i="5" s="1"/>
  <c r="G74" i="5" s="1"/>
  <c r="K77" i="4"/>
  <c r="I72" i="4"/>
  <c r="J69" i="4"/>
  <c r="J102" i="4"/>
  <c r="I104" i="4"/>
  <c r="I71" i="4"/>
  <c r="J68" i="4"/>
  <c r="H34" i="4"/>
  <c r="H35" i="4" s="1"/>
  <c r="E10" i="5" s="1"/>
  <c r="E11" i="5" s="1"/>
  <c r="I33" i="4"/>
  <c r="K39" i="4"/>
  <c r="J40" i="4"/>
  <c r="J41" i="4" s="1"/>
  <c r="G20" i="5" s="1"/>
  <c r="G21" i="5" s="1"/>
  <c r="H93" i="4"/>
  <c r="H95" i="4" s="1"/>
  <c r="E96" i="5" s="1"/>
  <c r="E97" i="5" s="1"/>
  <c r="I91" i="4"/>
  <c r="J58" i="4"/>
  <c r="K55" i="4"/>
  <c r="I85" i="4"/>
  <c r="K45" i="4"/>
  <c r="J46" i="4"/>
  <c r="J47" i="4" s="1"/>
  <c r="G52" i="5" s="1"/>
  <c r="G53" i="5" s="1"/>
  <c r="J59" i="4"/>
  <c r="K56" i="4"/>
  <c r="H57" i="4"/>
  <c r="H60" i="4" s="1"/>
  <c r="I54" i="4"/>
  <c r="L67" i="2"/>
  <c r="N72" i="2" s="1"/>
  <c r="R72" i="2" s="1"/>
  <c r="F74" i="2"/>
  <c r="F75" i="2" s="1"/>
  <c r="E74" i="2"/>
  <c r="E75" i="2" s="1"/>
  <c r="D74" i="2"/>
  <c r="N57" i="2"/>
  <c r="R57" i="2" s="1"/>
  <c r="L57" i="2"/>
  <c r="F59" i="2"/>
  <c r="F60" i="2" s="1"/>
  <c r="E59" i="2"/>
  <c r="E60" i="2" s="1"/>
  <c r="D59" i="2"/>
  <c r="D60" i="2" s="1"/>
  <c r="F21" i="2"/>
  <c r="F22" i="2" s="1"/>
  <c r="E21" i="2"/>
  <c r="E22" i="2" s="1"/>
  <c r="D21" i="2"/>
  <c r="D22" i="2" s="1"/>
  <c r="C60" i="2"/>
  <c r="C22" i="2"/>
  <c r="N123" i="2"/>
  <c r="R123" i="2" s="1"/>
  <c r="L123" i="2"/>
  <c r="L119" i="2"/>
  <c r="N122" i="2" s="1"/>
  <c r="R122" i="2" s="1"/>
  <c r="L118" i="2"/>
  <c r="N121" i="2" s="1"/>
  <c r="R121" i="2" s="1"/>
  <c r="N108" i="2"/>
  <c r="R108" i="2" s="1"/>
  <c r="L108" i="2"/>
  <c r="L104" i="2"/>
  <c r="L107" i="2" s="1"/>
  <c r="L103" i="2"/>
  <c r="N106" i="2" s="1"/>
  <c r="R106" i="2" s="1"/>
  <c r="F127" i="2"/>
  <c r="E127" i="2"/>
  <c r="D127" i="2"/>
  <c r="C127" i="2"/>
  <c r="F112" i="2"/>
  <c r="E112" i="2"/>
  <c r="D112" i="2"/>
  <c r="C112" i="2"/>
  <c r="N73" i="2"/>
  <c r="R73" i="2" s="1"/>
  <c r="L73" i="2"/>
  <c r="L66" i="2"/>
  <c r="L71" i="2" s="1"/>
  <c r="L65" i="2"/>
  <c r="N70" i="2" s="1"/>
  <c r="R70" i="2" s="1"/>
  <c r="N48" i="2"/>
  <c r="R48" i="2" s="1"/>
  <c r="L48" i="2"/>
  <c r="L42" i="2"/>
  <c r="N47" i="2" s="1"/>
  <c r="R47" i="2" s="1"/>
  <c r="L41" i="2"/>
  <c r="N46" i="2" s="1"/>
  <c r="R46" i="2" s="1"/>
  <c r="L40" i="2"/>
  <c r="N45" i="2" s="1"/>
  <c r="R45" i="2" s="1"/>
  <c r="L34" i="2"/>
  <c r="N33" i="2"/>
  <c r="R33" i="2" s="1"/>
  <c r="L32" i="2"/>
  <c r="N95" i="2"/>
  <c r="R95" i="2" s="1"/>
  <c r="L95" i="2"/>
  <c r="N94" i="2"/>
  <c r="R94" i="2" s="1"/>
  <c r="L94" i="2"/>
  <c r="N85" i="2"/>
  <c r="R85" i="2" s="1"/>
  <c r="L85" i="2"/>
  <c r="N84" i="2"/>
  <c r="R84" i="2" s="1"/>
  <c r="L84" i="2"/>
  <c r="N58" i="2"/>
  <c r="R58" i="2" s="1"/>
  <c r="L58" i="2"/>
  <c r="N35" i="2"/>
  <c r="R35" i="2" s="1"/>
  <c r="N10" i="2"/>
  <c r="R10" i="2" s="1"/>
  <c r="L10" i="2"/>
  <c r="N9" i="2"/>
  <c r="R9" i="2" s="1"/>
  <c r="L9" i="2"/>
  <c r="N19" i="2"/>
  <c r="R19" i="2" s="1"/>
  <c r="N18" i="2"/>
  <c r="R18" i="2" s="1"/>
  <c r="L19" i="2"/>
  <c r="L18" i="2"/>
  <c r="E122" i="5" l="1"/>
  <c r="M149" i="4"/>
  <c r="N146" i="4"/>
  <c r="D113" i="5"/>
  <c r="D117" i="5" s="1"/>
  <c r="J101" i="4"/>
  <c r="I103" i="4"/>
  <c r="I105" i="4" s="1"/>
  <c r="F109" i="5" s="1"/>
  <c r="F110" i="5" s="1"/>
  <c r="I70" i="4"/>
  <c r="I73" i="4" s="1"/>
  <c r="J67" i="4"/>
  <c r="E83" i="5"/>
  <c r="E84" i="5" s="1"/>
  <c r="E121" i="5" s="1"/>
  <c r="E31" i="5"/>
  <c r="E32" i="5" s="1"/>
  <c r="E65" i="5"/>
  <c r="E66" i="5" s="1"/>
  <c r="E120" i="5" s="1"/>
  <c r="E42" i="5"/>
  <c r="E43" i="5" s="1"/>
  <c r="E118" i="5"/>
  <c r="M195" i="4"/>
  <c r="M135" i="1"/>
  <c r="L136" i="1"/>
  <c r="L137" i="1" s="1"/>
  <c r="N135" i="4"/>
  <c r="M136" i="4"/>
  <c r="M137" i="4" s="1"/>
  <c r="I94" i="4"/>
  <c r="J92" i="4"/>
  <c r="D119" i="5"/>
  <c r="L72" i="2"/>
  <c r="K150" i="4"/>
  <c r="N123" i="4"/>
  <c r="M124" i="4"/>
  <c r="M125" i="4" s="1"/>
  <c r="O182" i="4"/>
  <c r="O184" i="4" s="1"/>
  <c r="N184" i="4"/>
  <c r="M130" i="4"/>
  <c r="M131" i="4" s="1"/>
  <c r="N129" i="4"/>
  <c r="N193" i="4"/>
  <c r="O191" i="4"/>
  <c r="O193" i="4" s="1"/>
  <c r="M145" i="4"/>
  <c r="L148" i="4"/>
  <c r="L160" i="4"/>
  <c r="L163" i="4" s="1"/>
  <c r="M157" i="4"/>
  <c r="M161" i="4"/>
  <c r="N158" i="4"/>
  <c r="O167" i="4"/>
  <c r="O168" i="4" s="1"/>
  <c r="N168" i="4"/>
  <c r="N159" i="4"/>
  <c r="M162" i="4"/>
  <c r="M144" i="4"/>
  <c r="L147" i="4"/>
  <c r="M175" i="4"/>
  <c r="M169" i="4"/>
  <c r="O192" i="4"/>
  <c r="O194" i="4" s="1"/>
  <c r="N194" i="4"/>
  <c r="L183" i="4"/>
  <c r="L185" i="4" s="1"/>
  <c r="M181" i="4"/>
  <c r="M183" i="1"/>
  <c r="N181" i="1"/>
  <c r="L163" i="1"/>
  <c r="N158" i="1"/>
  <c r="M161" i="1"/>
  <c r="M130" i="1"/>
  <c r="M131" i="1" s="1"/>
  <c r="N129" i="1"/>
  <c r="N123" i="1"/>
  <c r="M124" i="1"/>
  <c r="M125" i="1" s="1"/>
  <c r="N157" i="1"/>
  <c r="M160" i="1"/>
  <c r="L194" i="1"/>
  <c r="L195" i="1" s="1"/>
  <c r="M192" i="1"/>
  <c r="O191" i="1"/>
  <c r="O193" i="1" s="1"/>
  <c r="N193" i="1"/>
  <c r="L148" i="1"/>
  <c r="M145" i="1"/>
  <c r="N147" i="1"/>
  <c r="O144" i="1"/>
  <c r="O147" i="1" s="1"/>
  <c r="O167" i="1"/>
  <c r="O168" i="1" s="1"/>
  <c r="N168" i="1"/>
  <c r="L149" i="1"/>
  <c r="M146" i="1"/>
  <c r="N159" i="1"/>
  <c r="M162" i="1"/>
  <c r="M182" i="1"/>
  <c r="L184" i="1"/>
  <c r="L185" i="1" s="1"/>
  <c r="M175" i="1"/>
  <c r="M169" i="1"/>
  <c r="K58" i="4"/>
  <c r="L55" i="4"/>
  <c r="L56" i="4"/>
  <c r="K59" i="4"/>
  <c r="L39" i="4"/>
  <c r="K40" i="4"/>
  <c r="K41" i="4" s="1"/>
  <c r="H20" i="5" s="1"/>
  <c r="H21" i="5" s="1"/>
  <c r="K102" i="4"/>
  <c r="J104" i="4"/>
  <c r="I93" i="4"/>
  <c r="I95" i="4" s="1"/>
  <c r="F96" i="5" s="1"/>
  <c r="F97" i="5" s="1"/>
  <c r="F122" i="5" s="1"/>
  <c r="J91" i="4"/>
  <c r="I34" i="4"/>
  <c r="I35" i="4" s="1"/>
  <c r="F10" i="5" s="1"/>
  <c r="F11" i="5" s="1"/>
  <c r="J33" i="4"/>
  <c r="J71" i="4"/>
  <c r="K68" i="4"/>
  <c r="L77" i="4"/>
  <c r="K78" i="4"/>
  <c r="K79" i="4" s="1"/>
  <c r="H73" i="5" s="1"/>
  <c r="H74" i="5" s="1"/>
  <c r="K46" i="4"/>
  <c r="K47" i="4" s="1"/>
  <c r="H52" i="5" s="1"/>
  <c r="H53" i="5" s="1"/>
  <c r="L45" i="4"/>
  <c r="J72" i="4"/>
  <c r="K69" i="4"/>
  <c r="I57" i="4"/>
  <c r="I60" i="4" s="1"/>
  <c r="J54" i="4"/>
  <c r="J85" i="4"/>
  <c r="D75" i="2"/>
  <c r="N34" i="2"/>
  <c r="R34" i="2" s="1"/>
  <c r="N32" i="2"/>
  <c r="R32" i="2" s="1"/>
  <c r="L46" i="2"/>
  <c r="L33" i="2"/>
  <c r="N107" i="2"/>
  <c r="R107" i="2" s="1"/>
  <c r="L122" i="2"/>
  <c r="M119" i="2"/>
  <c r="L121" i="2"/>
  <c r="M104" i="2"/>
  <c r="L106" i="2"/>
  <c r="M67" i="2"/>
  <c r="N71" i="2"/>
  <c r="R71" i="2" s="1"/>
  <c r="L70" i="2"/>
  <c r="M42" i="2"/>
  <c r="L45" i="2"/>
  <c r="L47" i="2"/>
  <c r="N149" i="4" l="1"/>
  <c r="O146" i="4"/>
  <c r="O149" i="4" s="1"/>
  <c r="E119" i="5"/>
  <c r="F118" i="5"/>
  <c r="O135" i="4"/>
  <c r="O136" i="4" s="1"/>
  <c r="O137" i="4" s="1"/>
  <c r="N136" i="4"/>
  <c r="N137" i="4" s="1"/>
  <c r="J94" i="4"/>
  <c r="K92" i="4"/>
  <c r="E113" i="5"/>
  <c r="E117" i="5" s="1"/>
  <c r="K67" i="4"/>
  <c r="J70" i="4"/>
  <c r="J73" i="4" s="1"/>
  <c r="J103" i="4"/>
  <c r="J105" i="4" s="1"/>
  <c r="G109" i="5" s="1"/>
  <c r="G110" i="5" s="1"/>
  <c r="K101" i="4"/>
  <c r="F83" i="5"/>
  <c r="F84" i="5" s="1"/>
  <c r="F121" i="5" s="1"/>
  <c r="F31" i="5"/>
  <c r="F32" i="5" s="1"/>
  <c r="M136" i="1"/>
  <c r="M137" i="1" s="1"/>
  <c r="N135" i="1"/>
  <c r="F65" i="5"/>
  <c r="F66" i="5" s="1"/>
  <c r="F120" i="5" s="1"/>
  <c r="F42" i="5"/>
  <c r="F43" i="5" s="1"/>
  <c r="L150" i="1"/>
  <c r="L150" i="4"/>
  <c r="O195" i="4"/>
  <c r="N162" i="4"/>
  <c r="O159" i="4"/>
  <c r="O162" i="4" s="1"/>
  <c r="O123" i="4"/>
  <c r="O124" i="4" s="1"/>
  <c r="O125" i="4" s="1"/>
  <c r="N124" i="4"/>
  <c r="N125" i="4" s="1"/>
  <c r="N175" i="4"/>
  <c r="N169" i="4"/>
  <c r="M160" i="4"/>
  <c r="M163" i="4" s="1"/>
  <c r="N157" i="4"/>
  <c r="M147" i="4"/>
  <c r="N144" i="4"/>
  <c r="O175" i="4"/>
  <c r="O169" i="4"/>
  <c r="N195" i="4"/>
  <c r="M183" i="4"/>
  <c r="M185" i="4" s="1"/>
  <c r="N181" i="4"/>
  <c r="N161" i="4"/>
  <c r="O158" i="4"/>
  <c r="O161" i="4" s="1"/>
  <c r="O129" i="4"/>
  <c r="O130" i="4" s="1"/>
  <c r="O131" i="4" s="1"/>
  <c r="N130" i="4"/>
  <c r="N131" i="4" s="1"/>
  <c r="M148" i="4"/>
  <c r="N145" i="4"/>
  <c r="N175" i="1"/>
  <c r="N169" i="1"/>
  <c r="N145" i="1"/>
  <c r="M148" i="1"/>
  <c r="N192" i="1"/>
  <c r="M194" i="1"/>
  <c r="M195" i="1" s="1"/>
  <c r="N160" i="1"/>
  <c r="O157" i="1"/>
  <c r="O160" i="1" s="1"/>
  <c r="N162" i="1"/>
  <c r="O159" i="1"/>
  <c r="O162" i="1" s="1"/>
  <c r="O175" i="1"/>
  <c r="O169" i="1"/>
  <c r="N161" i="1"/>
  <c r="O158" i="1"/>
  <c r="O161" i="1" s="1"/>
  <c r="M184" i="1"/>
  <c r="M185" i="1" s="1"/>
  <c r="N182" i="1"/>
  <c r="M149" i="1"/>
  <c r="N146" i="1"/>
  <c r="N130" i="1"/>
  <c r="N131" i="1" s="1"/>
  <c r="O129" i="1"/>
  <c r="O130" i="1" s="1"/>
  <c r="O131" i="1" s="1"/>
  <c r="M163" i="1"/>
  <c r="O123" i="1"/>
  <c r="O124" i="1" s="1"/>
  <c r="O125" i="1" s="1"/>
  <c r="N124" i="1"/>
  <c r="N125" i="1" s="1"/>
  <c r="N183" i="1"/>
  <c r="O181" i="1"/>
  <c r="O183" i="1" s="1"/>
  <c r="L78" i="4"/>
  <c r="L79" i="4" s="1"/>
  <c r="I73" i="5" s="1"/>
  <c r="I74" i="5" s="1"/>
  <c r="M77" i="4"/>
  <c r="K72" i="4"/>
  <c r="L69" i="4"/>
  <c r="K33" i="4"/>
  <c r="J34" i="4"/>
  <c r="J35" i="4" s="1"/>
  <c r="G10" i="5" s="1"/>
  <c r="G11" i="5" s="1"/>
  <c r="M55" i="4"/>
  <c r="L58" i="4"/>
  <c r="L46" i="4"/>
  <c r="L47" i="4" s="1"/>
  <c r="I52" i="5" s="1"/>
  <c r="I53" i="5" s="1"/>
  <c r="M45" i="4"/>
  <c r="L59" i="4"/>
  <c r="M56" i="4"/>
  <c r="J57" i="4"/>
  <c r="J60" i="4" s="1"/>
  <c r="K54" i="4"/>
  <c r="K85" i="4"/>
  <c r="L68" i="4"/>
  <c r="K71" i="4"/>
  <c r="K91" i="4"/>
  <c r="J93" i="4"/>
  <c r="J95" i="4" s="1"/>
  <c r="G96" i="5" s="1"/>
  <c r="G97" i="5" s="1"/>
  <c r="K104" i="4"/>
  <c r="L102" i="4"/>
  <c r="L40" i="4"/>
  <c r="L41" i="4" s="1"/>
  <c r="I20" i="5" s="1"/>
  <c r="I21" i="5" s="1"/>
  <c r="M39" i="4"/>
  <c r="C97" i="2"/>
  <c r="F97" i="2"/>
  <c r="E97" i="2"/>
  <c r="D97" i="2"/>
  <c r="F10" i="2"/>
  <c r="E10" i="2"/>
  <c r="D10" i="2"/>
  <c r="C10" i="2"/>
  <c r="F85" i="2"/>
  <c r="E85" i="2"/>
  <c r="D85" i="2"/>
  <c r="C85" i="2"/>
  <c r="G122" i="5" l="1"/>
  <c r="N163" i="1"/>
  <c r="G83" i="5"/>
  <c r="G84" i="5" s="1"/>
  <c r="G121" i="5" s="1"/>
  <c r="G31" i="5"/>
  <c r="G32" i="5" s="1"/>
  <c r="N136" i="1"/>
  <c r="N137" i="1" s="1"/>
  <c r="O135" i="1"/>
  <c r="O136" i="1" s="1"/>
  <c r="O137" i="1" s="1"/>
  <c r="K103" i="4"/>
  <c r="K105" i="4" s="1"/>
  <c r="H109" i="5" s="1"/>
  <c r="H110" i="5" s="1"/>
  <c r="L101" i="4"/>
  <c r="L92" i="4"/>
  <c r="K94" i="4"/>
  <c r="K70" i="4"/>
  <c r="K73" i="4" s="1"/>
  <c r="L67" i="4"/>
  <c r="G118" i="5"/>
  <c r="O163" i="1"/>
  <c r="M150" i="1"/>
  <c r="M150" i="4"/>
  <c r="F119" i="5"/>
  <c r="G65" i="5"/>
  <c r="G66" i="5" s="1"/>
  <c r="G120" i="5" s="1"/>
  <c r="G42" i="5"/>
  <c r="G43" i="5" s="1"/>
  <c r="F113" i="5"/>
  <c r="F117" i="5" s="1"/>
  <c r="O181" i="4"/>
  <c r="O183" i="4" s="1"/>
  <c r="O185" i="4" s="1"/>
  <c r="N183" i="4"/>
  <c r="N185" i="4" s="1"/>
  <c r="O145" i="4"/>
  <c r="O148" i="4" s="1"/>
  <c r="N148" i="4"/>
  <c r="N160" i="4"/>
  <c r="N163" i="4" s="1"/>
  <c r="O157" i="4"/>
  <c r="O160" i="4" s="1"/>
  <c r="O163" i="4" s="1"/>
  <c r="O144" i="4"/>
  <c r="O147" i="4" s="1"/>
  <c r="N147" i="4"/>
  <c r="N150" i="4" s="1"/>
  <c r="N184" i="1"/>
  <c r="N185" i="1" s="1"/>
  <c r="O182" i="1"/>
  <c r="O184" i="1" s="1"/>
  <c r="O185" i="1" s="1"/>
  <c r="O192" i="1"/>
  <c r="O194" i="1" s="1"/>
  <c r="O195" i="1" s="1"/>
  <c r="N194" i="1"/>
  <c r="N195" i="1" s="1"/>
  <c r="O146" i="1"/>
  <c r="O149" i="1" s="1"/>
  <c r="N149" i="1"/>
  <c r="O145" i="1"/>
  <c r="O148" i="1" s="1"/>
  <c r="N148" i="1"/>
  <c r="M40" i="4"/>
  <c r="M41" i="4" s="1"/>
  <c r="J20" i="5" s="1"/>
  <c r="J21" i="5" s="1"/>
  <c r="N39" i="4"/>
  <c r="L104" i="4"/>
  <c r="M102" i="4"/>
  <c r="N56" i="4"/>
  <c r="M59" i="4"/>
  <c r="N45" i="4"/>
  <c r="M46" i="4"/>
  <c r="M47" i="4" s="1"/>
  <c r="J52" i="5" s="1"/>
  <c r="J53" i="5" s="1"/>
  <c r="M58" i="4"/>
  <c r="N55" i="4"/>
  <c r="N77" i="4"/>
  <c r="M78" i="4"/>
  <c r="M79" i="4" s="1"/>
  <c r="J73" i="5" s="1"/>
  <c r="J74" i="5" s="1"/>
  <c r="L54" i="4"/>
  <c r="K57" i="4"/>
  <c r="K60" i="4" s="1"/>
  <c r="M69" i="4"/>
  <c r="L72" i="4"/>
  <c r="L91" i="4"/>
  <c r="K93" i="4"/>
  <c r="K95" i="4" s="1"/>
  <c r="H96" i="5" s="1"/>
  <c r="H97" i="5" s="1"/>
  <c r="H122" i="5" s="1"/>
  <c r="L71" i="4"/>
  <c r="M68" i="4"/>
  <c r="K34" i="4"/>
  <c r="K35" i="4" s="1"/>
  <c r="H10" i="5" s="1"/>
  <c r="H11" i="5" s="1"/>
  <c r="L33" i="4"/>
  <c r="L85" i="4"/>
  <c r="G113" i="5" l="1"/>
  <c r="G117" i="5" s="1"/>
  <c r="O150" i="4"/>
  <c r="N150" i="1"/>
  <c r="H83" i="5"/>
  <c r="H84" i="5" s="1"/>
  <c r="H121" i="5" s="1"/>
  <c r="H31" i="5"/>
  <c r="H32" i="5" s="1"/>
  <c r="M67" i="4"/>
  <c r="L70" i="4"/>
  <c r="L73" i="4" s="1"/>
  <c r="M92" i="4"/>
  <c r="L94" i="4"/>
  <c r="O150" i="1"/>
  <c r="H65" i="5"/>
  <c r="H66" i="5" s="1"/>
  <c r="H120" i="5" s="1"/>
  <c r="H42" i="5"/>
  <c r="H43" i="5" s="1"/>
  <c r="H113" i="5" s="1"/>
  <c r="H117" i="5" s="1"/>
  <c r="M101" i="4"/>
  <c r="L103" i="4"/>
  <c r="L105" i="4" s="1"/>
  <c r="I109" i="5" s="1"/>
  <c r="I110" i="5" s="1"/>
  <c r="G119" i="5"/>
  <c r="H118" i="5"/>
  <c r="N58" i="4"/>
  <c r="O55" i="4"/>
  <c r="O58" i="4" s="1"/>
  <c r="N102" i="4"/>
  <c r="M104" i="4"/>
  <c r="L34" i="4"/>
  <c r="L35" i="4" s="1"/>
  <c r="I10" i="5" s="1"/>
  <c r="I11" i="5" s="1"/>
  <c r="M33" i="4"/>
  <c r="L93" i="4"/>
  <c r="M91" i="4"/>
  <c r="M54" i="4"/>
  <c r="L57" i="4"/>
  <c r="L60" i="4" s="1"/>
  <c r="N59" i="4"/>
  <c r="O56" i="4"/>
  <c r="O59" i="4" s="1"/>
  <c r="M85" i="4"/>
  <c r="O39" i="4"/>
  <c r="O40" i="4" s="1"/>
  <c r="O41" i="4" s="1"/>
  <c r="L20" i="5" s="1"/>
  <c r="L21" i="5" s="1"/>
  <c r="N40" i="4"/>
  <c r="N41" i="4" s="1"/>
  <c r="K20" i="5" s="1"/>
  <c r="K21" i="5" s="1"/>
  <c r="M71" i="4"/>
  <c r="N68" i="4"/>
  <c r="M72" i="4"/>
  <c r="N69" i="4"/>
  <c r="N78" i="4"/>
  <c r="N79" i="4" s="1"/>
  <c r="K73" i="5" s="1"/>
  <c r="K74" i="5" s="1"/>
  <c r="O77" i="4"/>
  <c r="O78" i="4" s="1"/>
  <c r="O79" i="4" s="1"/>
  <c r="L73" i="5" s="1"/>
  <c r="L74" i="5" s="1"/>
  <c r="O45" i="4"/>
  <c r="O46" i="4" s="1"/>
  <c r="O47" i="4" s="1"/>
  <c r="L52" i="5" s="1"/>
  <c r="L53" i="5" s="1"/>
  <c r="N46" i="4"/>
  <c r="N47" i="4" s="1"/>
  <c r="K52" i="5" s="1"/>
  <c r="K53" i="5" s="1"/>
  <c r="L95" i="4" l="1"/>
  <c r="I96" i="5" s="1"/>
  <c r="I97" i="5" s="1"/>
  <c r="I118" i="5"/>
  <c r="N101" i="4"/>
  <c r="M103" i="4"/>
  <c r="M105" i="4" s="1"/>
  <c r="J109" i="5" s="1"/>
  <c r="J110" i="5" s="1"/>
  <c r="N67" i="4"/>
  <c r="M70" i="4"/>
  <c r="M73" i="4" s="1"/>
  <c r="I65" i="5"/>
  <c r="I66" i="5" s="1"/>
  <c r="I120" i="5" s="1"/>
  <c r="I42" i="5"/>
  <c r="I43" i="5" s="1"/>
  <c r="H119" i="5"/>
  <c r="I83" i="5"/>
  <c r="I84" i="5" s="1"/>
  <c r="I121" i="5" s="1"/>
  <c r="I31" i="5"/>
  <c r="I32" i="5" s="1"/>
  <c r="I122" i="5"/>
  <c r="M94" i="4"/>
  <c r="N92" i="4"/>
  <c r="N85" i="4"/>
  <c r="M34" i="4"/>
  <c r="M35" i="4" s="1"/>
  <c r="J10" i="5" s="1"/>
  <c r="J11" i="5" s="1"/>
  <c r="N33" i="4"/>
  <c r="N72" i="4"/>
  <c r="O69" i="4"/>
  <c r="O72" i="4" s="1"/>
  <c r="N54" i="4"/>
  <c r="M57" i="4"/>
  <c r="M60" i="4" s="1"/>
  <c r="M93" i="4"/>
  <c r="M95" i="4" s="1"/>
  <c r="J96" i="5" s="1"/>
  <c r="J97" i="5" s="1"/>
  <c r="N91" i="4"/>
  <c r="O68" i="4"/>
  <c r="O71" i="4" s="1"/>
  <c r="N71" i="4"/>
  <c r="O85" i="4"/>
  <c r="O102" i="4"/>
  <c r="O104" i="4" s="1"/>
  <c r="N104" i="4"/>
  <c r="D104" i="1"/>
  <c r="D103" i="1"/>
  <c r="D105" i="1" s="1"/>
  <c r="E102" i="1"/>
  <c r="F102" i="1" s="1"/>
  <c r="E101" i="1"/>
  <c r="F101" i="1" s="1"/>
  <c r="O100" i="1"/>
  <c r="N100" i="1"/>
  <c r="M100" i="1"/>
  <c r="L100" i="1"/>
  <c r="K100" i="1"/>
  <c r="J100" i="1"/>
  <c r="I100" i="1"/>
  <c r="H100" i="1"/>
  <c r="G100" i="1"/>
  <c r="F100" i="1"/>
  <c r="E100" i="1"/>
  <c r="D100" i="1"/>
  <c r="D94" i="1"/>
  <c r="D93" i="1"/>
  <c r="E92" i="1"/>
  <c r="E94" i="1" s="1"/>
  <c r="E91" i="1"/>
  <c r="E93" i="1" s="1"/>
  <c r="O90" i="1"/>
  <c r="N90" i="1"/>
  <c r="M90" i="1"/>
  <c r="L90" i="1"/>
  <c r="K90" i="1"/>
  <c r="J90" i="1"/>
  <c r="I90" i="1"/>
  <c r="H90" i="1"/>
  <c r="G90" i="1"/>
  <c r="F90" i="1"/>
  <c r="E90" i="1"/>
  <c r="D90" i="1"/>
  <c r="O87" i="1"/>
  <c r="N87" i="1"/>
  <c r="M87" i="1"/>
  <c r="L87" i="1"/>
  <c r="K87" i="1"/>
  <c r="J87" i="1"/>
  <c r="I87" i="1"/>
  <c r="H87" i="1"/>
  <c r="G87" i="1"/>
  <c r="F87" i="1"/>
  <c r="E87" i="1"/>
  <c r="D87" i="1"/>
  <c r="O84" i="1"/>
  <c r="N84" i="1"/>
  <c r="M84" i="1"/>
  <c r="L84" i="1"/>
  <c r="K84" i="1"/>
  <c r="J84" i="1"/>
  <c r="I84" i="1"/>
  <c r="H84" i="1"/>
  <c r="G84" i="1"/>
  <c r="F84" i="1"/>
  <c r="E84" i="1"/>
  <c r="D84" i="1"/>
  <c r="D78" i="1"/>
  <c r="D79" i="1" s="1"/>
  <c r="E77" i="1"/>
  <c r="D72" i="1"/>
  <c r="D71" i="1"/>
  <c r="D70" i="1"/>
  <c r="E69" i="1"/>
  <c r="F69" i="1" s="1"/>
  <c r="F72" i="1" s="1"/>
  <c r="E68" i="1"/>
  <c r="E71" i="1" s="1"/>
  <c r="E67" i="1"/>
  <c r="E70" i="1" s="1"/>
  <c r="O66" i="1"/>
  <c r="N66" i="1"/>
  <c r="M66" i="1"/>
  <c r="L66" i="1"/>
  <c r="K66" i="1"/>
  <c r="J66" i="1"/>
  <c r="I66" i="1"/>
  <c r="H66" i="1"/>
  <c r="G66" i="1"/>
  <c r="F66" i="1"/>
  <c r="E66" i="1"/>
  <c r="D66" i="1"/>
  <c r="D59" i="1"/>
  <c r="D58" i="1"/>
  <c r="D57" i="1"/>
  <c r="E56" i="1"/>
  <c r="E55" i="1"/>
  <c r="F55" i="1" s="1"/>
  <c r="E54" i="1"/>
  <c r="E57" i="1" s="1"/>
  <c r="O53" i="1"/>
  <c r="N53" i="1"/>
  <c r="M53" i="1"/>
  <c r="L53" i="1"/>
  <c r="K53" i="1"/>
  <c r="J53" i="1"/>
  <c r="I53" i="1"/>
  <c r="H53" i="1"/>
  <c r="G53" i="1"/>
  <c r="F53" i="1"/>
  <c r="E53" i="1"/>
  <c r="D53" i="1"/>
  <c r="D46" i="1"/>
  <c r="D47" i="1" s="1"/>
  <c r="E45" i="1"/>
  <c r="E46" i="1" s="1"/>
  <c r="E47" i="1" s="1"/>
  <c r="D40" i="1"/>
  <c r="D41" i="1" s="1"/>
  <c r="E39" i="1"/>
  <c r="E40" i="1" s="1"/>
  <c r="E41" i="1" s="1"/>
  <c r="D34" i="1"/>
  <c r="D35" i="1" s="1"/>
  <c r="E33" i="1"/>
  <c r="F33" i="1" s="1"/>
  <c r="D60" i="1" l="1"/>
  <c r="E95" i="1"/>
  <c r="J128" i="6" s="1"/>
  <c r="J129" i="6" s="1"/>
  <c r="I119" i="5"/>
  <c r="J122" i="5"/>
  <c r="I11" i="8"/>
  <c r="I12" i="8" s="1"/>
  <c r="I11" i="6"/>
  <c r="I12" i="6" s="1"/>
  <c r="J129" i="8"/>
  <c r="J24" i="8"/>
  <c r="J23" i="6"/>
  <c r="J24" i="6" s="1"/>
  <c r="I143" i="8"/>
  <c r="I144" i="8" s="1"/>
  <c r="I143" i="6"/>
  <c r="I144" i="6" s="1"/>
  <c r="J65" i="5"/>
  <c r="J66" i="5" s="1"/>
  <c r="J120" i="5" s="1"/>
  <c r="J42" i="5"/>
  <c r="J43" i="5" s="1"/>
  <c r="I36" i="8"/>
  <c r="I37" i="8" s="1"/>
  <c r="I113" i="8"/>
  <c r="I114" i="8" s="1"/>
  <c r="I160" i="8" s="1"/>
  <c r="I113" i="6"/>
  <c r="I114" i="6" s="1"/>
  <c r="I160" i="6" s="1"/>
  <c r="I176" i="6" s="1"/>
  <c r="I36" i="6"/>
  <c r="I37" i="6" s="1"/>
  <c r="O92" i="4"/>
  <c r="O94" i="4" s="1"/>
  <c r="N94" i="4"/>
  <c r="N103" i="4"/>
  <c r="N105" i="4" s="1"/>
  <c r="K109" i="5" s="1"/>
  <c r="K110" i="5" s="1"/>
  <c r="O101" i="4"/>
  <c r="O103" i="4" s="1"/>
  <c r="O105" i="4" s="1"/>
  <c r="L109" i="5" s="1"/>
  <c r="L110" i="5" s="1"/>
  <c r="I23" i="8"/>
  <c r="I24" i="8" s="1"/>
  <c r="I23" i="6"/>
  <c r="I24" i="6" s="1"/>
  <c r="D73" i="1"/>
  <c r="I98" i="8"/>
  <c r="I99" i="8" s="1"/>
  <c r="I98" i="6"/>
  <c r="I99" i="6" s="1"/>
  <c r="J83" i="5"/>
  <c r="J84" i="5" s="1"/>
  <c r="J121" i="5" s="1"/>
  <c r="J31" i="5"/>
  <c r="J32" i="5" s="1"/>
  <c r="J119" i="5" s="1"/>
  <c r="O67" i="4"/>
  <c r="O70" i="4" s="1"/>
  <c r="O73" i="4" s="1"/>
  <c r="N70" i="4"/>
  <c r="N73" i="4" s="1"/>
  <c r="I113" i="5"/>
  <c r="I117" i="5" s="1"/>
  <c r="I73" i="8"/>
  <c r="I74" i="8" s="1"/>
  <c r="I61" i="8"/>
  <c r="I62" i="8" s="1"/>
  <c r="I61" i="6"/>
  <c r="I62" i="6" s="1"/>
  <c r="I73" i="6"/>
  <c r="I74" i="6" s="1"/>
  <c r="J74" i="8"/>
  <c r="J62" i="8"/>
  <c r="J61" i="6"/>
  <c r="J62" i="6" s="1"/>
  <c r="J73" i="6"/>
  <c r="J74" i="6" s="1"/>
  <c r="D95" i="1"/>
  <c r="J118" i="5"/>
  <c r="O33" i="4"/>
  <c r="O34" i="4" s="1"/>
  <c r="O35" i="4" s="1"/>
  <c r="L10" i="5" s="1"/>
  <c r="L11" i="5" s="1"/>
  <c r="N34" i="4"/>
  <c r="N35" i="4" s="1"/>
  <c r="K10" i="5" s="1"/>
  <c r="K11" i="5" s="1"/>
  <c r="O91" i="4"/>
  <c r="O93" i="4" s="1"/>
  <c r="O95" i="4" s="1"/>
  <c r="L96" i="5" s="1"/>
  <c r="L97" i="5" s="1"/>
  <c r="L122" i="5" s="1"/>
  <c r="N93" i="4"/>
  <c r="N57" i="4"/>
  <c r="N60" i="4" s="1"/>
  <c r="O54" i="4"/>
  <c r="O57" i="4" s="1"/>
  <c r="O60" i="4" s="1"/>
  <c r="D85" i="1"/>
  <c r="E103" i="1"/>
  <c r="F58" i="1"/>
  <c r="G55" i="1"/>
  <c r="E58" i="1"/>
  <c r="F68" i="1"/>
  <c r="G68" i="1" s="1"/>
  <c r="F91" i="1"/>
  <c r="G91" i="1" s="1"/>
  <c r="E34" i="1"/>
  <c r="E35" i="1" s="1"/>
  <c r="F45" i="1"/>
  <c r="G45" i="1" s="1"/>
  <c r="F54" i="1"/>
  <c r="F92" i="1"/>
  <c r="F39" i="1"/>
  <c r="F103" i="1"/>
  <c r="G101" i="1"/>
  <c r="F56" i="1"/>
  <c r="E59" i="1"/>
  <c r="G33" i="1"/>
  <c r="F34" i="1"/>
  <c r="F35" i="1" s="1"/>
  <c r="F77" i="1"/>
  <c r="E78" i="1"/>
  <c r="E79" i="1" s="1"/>
  <c r="F67" i="1"/>
  <c r="G102" i="1"/>
  <c r="F104" i="1"/>
  <c r="E104" i="1"/>
  <c r="G69" i="1"/>
  <c r="E72" i="1"/>
  <c r="E73" i="1" s="1"/>
  <c r="F46" i="1" l="1"/>
  <c r="F71" i="1"/>
  <c r="F105" i="1"/>
  <c r="C128" i="2" s="1"/>
  <c r="C129" i="2" s="1"/>
  <c r="E60" i="1"/>
  <c r="J36" i="6" s="1"/>
  <c r="J37" i="6" s="1"/>
  <c r="J89" i="8"/>
  <c r="J50" i="8"/>
  <c r="J49" i="6"/>
  <c r="J50" i="6" s="1"/>
  <c r="J88" i="6"/>
  <c r="J89" i="6" s="1"/>
  <c r="J37" i="8"/>
  <c r="J114" i="8"/>
  <c r="J160" i="8" s="1"/>
  <c r="K144" i="8"/>
  <c r="I157" i="8"/>
  <c r="J12" i="8"/>
  <c r="J11" i="6"/>
  <c r="J12" i="6" s="1"/>
  <c r="L83" i="5"/>
  <c r="L84" i="5" s="1"/>
  <c r="L121" i="5" s="1"/>
  <c r="L31" i="5"/>
  <c r="L32" i="5" s="1"/>
  <c r="K118" i="5"/>
  <c r="J113" i="5"/>
  <c r="J117" i="5" s="1"/>
  <c r="I128" i="8"/>
  <c r="I129" i="8" s="1"/>
  <c r="I161" i="8" s="1"/>
  <c r="I128" i="6"/>
  <c r="I129" i="6" s="1"/>
  <c r="I161" i="6" s="1"/>
  <c r="I177" i="6" s="1"/>
  <c r="K65" i="5"/>
  <c r="K66" i="5" s="1"/>
  <c r="K120" i="5" s="1"/>
  <c r="K42" i="5"/>
  <c r="K43" i="5" s="1"/>
  <c r="F47" i="1"/>
  <c r="J99" i="8"/>
  <c r="J98" i="6"/>
  <c r="J99" i="6" s="1"/>
  <c r="J159" i="6" s="1"/>
  <c r="J175" i="6" s="1"/>
  <c r="L118" i="5"/>
  <c r="L65" i="5"/>
  <c r="L66" i="5" s="1"/>
  <c r="L120" i="5" s="1"/>
  <c r="L42" i="5"/>
  <c r="L43" i="5" s="1"/>
  <c r="I49" i="8"/>
  <c r="I50" i="8" s="1"/>
  <c r="I88" i="8"/>
  <c r="I89" i="8" s="1"/>
  <c r="I159" i="8" s="1"/>
  <c r="I88" i="6"/>
  <c r="I89" i="6" s="1"/>
  <c r="I49" i="6"/>
  <c r="I50" i="6" s="1"/>
  <c r="I157" i="6"/>
  <c r="I173" i="6" s="1"/>
  <c r="K12" i="8"/>
  <c r="K11" i="6"/>
  <c r="K12" i="6" s="1"/>
  <c r="C11" i="2"/>
  <c r="C12" i="2" s="1"/>
  <c r="K31" i="5"/>
  <c r="K32" i="5" s="1"/>
  <c r="K83" i="5"/>
  <c r="K84" i="5" s="1"/>
  <c r="K121" i="5" s="1"/>
  <c r="E105" i="1"/>
  <c r="N95" i="4"/>
  <c r="K96" i="5" s="1"/>
  <c r="K97" i="5" s="1"/>
  <c r="K122" i="5" s="1"/>
  <c r="I158" i="6"/>
  <c r="I174" i="6" s="1"/>
  <c r="F57" i="1"/>
  <c r="G54" i="1"/>
  <c r="G58" i="1"/>
  <c r="H55" i="1"/>
  <c r="F93" i="1"/>
  <c r="G92" i="1"/>
  <c r="F94" i="1"/>
  <c r="H91" i="1"/>
  <c r="G93" i="1"/>
  <c r="H45" i="1"/>
  <c r="G46" i="1"/>
  <c r="H68" i="1"/>
  <c r="G71" i="1"/>
  <c r="G103" i="1"/>
  <c r="H101" i="1"/>
  <c r="G34" i="1"/>
  <c r="G35" i="1" s="1"/>
  <c r="M11" i="12" s="1"/>
  <c r="H33" i="1"/>
  <c r="G104" i="1"/>
  <c r="H102" i="1"/>
  <c r="G77" i="1"/>
  <c r="F78" i="1"/>
  <c r="F79" i="1" s="1"/>
  <c r="G56" i="1"/>
  <c r="F59" i="1"/>
  <c r="F70" i="1"/>
  <c r="F73" i="1" s="1"/>
  <c r="G67" i="1"/>
  <c r="G39" i="1"/>
  <c r="F40" i="1"/>
  <c r="F41" i="1" s="1"/>
  <c r="G72" i="1"/>
  <c r="H69" i="1"/>
  <c r="E85" i="1"/>
  <c r="J113" i="6" l="1"/>
  <c r="J114" i="6" s="1"/>
  <c r="J160" i="6" s="1"/>
  <c r="J176" i="6" s="1"/>
  <c r="K143" i="6"/>
  <c r="K144" i="6" s="1"/>
  <c r="I150" i="6"/>
  <c r="I156" i="6" s="1"/>
  <c r="I172" i="6" s="1"/>
  <c r="J158" i="6"/>
  <c r="J174" i="6" s="1"/>
  <c r="K113" i="5"/>
  <c r="K117" i="5" s="1"/>
  <c r="L119" i="5"/>
  <c r="J159" i="8"/>
  <c r="J158" i="8"/>
  <c r="I150" i="8"/>
  <c r="I156" i="8" s="1"/>
  <c r="I158" i="8"/>
  <c r="I159" i="6"/>
  <c r="I175" i="6" s="1"/>
  <c r="G105" i="1"/>
  <c r="M143" i="12" s="1"/>
  <c r="J157" i="8"/>
  <c r="J144" i="8"/>
  <c r="J143" i="6"/>
  <c r="J144" i="6" s="1"/>
  <c r="J161" i="6" s="1"/>
  <c r="J177" i="6" s="1"/>
  <c r="K74" i="8"/>
  <c r="K62" i="8"/>
  <c r="K61" i="6"/>
  <c r="K62" i="6" s="1"/>
  <c r="K73" i="6"/>
  <c r="K74" i="6" s="1"/>
  <c r="C61" i="2"/>
  <c r="C62" i="2" s="1"/>
  <c r="G47" i="1"/>
  <c r="L113" i="5"/>
  <c r="L117" i="5" s="1"/>
  <c r="F95" i="1"/>
  <c r="C131" i="2"/>
  <c r="C132" i="2" s="1"/>
  <c r="K24" i="8"/>
  <c r="K23" i="6"/>
  <c r="K24" i="6" s="1"/>
  <c r="K157" i="6" s="1"/>
  <c r="K173" i="6" s="1"/>
  <c r="C23" i="2"/>
  <c r="C14" i="2"/>
  <c r="C15" i="2" s="1"/>
  <c r="D13" i="2" s="1"/>
  <c r="K99" i="8"/>
  <c r="C86" i="2"/>
  <c r="C87" i="2" s="1"/>
  <c r="K98" i="6"/>
  <c r="K99" i="6" s="1"/>
  <c r="F60" i="1"/>
  <c r="K89" i="8"/>
  <c r="K50" i="8"/>
  <c r="K88" i="6"/>
  <c r="K89" i="6" s="1"/>
  <c r="K49" i="6"/>
  <c r="K50" i="6" s="1"/>
  <c r="C76" i="2"/>
  <c r="C77" i="2" s="1"/>
  <c r="C79" i="2" s="1"/>
  <c r="C80" i="2" s="1"/>
  <c r="C49" i="2"/>
  <c r="C50" i="2" s="1"/>
  <c r="L12" i="8"/>
  <c r="M11" i="9"/>
  <c r="M11" i="7"/>
  <c r="M11" i="6"/>
  <c r="L11" i="6"/>
  <c r="L12" i="6" s="1"/>
  <c r="D11" i="2"/>
  <c r="D12" i="2" s="1"/>
  <c r="K119" i="5"/>
  <c r="J150" i="6"/>
  <c r="J156" i="6" s="1"/>
  <c r="J172" i="6" s="1"/>
  <c r="J157" i="6"/>
  <c r="J173" i="6" s="1"/>
  <c r="H92" i="1"/>
  <c r="G94" i="1"/>
  <c r="G95" i="1" s="1"/>
  <c r="M128" i="12" s="1"/>
  <c r="G57" i="1"/>
  <c r="H54" i="1"/>
  <c r="I55" i="1"/>
  <c r="H58" i="1"/>
  <c r="G78" i="1"/>
  <c r="G79" i="1" s="1"/>
  <c r="M98" i="12" s="1"/>
  <c r="H77" i="1"/>
  <c r="H34" i="1"/>
  <c r="H35" i="1" s="1"/>
  <c r="I33" i="1"/>
  <c r="H93" i="1"/>
  <c r="I91" i="1"/>
  <c r="H67" i="1"/>
  <c r="G70" i="1"/>
  <c r="G73" i="1" s="1"/>
  <c r="H104" i="1"/>
  <c r="I102" i="1"/>
  <c r="H39" i="1"/>
  <c r="G40" i="1"/>
  <c r="G41" i="1" s="1"/>
  <c r="M23" i="12" s="1"/>
  <c r="G59" i="1"/>
  <c r="H56" i="1"/>
  <c r="I68" i="1"/>
  <c r="H71" i="1"/>
  <c r="H46" i="1"/>
  <c r="I45" i="1"/>
  <c r="I69" i="1"/>
  <c r="H72" i="1"/>
  <c r="F85" i="1"/>
  <c r="I101" i="1"/>
  <c r="H103" i="1"/>
  <c r="M88" i="12" l="1"/>
  <c r="M49" i="12"/>
  <c r="M61" i="12"/>
  <c r="M62" i="12" s="1"/>
  <c r="M73" i="12"/>
  <c r="D14" i="2"/>
  <c r="D15" i="2" s="1"/>
  <c r="E13" i="2" s="1"/>
  <c r="K159" i="8"/>
  <c r="K157" i="8"/>
  <c r="H47" i="1"/>
  <c r="M98" i="9"/>
  <c r="L99" i="8"/>
  <c r="M98" i="7"/>
  <c r="M98" i="6"/>
  <c r="D86" i="2"/>
  <c r="D87" i="2" s="1"/>
  <c r="L98" i="6"/>
  <c r="L99" i="6" s="1"/>
  <c r="G60" i="1"/>
  <c r="C52" i="2"/>
  <c r="C53" i="2" s="1"/>
  <c r="D130" i="2"/>
  <c r="L144" i="8"/>
  <c r="M143" i="9"/>
  <c r="M143" i="6"/>
  <c r="M143" i="7"/>
  <c r="D128" i="2"/>
  <c r="D129" i="2" s="1"/>
  <c r="L143" i="6"/>
  <c r="L144" i="6" s="1"/>
  <c r="M23" i="9"/>
  <c r="L24" i="8"/>
  <c r="L157" i="8" s="1"/>
  <c r="M23" i="6"/>
  <c r="M23" i="7"/>
  <c r="L23" i="6"/>
  <c r="L24" i="6" s="1"/>
  <c r="L157" i="6" s="1"/>
  <c r="D23" i="2"/>
  <c r="D78" i="2"/>
  <c r="C89" i="2"/>
  <c r="C90" i="2" s="1"/>
  <c r="K129" i="8"/>
  <c r="C113" i="2"/>
  <c r="C114" i="2" s="1"/>
  <c r="K128" i="6"/>
  <c r="K129" i="6" s="1"/>
  <c r="K161" i="6" s="1"/>
  <c r="K177" i="6" s="1"/>
  <c r="C144" i="2"/>
  <c r="C128" i="5" s="1"/>
  <c r="C64" i="2"/>
  <c r="C65" i="2" s="1"/>
  <c r="D63" i="2" s="1"/>
  <c r="J161" i="8"/>
  <c r="M128" i="9"/>
  <c r="L129" i="8"/>
  <c r="M128" i="6"/>
  <c r="M128" i="7"/>
  <c r="D113" i="2"/>
  <c r="D114" i="2" s="1"/>
  <c r="L128" i="6"/>
  <c r="L129" i="6" s="1"/>
  <c r="M61" i="9"/>
  <c r="M62" i="9" s="1"/>
  <c r="L62" i="8"/>
  <c r="M73" i="9"/>
  <c r="L74" i="8"/>
  <c r="M61" i="6"/>
  <c r="M62" i="6" s="1"/>
  <c r="M73" i="7"/>
  <c r="M73" i="6"/>
  <c r="M61" i="7"/>
  <c r="M62" i="7" s="1"/>
  <c r="L61" i="6"/>
  <c r="L62" i="6" s="1"/>
  <c r="L73" i="6"/>
  <c r="L74" i="6" s="1"/>
  <c r="D61" i="2"/>
  <c r="D62" i="2" s="1"/>
  <c r="M88" i="9"/>
  <c r="L50" i="8"/>
  <c r="M49" i="9"/>
  <c r="L89" i="8"/>
  <c r="M88" i="7"/>
  <c r="M88" i="6"/>
  <c r="M49" i="7"/>
  <c r="M49" i="6"/>
  <c r="L88" i="6"/>
  <c r="L89" i="6" s="1"/>
  <c r="L49" i="6"/>
  <c r="L50" i="6" s="1"/>
  <c r="D76" i="2"/>
  <c r="D77" i="2" s="1"/>
  <c r="D49" i="2"/>
  <c r="D50" i="2" s="1"/>
  <c r="H105" i="1"/>
  <c r="N12" i="8"/>
  <c r="N11" i="6"/>
  <c r="N12" i="6" s="1"/>
  <c r="E11" i="2"/>
  <c r="E12" i="2" s="1"/>
  <c r="K114" i="8"/>
  <c r="K160" i="8" s="1"/>
  <c r="K37" i="8"/>
  <c r="K158" i="8" s="1"/>
  <c r="K113" i="6"/>
  <c r="K114" i="6" s="1"/>
  <c r="K160" i="6" s="1"/>
  <c r="K176" i="6" s="1"/>
  <c r="K36" i="6"/>
  <c r="K37" i="6" s="1"/>
  <c r="K158" i="6" s="1"/>
  <c r="K174" i="6" s="1"/>
  <c r="C98" i="2"/>
  <c r="C99" i="2" s="1"/>
  <c r="C36" i="2"/>
  <c r="C37" i="2" s="1"/>
  <c r="K159" i="6"/>
  <c r="K175" i="6" s="1"/>
  <c r="J150" i="8"/>
  <c r="J156" i="8" s="1"/>
  <c r="H94" i="1"/>
  <c r="H95" i="1" s="1"/>
  <c r="I92" i="1"/>
  <c r="J55" i="1"/>
  <c r="I58" i="1"/>
  <c r="H57" i="1"/>
  <c r="I54" i="1"/>
  <c r="J69" i="1"/>
  <c r="I72" i="1"/>
  <c r="I71" i="1"/>
  <c r="J68" i="1"/>
  <c r="H40" i="1"/>
  <c r="H41" i="1" s="1"/>
  <c r="I39" i="1"/>
  <c r="I67" i="1"/>
  <c r="H70" i="1"/>
  <c r="H73" i="1" s="1"/>
  <c r="G85" i="1"/>
  <c r="J45" i="1"/>
  <c r="I46" i="1"/>
  <c r="H59" i="1"/>
  <c r="I56" i="1"/>
  <c r="J102" i="1"/>
  <c r="I104" i="1"/>
  <c r="I93" i="1"/>
  <c r="J91" i="1"/>
  <c r="J33" i="1"/>
  <c r="I34" i="1"/>
  <c r="I35" i="1" s="1"/>
  <c r="J101" i="1"/>
  <c r="I103" i="1"/>
  <c r="H78" i="1"/>
  <c r="H79" i="1" s="1"/>
  <c r="I77" i="1"/>
  <c r="M113" i="12" l="1"/>
  <c r="M36" i="12"/>
  <c r="M150" i="12"/>
  <c r="M159" i="12"/>
  <c r="I105" i="1"/>
  <c r="F128" i="2" s="1"/>
  <c r="F129" i="2" s="1"/>
  <c r="L161" i="8"/>
  <c r="O144" i="8"/>
  <c r="O143" i="6"/>
  <c r="O144" i="6" s="1"/>
  <c r="C145" i="2"/>
  <c r="C129" i="5" s="1"/>
  <c r="C101" i="2"/>
  <c r="C102" i="2" s="1"/>
  <c r="C63" i="7"/>
  <c r="C64" i="7" s="1"/>
  <c r="C65" i="7" s="1"/>
  <c r="D63" i="7" s="1"/>
  <c r="D64" i="7" s="1"/>
  <c r="D65" i="7" s="1"/>
  <c r="M150" i="7"/>
  <c r="M159" i="7"/>
  <c r="N89" i="8"/>
  <c r="N50" i="8"/>
  <c r="N49" i="6"/>
  <c r="N50" i="6" s="1"/>
  <c r="E76" i="2"/>
  <c r="E77" i="2" s="1"/>
  <c r="E49" i="2"/>
  <c r="E50" i="2" s="1"/>
  <c r="N88" i="6"/>
  <c r="N89" i="6" s="1"/>
  <c r="N144" i="8"/>
  <c r="N143" i="6"/>
  <c r="N144" i="6" s="1"/>
  <c r="E128" i="2"/>
  <c r="E129" i="2" s="1"/>
  <c r="D144" i="2"/>
  <c r="M150" i="9"/>
  <c r="M159" i="9"/>
  <c r="D131" i="2"/>
  <c r="D132" i="2" s="1"/>
  <c r="D51" i="2"/>
  <c r="D52" i="2" s="1"/>
  <c r="D53" i="2" s="1"/>
  <c r="H60" i="1"/>
  <c r="L161" i="6"/>
  <c r="D88" i="2"/>
  <c r="D89" i="2" s="1"/>
  <c r="D90" i="2" s="1"/>
  <c r="M36" i="9"/>
  <c r="L37" i="8"/>
  <c r="L158" i="8" s="1"/>
  <c r="M113" i="9"/>
  <c r="L114" i="8"/>
  <c r="L160" i="8" s="1"/>
  <c r="M113" i="7"/>
  <c r="M36" i="7"/>
  <c r="M113" i="6"/>
  <c r="M36" i="6"/>
  <c r="L113" i="6"/>
  <c r="L114" i="6" s="1"/>
  <c r="L160" i="6" s="1"/>
  <c r="L36" i="6"/>
  <c r="L37" i="6" s="1"/>
  <c r="D98" i="2"/>
  <c r="D99" i="2" s="1"/>
  <c r="D36" i="2"/>
  <c r="D37" i="2" s="1"/>
  <c r="N62" i="8"/>
  <c r="N74" i="8"/>
  <c r="N61" i="6"/>
  <c r="N62" i="6" s="1"/>
  <c r="N73" i="6"/>
  <c r="N74" i="6" s="1"/>
  <c r="E61" i="2"/>
  <c r="E62" i="2" s="1"/>
  <c r="K150" i="8"/>
  <c r="K156" i="8" s="1"/>
  <c r="N24" i="8"/>
  <c r="N157" i="8" s="1"/>
  <c r="N23" i="6"/>
  <c r="N24" i="6" s="1"/>
  <c r="E23" i="2"/>
  <c r="N129" i="8"/>
  <c r="N128" i="6"/>
  <c r="N129" i="6" s="1"/>
  <c r="N161" i="6" s="1"/>
  <c r="E113" i="2"/>
  <c r="E114" i="2" s="1"/>
  <c r="L159" i="8"/>
  <c r="K161" i="8"/>
  <c r="O12" i="8"/>
  <c r="O11" i="6"/>
  <c r="O12" i="6" s="1"/>
  <c r="F11" i="2"/>
  <c r="F12" i="2" s="1"/>
  <c r="H12" i="2" s="1"/>
  <c r="I47" i="1"/>
  <c r="N99" i="8"/>
  <c r="E86" i="2"/>
  <c r="E87" i="2" s="1"/>
  <c r="N98" i="6"/>
  <c r="N99" i="6" s="1"/>
  <c r="C39" i="2"/>
  <c r="C40" i="2" s="1"/>
  <c r="C143" i="2"/>
  <c r="C127" i="5" s="1"/>
  <c r="N157" i="6"/>
  <c r="D79" i="2"/>
  <c r="D80" i="2" s="1"/>
  <c r="L159" i="6"/>
  <c r="C116" i="2"/>
  <c r="C117" i="2" s="1"/>
  <c r="K150" i="6"/>
  <c r="K156" i="6" s="1"/>
  <c r="K172" i="6" s="1"/>
  <c r="D64" i="2"/>
  <c r="E14" i="2"/>
  <c r="I94" i="1"/>
  <c r="I95" i="1" s="1"/>
  <c r="J92" i="1"/>
  <c r="J58" i="1"/>
  <c r="K55" i="1"/>
  <c r="J54" i="1"/>
  <c r="I57" i="1"/>
  <c r="J77" i="1"/>
  <c r="I78" i="1"/>
  <c r="I79" i="1" s="1"/>
  <c r="J71" i="1"/>
  <c r="K68" i="1"/>
  <c r="H85" i="1"/>
  <c r="J103" i="1"/>
  <c r="K101" i="1"/>
  <c r="K33" i="1"/>
  <c r="J34" i="1"/>
  <c r="J35" i="1" s="1"/>
  <c r="K102" i="1"/>
  <c r="J104" i="1"/>
  <c r="K45" i="1"/>
  <c r="J46" i="1"/>
  <c r="J47" i="1" s="1"/>
  <c r="I70" i="1"/>
  <c r="I73" i="1" s="1"/>
  <c r="J67" i="1"/>
  <c r="K91" i="1"/>
  <c r="J93" i="1"/>
  <c r="J56" i="1"/>
  <c r="I59" i="1"/>
  <c r="J39" i="1"/>
  <c r="I40" i="1"/>
  <c r="I41" i="1" s="1"/>
  <c r="J72" i="1"/>
  <c r="K69" i="1"/>
  <c r="H129" i="2" l="1"/>
  <c r="M156" i="12"/>
  <c r="M152" i="12"/>
  <c r="J105" i="1"/>
  <c r="C143" i="6" s="1"/>
  <c r="C144" i="6" s="1"/>
  <c r="E144" i="2"/>
  <c r="N161" i="8"/>
  <c r="L150" i="8"/>
  <c r="L156" i="8" s="1"/>
  <c r="E88" i="2"/>
  <c r="O129" i="8"/>
  <c r="F113" i="2"/>
  <c r="F114" i="2" s="1"/>
  <c r="O128" i="6"/>
  <c r="O129" i="6" s="1"/>
  <c r="O161" i="6" s="1"/>
  <c r="N159" i="8"/>
  <c r="E63" i="7"/>
  <c r="E64" i="7" s="1"/>
  <c r="E65" i="7" s="1"/>
  <c r="C73" i="8"/>
  <c r="C74" i="8" s="1"/>
  <c r="C61" i="8"/>
  <c r="C62" i="8" s="1"/>
  <c r="C61" i="6"/>
  <c r="C62" i="6" s="1"/>
  <c r="C73" i="6"/>
  <c r="C74" i="6" s="1"/>
  <c r="O74" i="8"/>
  <c r="O62" i="8"/>
  <c r="O61" i="6"/>
  <c r="O62" i="6" s="1"/>
  <c r="O73" i="6"/>
  <c r="O74" i="6" s="1"/>
  <c r="F61" i="2"/>
  <c r="F62" i="2" s="1"/>
  <c r="D143" i="2"/>
  <c r="E51" i="2"/>
  <c r="E52" i="2" s="1"/>
  <c r="E130" i="2"/>
  <c r="O50" i="8"/>
  <c r="O89" i="8"/>
  <c r="O88" i="6"/>
  <c r="O89" i="6" s="1"/>
  <c r="F76" i="2"/>
  <c r="F77" i="2" s="1"/>
  <c r="O49" i="6"/>
  <c r="O50" i="6" s="1"/>
  <c r="F49" i="2"/>
  <c r="F50" i="2" s="1"/>
  <c r="N37" i="8"/>
  <c r="N158" i="8" s="1"/>
  <c r="N114" i="8"/>
  <c r="N160" i="8" s="1"/>
  <c r="N113" i="6"/>
  <c r="N114" i="6" s="1"/>
  <c r="N160" i="6" s="1"/>
  <c r="E98" i="2"/>
  <c r="E99" i="2" s="1"/>
  <c r="N36" i="6"/>
  <c r="N37" i="6" s="1"/>
  <c r="E36" i="2"/>
  <c r="E37" i="2" s="1"/>
  <c r="C11" i="8"/>
  <c r="C12" i="8" s="1"/>
  <c r="C11" i="6"/>
  <c r="C12" i="6" s="1"/>
  <c r="I60" i="1"/>
  <c r="E78" i="2"/>
  <c r="E89" i="2"/>
  <c r="E90" i="2" s="1"/>
  <c r="F88" i="2" s="1"/>
  <c r="N159" i="6"/>
  <c r="D145" i="2"/>
  <c r="M156" i="9"/>
  <c r="M152" i="9"/>
  <c r="D100" i="2"/>
  <c r="D101" i="2" s="1"/>
  <c r="D102" i="2" s="1"/>
  <c r="O99" i="8"/>
  <c r="F86" i="2"/>
  <c r="F87" i="2" s="1"/>
  <c r="H87" i="2" s="1"/>
  <c r="O98" i="6"/>
  <c r="O99" i="6" s="1"/>
  <c r="O24" i="8"/>
  <c r="O23" i="6"/>
  <c r="O24" i="6" s="1"/>
  <c r="F23" i="2"/>
  <c r="D115" i="2"/>
  <c r="D38" i="2"/>
  <c r="D39" i="2" s="1"/>
  <c r="D40" i="2" s="1"/>
  <c r="L158" i="6"/>
  <c r="L150" i="6"/>
  <c r="L156" i="6" s="1"/>
  <c r="M156" i="7"/>
  <c r="M152" i="7"/>
  <c r="D65" i="2"/>
  <c r="E63" i="2" s="1"/>
  <c r="E15" i="2"/>
  <c r="F13" i="2" s="1"/>
  <c r="J57" i="1"/>
  <c r="K54" i="1"/>
  <c r="K58" i="1"/>
  <c r="L55" i="1"/>
  <c r="J94" i="1"/>
  <c r="J95" i="1" s="1"/>
  <c r="K92" i="1"/>
  <c r="K104" i="1"/>
  <c r="L102" i="1"/>
  <c r="K77" i="1"/>
  <c r="J78" i="1"/>
  <c r="J79" i="1" s="1"/>
  <c r="K39" i="1"/>
  <c r="J40" i="1"/>
  <c r="J41" i="1" s="1"/>
  <c r="L91" i="1"/>
  <c r="K93" i="1"/>
  <c r="L68" i="1"/>
  <c r="K71" i="1"/>
  <c r="K72" i="1"/>
  <c r="L69" i="1"/>
  <c r="L45" i="1"/>
  <c r="K46" i="1"/>
  <c r="K47" i="1" s="1"/>
  <c r="K34" i="1"/>
  <c r="K35" i="1" s="1"/>
  <c r="L33" i="1"/>
  <c r="K56" i="1"/>
  <c r="J59" i="1"/>
  <c r="J70" i="1"/>
  <c r="J73" i="1" s="1"/>
  <c r="K67" i="1"/>
  <c r="K103" i="1"/>
  <c r="K105" i="1" s="1"/>
  <c r="L101" i="1"/>
  <c r="I85" i="1"/>
  <c r="C143" i="8" l="1"/>
  <c r="C144" i="8" s="1"/>
  <c r="N150" i="8"/>
  <c r="E100" i="2"/>
  <c r="E38" i="2"/>
  <c r="E39" i="2" s="1"/>
  <c r="E40" i="2" s="1"/>
  <c r="C128" i="8"/>
  <c r="C129" i="8" s="1"/>
  <c r="C128" i="6"/>
  <c r="C129" i="6" s="1"/>
  <c r="F63" i="7"/>
  <c r="F64" i="7" s="1"/>
  <c r="F65" i="7" s="1"/>
  <c r="D116" i="2"/>
  <c r="E145" i="2"/>
  <c r="E101" i="2"/>
  <c r="E102" i="2" s="1"/>
  <c r="F100" i="2" s="1"/>
  <c r="O159" i="8"/>
  <c r="Q167" i="8" s="1"/>
  <c r="H62" i="2"/>
  <c r="F144" i="2"/>
  <c r="O161" i="8"/>
  <c r="Q169" i="8" s="1"/>
  <c r="D143" i="8"/>
  <c r="D144" i="8" s="1"/>
  <c r="D143" i="6"/>
  <c r="D144" i="6" s="1"/>
  <c r="H114" i="2"/>
  <c r="C98" i="8"/>
  <c r="C99" i="8" s="1"/>
  <c r="C98" i="6"/>
  <c r="C99" i="6" s="1"/>
  <c r="C88" i="8"/>
  <c r="C89" i="8" s="1"/>
  <c r="C49" i="8"/>
  <c r="C50" i="8" s="1"/>
  <c r="C88" i="6"/>
  <c r="C89" i="6" s="1"/>
  <c r="C49" i="6"/>
  <c r="C50" i="6" s="1"/>
  <c r="D11" i="8"/>
  <c r="D12" i="8" s="1"/>
  <c r="D11" i="6"/>
  <c r="D12" i="6" s="1"/>
  <c r="J60" i="1"/>
  <c r="H50" i="2"/>
  <c r="E131" i="2"/>
  <c r="E53" i="2"/>
  <c r="O157" i="6"/>
  <c r="N158" i="6"/>
  <c r="N150" i="6"/>
  <c r="N156" i="6" s="1"/>
  <c r="D61" i="8"/>
  <c r="D62" i="8" s="1"/>
  <c r="D73" i="8"/>
  <c r="D74" i="8" s="1"/>
  <c r="D61" i="6"/>
  <c r="D62" i="6" s="1"/>
  <c r="D64" i="6" s="1"/>
  <c r="D65" i="6" s="1"/>
  <c r="D73" i="6"/>
  <c r="D74" i="6" s="1"/>
  <c r="C23" i="8"/>
  <c r="C24" i="8" s="1"/>
  <c r="C157" i="8" s="1"/>
  <c r="C23" i="6"/>
  <c r="C24" i="6" s="1"/>
  <c r="C157" i="6" s="1"/>
  <c r="O114" i="8"/>
  <c r="O37" i="8"/>
  <c r="F98" i="2"/>
  <c r="F99" i="2" s="1"/>
  <c r="F145" i="2" s="1"/>
  <c r="F36" i="2"/>
  <c r="F37" i="2" s="1"/>
  <c r="H37" i="2" s="1"/>
  <c r="O36" i="6"/>
  <c r="O37" i="6" s="1"/>
  <c r="O158" i="6" s="1"/>
  <c r="O113" i="6"/>
  <c r="O114" i="6" s="1"/>
  <c r="O160" i="6" s="1"/>
  <c r="E143" i="2"/>
  <c r="H77" i="2"/>
  <c r="E79" i="2"/>
  <c r="O157" i="8"/>
  <c r="Q165" i="8" s="1"/>
  <c r="O159" i="6"/>
  <c r="C64" i="6"/>
  <c r="F89" i="2"/>
  <c r="H88" i="2"/>
  <c r="C24" i="2"/>
  <c r="C146" i="2"/>
  <c r="C130" i="5" s="1"/>
  <c r="L92" i="1"/>
  <c r="K94" i="1"/>
  <c r="K95" i="1" s="1"/>
  <c r="K57" i="1"/>
  <c r="L54" i="1"/>
  <c r="L58" i="1"/>
  <c r="M55" i="1"/>
  <c r="K59" i="1"/>
  <c r="L56" i="1"/>
  <c r="L46" i="1"/>
  <c r="L47" i="1" s="1"/>
  <c r="M45" i="1"/>
  <c r="M68" i="1"/>
  <c r="L71" i="1"/>
  <c r="L93" i="1"/>
  <c r="M91" i="1"/>
  <c r="K78" i="1"/>
  <c r="K79" i="1" s="1"/>
  <c r="L77" i="1"/>
  <c r="M101" i="1"/>
  <c r="L103" i="1"/>
  <c r="M33" i="1"/>
  <c r="L34" i="1"/>
  <c r="L35" i="1" s="1"/>
  <c r="M69" i="1"/>
  <c r="L72" i="1"/>
  <c r="L39" i="1"/>
  <c r="K40" i="1"/>
  <c r="K41" i="1" s="1"/>
  <c r="L104" i="1"/>
  <c r="M102" i="1"/>
  <c r="L67" i="1"/>
  <c r="K70" i="1"/>
  <c r="K73" i="1" s="1"/>
  <c r="J85" i="1"/>
  <c r="C159" i="6" l="1"/>
  <c r="L105" i="1"/>
  <c r="E143" i="8" s="1"/>
  <c r="E144" i="8" s="1"/>
  <c r="O150" i="8"/>
  <c r="O156" i="8" s="1"/>
  <c r="Q164" i="8" s="1"/>
  <c r="N156" i="8"/>
  <c r="D128" i="8"/>
  <c r="D129" i="8" s="1"/>
  <c r="D128" i="6"/>
  <c r="D129" i="6" s="1"/>
  <c r="D161" i="6" s="1"/>
  <c r="D177" i="6" s="1"/>
  <c r="G63" i="7"/>
  <c r="G64" i="7" s="1"/>
  <c r="G65" i="7" s="1"/>
  <c r="H63" i="7" s="1"/>
  <c r="H64" i="7" s="1"/>
  <c r="H65" i="7" s="1"/>
  <c r="I63" i="7" s="1"/>
  <c r="I64" i="7" s="1"/>
  <c r="I65" i="7" s="1"/>
  <c r="J63" i="7" s="1"/>
  <c r="J64" i="7" s="1"/>
  <c r="J65" i="7" s="1"/>
  <c r="K63" i="7" s="1"/>
  <c r="K64" i="7" s="1"/>
  <c r="K65" i="7" s="1"/>
  <c r="C173" i="6"/>
  <c r="D98" i="8"/>
  <c r="D99" i="8" s="1"/>
  <c r="D98" i="6"/>
  <c r="D99" i="6" s="1"/>
  <c r="K60" i="1"/>
  <c r="E143" i="6"/>
  <c r="E144" i="6" s="1"/>
  <c r="C175" i="6"/>
  <c r="D117" i="2"/>
  <c r="F38" i="2"/>
  <c r="H38" i="2" s="1"/>
  <c r="E73" i="8"/>
  <c r="E74" i="8" s="1"/>
  <c r="E61" i="8"/>
  <c r="E62" i="8" s="1"/>
  <c r="E61" i="6"/>
  <c r="E62" i="6" s="1"/>
  <c r="E73" i="6"/>
  <c r="E74" i="6" s="1"/>
  <c r="E80" i="2"/>
  <c r="F143" i="2"/>
  <c r="E63" i="6"/>
  <c r="F51" i="2"/>
  <c r="C159" i="8"/>
  <c r="O160" i="8"/>
  <c r="Q168" i="8" s="1"/>
  <c r="D49" i="8"/>
  <c r="D50" i="8" s="1"/>
  <c r="D88" i="8"/>
  <c r="D89" i="8" s="1"/>
  <c r="D88" i="6"/>
  <c r="D89" i="6" s="1"/>
  <c r="D159" i="6" s="1"/>
  <c r="D175" i="6" s="1"/>
  <c r="D49" i="6"/>
  <c r="D50" i="6" s="1"/>
  <c r="D23" i="8"/>
  <c r="D24" i="8" s="1"/>
  <c r="D157" i="8" s="1"/>
  <c r="D23" i="6"/>
  <c r="D24" i="6" s="1"/>
  <c r="D157" i="6" s="1"/>
  <c r="E11" i="8"/>
  <c r="E12" i="8" s="1"/>
  <c r="E11" i="6"/>
  <c r="E12" i="6" s="1"/>
  <c r="O150" i="6"/>
  <c r="C161" i="6"/>
  <c r="O158" i="8"/>
  <c r="Q166" i="8" s="1"/>
  <c r="H99" i="2"/>
  <c r="E132" i="2"/>
  <c r="C113" i="8"/>
  <c r="C114" i="8" s="1"/>
  <c r="C36" i="8"/>
  <c r="C37" i="8" s="1"/>
  <c r="C113" i="6"/>
  <c r="C114" i="6" s="1"/>
  <c r="C160" i="6" s="1"/>
  <c r="C36" i="6"/>
  <c r="C37" i="6" s="1"/>
  <c r="C161" i="8"/>
  <c r="H13" i="2"/>
  <c r="F101" i="2"/>
  <c r="H100" i="2"/>
  <c r="H89" i="2"/>
  <c r="F90" i="2"/>
  <c r="C100" i="6" s="1"/>
  <c r="E64" i="2"/>
  <c r="C142" i="2"/>
  <c r="C126" i="5" s="1"/>
  <c r="C26" i="2"/>
  <c r="F14" i="2"/>
  <c r="D24" i="2"/>
  <c r="C135" i="2"/>
  <c r="D146" i="2"/>
  <c r="M92" i="1"/>
  <c r="L94" i="1"/>
  <c r="L95" i="1" s="1"/>
  <c r="N55" i="1"/>
  <c r="M58" i="1"/>
  <c r="L57" i="1"/>
  <c r="M54" i="1"/>
  <c r="M67" i="1"/>
  <c r="L70" i="1"/>
  <c r="L73" i="1" s="1"/>
  <c r="N69" i="1"/>
  <c r="M72" i="1"/>
  <c r="N101" i="1"/>
  <c r="M103" i="1"/>
  <c r="L40" i="1"/>
  <c r="L41" i="1" s="1"/>
  <c r="M39" i="1"/>
  <c r="L78" i="1"/>
  <c r="L79" i="1" s="1"/>
  <c r="M77" i="1"/>
  <c r="L59" i="1"/>
  <c r="M56" i="1"/>
  <c r="N102" i="1"/>
  <c r="M104" i="1"/>
  <c r="N33" i="1"/>
  <c r="M34" i="1"/>
  <c r="M35" i="1" s="1"/>
  <c r="K85" i="1"/>
  <c r="M71" i="1"/>
  <c r="N68" i="1"/>
  <c r="M93" i="1"/>
  <c r="N91" i="1"/>
  <c r="M46" i="1"/>
  <c r="M47" i="1" s="1"/>
  <c r="N45" i="1"/>
  <c r="D173" i="6" l="1"/>
  <c r="E128" i="8"/>
  <c r="E129" i="8" s="1"/>
  <c r="E128" i="6"/>
  <c r="E129" i="6" s="1"/>
  <c r="E161" i="6" s="1"/>
  <c r="E177" i="6" s="1"/>
  <c r="E64" i="6"/>
  <c r="E65" i="6" s="1"/>
  <c r="C158" i="8"/>
  <c r="C150" i="8"/>
  <c r="C156" i="8" s="1"/>
  <c r="O156" i="6"/>
  <c r="F78" i="2"/>
  <c r="D36" i="8"/>
  <c r="D37" i="8" s="1"/>
  <c r="D113" i="8"/>
  <c r="D114" i="8" s="1"/>
  <c r="D113" i="6"/>
  <c r="D114" i="6" s="1"/>
  <c r="D160" i="6" s="1"/>
  <c r="D176" i="6" s="1"/>
  <c r="D36" i="6"/>
  <c r="D37" i="6" s="1"/>
  <c r="D158" i="6" s="1"/>
  <c r="D174" i="6" s="1"/>
  <c r="F11" i="8"/>
  <c r="F12" i="8" s="1"/>
  <c r="F11" i="6"/>
  <c r="F12" i="6" s="1"/>
  <c r="L63" i="7"/>
  <c r="L64" i="7" s="1"/>
  <c r="L65" i="7" s="1"/>
  <c r="M63" i="7"/>
  <c r="M64" i="7" s="1"/>
  <c r="L60" i="1"/>
  <c r="M105" i="1"/>
  <c r="C160" i="8"/>
  <c r="E115" i="2"/>
  <c r="C176" i="6"/>
  <c r="C177" i="6"/>
  <c r="H51" i="2"/>
  <c r="F52" i="2"/>
  <c r="E23" i="8"/>
  <c r="E24" i="8" s="1"/>
  <c r="E23" i="6"/>
  <c r="E24" i="6" s="1"/>
  <c r="E157" i="6" s="1"/>
  <c r="F61" i="8"/>
  <c r="F62" i="8" s="1"/>
  <c r="F73" i="8"/>
  <c r="F74" i="8" s="1"/>
  <c r="F61" i="6"/>
  <c r="F62" i="6" s="1"/>
  <c r="F73" i="6"/>
  <c r="F74" i="6" s="1"/>
  <c r="E49" i="8"/>
  <c r="E50" i="8" s="1"/>
  <c r="E88" i="8"/>
  <c r="E89" i="8" s="1"/>
  <c r="E49" i="6"/>
  <c r="E50" i="6" s="1"/>
  <c r="E88" i="6"/>
  <c r="E89" i="6" s="1"/>
  <c r="C99" i="7"/>
  <c r="C100" i="7" s="1"/>
  <c r="M99" i="6"/>
  <c r="E98" i="8"/>
  <c r="E99" i="8" s="1"/>
  <c r="E98" i="6"/>
  <c r="E99" i="6" s="1"/>
  <c r="C158" i="6"/>
  <c r="C150" i="6"/>
  <c r="C156" i="6" s="1"/>
  <c r="F130" i="2"/>
  <c r="D159" i="8"/>
  <c r="F39" i="2"/>
  <c r="D161" i="8"/>
  <c r="C141" i="2"/>
  <c r="C125" i="5" s="1"/>
  <c r="C137" i="2"/>
  <c r="H101" i="2"/>
  <c r="F102" i="2"/>
  <c r="C115" i="6" s="1"/>
  <c r="E65" i="2"/>
  <c r="F63" i="2" s="1"/>
  <c r="H14" i="2"/>
  <c r="F15" i="2"/>
  <c r="C13" i="6" s="1"/>
  <c r="C27" i="2"/>
  <c r="D25" i="2" s="1"/>
  <c r="D136" i="2" s="1"/>
  <c r="D142" i="2"/>
  <c r="D135" i="2"/>
  <c r="D141" i="2" s="1"/>
  <c r="E24" i="2"/>
  <c r="E146" i="2"/>
  <c r="M57" i="1"/>
  <c r="N54" i="1"/>
  <c r="M94" i="1"/>
  <c r="M95" i="1" s="1"/>
  <c r="N92" i="1"/>
  <c r="N58" i="1"/>
  <c r="O55" i="1"/>
  <c r="O58" i="1" s="1"/>
  <c r="O45" i="1"/>
  <c r="O46" i="1" s="1"/>
  <c r="O47" i="1" s="1"/>
  <c r="N46" i="1"/>
  <c r="N47" i="1" s="1"/>
  <c r="O102" i="1"/>
  <c r="O104" i="1" s="1"/>
  <c r="N104" i="1"/>
  <c r="L85" i="1"/>
  <c r="N72" i="1"/>
  <c r="O69" i="1"/>
  <c r="O72" i="1" s="1"/>
  <c r="M70" i="1"/>
  <c r="M73" i="1" s="1"/>
  <c r="N67" i="1"/>
  <c r="N71" i="1"/>
  <c r="O68" i="1"/>
  <c r="O71" i="1" s="1"/>
  <c r="N56" i="1"/>
  <c r="M59" i="1"/>
  <c r="M40" i="1"/>
  <c r="M41" i="1" s="1"/>
  <c r="N39" i="1"/>
  <c r="O91" i="1"/>
  <c r="O93" i="1" s="1"/>
  <c r="N93" i="1"/>
  <c r="O33" i="1"/>
  <c r="O34" i="1" s="1"/>
  <c r="O35" i="1" s="1"/>
  <c r="N34" i="1"/>
  <c r="N35" i="1" s="1"/>
  <c r="N103" i="1"/>
  <c r="N105" i="1" s="1"/>
  <c r="O101" i="1"/>
  <c r="O103" i="1" s="1"/>
  <c r="N77" i="1"/>
  <c r="M78" i="1"/>
  <c r="M79" i="1" s="1"/>
  <c r="E159" i="6" l="1"/>
  <c r="E175" i="6" s="1"/>
  <c r="O105" i="1"/>
  <c r="E159" i="8"/>
  <c r="D150" i="6"/>
  <c r="D156" i="6" s="1"/>
  <c r="D172" i="6" s="1"/>
  <c r="E173" i="6"/>
  <c r="F128" i="8"/>
  <c r="F129" i="8" s="1"/>
  <c r="F128" i="6"/>
  <c r="F129" i="6" s="1"/>
  <c r="F23" i="8"/>
  <c r="F24" i="8" s="1"/>
  <c r="F23" i="6"/>
  <c r="F24" i="6" s="1"/>
  <c r="F157" i="6" s="1"/>
  <c r="F173" i="6" s="1"/>
  <c r="G73" i="8"/>
  <c r="G74" i="8" s="1"/>
  <c r="G61" i="8"/>
  <c r="G62" i="8" s="1"/>
  <c r="G61" i="6"/>
  <c r="G62" i="6" s="1"/>
  <c r="G73" i="6"/>
  <c r="G74" i="6" s="1"/>
  <c r="D160" i="8"/>
  <c r="H143" i="8"/>
  <c r="H144" i="8" s="1"/>
  <c r="H143" i="6"/>
  <c r="H144" i="6" s="1"/>
  <c r="C114" i="7"/>
  <c r="M114" i="6"/>
  <c r="C174" i="6"/>
  <c r="C101" i="7"/>
  <c r="C102" i="7" s="1"/>
  <c r="D100" i="7" s="1"/>
  <c r="D101" i="7" s="1"/>
  <c r="D102" i="7" s="1"/>
  <c r="E100" i="7" s="1"/>
  <c r="E101" i="7" s="1"/>
  <c r="E102" i="7" s="1"/>
  <c r="F100" i="7" s="1"/>
  <c r="F101" i="7" s="1"/>
  <c r="F102" i="7" s="1"/>
  <c r="H52" i="2"/>
  <c r="F53" i="2"/>
  <c r="M65" i="7"/>
  <c r="D158" i="8"/>
  <c r="D150" i="8"/>
  <c r="D156" i="8" s="1"/>
  <c r="F63" i="6"/>
  <c r="F64" i="6" s="1"/>
  <c r="F65" i="6" s="1"/>
  <c r="E161" i="8"/>
  <c r="H61" i="8"/>
  <c r="H62" i="8" s="1"/>
  <c r="H73" i="8"/>
  <c r="H74" i="8" s="1"/>
  <c r="H61" i="6"/>
  <c r="H62" i="6" s="1"/>
  <c r="H73" i="6"/>
  <c r="H74" i="6" s="1"/>
  <c r="G143" i="8"/>
  <c r="G144" i="8" s="1"/>
  <c r="G143" i="6"/>
  <c r="G144" i="6" s="1"/>
  <c r="F88" i="8"/>
  <c r="F89" i="8" s="1"/>
  <c r="F49" i="8"/>
  <c r="F50" i="8" s="1"/>
  <c r="F88" i="6"/>
  <c r="F89" i="6" s="1"/>
  <c r="F49" i="6"/>
  <c r="F50" i="6" s="1"/>
  <c r="C12" i="7"/>
  <c r="M12" i="6"/>
  <c r="F40" i="2"/>
  <c r="H39" i="2"/>
  <c r="F131" i="2"/>
  <c r="H130" i="2"/>
  <c r="E116" i="2"/>
  <c r="F143" i="8"/>
  <c r="F144" i="8" s="1"/>
  <c r="F143" i="6"/>
  <c r="F144" i="6" s="1"/>
  <c r="F79" i="2"/>
  <c r="H78" i="2"/>
  <c r="H11" i="8"/>
  <c r="H12" i="8" s="1"/>
  <c r="H11" i="6"/>
  <c r="H12" i="6" s="1"/>
  <c r="F98" i="8"/>
  <c r="F99" i="8" s="1"/>
  <c r="F98" i="6"/>
  <c r="F99" i="6" s="1"/>
  <c r="G11" i="8"/>
  <c r="G12" i="8" s="1"/>
  <c r="G11" i="6"/>
  <c r="G12" i="6" s="1"/>
  <c r="M60" i="1"/>
  <c r="C172" i="6"/>
  <c r="E157" i="8"/>
  <c r="E36" i="8"/>
  <c r="E37" i="8" s="1"/>
  <c r="E113" i="8"/>
  <c r="E114" i="8" s="1"/>
  <c r="E113" i="6"/>
  <c r="E114" i="6" s="1"/>
  <c r="E160" i="6" s="1"/>
  <c r="E36" i="6"/>
  <c r="E37" i="6" s="1"/>
  <c r="E158" i="6" s="1"/>
  <c r="E174" i="6" s="1"/>
  <c r="D137" i="2"/>
  <c r="C101" i="6"/>
  <c r="E142" i="2"/>
  <c r="F24" i="2"/>
  <c r="H24" i="2" s="1"/>
  <c r="H135" i="2" s="1"/>
  <c r="E135" i="2"/>
  <c r="E141" i="2" s="1"/>
  <c r="F146" i="2"/>
  <c r="O92" i="1"/>
  <c r="O94" i="1" s="1"/>
  <c r="O95" i="1" s="1"/>
  <c r="N94" i="1"/>
  <c r="N95" i="1" s="1"/>
  <c r="N57" i="1"/>
  <c r="O54" i="1"/>
  <c r="O57" i="1" s="1"/>
  <c r="N70" i="1"/>
  <c r="N73" i="1" s="1"/>
  <c r="O67" i="1"/>
  <c r="O70" i="1" s="1"/>
  <c r="O73" i="1" s="1"/>
  <c r="O56" i="1"/>
  <c r="O59" i="1" s="1"/>
  <c r="N59" i="1"/>
  <c r="O77" i="1"/>
  <c r="O78" i="1" s="1"/>
  <c r="O79" i="1" s="1"/>
  <c r="N78" i="1"/>
  <c r="N79" i="1" s="1"/>
  <c r="M85" i="1"/>
  <c r="O39" i="1"/>
  <c r="O40" i="1" s="1"/>
  <c r="O41" i="1" s="1"/>
  <c r="N40" i="1"/>
  <c r="N41" i="1" s="1"/>
  <c r="Q62" i="6" l="1"/>
  <c r="F159" i="6"/>
  <c r="F175" i="6" s="1"/>
  <c r="N60" i="1"/>
  <c r="F159" i="8"/>
  <c r="G128" i="8"/>
  <c r="G129" i="8" s="1"/>
  <c r="G128" i="6"/>
  <c r="G129" i="6" s="1"/>
  <c r="G161" i="6" s="1"/>
  <c r="G177" i="6" s="1"/>
  <c r="G63" i="6"/>
  <c r="G64" i="6" s="1"/>
  <c r="G65" i="6" s="1"/>
  <c r="H63" i="6" s="1"/>
  <c r="H64" i="6" s="1"/>
  <c r="H65" i="6" s="1"/>
  <c r="I63" i="6" s="1"/>
  <c r="I64" i="6" s="1"/>
  <c r="I65" i="6" s="1"/>
  <c r="J63" i="6" s="1"/>
  <c r="J64" i="6" s="1"/>
  <c r="J65" i="6" s="1"/>
  <c r="K63" i="6" s="1"/>
  <c r="K64" i="6" s="1"/>
  <c r="K65" i="6" s="1"/>
  <c r="H128" i="8"/>
  <c r="H129" i="8" s="1"/>
  <c r="H161" i="8" s="1"/>
  <c r="H128" i="6"/>
  <c r="H129" i="6" s="1"/>
  <c r="H161" i="6" s="1"/>
  <c r="H177" i="6" s="1"/>
  <c r="E160" i="8"/>
  <c r="C38" i="6"/>
  <c r="F157" i="8"/>
  <c r="H98" i="8"/>
  <c r="H99" i="8" s="1"/>
  <c r="H98" i="6"/>
  <c r="H99" i="6" s="1"/>
  <c r="H79" i="2"/>
  <c r="F80" i="2"/>
  <c r="Q12" i="6"/>
  <c r="G98" i="8"/>
  <c r="G99" i="8" s="1"/>
  <c r="G98" i="6"/>
  <c r="G99" i="6" s="1"/>
  <c r="G23" i="8"/>
  <c r="G24" i="8" s="1"/>
  <c r="G23" i="6"/>
  <c r="G24" i="6" s="1"/>
  <c r="G88" i="8"/>
  <c r="G89" i="8" s="1"/>
  <c r="G49" i="8"/>
  <c r="G50" i="8" s="1"/>
  <c r="G88" i="6"/>
  <c r="G89" i="6" s="1"/>
  <c r="G49" i="6"/>
  <c r="G50" i="6" s="1"/>
  <c r="E158" i="8"/>
  <c r="E150" i="8"/>
  <c r="E156" i="8" s="1"/>
  <c r="H23" i="8"/>
  <c r="H24" i="8" s="1"/>
  <c r="H23" i="6"/>
  <c r="H24" i="6" s="1"/>
  <c r="H157" i="6" s="1"/>
  <c r="H173" i="6" s="1"/>
  <c r="O60" i="1"/>
  <c r="F36" i="8"/>
  <c r="F37" i="8" s="1"/>
  <c r="F113" i="8"/>
  <c r="F114" i="8" s="1"/>
  <c r="F160" i="8" s="1"/>
  <c r="F113" i="6"/>
  <c r="F114" i="6" s="1"/>
  <c r="F160" i="6" s="1"/>
  <c r="F176" i="6" s="1"/>
  <c r="F36" i="6"/>
  <c r="F37" i="6" s="1"/>
  <c r="H131" i="2"/>
  <c r="F132" i="2"/>
  <c r="C13" i="7"/>
  <c r="C51" i="6"/>
  <c r="M160" i="6"/>
  <c r="F161" i="6"/>
  <c r="H88" i="8"/>
  <c r="H89" i="8" s="1"/>
  <c r="H159" i="8" s="1"/>
  <c r="H49" i="8"/>
  <c r="H50" i="8" s="1"/>
  <c r="H88" i="6"/>
  <c r="H89" i="6" s="1"/>
  <c r="H49" i="6"/>
  <c r="H50" i="6" s="1"/>
  <c r="G157" i="8"/>
  <c r="G113" i="8"/>
  <c r="G114" i="8" s="1"/>
  <c r="G160" i="8" s="1"/>
  <c r="G36" i="8"/>
  <c r="G37" i="8" s="1"/>
  <c r="G113" i="6"/>
  <c r="G114" i="6" s="1"/>
  <c r="G160" i="6" s="1"/>
  <c r="G176" i="6" s="1"/>
  <c r="G36" i="6"/>
  <c r="G37" i="6" s="1"/>
  <c r="G158" i="6" s="1"/>
  <c r="G174" i="6" s="1"/>
  <c r="E176" i="6"/>
  <c r="G157" i="6"/>
  <c r="G173" i="6" s="1"/>
  <c r="H157" i="8"/>
  <c r="E150" i="6"/>
  <c r="E156" i="6" s="1"/>
  <c r="E117" i="2"/>
  <c r="M37" i="6"/>
  <c r="C37" i="7"/>
  <c r="C50" i="7"/>
  <c r="C51" i="7" s="1"/>
  <c r="M50" i="6"/>
  <c r="Q50" i="6" s="1"/>
  <c r="G100" i="7"/>
  <c r="G101" i="7" s="1"/>
  <c r="G102" i="7" s="1"/>
  <c r="C160" i="7"/>
  <c r="C115" i="7"/>
  <c r="F161" i="8"/>
  <c r="C116" i="6"/>
  <c r="C102" i="6"/>
  <c r="D100" i="6" s="1"/>
  <c r="F64" i="2"/>
  <c r="H63" i="2"/>
  <c r="D26" i="2"/>
  <c r="F142" i="2"/>
  <c r="C14" i="6"/>
  <c r="F135" i="2"/>
  <c r="F141" i="2" s="1"/>
  <c r="O85" i="1"/>
  <c r="N85" i="1"/>
  <c r="Q99" i="6" l="1"/>
  <c r="G159" i="6"/>
  <c r="G175" i="6" s="1"/>
  <c r="H159" i="6"/>
  <c r="H175" i="6" s="1"/>
  <c r="R173" i="6"/>
  <c r="R157" i="8"/>
  <c r="C52" i="6"/>
  <c r="C53" i="6" s="1"/>
  <c r="F150" i="8"/>
  <c r="F156" i="8" s="1"/>
  <c r="G158" i="8"/>
  <c r="F158" i="8"/>
  <c r="G161" i="8"/>
  <c r="R161" i="8" s="1"/>
  <c r="R157" i="6"/>
  <c r="C144" i="7"/>
  <c r="C145" i="7" s="1"/>
  <c r="M144" i="6"/>
  <c r="Q144" i="6" s="1"/>
  <c r="F158" i="6"/>
  <c r="F150" i="6"/>
  <c r="F156" i="6" s="1"/>
  <c r="F172" i="6" s="1"/>
  <c r="H113" i="8"/>
  <c r="H114" i="8" s="1"/>
  <c r="H36" i="8"/>
  <c r="H37" i="8" s="1"/>
  <c r="H113" i="6"/>
  <c r="H114" i="6" s="1"/>
  <c r="H160" i="6" s="1"/>
  <c r="H36" i="6"/>
  <c r="H37" i="6" s="1"/>
  <c r="Q37" i="6" s="1"/>
  <c r="C90" i="6"/>
  <c r="H100" i="7"/>
  <c r="H101" i="7" s="1"/>
  <c r="H102" i="7" s="1"/>
  <c r="F115" i="2"/>
  <c r="C145" i="6"/>
  <c r="C116" i="7"/>
  <c r="C117" i="7" s="1"/>
  <c r="D115" i="7" s="1"/>
  <c r="D116" i="7" s="1"/>
  <c r="D117" i="7" s="1"/>
  <c r="C38" i="7"/>
  <c r="C158" i="7"/>
  <c r="E172" i="6"/>
  <c r="F177" i="6"/>
  <c r="R177" i="6" s="1"/>
  <c r="R161" i="6"/>
  <c r="C14" i="7"/>
  <c r="C15" i="7" s="1"/>
  <c r="D13" i="7" s="1"/>
  <c r="M89" i="6"/>
  <c r="Q89" i="6" s="1"/>
  <c r="C89" i="7"/>
  <c r="C90" i="7" s="1"/>
  <c r="C39" i="6"/>
  <c r="C40" i="6" s="1"/>
  <c r="R159" i="6"/>
  <c r="M63" i="6"/>
  <c r="M64" i="6" s="1"/>
  <c r="L63" i="6"/>
  <c r="L64" i="6" s="1"/>
  <c r="L65" i="6" s="1"/>
  <c r="C52" i="7"/>
  <c r="C53" i="7" s="1"/>
  <c r="D51" i="7" s="1"/>
  <c r="D52" i="7" s="1"/>
  <c r="D53" i="7" s="1"/>
  <c r="M158" i="6"/>
  <c r="G150" i="6"/>
  <c r="G156" i="6" s="1"/>
  <c r="G172" i="6" s="1"/>
  <c r="G150" i="8"/>
  <c r="G156" i="8" s="1"/>
  <c r="G159" i="8"/>
  <c r="R159" i="8" s="1"/>
  <c r="R175" i="6"/>
  <c r="C117" i="6"/>
  <c r="D115" i="6" s="1"/>
  <c r="H64" i="2"/>
  <c r="F65" i="2"/>
  <c r="C75" i="6" s="1"/>
  <c r="D27" i="2"/>
  <c r="E25" i="2" s="1"/>
  <c r="E136" i="2" s="1"/>
  <c r="C15" i="6"/>
  <c r="D13" i="6" s="1"/>
  <c r="Q114" i="6" l="1"/>
  <c r="E51" i="7"/>
  <c r="C39" i="7"/>
  <c r="C40" i="7" s="1"/>
  <c r="D38" i="7" s="1"/>
  <c r="D39" i="7" s="1"/>
  <c r="D40" i="7" s="1"/>
  <c r="E38" i="7" s="1"/>
  <c r="E39" i="7" s="1"/>
  <c r="E40" i="7" s="1"/>
  <c r="H158" i="8"/>
  <c r="R158" i="8" s="1"/>
  <c r="H150" i="8"/>
  <c r="H156" i="8" s="1"/>
  <c r="R156" i="8" s="1"/>
  <c r="D51" i="6"/>
  <c r="C74" i="7"/>
  <c r="M74" i="6"/>
  <c r="C91" i="7"/>
  <c r="C92" i="7" s="1"/>
  <c r="D90" i="7" s="1"/>
  <c r="D91" i="7" s="1"/>
  <c r="D92" i="7" s="1"/>
  <c r="E90" i="7" s="1"/>
  <c r="E91" i="7" s="1"/>
  <c r="E92" i="7" s="1"/>
  <c r="F90" i="7" s="1"/>
  <c r="F91" i="7" s="1"/>
  <c r="F92" i="7" s="1"/>
  <c r="C146" i="6"/>
  <c r="C147" i="6" s="1"/>
  <c r="H160" i="8"/>
  <c r="R160" i="8" s="1"/>
  <c r="C146" i="7"/>
  <c r="C147" i="7" s="1"/>
  <c r="D145" i="7" s="1"/>
  <c r="D146" i="7" s="1"/>
  <c r="D147" i="7" s="1"/>
  <c r="D14" i="7"/>
  <c r="D15" i="7" s="1"/>
  <c r="E115" i="7"/>
  <c r="H158" i="6"/>
  <c r="H174" i="6" s="1"/>
  <c r="H150" i="6"/>
  <c r="H156" i="6" s="1"/>
  <c r="H172" i="6" s="1"/>
  <c r="R172" i="6" s="1"/>
  <c r="I100" i="7"/>
  <c r="M65" i="6"/>
  <c r="N63" i="6" s="1"/>
  <c r="N64" i="6" s="1"/>
  <c r="N65" i="6" s="1"/>
  <c r="D38" i="6"/>
  <c r="F116" i="2"/>
  <c r="H115" i="2"/>
  <c r="C91" i="6"/>
  <c r="C92" i="6" s="1"/>
  <c r="H176" i="6"/>
  <c r="R176" i="6" s="1"/>
  <c r="R160" i="6"/>
  <c r="F174" i="6"/>
  <c r="E137" i="2"/>
  <c r="D101" i="6"/>
  <c r="E26" i="2"/>
  <c r="D14" i="6"/>
  <c r="R174" i="6" l="1"/>
  <c r="R156" i="6"/>
  <c r="O63" i="6"/>
  <c r="H116" i="2"/>
  <c r="F117" i="2"/>
  <c r="E13" i="7"/>
  <c r="E52" i="7"/>
  <c r="E53" i="7" s="1"/>
  <c r="F51" i="7" s="1"/>
  <c r="I101" i="7"/>
  <c r="I102" i="7" s="1"/>
  <c r="J100" i="7" s="1"/>
  <c r="J101" i="7" s="1"/>
  <c r="J102" i="7" s="1"/>
  <c r="K100" i="7" s="1"/>
  <c r="K101" i="7" s="1"/>
  <c r="K102" i="7" s="1"/>
  <c r="C75" i="7"/>
  <c r="C159" i="7"/>
  <c r="R158" i="6"/>
  <c r="D90" i="6"/>
  <c r="E116" i="7"/>
  <c r="E117" i="7" s="1"/>
  <c r="D145" i="6"/>
  <c r="G90" i="7"/>
  <c r="D52" i="6"/>
  <c r="D53" i="6" s="1"/>
  <c r="D39" i="6"/>
  <c r="D40" i="6" s="1"/>
  <c r="E38" i="6" s="1"/>
  <c r="E39" i="6" s="1"/>
  <c r="E145" i="7"/>
  <c r="E146" i="7" s="1"/>
  <c r="E147" i="7" s="1"/>
  <c r="Q74" i="6"/>
  <c r="M159" i="6"/>
  <c r="F38" i="7"/>
  <c r="F39" i="7" s="1"/>
  <c r="F40" i="7" s="1"/>
  <c r="D116" i="6"/>
  <c r="D102" i="6"/>
  <c r="E100" i="6" s="1"/>
  <c r="C76" i="6"/>
  <c r="E40" i="6"/>
  <c r="F38" i="6" s="1"/>
  <c r="D15" i="6"/>
  <c r="E13" i="6" s="1"/>
  <c r="E27" i="2"/>
  <c r="F25" i="2" s="1"/>
  <c r="F145" i="7" l="1"/>
  <c r="F146" i="7" s="1"/>
  <c r="F147" i="7" s="1"/>
  <c r="G38" i="7"/>
  <c r="G39" i="7" s="1"/>
  <c r="G40" i="7" s="1"/>
  <c r="F52" i="7"/>
  <c r="F53" i="7" s="1"/>
  <c r="G51" i="7" s="1"/>
  <c r="G52" i="7" s="1"/>
  <c r="G53" i="7" s="1"/>
  <c r="H51" i="7" s="1"/>
  <c r="H52" i="7" s="1"/>
  <c r="H53" i="7" s="1"/>
  <c r="I51" i="7" s="1"/>
  <c r="I52" i="7" s="1"/>
  <c r="I53" i="7" s="1"/>
  <c r="J51" i="7" s="1"/>
  <c r="J52" i="7" s="1"/>
  <c r="J53" i="7" s="1"/>
  <c r="K51" i="7" s="1"/>
  <c r="K52" i="7" s="1"/>
  <c r="K53" i="7" s="1"/>
  <c r="C130" i="6"/>
  <c r="E51" i="6"/>
  <c r="D146" i="6"/>
  <c r="D147" i="6" s="1"/>
  <c r="C76" i="7"/>
  <c r="C77" i="7" s="1"/>
  <c r="D75" i="7" s="1"/>
  <c r="D76" i="7" s="1"/>
  <c r="D77" i="7" s="1"/>
  <c r="E75" i="7" s="1"/>
  <c r="E76" i="7" s="1"/>
  <c r="E77" i="7" s="1"/>
  <c r="C129" i="7"/>
  <c r="M129" i="6"/>
  <c r="F115" i="7"/>
  <c r="D91" i="6"/>
  <c r="D92" i="6" s="1"/>
  <c r="G91" i="7"/>
  <c r="G92" i="7" s="1"/>
  <c r="H90" i="7" s="1"/>
  <c r="H91" i="7" s="1"/>
  <c r="H92" i="7" s="1"/>
  <c r="I90" i="7" s="1"/>
  <c r="I91" i="7" s="1"/>
  <c r="I92" i="7" s="1"/>
  <c r="J90" i="7" s="1"/>
  <c r="J91" i="7" s="1"/>
  <c r="J92" i="7" s="1"/>
  <c r="K90" i="7" s="1"/>
  <c r="K91" i="7" s="1"/>
  <c r="K92" i="7" s="1"/>
  <c r="M100" i="7"/>
  <c r="M101" i="7" s="1"/>
  <c r="L100" i="7"/>
  <c r="L101" i="7" s="1"/>
  <c r="L102" i="7" s="1"/>
  <c r="E14" i="7"/>
  <c r="E15" i="7" s="1"/>
  <c r="O64" i="6"/>
  <c r="O65" i="6" s="1"/>
  <c r="C63" i="8" s="1"/>
  <c r="Q63" i="6"/>
  <c r="Q64" i="6" s="1"/>
  <c r="F136" i="2"/>
  <c r="F137" i="2" s="1"/>
  <c r="D117" i="6"/>
  <c r="E115" i="6" s="1"/>
  <c r="C77" i="6"/>
  <c r="D75" i="6" s="1"/>
  <c r="E14" i="6"/>
  <c r="F26" i="2"/>
  <c r="H25" i="2"/>
  <c r="H136" i="2" s="1"/>
  <c r="H137" i="2" s="1"/>
  <c r="M102" i="7" l="1"/>
  <c r="H38" i="7"/>
  <c r="H39" i="7" s="1"/>
  <c r="H40" i="7" s="1"/>
  <c r="I38" i="7" s="1"/>
  <c r="I39" i="7" s="1"/>
  <c r="I40" i="7" s="1"/>
  <c r="J38" i="7" s="1"/>
  <c r="J39" i="7" s="1"/>
  <c r="J40" i="7" s="1"/>
  <c r="K38" i="7" s="1"/>
  <c r="K39" i="7" s="1"/>
  <c r="K40" i="7" s="1"/>
  <c r="G145" i="7"/>
  <c r="F75" i="7"/>
  <c r="M51" i="7"/>
  <c r="M52" i="7" s="1"/>
  <c r="L51" i="7"/>
  <c r="F13" i="7"/>
  <c r="F116" i="7"/>
  <c r="F117" i="7" s="1"/>
  <c r="Q129" i="6"/>
  <c r="M161" i="6"/>
  <c r="L90" i="7"/>
  <c r="L91" i="7" s="1"/>
  <c r="L92" i="7" s="1"/>
  <c r="M90" i="7"/>
  <c r="M91" i="7" s="1"/>
  <c r="M62" i="8"/>
  <c r="C62" i="9"/>
  <c r="E90" i="6"/>
  <c r="E52" i="6"/>
  <c r="E53" i="6" s="1"/>
  <c r="F51" i="6" s="1"/>
  <c r="F52" i="6" s="1"/>
  <c r="C64" i="8"/>
  <c r="C65" i="8" s="1"/>
  <c r="D63" i="8" s="1"/>
  <c r="D64" i="8" s="1"/>
  <c r="D65" i="8" s="1"/>
  <c r="E63" i="8" s="1"/>
  <c r="E64" i="8" s="1"/>
  <c r="E65" i="8" s="1"/>
  <c r="F63" i="8" s="1"/>
  <c r="F64" i="8" s="1"/>
  <c r="F65" i="8" s="1"/>
  <c r="G63" i="8" s="1"/>
  <c r="G64" i="8" s="1"/>
  <c r="G65" i="8" s="1"/>
  <c r="H63" i="8" s="1"/>
  <c r="H64" i="8" s="1"/>
  <c r="H65" i="8" s="1"/>
  <c r="I63" i="8" s="1"/>
  <c r="I64" i="8" s="1"/>
  <c r="I65" i="8" s="1"/>
  <c r="J63" i="8" s="1"/>
  <c r="J64" i="8" s="1"/>
  <c r="J65" i="8" s="1"/>
  <c r="K63" i="8" s="1"/>
  <c r="K64" i="8" s="1"/>
  <c r="K65" i="8" s="1"/>
  <c r="L63" i="8" s="1"/>
  <c r="L64" i="8" s="1"/>
  <c r="L65" i="8" s="1"/>
  <c r="N90" i="7"/>
  <c r="M90" i="6" s="1"/>
  <c r="N100" i="7"/>
  <c r="M100" i="6" s="1"/>
  <c r="C130" i="7"/>
  <c r="C161" i="7"/>
  <c r="E145" i="6"/>
  <c r="C131" i="6"/>
  <c r="C132" i="6" s="1"/>
  <c r="E101" i="6"/>
  <c r="F53" i="6"/>
  <c r="G51" i="6" s="1"/>
  <c r="F39" i="6"/>
  <c r="H26" i="2"/>
  <c r="F27" i="2"/>
  <c r="C25" i="6" s="1"/>
  <c r="E15" i="6"/>
  <c r="F13" i="6" s="1"/>
  <c r="M92" i="7" l="1"/>
  <c r="M38" i="7"/>
  <c r="M39" i="7" s="1"/>
  <c r="L38" i="7"/>
  <c r="L39" i="7" s="1"/>
  <c r="L40" i="7" s="1"/>
  <c r="E146" i="6"/>
  <c r="E147" i="6" s="1"/>
  <c r="F145" i="6" s="1"/>
  <c r="F146" i="6" s="1"/>
  <c r="C151" i="6"/>
  <c r="D130" i="6"/>
  <c r="L52" i="7"/>
  <c r="L53" i="7" s="1"/>
  <c r="M53" i="7" s="1"/>
  <c r="N51" i="7"/>
  <c r="M51" i="6" s="1"/>
  <c r="E91" i="6"/>
  <c r="E92" i="6" s="1"/>
  <c r="F90" i="6" s="1"/>
  <c r="F91" i="6" s="1"/>
  <c r="G146" i="7"/>
  <c r="G147" i="7" s="1"/>
  <c r="H145" i="7" s="1"/>
  <c r="H146" i="7" s="1"/>
  <c r="H147" i="7" s="1"/>
  <c r="I145" i="7" s="1"/>
  <c r="I146" i="7" s="1"/>
  <c r="I147" i="7" s="1"/>
  <c r="J145" i="7" s="1"/>
  <c r="J146" i="7" s="1"/>
  <c r="J147" i="7" s="1"/>
  <c r="K145" i="7" s="1"/>
  <c r="K146" i="7" s="1"/>
  <c r="K147" i="7" s="1"/>
  <c r="Q62" i="8"/>
  <c r="C24" i="7"/>
  <c r="M24" i="6"/>
  <c r="C131" i="7"/>
  <c r="C132" i="7" s="1"/>
  <c r="D130" i="7" s="1"/>
  <c r="D131" i="7" s="1"/>
  <c r="D132" i="7" s="1"/>
  <c r="G115" i="7"/>
  <c r="N38" i="7"/>
  <c r="M38" i="6" s="1"/>
  <c r="C63" i="9"/>
  <c r="F14" i="7"/>
  <c r="F15" i="7" s="1"/>
  <c r="F76" i="7"/>
  <c r="F77" i="7" s="1"/>
  <c r="F147" i="6"/>
  <c r="G145" i="6" s="1"/>
  <c r="E116" i="6"/>
  <c r="E102" i="6"/>
  <c r="F100" i="6" s="1"/>
  <c r="F92" i="6"/>
  <c r="G90" i="6" s="1"/>
  <c r="D76" i="6"/>
  <c r="G52" i="6"/>
  <c r="F40" i="6"/>
  <c r="G38" i="6" s="1"/>
  <c r="C26" i="6"/>
  <c r="C152" i="6"/>
  <c r="M40" i="7" l="1"/>
  <c r="G116" i="7"/>
  <c r="G117" i="7" s="1"/>
  <c r="H115" i="7" s="1"/>
  <c r="H116" i="7" s="1"/>
  <c r="H117" i="7" s="1"/>
  <c r="I115" i="7" s="1"/>
  <c r="I116" i="7" s="1"/>
  <c r="I117" i="7" s="1"/>
  <c r="J115" i="7" s="1"/>
  <c r="J116" i="7" s="1"/>
  <c r="J117" i="7" s="1"/>
  <c r="K115" i="7" s="1"/>
  <c r="K116" i="7" s="1"/>
  <c r="K117" i="7" s="1"/>
  <c r="Q24" i="6"/>
  <c r="M157" i="6"/>
  <c r="M150" i="6"/>
  <c r="G13" i="7"/>
  <c r="C25" i="7"/>
  <c r="C157" i="7"/>
  <c r="C150" i="7"/>
  <c r="D131" i="6"/>
  <c r="D132" i="6" s="1"/>
  <c r="G75" i="7"/>
  <c r="C64" i="9"/>
  <c r="C65" i="9" s="1"/>
  <c r="D63" i="9" s="1"/>
  <c r="D64" i="9" s="1"/>
  <c r="D65" i="9" s="1"/>
  <c r="E63" i="9" s="1"/>
  <c r="E64" i="9" s="1"/>
  <c r="E65" i="9" s="1"/>
  <c r="F63" i="9" s="1"/>
  <c r="F64" i="9" s="1"/>
  <c r="F65" i="9" s="1"/>
  <c r="G63" i="9" s="1"/>
  <c r="G64" i="9" s="1"/>
  <c r="G65" i="9" s="1"/>
  <c r="H63" i="9" s="1"/>
  <c r="H64" i="9" s="1"/>
  <c r="H65" i="9" s="1"/>
  <c r="I63" i="9" s="1"/>
  <c r="I64" i="9" s="1"/>
  <c r="I65" i="9" s="1"/>
  <c r="J63" i="9" s="1"/>
  <c r="J64" i="9" s="1"/>
  <c r="J65" i="9" s="1"/>
  <c r="K63" i="9" s="1"/>
  <c r="K64" i="9" s="1"/>
  <c r="K65" i="9" s="1"/>
  <c r="E130" i="7"/>
  <c r="E131" i="7" s="1"/>
  <c r="E132" i="7" s="1"/>
  <c r="L145" i="7"/>
  <c r="L146" i="7" s="1"/>
  <c r="L147" i="7" s="1"/>
  <c r="M145" i="7"/>
  <c r="M146" i="7" s="1"/>
  <c r="G146" i="6"/>
  <c r="E117" i="6"/>
  <c r="F115" i="6" s="1"/>
  <c r="G91" i="6"/>
  <c r="D77" i="6"/>
  <c r="E75" i="6" s="1"/>
  <c r="G53" i="6"/>
  <c r="H51" i="6" s="1"/>
  <c r="G39" i="6"/>
  <c r="C27" i="6"/>
  <c r="D25" i="6" s="1"/>
  <c r="F14" i="6"/>
  <c r="F130" i="7" l="1"/>
  <c r="F131" i="7" s="1"/>
  <c r="F132" i="7" s="1"/>
  <c r="D151" i="6"/>
  <c r="M156" i="6"/>
  <c r="M115" i="7"/>
  <c r="M116" i="7" s="1"/>
  <c r="L115" i="7"/>
  <c r="M63" i="9"/>
  <c r="M64" i="9" s="1"/>
  <c r="L63" i="9"/>
  <c r="L64" i="9" s="1"/>
  <c r="L65" i="9" s="1"/>
  <c r="C156" i="7"/>
  <c r="G76" i="7"/>
  <c r="G77" i="7" s="1"/>
  <c r="C26" i="7"/>
  <c r="C27" i="7" s="1"/>
  <c r="D25" i="7" s="1"/>
  <c r="C151" i="7"/>
  <c r="C152" i="7" s="1"/>
  <c r="G14" i="7"/>
  <c r="G15" i="7" s="1"/>
  <c r="H13" i="7" s="1"/>
  <c r="N145" i="7"/>
  <c r="M145" i="6" s="1"/>
  <c r="M147" i="7"/>
  <c r="E130" i="6"/>
  <c r="Q150" i="6"/>
  <c r="H52" i="6"/>
  <c r="H53" i="6" s="1"/>
  <c r="I51" i="6" s="1"/>
  <c r="G147" i="6"/>
  <c r="H145" i="6" s="1"/>
  <c r="F101" i="6"/>
  <c r="G92" i="6"/>
  <c r="H90" i="6" s="1"/>
  <c r="G40" i="6"/>
  <c r="H38" i="6" s="1"/>
  <c r="F15" i="6"/>
  <c r="G13" i="6" s="1"/>
  <c r="M65" i="9" l="1"/>
  <c r="N63" i="9"/>
  <c r="G130" i="7"/>
  <c r="H75" i="7"/>
  <c r="H14" i="7"/>
  <c r="H15" i="7" s="1"/>
  <c r="I13" i="7" s="1"/>
  <c r="E131" i="6"/>
  <c r="E132" i="6" s="1"/>
  <c r="D26" i="7"/>
  <c r="D27" i="7" s="1"/>
  <c r="E25" i="7" s="1"/>
  <c r="D151" i="7"/>
  <c r="D152" i="7" s="1"/>
  <c r="L116" i="7"/>
  <c r="L117" i="7" s="1"/>
  <c r="M117" i="7" s="1"/>
  <c r="N115" i="7"/>
  <c r="M115" i="6" s="1"/>
  <c r="H146" i="6"/>
  <c r="H147" i="6" s="1"/>
  <c r="I145" i="6" s="1"/>
  <c r="H91" i="6"/>
  <c r="H92" i="6" s="1"/>
  <c r="I90" i="6" s="1"/>
  <c r="I52" i="6"/>
  <c r="I53" i="6" s="1"/>
  <c r="J51" i="6" s="1"/>
  <c r="H39" i="6"/>
  <c r="H40" i="6" s="1"/>
  <c r="I38" i="6" s="1"/>
  <c r="F116" i="6"/>
  <c r="F102" i="6"/>
  <c r="G100" i="6" s="1"/>
  <c r="E76" i="6"/>
  <c r="D26" i="6"/>
  <c r="D152" i="6"/>
  <c r="M63" i="8" l="1"/>
  <c r="M64" i="8" s="1"/>
  <c r="M65" i="8" s="1"/>
  <c r="N63" i="8" s="1"/>
  <c r="N64" i="8" s="1"/>
  <c r="N65" i="8" s="1"/>
  <c r="O63" i="8" s="1"/>
  <c r="O64" i="8" s="1"/>
  <c r="O65" i="8" s="1"/>
  <c r="F130" i="6"/>
  <c r="H76" i="7"/>
  <c r="H77" i="7" s="1"/>
  <c r="I75" i="7" s="1"/>
  <c r="I76" i="7" s="1"/>
  <c r="I77" i="7" s="1"/>
  <c r="J75" i="7" s="1"/>
  <c r="J76" i="7" s="1"/>
  <c r="J77" i="7" s="1"/>
  <c r="K75" i="7" s="1"/>
  <c r="K76" i="7" s="1"/>
  <c r="K77" i="7" s="1"/>
  <c r="G131" i="7"/>
  <c r="G132" i="7" s="1"/>
  <c r="H130" i="7" s="1"/>
  <c r="H131" i="7" s="1"/>
  <c r="H132" i="7" s="1"/>
  <c r="I130" i="7" s="1"/>
  <c r="I131" i="7" s="1"/>
  <c r="I132" i="7" s="1"/>
  <c r="J130" i="7" s="1"/>
  <c r="J131" i="7" s="1"/>
  <c r="J132" i="7" s="1"/>
  <c r="K130" i="7" s="1"/>
  <c r="K131" i="7" s="1"/>
  <c r="K132" i="7" s="1"/>
  <c r="I14" i="7"/>
  <c r="I15" i="7" s="1"/>
  <c r="J13" i="7" s="1"/>
  <c r="E26" i="7"/>
  <c r="E27" i="7" s="1"/>
  <c r="E151" i="7"/>
  <c r="E152" i="7" s="1"/>
  <c r="Q63" i="8"/>
  <c r="I146" i="6"/>
  <c r="I147" i="6" s="1"/>
  <c r="J145" i="6" s="1"/>
  <c r="I91" i="6"/>
  <c r="I92" i="6" s="1"/>
  <c r="J90" i="6" s="1"/>
  <c r="J52" i="6"/>
  <c r="I39" i="6"/>
  <c r="I40" i="6" s="1"/>
  <c r="J38" i="6" s="1"/>
  <c r="F117" i="6"/>
  <c r="G115" i="6" s="1"/>
  <c r="G101" i="6"/>
  <c r="E77" i="6"/>
  <c r="F75" i="6" s="1"/>
  <c r="D27" i="6"/>
  <c r="E25" i="6" s="1"/>
  <c r="G14" i="6"/>
  <c r="D63" i="11" l="1"/>
  <c r="L75" i="7"/>
  <c r="L76" i="7" s="1"/>
  <c r="L77" i="7" s="1"/>
  <c r="M75" i="7"/>
  <c r="M76" i="7" s="1"/>
  <c r="Q64" i="8"/>
  <c r="L130" i="7"/>
  <c r="L131" i="7" s="1"/>
  <c r="L132" i="7" s="1"/>
  <c r="M130" i="7"/>
  <c r="M131" i="7" s="1"/>
  <c r="F131" i="6"/>
  <c r="F132" i="6" s="1"/>
  <c r="F25" i="7"/>
  <c r="E151" i="6"/>
  <c r="J14" i="7"/>
  <c r="J15" i="7" s="1"/>
  <c r="K13" i="7" s="1"/>
  <c r="J146" i="6"/>
  <c r="J147" i="6" s="1"/>
  <c r="K145" i="6" s="1"/>
  <c r="J53" i="6"/>
  <c r="K51" i="6" s="1"/>
  <c r="G102" i="6"/>
  <c r="H100" i="6" s="1"/>
  <c r="G15" i="6"/>
  <c r="H13" i="6" s="1"/>
  <c r="N62" i="11" l="1"/>
  <c r="C62" i="12"/>
  <c r="N75" i="7"/>
  <c r="M75" i="6" s="1"/>
  <c r="R62" i="11"/>
  <c r="D64" i="11"/>
  <c r="D65" i="11" s="1"/>
  <c r="E63" i="11" s="1"/>
  <c r="E64" i="11" s="1"/>
  <c r="E65" i="11" s="1"/>
  <c r="F63" i="11" s="1"/>
  <c r="F64" i="11" s="1"/>
  <c r="F65" i="11" s="1"/>
  <c r="G63" i="11" s="1"/>
  <c r="G64" i="11" s="1"/>
  <c r="G65" i="11" s="1"/>
  <c r="H63" i="11" s="1"/>
  <c r="H64" i="11" s="1"/>
  <c r="H65" i="11" s="1"/>
  <c r="I63" i="11" s="1"/>
  <c r="I64" i="11" s="1"/>
  <c r="I65" i="11" s="1"/>
  <c r="J63" i="11" s="1"/>
  <c r="J64" i="11" s="1"/>
  <c r="J65" i="11" s="1"/>
  <c r="K63" i="11" s="1"/>
  <c r="K64" i="11" s="1"/>
  <c r="K65" i="11" s="1"/>
  <c r="L63" i="11" s="1"/>
  <c r="L64" i="11" s="1"/>
  <c r="L65" i="11" s="1"/>
  <c r="M63" i="11" s="1"/>
  <c r="M64" i="11" s="1"/>
  <c r="M65" i="11" s="1"/>
  <c r="G130" i="6"/>
  <c r="K14" i="7"/>
  <c r="K15" i="7" s="1"/>
  <c r="M132" i="7"/>
  <c r="N130" i="7"/>
  <c r="M130" i="6" s="1"/>
  <c r="M131" i="6" s="1"/>
  <c r="F26" i="7"/>
  <c r="F27" i="7" s="1"/>
  <c r="G25" i="7" s="1"/>
  <c r="F151" i="7"/>
  <c r="F152" i="7" s="1"/>
  <c r="M77" i="7"/>
  <c r="K146" i="6"/>
  <c r="H101" i="6"/>
  <c r="H102" i="6" s="1"/>
  <c r="I100" i="6" s="1"/>
  <c r="J91" i="6"/>
  <c r="K52" i="6"/>
  <c r="J39" i="6"/>
  <c r="G116" i="6"/>
  <c r="F76" i="6"/>
  <c r="E26" i="6"/>
  <c r="E152" i="6"/>
  <c r="H14" i="6"/>
  <c r="H15" i="6" s="1"/>
  <c r="I13" i="6" s="1"/>
  <c r="C63" i="12" l="1"/>
  <c r="G26" i="7"/>
  <c r="G27" i="7" s="1"/>
  <c r="H25" i="7" s="1"/>
  <c r="G151" i="7"/>
  <c r="G152" i="7" s="1"/>
  <c r="L13" i="7"/>
  <c r="M13" i="7"/>
  <c r="G131" i="6"/>
  <c r="G132" i="6" s="1"/>
  <c r="H130" i="6" s="1"/>
  <c r="H131" i="6" s="1"/>
  <c r="H132" i="6" s="1"/>
  <c r="I130" i="6" s="1"/>
  <c r="I131" i="6" s="1"/>
  <c r="I132" i="6" s="1"/>
  <c r="J130" i="6" s="1"/>
  <c r="J131" i="6" s="1"/>
  <c r="J132" i="6" s="1"/>
  <c r="K130" i="6" s="1"/>
  <c r="K131" i="6" s="1"/>
  <c r="K147" i="6"/>
  <c r="I101" i="6"/>
  <c r="I102" i="6" s="1"/>
  <c r="J100" i="6" s="1"/>
  <c r="J92" i="6"/>
  <c r="K90" i="6" s="1"/>
  <c r="K53" i="6"/>
  <c r="J40" i="6"/>
  <c r="K38" i="6" s="1"/>
  <c r="G117" i="6"/>
  <c r="H115" i="6" s="1"/>
  <c r="F77" i="6"/>
  <c r="G75" i="6" s="1"/>
  <c r="E27" i="6"/>
  <c r="F25" i="6" s="1"/>
  <c r="I14" i="6"/>
  <c r="I15" i="6" s="1"/>
  <c r="J13" i="6" s="1"/>
  <c r="C64" i="12" l="1"/>
  <c r="C65" i="12" s="1"/>
  <c r="D63" i="12" s="1"/>
  <c r="D64" i="12" s="1"/>
  <c r="D65" i="12" s="1"/>
  <c r="E63" i="12" s="1"/>
  <c r="E64" i="12" s="1"/>
  <c r="E65" i="12" s="1"/>
  <c r="F63" i="12" s="1"/>
  <c r="F64" i="12" s="1"/>
  <c r="F65" i="12" s="1"/>
  <c r="G63" i="12" s="1"/>
  <c r="G64" i="12" s="1"/>
  <c r="G65" i="12" s="1"/>
  <c r="H63" i="12" s="1"/>
  <c r="H64" i="12" s="1"/>
  <c r="H65" i="12" s="1"/>
  <c r="I63" i="12" s="1"/>
  <c r="I64" i="12" s="1"/>
  <c r="I65" i="12" s="1"/>
  <c r="J63" i="12" s="1"/>
  <c r="J64" i="12" s="1"/>
  <c r="J65" i="12" s="1"/>
  <c r="K63" i="12" s="1"/>
  <c r="K64" i="12" s="1"/>
  <c r="K65" i="12" s="1"/>
  <c r="K132" i="6"/>
  <c r="M14" i="7"/>
  <c r="N13" i="7"/>
  <c r="F151" i="6"/>
  <c r="L14" i="7"/>
  <c r="L15" i="7" s="1"/>
  <c r="H26" i="7"/>
  <c r="H27" i="7" s="1"/>
  <c r="I25" i="7" s="1"/>
  <c r="H151" i="7"/>
  <c r="H152" i="7" s="1"/>
  <c r="L130" i="6"/>
  <c r="L131" i="6" s="1"/>
  <c r="L51" i="6"/>
  <c r="L52" i="6" s="1"/>
  <c r="M52" i="6"/>
  <c r="L145" i="6"/>
  <c r="L146" i="6" s="1"/>
  <c r="M146" i="6"/>
  <c r="H116" i="6"/>
  <c r="H117" i="6" s="1"/>
  <c r="I115" i="6" s="1"/>
  <c r="K39" i="6"/>
  <c r="G76" i="6"/>
  <c r="J14" i="6"/>
  <c r="J15" i="6" s="1"/>
  <c r="K13" i="6" s="1"/>
  <c r="M63" i="12" l="1"/>
  <c r="M64" i="12" s="1"/>
  <c r="L63" i="12"/>
  <c r="L64" i="12" s="1"/>
  <c r="L65" i="12" s="1"/>
  <c r="M15" i="7"/>
  <c r="I26" i="7"/>
  <c r="I27" i="7" s="1"/>
  <c r="J25" i="7" s="1"/>
  <c r="I151" i="7"/>
  <c r="I152" i="7" s="1"/>
  <c r="M13" i="6"/>
  <c r="L147" i="6"/>
  <c r="M147" i="6" s="1"/>
  <c r="N145" i="6" s="1"/>
  <c r="L132" i="6"/>
  <c r="M132" i="6" s="1"/>
  <c r="N130" i="6" s="1"/>
  <c r="I116" i="6"/>
  <c r="I117" i="6" s="1"/>
  <c r="J115" i="6" s="1"/>
  <c r="J101" i="6"/>
  <c r="K91" i="6"/>
  <c r="L53" i="6"/>
  <c r="M53" i="6" s="1"/>
  <c r="N51" i="6" s="1"/>
  <c r="K40" i="6"/>
  <c r="G77" i="6"/>
  <c r="H75" i="6" s="1"/>
  <c r="F26" i="6"/>
  <c r="F152" i="6"/>
  <c r="K14" i="6"/>
  <c r="K15" i="6" s="1"/>
  <c r="M65" i="12" l="1"/>
  <c r="N63" i="12"/>
  <c r="N63" i="11" s="1"/>
  <c r="J26" i="7"/>
  <c r="J27" i="7" s="1"/>
  <c r="K25" i="7" s="1"/>
  <c r="J151" i="7"/>
  <c r="J152" i="7" s="1"/>
  <c r="L13" i="6"/>
  <c r="L14" i="6" s="1"/>
  <c r="L15" i="6" s="1"/>
  <c r="L38" i="6"/>
  <c r="L39" i="6" s="1"/>
  <c r="M39" i="6"/>
  <c r="N131" i="6"/>
  <c r="N132" i="6" s="1"/>
  <c r="N146" i="6"/>
  <c r="N147" i="6" s="1"/>
  <c r="J116" i="6"/>
  <c r="J102" i="6"/>
  <c r="K100" i="6" s="1"/>
  <c r="K92" i="6"/>
  <c r="H76" i="6"/>
  <c r="H77" i="6" s="1"/>
  <c r="I75" i="6" s="1"/>
  <c r="N52" i="6"/>
  <c r="N53" i="6" s="1"/>
  <c r="F27" i="6"/>
  <c r="G25" i="6" s="1"/>
  <c r="N64" i="11" l="1"/>
  <c r="N65" i="11" s="1"/>
  <c r="O63" i="11" s="1"/>
  <c r="O64" i="11" s="1"/>
  <c r="O65" i="11" s="1"/>
  <c r="P63" i="11" s="1"/>
  <c r="P64" i="11" s="1"/>
  <c r="P65" i="11" s="1"/>
  <c r="G151" i="6"/>
  <c r="K26" i="7"/>
  <c r="K27" i="7" s="1"/>
  <c r="K151" i="7"/>
  <c r="K152" i="7" s="1"/>
  <c r="L90" i="6"/>
  <c r="L91" i="6" s="1"/>
  <c r="M91" i="6"/>
  <c r="M14" i="6"/>
  <c r="M15" i="6" s="1"/>
  <c r="N13" i="6" s="1"/>
  <c r="N14" i="6" s="1"/>
  <c r="O130" i="6"/>
  <c r="Q130" i="6" s="1"/>
  <c r="Q131" i="6" s="1"/>
  <c r="O145" i="6"/>
  <c r="Q145" i="6" s="1"/>
  <c r="Q146" i="6" s="1"/>
  <c r="J117" i="6"/>
  <c r="K115" i="6" s="1"/>
  <c r="K101" i="6"/>
  <c r="I76" i="6"/>
  <c r="I77" i="6" s="1"/>
  <c r="J75" i="6" s="1"/>
  <c r="O51" i="6"/>
  <c r="Q51" i="6" s="1"/>
  <c r="Q52" i="6" s="1"/>
  <c r="L40" i="6"/>
  <c r="M40" i="6" s="1"/>
  <c r="N38" i="6" s="1"/>
  <c r="D52" i="13" l="1"/>
  <c r="R63" i="11"/>
  <c r="R64" i="11" s="1"/>
  <c r="C50" i="9"/>
  <c r="C51" i="9" s="1"/>
  <c r="M50" i="8"/>
  <c r="C144" i="9"/>
  <c r="C145" i="9" s="1"/>
  <c r="M144" i="8"/>
  <c r="M129" i="8"/>
  <c r="C129" i="9"/>
  <c r="L25" i="7"/>
  <c r="M25" i="7"/>
  <c r="M26" i="7" s="1"/>
  <c r="N15" i="6"/>
  <c r="O13" i="6" s="1"/>
  <c r="Q13" i="6" s="1"/>
  <c r="Q14" i="6" s="1"/>
  <c r="O131" i="6"/>
  <c r="K116" i="6"/>
  <c r="K102" i="6"/>
  <c r="L92" i="6"/>
  <c r="M92" i="6" s="1"/>
  <c r="N90" i="6" s="1"/>
  <c r="N39" i="6"/>
  <c r="N40" i="6" s="1"/>
  <c r="G26" i="6"/>
  <c r="G152" i="6"/>
  <c r="D53" i="13" l="1"/>
  <c r="D54" i="13" s="1"/>
  <c r="E52" i="13" s="1"/>
  <c r="E53" i="13" s="1"/>
  <c r="E54" i="13" s="1"/>
  <c r="F52" i="13" s="1"/>
  <c r="F53" i="13" s="1"/>
  <c r="F54" i="13" s="1"/>
  <c r="G52" i="13" s="1"/>
  <c r="G53" i="13" s="1"/>
  <c r="G54" i="13" s="1"/>
  <c r="H52" i="13" s="1"/>
  <c r="H53" i="13" s="1"/>
  <c r="H54" i="13" s="1"/>
  <c r="I52" i="13" s="1"/>
  <c r="I53" i="13" s="1"/>
  <c r="I54" i="13" s="1"/>
  <c r="J52" i="13" s="1"/>
  <c r="J53" i="13" s="1"/>
  <c r="J54" i="13" s="1"/>
  <c r="M12" i="8"/>
  <c r="C12" i="9"/>
  <c r="M161" i="8"/>
  <c r="Q129" i="8"/>
  <c r="C146" i="9"/>
  <c r="C147" i="9" s="1"/>
  <c r="D145" i="9" s="1"/>
  <c r="D146" i="9" s="1"/>
  <c r="D147" i="9" s="1"/>
  <c r="E145" i="9" s="1"/>
  <c r="E146" i="9" s="1"/>
  <c r="E147" i="9" s="1"/>
  <c r="F145" i="9" s="1"/>
  <c r="F146" i="9" s="1"/>
  <c r="F147" i="9" s="1"/>
  <c r="G145" i="9" s="1"/>
  <c r="G146" i="9" s="1"/>
  <c r="G147" i="9" s="1"/>
  <c r="H145" i="9" s="1"/>
  <c r="H146" i="9" s="1"/>
  <c r="H147" i="9" s="1"/>
  <c r="I145" i="9" s="1"/>
  <c r="I146" i="9" s="1"/>
  <c r="I147" i="9" s="1"/>
  <c r="J145" i="9" s="1"/>
  <c r="J146" i="9" s="1"/>
  <c r="J147" i="9" s="1"/>
  <c r="K145" i="9" s="1"/>
  <c r="K146" i="9" s="1"/>
  <c r="K147" i="9" s="1"/>
  <c r="N25" i="7"/>
  <c r="L26" i="7"/>
  <c r="L27" i="7" s="1"/>
  <c r="M27" i="7" s="1"/>
  <c r="L151" i="7"/>
  <c r="L152" i="7" s="1"/>
  <c r="Q50" i="8"/>
  <c r="C130" i="9"/>
  <c r="C161" i="9"/>
  <c r="Q144" i="8"/>
  <c r="C52" i="9"/>
  <c r="C53" i="9" s="1"/>
  <c r="D51" i="9" s="1"/>
  <c r="D52" i="9" s="1"/>
  <c r="D53" i="9" s="1"/>
  <c r="E51" i="9" s="1"/>
  <c r="E52" i="9" s="1"/>
  <c r="E53" i="9" s="1"/>
  <c r="F51" i="9" s="1"/>
  <c r="F52" i="9" s="1"/>
  <c r="F53" i="9" s="1"/>
  <c r="G51" i="9" s="1"/>
  <c r="G52" i="9" s="1"/>
  <c r="G53" i="9" s="1"/>
  <c r="H51" i="9" s="1"/>
  <c r="H52" i="9" s="1"/>
  <c r="H53" i="9" s="1"/>
  <c r="I51" i="9" s="1"/>
  <c r="I52" i="9" s="1"/>
  <c r="I53" i="9" s="1"/>
  <c r="J51" i="9" s="1"/>
  <c r="J52" i="9" s="1"/>
  <c r="J53" i="9" s="1"/>
  <c r="K51" i="9" s="1"/>
  <c r="K52" i="9" s="1"/>
  <c r="K53" i="9" s="1"/>
  <c r="L100" i="6"/>
  <c r="L101" i="6" s="1"/>
  <c r="M101" i="6"/>
  <c r="O132" i="6"/>
  <c r="C130" i="8" s="1"/>
  <c r="O146" i="6"/>
  <c r="K117" i="6"/>
  <c r="N91" i="6"/>
  <c r="N92" i="6" s="1"/>
  <c r="J76" i="6"/>
  <c r="O52" i="6"/>
  <c r="O38" i="6"/>
  <c r="Q38" i="6" s="1"/>
  <c r="Q39" i="6" s="1"/>
  <c r="G27" i="6"/>
  <c r="H25" i="6" s="1"/>
  <c r="H151" i="6" s="1"/>
  <c r="O14" i="6"/>
  <c r="K52" i="13" l="1"/>
  <c r="K53" i="13" s="1"/>
  <c r="K54" i="13" s="1"/>
  <c r="L52" i="13" s="1"/>
  <c r="C131" i="8"/>
  <c r="C132" i="8" s="1"/>
  <c r="D130" i="8" s="1"/>
  <c r="D131" i="8" s="1"/>
  <c r="D132" i="8" s="1"/>
  <c r="E130" i="8" s="1"/>
  <c r="E131" i="8" s="1"/>
  <c r="E132" i="8" s="1"/>
  <c r="F130" i="8" s="1"/>
  <c r="F131" i="8" s="1"/>
  <c r="F132" i="8" s="1"/>
  <c r="G130" i="8" s="1"/>
  <c r="G131" i="8" s="1"/>
  <c r="G132" i="8" s="1"/>
  <c r="H130" i="8" s="1"/>
  <c r="H131" i="8" s="1"/>
  <c r="H132" i="8" s="1"/>
  <c r="I130" i="8" s="1"/>
  <c r="I131" i="8" s="1"/>
  <c r="I132" i="8" s="1"/>
  <c r="J130" i="8" s="1"/>
  <c r="J131" i="8" s="1"/>
  <c r="J132" i="8" s="1"/>
  <c r="K130" i="8" s="1"/>
  <c r="K131" i="8" s="1"/>
  <c r="K132" i="8" s="1"/>
  <c r="L130" i="8" s="1"/>
  <c r="L131" i="8" s="1"/>
  <c r="L132" i="8" s="1"/>
  <c r="M25" i="6"/>
  <c r="M151" i="6" s="1"/>
  <c r="N152" i="7"/>
  <c r="C37" i="9"/>
  <c r="M37" i="8"/>
  <c r="L145" i="9"/>
  <c r="L146" i="9" s="1"/>
  <c r="L147" i="9" s="1"/>
  <c r="M145" i="9"/>
  <c r="M146" i="9" s="1"/>
  <c r="C13" i="9"/>
  <c r="L51" i="9"/>
  <c r="L52" i="9" s="1"/>
  <c r="L53" i="9" s="1"/>
  <c r="M51" i="9"/>
  <c r="M52" i="9" s="1"/>
  <c r="C131" i="9"/>
  <c r="C132" i="9" s="1"/>
  <c r="D130" i="9" s="1"/>
  <c r="D131" i="9" s="1"/>
  <c r="D132" i="9" s="1"/>
  <c r="E130" i="9" s="1"/>
  <c r="E131" i="9" s="1"/>
  <c r="E132" i="9" s="1"/>
  <c r="F130" i="9" s="1"/>
  <c r="F131" i="9" s="1"/>
  <c r="F132" i="9" s="1"/>
  <c r="G130" i="9" s="1"/>
  <c r="G131" i="9" s="1"/>
  <c r="G132" i="9" s="1"/>
  <c r="H130" i="9" s="1"/>
  <c r="H131" i="9" s="1"/>
  <c r="H132" i="9" s="1"/>
  <c r="I130" i="9" s="1"/>
  <c r="I131" i="9" s="1"/>
  <c r="I132" i="9" s="1"/>
  <c r="J130" i="9" s="1"/>
  <c r="J131" i="9" s="1"/>
  <c r="J132" i="9" s="1"/>
  <c r="Q12" i="8"/>
  <c r="L115" i="6"/>
  <c r="L116" i="6" s="1"/>
  <c r="M116" i="6"/>
  <c r="O147" i="6"/>
  <c r="L102" i="6"/>
  <c r="M102" i="6" s="1"/>
  <c r="N100" i="6" s="1"/>
  <c r="O90" i="6"/>
  <c r="Q90" i="6" s="1"/>
  <c r="Q91" i="6" s="1"/>
  <c r="J77" i="6"/>
  <c r="K75" i="6" s="1"/>
  <c r="O53" i="6"/>
  <c r="H26" i="6"/>
  <c r="H27" i="6" s="1"/>
  <c r="I25" i="6" s="1"/>
  <c r="I151" i="6" s="1"/>
  <c r="H152" i="6"/>
  <c r="O15" i="6"/>
  <c r="C13" i="8" s="1"/>
  <c r="L53" i="13" l="1"/>
  <c r="L54" i="13" s="1"/>
  <c r="M52" i="13" s="1"/>
  <c r="M53" i="13" s="1"/>
  <c r="M54" i="13" s="1"/>
  <c r="N54" i="13" s="1"/>
  <c r="O52" i="13" s="1"/>
  <c r="O53" i="13" s="1"/>
  <c r="O54" i="13" s="1"/>
  <c r="P52" i="13" s="1"/>
  <c r="P53" i="13" s="1"/>
  <c r="P54" i="13" s="1"/>
  <c r="D54" i="17" s="1"/>
  <c r="N145" i="9"/>
  <c r="K130" i="9"/>
  <c r="K131" i="9" s="1"/>
  <c r="K132" i="9" s="1"/>
  <c r="C14" i="9"/>
  <c r="C15" i="9" s="1"/>
  <c r="D13" i="9" s="1"/>
  <c r="C14" i="8"/>
  <c r="C15" i="8" s="1"/>
  <c r="D13" i="8" s="1"/>
  <c r="M53" i="9"/>
  <c r="M147" i="9"/>
  <c r="M158" i="8"/>
  <c r="Q37" i="8"/>
  <c r="C145" i="8"/>
  <c r="C89" i="9"/>
  <c r="C90" i="9" s="1"/>
  <c r="M89" i="8"/>
  <c r="C51" i="8"/>
  <c r="C38" i="9"/>
  <c r="C158" i="9"/>
  <c r="N51" i="9"/>
  <c r="L117" i="6"/>
  <c r="M117" i="6" s="1"/>
  <c r="N115" i="6" s="1"/>
  <c r="N101" i="6"/>
  <c r="N102" i="6" s="1"/>
  <c r="K76" i="6"/>
  <c r="O39" i="6"/>
  <c r="I26" i="6"/>
  <c r="I27" i="6" s="1"/>
  <c r="J25" i="6" s="1"/>
  <c r="J151" i="6" s="1"/>
  <c r="I152" i="6"/>
  <c r="D55" i="17" l="1"/>
  <c r="D56" i="17" s="1"/>
  <c r="E54" i="17" s="1"/>
  <c r="E55" i="17" s="1"/>
  <c r="E56" i="17" s="1"/>
  <c r="F54" i="17" s="1"/>
  <c r="F55" i="17" s="1"/>
  <c r="F56" i="17" s="1"/>
  <c r="G54" i="17" s="1"/>
  <c r="G55" i="17" s="1"/>
  <c r="G56" i="17" s="1"/>
  <c r="H54" i="17" s="1"/>
  <c r="H55" i="17" s="1"/>
  <c r="H56" i="17" s="1"/>
  <c r="I54" i="17" s="1"/>
  <c r="I55" i="17" s="1"/>
  <c r="I56" i="17" s="1"/>
  <c r="J54" i="17" s="1"/>
  <c r="J55" i="17" s="1"/>
  <c r="J56" i="17" s="1"/>
  <c r="K54" i="17" s="1"/>
  <c r="K55" i="17" s="1"/>
  <c r="K56" i="17" s="1"/>
  <c r="L54" i="17" s="1"/>
  <c r="L55" i="17" s="1"/>
  <c r="L56" i="17" s="1"/>
  <c r="M54" i="17" s="1"/>
  <c r="M55" i="17" s="1"/>
  <c r="M56" i="17" s="1"/>
  <c r="Q52" i="13"/>
  <c r="Q53" i="13" s="1"/>
  <c r="M51" i="8"/>
  <c r="M52" i="8" s="1"/>
  <c r="M145" i="8"/>
  <c r="M146" i="8" s="1"/>
  <c r="L130" i="9"/>
  <c r="M130" i="9"/>
  <c r="M131" i="9" s="1"/>
  <c r="C39" i="9"/>
  <c r="C40" i="9" s="1"/>
  <c r="D38" i="9" s="1"/>
  <c r="D39" i="9" s="1"/>
  <c r="D40" i="9" s="1"/>
  <c r="E38" i="9" s="1"/>
  <c r="E39" i="9" s="1"/>
  <c r="E40" i="9" s="1"/>
  <c r="F38" i="9" s="1"/>
  <c r="F39" i="9" s="1"/>
  <c r="F40" i="9" s="1"/>
  <c r="G38" i="9" s="1"/>
  <c r="G39" i="9" s="1"/>
  <c r="G40" i="9" s="1"/>
  <c r="H38" i="9" s="1"/>
  <c r="H39" i="9" s="1"/>
  <c r="H40" i="9" s="1"/>
  <c r="I38" i="9" s="1"/>
  <c r="I39" i="9" s="1"/>
  <c r="I40" i="9" s="1"/>
  <c r="J38" i="9" s="1"/>
  <c r="J39" i="9" s="1"/>
  <c r="J40" i="9" s="1"/>
  <c r="K38" i="9" s="1"/>
  <c r="K39" i="9" s="1"/>
  <c r="K40" i="9" s="1"/>
  <c r="C52" i="8"/>
  <c r="C53" i="8" s="1"/>
  <c r="D51" i="8" s="1"/>
  <c r="D52" i="8" s="1"/>
  <c r="D53" i="8" s="1"/>
  <c r="E51" i="8" s="1"/>
  <c r="E52" i="8" s="1"/>
  <c r="E53" i="8" s="1"/>
  <c r="F51" i="8" s="1"/>
  <c r="F52" i="8" s="1"/>
  <c r="F53" i="8" s="1"/>
  <c r="G51" i="8" s="1"/>
  <c r="G52" i="8" s="1"/>
  <c r="G53" i="8" s="1"/>
  <c r="H51" i="8" s="1"/>
  <c r="H52" i="8" s="1"/>
  <c r="H53" i="8" s="1"/>
  <c r="I51" i="8" s="1"/>
  <c r="I52" i="8" s="1"/>
  <c r="I53" i="8" s="1"/>
  <c r="J51" i="8" s="1"/>
  <c r="J52" i="8" s="1"/>
  <c r="J53" i="8" s="1"/>
  <c r="K51" i="8" s="1"/>
  <c r="K52" i="8" s="1"/>
  <c r="K53" i="8" s="1"/>
  <c r="L51" i="8" s="1"/>
  <c r="L52" i="8" s="1"/>
  <c r="L53" i="8" s="1"/>
  <c r="M53" i="8" s="1"/>
  <c r="N51" i="8" s="1"/>
  <c r="N52" i="8" s="1"/>
  <c r="N53" i="8" s="1"/>
  <c r="O51" i="8" s="1"/>
  <c r="O52" i="8" s="1"/>
  <c r="O53" i="8" s="1"/>
  <c r="D51" i="11" s="1"/>
  <c r="C146" i="8"/>
  <c r="C147" i="8" s="1"/>
  <c r="D145" i="8" s="1"/>
  <c r="D146" i="8" s="1"/>
  <c r="D147" i="8" s="1"/>
  <c r="E145" i="8" s="1"/>
  <c r="E146" i="8" s="1"/>
  <c r="E147" i="8" s="1"/>
  <c r="F145" i="8" s="1"/>
  <c r="F146" i="8" s="1"/>
  <c r="F147" i="8" s="1"/>
  <c r="G145" i="8" s="1"/>
  <c r="G146" i="8" s="1"/>
  <c r="G147" i="8" s="1"/>
  <c r="H145" i="8" s="1"/>
  <c r="H146" i="8" s="1"/>
  <c r="H147" i="8" s="1"/>
  <c r="I145" i="8" s="1"/>
  <c r="I146" i="8" s="1"/>
  <c r="I147" i="8" s="1"/>
  <c r="J145" i="8" s="1"/>
  <c r="J146" i="8" s="1"/>
  <c r="J147" i="8" s="1"/>
  <c r="K145" i="8" s="1"/>
  <c r="K146" i="8" s="1"/>
  <c r="K147" i="8" s="1"/>
  <c r="L145" i="8" s="1"/>
  <c r="L146" i="8" s="1"/>
  <c r="L147" i="8" s="1"/>
  <c r="M147" i="8" s="1"/>
  <c r="N145" i="8" s="1"/>
  <c r="N146" i="8" s="1"/>
  <c r="N147" i="8" s="1"/>
  <c r="O145" i="8" s="1"/>
  <c r="O146" i="8" s="1"/>
  <c r="O147" i="8" s="1"/>
  <c r="D161" i="11" s="1"/>
  <c r="D14" i="9"/>
  <c r="D15" i="9" s="1"/>
  <c r="E13" i="9" s="1"/>
  <c r="D14" i="8"/>
  <c r="E13" i="8" s="1"/>
  <c r="Q89" i="8"/>
  <c r="C91" i="9"/>
  <c r="C92" i="9" s="1"/>
  <c r="D90" i="9" s="1"/>
  <c r="D91" i="9" s="1"/>
  <c r="D92" i="9" s="1"/>
  <c r="E90" i="9" s="1"/>
  <c r="E91" i="9" s="1"/>
  <c r="E92" i="9" s="1"/>
  <c r="F90" i="9" s="1"/>
  <c r="F91" i="9" s="1"/>
  <c r="F92" i="9" s="1"/>
  <c r="G90" i="9" s="1"/>
  <c r="G91" i="9" s="1"/>
  <c r="G92" i="9" s="1"/>
  <c r="H90" i="9" s="1"/>
  <c r="H91" i="9" s="1"/>
  <c r="H92" i="9" s="1"/>
  <c r="I90" i="9" s="1"/>
  <c r="I91" i="9" s="1"/>
  <c r="I92" i="9" s="1"/>
  <c r="J90" i="9" s="1"/>
  <c r="J91" i="9" s="1"/>
  <c r="J92" i="9" s="1"/>
  <c r="K90" i="9" s="1"/>
  <c r="K91" i="9" s="1"/>
  <c r="K92" i="9" s="1"/>
  <c r="N116" i="6"/>
  <c r="N117" i="6" s="1"/>
  <c r="O100" i="6"/>
  <c r="Q100" i="6" s="1"/>
  <c r="Q101" i="6" s="1"/>
  <c r="O91" i="6"/>
  <c r="K77" i="6"/>
  <c r="O40" i="6"/>
  <c r="J26" i="6"/>
  <c r="J27" i="6" s="1"/>
  <c r="K25" i="6" s="1"/>
  <c r="K151" i="6" s="1"/>
  <c r="J152" i="6"/>
  <c r="C52" i="19" l="1"/>
  <c r="C53" i="19" s="1"/>
  <c r="N53" i="17"/>
  <c r="D52" i="11"/>
  <c r="D53" i="11" s="1"/>
  <c r="E51" i="11" s="1"/>
  <c r="E52" i="11" s="1"/>
  <c r="E53" i="11" s="1"/>
  <c r="F51" i="11" s="1"/>
  <c r="F52" i="11" s="1"/>
  <c r="F53" i="11" s="1"/>
  <c r="G51" i="11" s="1"/>
  <c r="G52" i="11" s="1"/>
  <c r="G53" i="11" s="1"/>
  <c r="H51" i="11" s="1"/>
  <c r="H52" i="11" s="1"/>
  <c r="H53" i="11" s="1"/>
  <c r="I51" i="11" s="1"/>
  <c r="I52" i="11" s="1"/>
  <c r="I53" i="11" s="1"/>
  <c r="J51" i="11" s="1"/>
  <c r="J52" i="11" s="1"/>
  <c r="J53" i="11" s="1"/>
  <c r="K51" i="11" s="1"/>
  <c r="K52" i="11" s="1"/>
  <c r="K53" i="11" s="1"/>
  <c r="L51" i="11" s="1"/>
  <c r="L52" i="11" s="1"/>
  <c r="L53" i="11" s="1"/>
  <c r="M51" i="11" s="1"/>
  <c r="M52" i="11" s="1"/>
  <c r="M53" i="11" s="1"/>
  <c r="D162" i="11"/>
  <c r="D163" i="11" s="1"/>
  <c r="E161" i="11" s="1"/>
  <c r="E162" i="11" s="1"/>
  <c r="E163" i="11" s="1"/>
  <c r="F161" i="11" s="1"/>
  <c r="F162" i="11" s="1"/>
  <c r="F163" i="11" s="1"/>
  <c r="G161" i="11" s="1"/>
  <c r="G162" i="11" s="1"/>
  <c r="G163" i="11" s="1"/>
  <c r="H161" i="11" s="1"/>
  <c r="H162" i="11" s="1"/>
  <c r="H163" i="11" s="1"/>
  <c r="I161" i="11" s="1"/>
  <c r="I162" i="11" s="1"/>
  <c r="I163" i="11" s="1"/>
  <c r="J161" i="11" s="1"/>
  <c r="J162" i="11" s="1"/>
  <c r="J163" i="11" s="1"/>
  <c r="K161" i="11" s="1"/>
  <c r="K162" i="11" s="1"/>
  <c r="K163" i="11" s="1"/>
  <c r="L161" i="11" s="1"/>
  <c r="L162" i="11" s="1"/>
  <c r="L163" i="11" s="1"/>
  <c r="M161" i="11" s="1"/>
  <c r="M162" i="11" s="1"/>
  <c r="M163" i="11" s="1"/>
  <c r="L90" i="9"/>
  <c r="L91" i="9" s="1"/>
  <c r="L92" i="9" s="1"/>
  <c r="M90" i="9"/>
  <c r="M91" i="9" s="1"/>
  <c r="E14" i="8"/>
  <c r="E15" i="8" s="1"/>
  <c r="F13" i="8" s="1"/>
  <c r="L38" i="9"/>
  <c r="L39" i="9" s="1"/>
  <c r="L40" i="9" s="1"/>
  <c r="M38" i="9"/>
  <c r="M39" i="9" s="1"/>
  <c r="C99" i="9"/>
  <c r="C100" i="9" s="1"/>
  <c r="M99" i="8"/>
  <c r="C38" i="8"/>
  <c r="Q145" i="8"/>
  <c r="Q146" i="8" s="1"/>
  <c r="E14" i="9"/>
  <c r="E15" i="9" s="1"/>
  <c r="F13" i="9" s="1"/>
  <c r="Q51" i="8"/>
  <c r="Q52" i="8" s="1"/>
  <c r="L131" i="9"/>
  <c r="L132" i="9" s="1"/>
  <c r="M132" i="9" s="1"/>
  <c r="N130" i="9"/>
  <c r="L75" i="6"/>
  <c r="L76" i="6" s="1"/>
  <c r="M76" i="6"/>
  <c r="O115" i="6"/>
  <c r="Q115" i="6" s="1"/>
  <c r="Q116" i="6" s="1"/>
  <c r="O92" i="6"/>
  <c r="C90" i="8" s="1"/>
  <c r="K26" i="6"/>
  <c r="K27" i="6" s="1"/>
  <c r="K152" i="6"/>
  <c r="C54" i="19" l="1"/>
  <c r="C55" i="19" s="1"/>
  <c r="D53" i="19" s="1"/>
  <c r="D54" i="19" s="1"/>
  <c r="D55" i="19" s="1"/>
  <c r="Q53" i="17"/>
  <c r="Q53" i="20"/>
  <c r="N50" i="11"/>
  <c r="C50" i="12"/>
  <c r="C51" i="12" s="1"/>
  <c r="N160" i="11"/>
  <c r="R160" i="11" s="1"/>
  <c r="C144" i="12"/>
  <c r="C145" i="12" s="1"/>
  <c r="M130" i="8"/>
  <c r="R50" i="11"/>
  <c r="N90" i="9"/>
  <c r="C91" i="8"/>
  <c r="C92" i="8" s="1"/>
  <c r="D90" i="8" s="1"/>
  <c r="D91" i="8" s="1"/>
  <c r="D92" i="8" s="1"/>
  <c r="E90" i="8" s="1"/>
  <c r="E91" i="8" s="1"/>
  <c r="E92" i="8" s="1"/>
  <c r="F90" i="8" s="1"/>
  <c r="F91" i="8" s="1"/>
  <c r="F92" i="8" s="1"/>
  <c r="G90" i="8" s="1"/>
  <c r="G91" i="8" s="1"/>
  <c r="G92" i="8" s="1"/>
  <c r="H90" i="8" s="1"/>
  <c r="H91" i="8" s="1"/>
  <c r="H92" i="8" s="1"/>
  <c r="I90" i="8" s="1"/>
  <c r="I91" i="8" s="1"/>
  <c r="I92" i="8" s="1"/>
  <c r="J90" i="8" s="1"/>
  <c r="J91" i="8" s="1"/>
  <c r="J92" i="8" s="1"/>
  <c r="K90" i="8" s="1"/>
  <c r="K91" i="8" s="1"/>
  <c r="K92" i="8" s="1"/>
  <c r="L90" i="8" s="1"/>
  <c r="L91" i="8" s="1"/>
  <c r="L92" i="8" s="1"/>
  <c r="F14" i="8"/>
  <c r="F15" i="8" s="1"/>
  <c r="G13" i="8" s="1"/>
  <c r="C39" i="8"/>
  <c r="C40" i="8" s="1"/>
  <c r="D38" i="8" s="1"/>
  <c r="D39" i="8" s="1"/>
  <c r="D40" i="8" s="1"/>
  <c r="E38" i="8" s="1"/>
  <c r="E39" i="8" s="1"/>
  <c r="E40" i="8" s="1"/>
  <c r="F38" i="8" s="1"/>
  <c r="F39" i="8" s="1"/>
  <c r="F40" i="8" s="1"/>
  <c r="G38" i="8" s="1"/>
  <c r="G39" i="8" s="1"/>
  <c r="G40" i="8" s="1"/>
  <c r="H38" i="8" s="1"/>
  <c r="H39" i="8" s="1"/>
  <c r="H40" i="8" s="1"/>
  <c r="I38" i="8" s="1"/>
  <c r="I39" i="8" s="1"/>
  <c r="I40" i="8" s="1"/>
  <c r="J38" i="8" s="1"/>
  <c r="J39" i="8" s="1"/>
  <c r="J40" i="8" s="1"/>
  <c r="K38" i="8" s="1"/>
  <c r="K39" i="8" s="1"/>
  <c r="K40" i="8" s="1"/>
  <c r="L38" i="8" s="1"/>
  <c r="L39" i="8" s="1"/>
  <c r="L40" i="8" s="1"/>
  <c r="C101" i="9"/>
  <c r="C102" i="9" s="1"/>
  <c r="D100" i="9" s="1"/>
  <c r="D101" i="9" s="1"/>
  <c r="D102" i="9" s="1"/>
  <c r="E100" i="9" s="1"/>
  <c r="E101" i="9" s="1"/>
  <c r="E102" i="9" s="1"/>
  <c r="F100" i="9" s="1"/>
  <c r="F101" i="9" s="1"/>
  <c r="F102" i="9" s="1"/>
  <c r="G100" i="9" s="1"/>
  <c r="G101" i="9" s="1"/>
  <c r="G102" i="9" s="1"/>
  <c r="H100" i="9" s="1"/>
  <c r="H101" i="9" s="1"/>
  <c r="H102" i="9" s="1"/>
  <c r="I100" i="9" s="1"/>
  <c r="I101" i="9" s="1"/>
  <c r="I102" i="9" s="1"/>
  <c r="J100" i="9" s="1"/>
  <c r="J101" i="9" s="1"/>
  <c r="J102" i="9" s="1"/>
  <c r="K100" i="9" s="1"/>
  <c r="K101" i="9" s="1"/>
  <c r="K102" i="9" s="1"/>
  <c r="F14" i="9"/>
  <c r="F15" i="9" s="1"/>
  <c r="G13" i="9" s="1"/>
  <c r="C114" i="9"/>
  <c r="M114" i="8"/>
  <c r="N38" i="9"/>
  <c r="M40" i="9"/>
  <c r="M92" i="9"/>
  <c r="M131" i="8"/>
  <c r="M132" i="8" s="1"/>
  <c r="N130" i="8" s="1"/>
  <c r="N131" i="8" s="1"/>
  <c r="N132" i="8" s="1"/>
  <c r="O130" i="8" s="1"/>
  <c r="O131" i="8" s="1"/>
  <c r="O132" i="8" s="1"/>
  <c r="D146" i="11" s="1"/>
  <c r="Q99" i="8"/>
  <c r="L25" i="6"/>
  <c r="L151" i="6" s="1"/>
  <c r="L152" i="6" s="1"/>
  <c r="M152" i="6" s="1"/>
  <c r="O101" i="6"/>
  <c r="L77" i="6"/>
  <c r="M77" i="6" s="1"/>
  <c r="N75" i="6" s="1"/>
  <c r="E53" i="19" l="1"/>
  <c r="C146" i="12"/>
  <c r="C147" i="12" s="1"/>
  <c r="D145" i="12" s="1"/>
  <c r="D146" i="12" s="1"/>
  <c r="D147" i="12" s="1"/>
  <c r="E145" i="12" s="1"/>
  <c r="E146" i="12" s="1"/>
  <c r="E147" i="12" s="1"/>
  <c r="F145" i="12" s="1"/>
  <c r="F146" i="12" s="1"/>
  <c r="F147" i="12" s="1"/>
  <c r="G145" i="12" s="1"/>
  <c r="G146" i="12" s="1"/>
  <c r="G147" i="12" s="1"/>
  <c r="H145" i="12" s="1"/>
  <c r="H146" i="12" s="1"/>
  <c r="H147" i="12" s="1"/>
  <c r="I145" i="12" s="1"/>
  <c r="I146" i="12" s="1"/>
  <c r="I147" i="12" s="1"/>
  <c r="J145" i="12" s="1"/>
  <c r="J146" i="12" s="1"/>
  <c r="J147" i="12" s="1"/>
  <c r="K145" i="12" s="1"/>
  <c r="K146" i="12" s="1"/>
  <c r="K147" i="12" s="1"/>
  <c r="C52" i="12"/>
  <c r="C53" i="12" s="1"/>
  <c r="D51" i="12" s="1"/>
  <c r="D52" i="12" s="1"/>
  <c r="D53" i="12" s="1"/>
  <c r="E51" i="12" s="1"/>
  <c r="E52" i="12" s="1"/>
  <c r="E53" i="12" s="1"/>
  <c r="F51" i="12" s="1"/>
  <c r="F52" i="12" s="1"/>
  <c r="F53" i="12" s="1"/>
  <c r="G51" i="12" s="1"/>
  <c r="G52" i="12" s="1"/>
  <c r="G53" i="12" s="1"/>
  <c r="H51" i="12" s="1"/>
  <c r="H52" i="12" s="1"/>
  <c r="H53" i="12" s="1"/>
  <c r="I51" i="12" s="1"/>
  <c r="I52" i="12" s="1"/>
  <c r="I53" i="12" s="1"/>
  <c r="J51" i="12" s="1"/>
  <c r="J52" i="12" s="1"/>
  <c r="J53" i="12" s="1"/>
  <c r="K51" i="12" s="1"/>
  <c r="K52" i="12" s="1"/>
  <c r="K53" i="12" s="1"/>
  <c r="L26" i="6"/>
  <c r="L27" i="6" s="1"/>
  <c r="M90" i="8"/>
  <c r="M91" i="8" s="1"/>
  <c r="M92" i="8" s="1"/>
  <c r="N90" i="8" s="1"/>
  <c r="N91" i="8" s="1"/>
  <c r="N92" i="8" s="1"/>
  <c r="O90" i="8" s="1"/>
  <c r="O91" i="8" s="1"/>
  <c r="O92" i="8" s="1"/>
  <c r="D147" i="11"/>
  <c r="D148" i="11" s="1"/>
  <c r="E146" i="11" s="1"/>
  <c r="E147" i="11" s="1"/>
  <c r="E148" i="11" s="1"/>
  <c r="F146" i="11" s="1"/>
  <c r="F147" i="11" s="1"/>
  <c r="F148" i="11" s="1"/>
  <c r="G146" i="11" s="1"/>
  <c r="G147" i="11" s="1"/>
  <c r="G148" i="11" s="1"/>
  <c r="H146" i="11" s="1"/>
  <c r="H147" i="11" s="1"/>
  <c r="H148" i="11" s="1"/>
  <c r="I146" i="11" s="1"/>
  <c r="I147" i="11" s="1"/>
  <c r="I148" i="11" s="1"/>
  <c r="J146" i="11" s="1"/>
  <c r="J147" i="11" s="1"/>
  <c r="J148" i="11" s="1"/>
  <c r="K146" i="11" s="1"/>
  <c r="K147" i="11" s="1"/>
  <c r="K148" i="11" s="1"/>
  <c r="L146" i="11" s="1"/>
  <c r="L147" i="11" s="1"/>
  <c r="L148" i="11" s="1"/>
  <c r="M146" i="11" s="1"/>
  <c r="M38" i="8"/>
  <c r="M39" i="8" s="1"/>
  <c r="M40" i="8" s="1"/>
  <c r="N38" i="8" s="1"/>
  <c r="N39" i="8" s="1"/>
  <c r="N40" i="8" s="1"/>
  <c r="O38" i="8" s="1"/>
  <c r="O39" i="8" s="1"/>
  <c r="O40" i="8" s="1"/>
  <c r="C115" i="9"/>
  <c r="C160" i="9"/>
  <c r="G14" i="8"/>
  <c r="G15" i="8" s="1"/>
  <c r="H13" i="8" s="1"/>
  <c r="Q130" i="8"/>
  <c r="Q131" i="8" s="1"/>
  <c r="L100" i="9"/>
  <c r="M100" i="9"/>
  <c r="M101" i="9" s="1"/>
  <c r="M160" i="8"/>
  <c r="Q114" i="8"/>
  <c r="G14" i="9"/>
  <c r="G15" i="9" s="1"/>
  <c r="H13" i="9" s="1"/>
  <c r="M26" i="6"/>
  <c r="O116" i="6"/>
  <c r="O102" i="6"/>
  <c r="C100" i="8" s="1"/>
  <c r="N76" i="6"/>
  <c r="N77" i="6" s="1"/>
  <c r="E54" i="19" l="1"/>
  <c r="E55" i="19" s="1"/>
  <c r="F53" i="19" s="1"/>
  <c r="F54" i="19" s="1"/>
  <c r="F55" i="19" s="1"/>
  <c r="G53" i="19" s="1"/>
  <c r="G54" i="19" s="1"/>
  <c r="G55" i="19" s="1"/>
  <c r="H53" i="19" s="1"/>
  <c r="H54" i="19" s="1"/>
  <c r="H55" i="19" s="1"/>
  <c r="I53" i="19" s="1"/>
  <c r="I54" i="19" s="1"/>
  <c r="I55" i="19" s="1"/>
  <c r="J53" i="19" s="1"/>
  <c r="J54" i="19" s="1"/>
  <c r="J55" i="19" s="1"/>
  <c r="K53" i="19" s="1"/>
  <c r="K54" i="19" s="1"/>
  <c r="K55" i="19" s="1"/>
  <c r="M51" i="12"/>
  <c r="M52" i="12" s="1"/>
  <c r="L51" i="12"/>
  <c r="L52" i="12" s="1"/>
  <c r="L53" i="12" s="1"/>
  <c r="N145" i="11"/>
  <c r="N177" i="11" s="1"/>
  <c r="C129" i="12"/>
  <c r="M27" i="6"/>
  <c r="Q90" i="8"/>
  <c r="Q91" i="8" s="1"/>
  <c r="M145" i="12"/>
  <c r="M146" i="12" s="1"/>
  <c r="L145" i="12"/>
  <c r="L146" i="12" s="1"/>
  <c r="L147" i="12" s="1"/>
  <c r="M147" i="11"/>
  <c r="M148" i="11" s="1"/>
  <c r="D38" i="11"/>
  <c r="D106" i="11"/>
  <c r="Q38" i="8"/>
  <c r="Q39" i="8" s="1"/>
  <c r="H14" i="8"/>
  <c r="H15" i="8" s="1"/>
  <c r="I13" i="8" s="1"/>
  <c r="L101" i="9"/>
  <c r="L102" i="9" s="1"/>
  <c r="M102" i="9" s="1"/>
  <c r="N100" i="9"/>
  <c r="C101" i="8"/>
  <c r="C102" i="8" s="1"/>
  <c r="D100" i="8" s="1"/>
  <c r="D101" i="8" s="1"/>
  <c r="D102" i="8" s="1"/>
  <c r="E100" i="8" s="1"/>
  <c r="E101" i="8" s="1"/>
  <c r="E102" i="8" s="1"/>
  <c r="F100" i="8" s="1"/>
  <c r="F101" i="8" s="1"/>
  <c r="F102" i="8" s="1"/>
  <c r="G100" i="8" s="1"/>
  <c r="G101" i="8" s="1"/>
  <c r="G102" i="8" s="1"/>
  <c r="H100" i="8" s="1"/>
  <c r="H101" i="8" s="1"/>
  <c r="H102" i="8" s="1"/>
  <c r="I100" i="8" s="1"/>
  <c r="I101" i="8" s="1"/>
  <c r="I102" i="8" s="1"/>
  <c r="J100" i="8" s="1"/>
  <c r="J101" i="8" s="1"/>
  <c r="J102" i="8" s="1"/>
  <c r="K100" i="8" s="1"/>
  <c r="K101" i="8" s="1"/>
  <c r="K102" i="8" s="1"/>
  <c r="L100" i="8" s="1"/>
  <c r="L101" i="8" s="1"/>
  <c r="L102" i="8" s="1"/>
  <c r="N25" i="6"/>
  <c r="H14" i="9"/>
  <c r="H15" i="9" s="1"/>
  <c r="I13" i="9" s="1"/>
  <c r="C116" i="9"/>
  <c r="C117" i="9" s="1"/>
  <c r="D115" i="9" s="1"/>
  <c r="D116" i="9" s="1"/>
  <c r="D117" i="9" s="1"/>
  <c r="E115" i="9" s="1"/>
  <c r="E116" i="9" s="1"/>
  <c r="E117" i="9" s="1"/>
  <c r="F115" i="9" s="1"/>
  <c r="F116" i="9" s="1"/>
  <c r="F117" i="9" s="1"/>
  <c r="G115" i="9" s="1"/>
  <c r="G116" i="9" s="1"/>
  <c r="G117" i="9" s="1"/>
  <c r="H115" i="9" s="1"/>
  <c r="H116" i="9" s="1"/>
  <c r="H117" i="9" s="1"/>
  <c r="I115" i="9" s="1"/>
  <c r="I116" i="9" s="1"/>
  <c r="I117" i="9" s="1"/>
  <c r="J115" i="9" s="1"/>
  <c r="J116" i="9" s="1"/>
  <c r="J117" i="9" s="1"/>
  <c r="K115" i="9" s="1"/>
  <c r="K116" i="9" s="1"/>
  <c r="K117" i="9" s="1"/>
  <c r="O117" i="6"/>
  <c r="O75" i="6"/>
  <c r="Q75" i="6" s="1"/>
  <c r="Q76" i="6" s="1"/>
  <c r="M53" i="19" l="1"/>
  <c r="M54" i="19" s="1"/>
  <c r="L53" i="19"/>
  <c r="L54" i="19" s="1"/>
  <c r="L55" i="19" s="1"/>
  <c r="R145" i="11"/>
  <c r="N51" i="12"/>
  <c r="N51" i="11" s="1"/>
  <c r="N52" i="11" s="1"/>
  <c r="N53" i="11" s="1"/>
  <c r="O51" i="11" s="1"/>
  <c r="O52" i="11" s="1"/>
  <c r="O53" i="11" s="1"/>
  <c r="P51" i="11" s="1"/>
  <c r="P52" i="11" s="1"/>
  <c r="P53" i="11" s="1"/>
  <c r="M147" i="12"/>
  <c r="N37" i="11"/>
  <c r="N174" i="11" s="1"/>
  <c r="C37" i="12"/>
  <c r="C130" i="12"/>
  <c r="C161" i="12"/>
  <c r="N145" i="12"/>
  <c r="N161" i="11" s="1"/>
  <c r="N105" i="11"/>
  <c r="C89" i="12"/>
  <c r="C90" i="12" s="1"/>
  <c r="M53" i="12"/>
  <c r="M100" i="8"/>
  <c r="M101" i="8" s="1"/>
  <c r="M102" i="8" s="1"/>
  <c r="N100" i="8" s="1"/>
  <c r="N101" i="8" s="1"/>
  <c r="N102" i="8" s="1"/>
  <c r="O100" i="8" s="1"/>
  <c r="O101" i="8" s="1"/>
  <c r="O102" i="8" s="1"/>
  <c r="D107" i="11"/>
  <c r="D108" i="11" s="1"/>
  <c r="E106" i="11" s="1"/>
  <c r="E107" i="11" s="1"/>
  <c r="E108" i="11" s="1"/>
  <c r="F106" i="11" s="1"/>
  <c r="F107" i="11" s="1"/>
  <c r="F108" i="11" s="1"/>
  <c r="G106" i="11" s="1"/>
  <c r="G107" i="11" s="1"/>
  <c r="G108" i="11" s="1"/>
  <c r="H106" i="11" s="1"/>
  <c r="H107" i="11" s="1"/>
  <c r="H108" i="11" s="1"/>
  <c r="I106" i="11" s="1"/>
  <c r="I107" i="11" s="1"/>
  <c r="I108" i="11" s="1"/>
  <c r="J106" i="11" s="1"/>
  <c r="J107" i="11" s="1"/>
  <c r="J108" i="11" s="1"/>
  <c r="K106" i="11" s="1"/>
  <c r="K107" i="11" s="1"/>
  <c r="K108" i="11" s="1"/>
  <c r="L106" i="11" s="1"/>
  <c r="L107" i="11" s="1"/>
  <c r="L108" i="11" s="1"/>
  <c r="M106" i="11" s="1"/>
  <c r="M107" i="11" s="1"/>
  <c r="M108" i="11" s="1"/>
  <c r="D39" i="11"/>
  <c r="D40" i="11" s="1"/>
  <c r="I14" i="9"/>
  <c r="I15" i="9" s="1"/>
  <c r="J13" i="9" s="1"/>
  <c r="I14" i="8"/>
  <c r="I15" i="8" s="1"/>
  <c r="J13" i="8" s="1"/>
  <c r="L115" i="9"/>
  <c r="L116" i="9" s="1"/>
  <c r="L117" i="9" s="1"/>
  <c r="M115" i="9"/>
  <c r="M116" i="9" s="1"/>
  <c r="N151" i="6"/>
  <c r="N152" i="6" s="1"/>
  <c r="N26" i="6"/>
  <c r="N27" i="6" s="1"/>
  <c r="O25" i="6" s="1"/>
  <c r="O151" i="6" s="1"/>
  <c r="M74" i="8"/>
  <c r="C74" i="9"/>
  <c r="C75" i="9" s="1"/>
  <c r="C115" i="8"/>
  <c r="M55" i="19" l="1"/>
  <c r="N53" i="19"/>
  <c r="D40" i="13"/>
  <c r="R37" i="11"/>
  <c r="R105" i="11"/>
  <c r="R51" i="11"/>
  <c r="R52" i="11" s="1"/>
  <c r="C131" i="12"/>
  <c r="C132" i="12" s="1"/>
  <c r="D130" i="12" s="1"/>
  <c r="D131" i="12" s="1"/>
  <c r="D132" i="12" s="1"/>
  <c r="E130" i="12" s="1"/>
  <c r="E131" i="12" s="1"/>
  <c r="E132" i="12" s="1"/>
  <c r="F130" i="12" s="1"/>
  <c r="F131" i="12" s="1"/>
  <c r="F132" i="12" s="1"/>
  <c r="G130" i="12" s="1"/>
  <c r="G131" i="12" s="1"/>
  <c r="G132" i="12" s="1"/>
  <c r="H130" i="12" s="1"/>
  <c r="H131" i="12" s="1"/>
  <c r="H132" i="12" s="1"/>
  <c r="I130" i="12" s="1"/>
  <c r="I131" i="12" s="1"/>
  <c r="I132" i="12" s="1"/>
  <c r="J130" i="12" s="1"/>
  <c r="J131" i="12" s="1"/>
  <c r="J132" i="12" s="1"/>
  <c r="C38" i="12"/>
  <c r="C158" i="12"/>
  <c r="C91" i="12"/>
  <c r="C92" i="12" s="1"/>
  <c r="D90" i="12" s="1"/>
  <c r="D91" i="12" s="1"/>
  <c r="D92" i="12" s="1"/>
  <c r="E90" i="12" s="1"/>
  <c r="E91" i="12" s="1"/>
  <c r="E92" i="12" s="1"/>
  <c r="F90" i="12" s="1"/>
  <c r="F91" i="12" s="1"/>
  <c r="F92" i="12" s="1"/>
  <c r="G90" i="12" s="1"/>
  <c r="G91" i="12" s="1"/>
  <c r="G92" i="12" s="1"/>
  <c r="H90" i="12" s="1"/>
  <c r="H91" i="12" s="1"/>
  <c r="H92" i="12" s="1"/>
  <c r="I90" i="12" s="1"/>
  <c r="I91" i="12" s="1"/>
  <c r="I92" i="12" s="1"/>
  <c r="J90" i="12" s="1"/>
  <c r="J91" i="12" s="1"/>
  <c r="J92" i="12" s="1"/>
  <c r="K90" i="12" s="1"/>
  <c r="K91" i="12" s="1"/>
  <c r="K92" i="12" s="1"/>
  <c r="N162" i="11"/>
  <c r="N163" i="11" s="1"/>
  <c r="O161" i="11" s="1"/>
  <c r="O162" i="11" s="1"/>
  <c r="O163" i="11" s="1"/>
  <c r="P161" i="11" s="1"/>
  <c r="P162" i="11" s="1"/>
  <c r="P163" i="11" s="1"/>
  <c r="D141" i="13" s="1"/>
  <c r="D116" i="11"/>
  <c r="E38" i="11"/>
  <c r="Q100" i="8"/>
  <c r="Q101" i="8" s="1"/>
  <c r="M117" i="9"/>
  <c r="C159" i="9"/>
  <c r="O26" i="6"/>
  <c r="O27" i="6" s="1"/>
  <c r="C25" i="8" s="1"/>
  <c r="Q25" i="6"/>
  <c r="Q26" i="6" s="1"/>
  <c r="J14" i="8"/>
  <c r="J15" i="8" s="1"/>
  <c r="K13" i="8" s="1"/>
  <c r="J14" i="9"/>
  <c r="J15" i="9" s="1"/>
  <c r="K13" i="9" s="1"/>
  <c r="Q74" i="8"/>
  <c r="M159" i="8"/>
  <c r="C116" i="8"/>
  <c r="C117" i="8" s="1"/>
  <c r="D115" i="8" s="1"/>
  <c r="D116" i="8" s="1"/>
  <c r="D117" i="8" s="1"/>
  <c r="E115" i="8" s="1"/>
  <c r="E116" i="8" s="1"/>
  <c r="E117" i="8" s="1"/>
  <c r="F115" i="8" s="1"/>
  <c r="F116" i="8" s="1"/>
  <c r="F117" i="8" s="1"/>
  <c r="G115" i="8" s="1"/>
  <c r="G116" i="8" s="1"/>
  <c r="G117" i="8" s="1"/>
  <c r="H115" i="8" s="1"/>
  <c r="H116" i="8" s="1"/>
  <c r="H117" i="8" s="1"/>
  <c r="I115" i="8" s="1"/>
  <c r="I116" i="8" s="1"/>
  <c r="I117" i="8" s="1"/>
  <c r="J115" i="8" s="1"/>
  <c r="J116" i="8" s="1"/>
  <c r="J117" i="8" s="1"/>
  <c r="K115" i="8" s="1"/>
  <c r="K116" i="8" s="1"/>
  <c r="K117" i="8" s="1"/>
  <c r="L115" i="8" s="1"/>
  <c r="L116" i="8" s="1"/>
  <c r="L117" i="8" s="1"/>
  <c r="O152" i="6"/>
  <c r="N115" i="9"/>
  <c r="O76" i="6"/>
  <c r="N55" i="20" l="1"/>
  <c r="N54" i="17"/>
  <c r="D142" i="13"/>
  <c r="D143" i="13" s="1"/>
  <c r="E141" i="13" s="1"/>
  <c r="E142" i="13" s="1"/>
  <c r="E143" i="13" s="1"/>
  <c r="F141" i="13" s="1"/>
  <c r="F142" i="13" s="1"/>
  <c r="F143" i="13" s="1"/>
  <c r="G141" i="13" s="1"/>
  <c r="G142" i="13" s="1"/>
  <c r="G143" i="13" s="1"/>
  <c r="H141" i="13" s="1"/>
  <c r="H142" i="13" s="1"/>
  <c r="H143" i="13" s="1"/>
  <c r="I141" i="13" s="1"/>
  <c r="D41" i="13"/>
  <c r="D42" i="13" s="1"/>
  <c r="E40" i="13" s="1"/>
  <c r="E41" i="13" s="1"/>
  <c r="E42" i="13" s="1"/>
  <c r="F40" i="13" s="1"/>
  <c r="F41" i="13" s="1"/>
  <c r="F42" i="13" s="1"/>
  <c r="G40" i="13" s="1"/>
  <c r="G41" i="13" s="1"/>
  <c r="G42" i="13" s="1"/>
  <c r="H40" i="13" s="1"/>
  <c r="H41" i="13" s="1"/>
  <c r="H42" i="13" s="1"/>
  <c r="I40" i="13" s="1"/>
  <c r="I41" i="13" s="1"/>
  <c r="I42" i="13" s="1"/>
  <c r="J40" i="13" s="1"/>
  <c r="J41" i="13" s="1"/>
  <c r="J42" i="13" s="1"/>
  <c r="R161" i="11"/>
  <c r="R162" i="11" s="1"/>
  <c r="K130" i="12"/>
  <c r="K131" i="12" s="1"/>
  <c r="K132" i="12" s="1"/>
  <c r="C39" i="12"/>
  <c r="C40" i="12" s="1"/>
  <c r="D38" i="12" s="1"/>
  <c r="D39" i="12" s="1"/>
  <c r="D40" i="12" s="1"/>
  <c r="E38" i="12" s="1"/>
  <c r="E39" i="12" s="1"/>
  <c r="E40" i="12" s="1"/>
  <c r="F38" i="12" s="1"/>
  <c r="F39" i="12" s="1"/>
  <c r="F40" i="12" s="1"/>
  <c r="G38" i="12" s="1"/>
  <c r="G39" i="12" s="1"/>
  <c r="G40" i="12" s="1"/>
  <c r="H38" i="12" s="1"/>
  <c r="H39" i="12" s="1"/>
  <c r="H40" i="12" s="1"/>
  <c r="I38" i="12" s="1"/>
  <c r="I39" i="12" s="1"/>
  <c r="I40" i="12" s="1"/>
  <c r="N115" i="11"/>
  <c r="R115" i="11" s="1"/>
  <c r="C99" i="12"/>
  <c r="C100" i="12" s="1"/>
  <c r="M90" i="12"/>
  <c r="M91" i="12" s="1"/>
  <c r="L90" i="12"/>
  <c r="L91" i="12" s="1"/>
  <c r="L92" i="12" s="1"/>
  <c r="M115" i="8"/>
  <c r="M116" i="8" s="1"/>
  <c r="M117" i="8" s="1"/>
  <c r="N115" i="8" s="1"/>
  <c r="N116" i="8" s="1"/>
  <c r="N117" i="8" s="1"/>
  <c r="O115" i="8" s="1"/>
  <c r="O116" i="8" s="1"/>
  <c r="O117" i="8" s="1"/>
  <c r="E39" i="11"/>
  <c r="E40" i="11" s="1"/>
  <c r="D117" i="11"/>
  <c r="D118" i="11" s="1"/>
  <c r="E116" i="11" s="1"/>
  <c r="E117" i="11" s="1"/>
  <c r="E118" i="11" s="1"/>
  <c r="F116" i="11" s="1"/>
  <c r="F117" i="11" s="1"/>
  <c r="F118" i="11" s="1"/>
  <c r="G116" i="11" s="1"/>
  <c r="G117" i="11" s="1"/>
  <c r="G118" i="11" s="1"/>
  <c r="H116" i="11" s="1"/>
  <c r="H117" i="11" s="1"/>
  <c r="H118" i="11" s="1"/>
  <c r="I116" i="11" s="1"/>
  <c r="I117" i="11" s="1"/>
  <c r="I118" i="11" s="1"/>
  <c r="J116" i="11" s="1"/>
  <c r="J117" i="11" s="1"/>
  <c r="J118" i="11" s="1"/>
  <c r="K116" i="11" s="1"/>
  <c r="K117" i="11" s="1"/>
  <c r="K118" i="11" s="1"/>
  <c r="L116" i="11" s="1"/>
  <c r="L117" i="11" s="1"/>
  <c r="L118" i="11" s="1"/>
  <c r="M116" i="11" s="1"/>
  <c r="M117" i="11" s="1"/>
  <c r="M118" i="11" s="1"/>
  <c r="C26" i="8"/>
  <c r="C27" i="8" s="1"/>
  <c r="D25" i="8" s="1"/>
  <c r="K14" i="9"/>
  <c r="K15" i="9" s="1"/>
  <c r="M24" i="8"/>
  <c r="C24" i="9"/>
  <c r="C25" i="9" s="1"/>
  <c r="K14" i="8"/>
  <c r="K15" i="8" s="1"/>
  <c r="L13" i="8" s="1"/>
  <c r="C76" i="9"/>
  <c r="C77" i="9" s="1"/>
  <c r="D75" i="9" s="1"/>
  <c r="D76" i="9" s="1"/>
  <c r="D77" i="9" s="1"/>
  <c r="Q151" i="6"/>
  <c r="Q152" i="6" s="1"/>
  <c r="O77" i="6"/>
  <c r="C75" i="8" s="1"/>
  <c r="C151" i="8" s="1"/>
  <c r="C152" i="8" s="1"/>
  <c r="N55" i="17" l="1"/>
  <c r="N56" i="17" s="1"/>
  <c r="O54" i="17" s="1"/>
  <c r="O55" i="17" s="1"/>
  <c r="O56" i="17" s="1"/>
  <c r="P54" i="17" s="1"/>
  <c r="P55" i="17" s="1"/>
  <c r="P56" i="17" s="1"/>
  <c r="D54" i="20" s="1"/>
  <c r="K40" i="13"/>
  <c r="K41" i="13" s="1"/>
  <c r="K42" i="13" s="1"/>
  <c r="L40" i="13" s="1"/>
  <c r="I142" i="13"/>
  <c r="I143" i="13" s="1"/>
  <c r="J141" i="13" s="1"/>
  <c r="M92" i="12"/>
  <c r="M130" i="12"/>
  <c r="M131" i="12" s="1"/>
  <c r="L130" i="12"/>
  <c r="J38" i="12"/>
  <c r="J39" i="12" s="1"/>
  <c r="J40" i="12" s="1"/>
  <c r="K38" i="12" s="1"/>
  <c r="K39" i="12" s="1"/>
  <c r="K40" i="12" s="1"/>
  <c r="C101" i="12"/>
  <c r="C102" i="12" s="1"/>
  <c r="D100" i="12" s="1"/>
  <c r="D101" i="12" s="1"/>
  <c r="D102" i="12" s="1"/>
  <c r="E100" i="12" s="1"/>
  <c r="E101" i="12" s="1"/>
  <c r="E102" i="12" s="1"/>
  <c r="F100" i="12" s="1"/>
  <c r="F101" i="12" s="1"/>
  <c r="F102" i="12" s="1"/>
  <c r="G100" i="12" s="1"/>
  <c r="G101" i="12" s="1"/>
  <c r="G102" i="12" s="1"/>
  <c r="H100" i="12" s="1"/>
  <c r="H101" i="12" s="1"/>
  <c r="H102" i="12" s="1"/>
  <c r="I100" i="12" s="1"/>
  <c r="I101" i="12" s="1"/>
  <c r="I102" i="12" s="1"/>
  <c r="J100" i="12" s="1"/>
  <c r="J101" i="12" s="1"/>
  <c r="J102" i="12" s="1"/>
  <c r="K100" i="12" s="1"/>
  <c r="K101" i="12" s="1"/>
  <c r="K102" i="12" s="1"/>
  <c r="N90" i="12"/>
  <c r="N106" i="11" s="1"/>
  <c r="E75" i="9"/>
  <c r="E76" i="9" s="1"/>
  <c r="E77" i="9" s="1"/>
  <c r="F75" i="9" s="1"/>
  <c r="F76" i="9" s="1"/>
  <c r="F77" i="9" s="1"/>
  <c r="G75" i="9" s="1"/>
  <c r="G76" i="9" s="1"/>
  <c r="G77" i="9" s="1"/>
  <c r="H75" i="9" s="1"/>
  <c r="H76" i="9" s="1"/>
  <c r="H77" i="9" s="1"/>
  <c r="I75" i="9" s="1"/>
  <c r="I76" i="9" s="1"/>
  <c r="I77" i="9" s="1"/>
  <c r="J75" i="9" s="1"/>
  <c r="J76" i="9" s="1"/>
  <c r="J77" i="9" s="1"/>
  <c r="K75" i="9" s="1"/>
  <c r="K76" i="9" s="1"/>
  <c r="K77" i="9" s="1"/>
  <c r="D131" i="11"/>
  <c r="F38" i="11"/>
  <c r="Q115" i="8"/>
  <c r="Q116" i="8" s="1"/>
  <c r="C157" i="9"/>
  <c r="C150" i="9"/>
  <c r="C156" i="9" s="1"/>
  <c r="M13" i="9"/>
  <c r="L13" i="9"/>
  <c r="C76" i="8"/>
  <c r="C77" i="8" s="1"/>
  <c r="D75" i="8" s="1"/>
  <c r="D76" i="8" s="1"/>
  <c r="D77" i="8" s="1"/>
  <c r="Q24" i="8"/>
  <c r="Q150" i="8" s="1"/>
  <c r="M150" i="8"/>
  <c r="M156" i="8" s="1"/>
  <c r="M157" i="8"/>
  <c r="D26" i="8"/>
  <c r="D27" i="8" s="1"/>
  <c r="E25" i="8" s="1"/>
  <c r="L14" i="8"/>
  <c r="L15" i="8" s="1"/>
  <c r="D55" i="20" l="1"/>
  <c r="D56" i="20" s="1"/>
  <c r="E54" i="20" s="1"/>
  <c r="E55" i="20" s="1"/>
  <c r="E56" i="20" s="1"/>
  <c r="F54" i="20" s="1"/>
  <c r="F55" i="20" s="1"/>
  <c r="F56" i="20" s="1"/>
  <c r="G54" i="20" s="1"/>
  <c r="G55" i="20" s="1"/>
  <c r="G56" i="20" s="1"/>
  <c r="H54" i="20" s="1"/>
  <c r="H55" i="20" s="1"/>
  <c r="H56" i="20" s="1"/>
  <c r="I54" i="20" s="1"/>
  <c r="I55" i="20" s="1"/>
  <c r="I56" i="20" s="1"/>
  <c r="J54" i="20" s="1"/>
  <c r="J55" i="20" s="1"/>
  <c r="J56" i="20" s="1"/>
  <c r="K54" i="20" s="1"/>
  <c r="K55" i="20" s="1"/>
  <c r="K56" i="20" s="1"/>
  <c r="L54" i="20" s="1"/>
  <c r="L55" i="20" s="1"/>
  <c r="L56" i="20" s="1"/>
  <c r="M54" i="20" s="1"/>
  <c r="M55" i="20" s="1"/>
  <c r="M56" i="20" s="1"/>
  <c r="N56" i="20" s="1"/>
  <c r="O54" i="20" s="1"/>
  <c r="O55" i="20" s="1"/>
  <c r="O56" i="20" s="1"/>
  <c r="P54" i="20" s="1"/>
  <c r="P55" i="20" s="1"/>
  <c r="P56" i="20" s="1"/>
  <c r="Q54" i="17"/>
  <c r="Q55" i="17" s="1"/>
  <c r="L41" i="13"/>
  <c r="L42" i="13" s="1"/>
  <c r="M40" i="13" s="1"/>
  <c r="M41" i="13" s="1"/>
  <c r="M42" i="13" s="1"/>
  <c r="N42" i="13" s="1"/>
  <c r="O40" i="13" s="1"/>
  <c r="O41" i="13" s="1"/>
  <c r="O42" i="13" s="1"/>
  <c r="P40" i="13" s="1"/>
  <c r="P41" i="13" s="1"/>
  <c r="P42" i="13" s="1"/>
  <c r="D42" i="17" s="1"/>
  <c r="J142" i="13"/>
  <c r="J143" i="13" s="1"/>
  <c r="K141" i="13" s="1"/>
  <c r="L38" i="12"/>
  <c r="L39" i="12" s="1"/>
  <c r="L40" i="12" s="1"/>
  <c r="M38" i="12"/>
  <c r="M39" i="12" s="1"/>
  <c r="N130" i="11"/>
  <c r="R130" i="11" s="1"/>
  <c r="C114" i="12"/>
  <c r="D151" i="8"/>
  <c r="D152" i="8" s="1"/>
  <c r="N107" i="11"/>
  <c r="N108" i="11" s="1"/>
  <c r="O106" i="11" s="1"/>
  <c r="O107" i="11" s="1"/>
  <c r="O108" i="11" s="1"/>
  <c r="P106" i="11" s="1"/>
  <c r="P107" i="11" s="1"/>
  <c r="P108" i="11" s="1"/>
  <c r="D95" i="13" s="1"/>
  <c r="L131" i="12"/>
  <c r="L132" i="12" s="1"/>
  <c r="N130" i="12"/>
  <c r="N146" i="11" s="1"/>
  <c r="M100" i="12"/>
  <c r="M101" i="12" s="1"/>
  <c r="L100" i="12"/>
  <c r="L101" i="12" s="1"/>
  <c r="L102" i="12" s="1"/>
  <c r="M132" i="12"/>
  <c r="L75" i="9"/>
  <c r="L76" i="9" s="1"/>
  <c r="L77" i="9" s="1"/>
  <c r="M77" i="9" s="1"/>
  <c r="M75" i="9"/>
  <c r="M76" i="9" s="1"/>
  <c r="E75" i="8"/>
  <c r="E151" i="8" s="1"/>
  <c r="E152" i="8" s="1"/>
  <c r="F39" i="11"/>
  <c r="F40" i="11" s="1"/>
  <c r="D132" i="11"/>
  <c r="D133" i="11" s="1"/>
  <c r="E131" i="11" s="1"/>
  <c r="E132" i="11" s="1"/>
  <c r="E133" i="11" s="1"/>
  <c r="F131" i="11" s="1"/>
  <c r="F132" i="11" s="1"/>
  <c r="F133" i="11" s="1"/>
  <c r="G131" i="11" s="1"/>
  <c r="G132" i="11" s="1"/>
  <c r="G133" i="11" s="1"/>
  <c r="H131" i="11" s="1"/>
  <c r="H132" i="11" s="1"/>
  <c r="H133" i="11" s="1"/>
  <c r="I131" i="11" s="1"/>
  <c r="I132" i="11" s="1"/>
  <c r="I133" i="11" s="1"/>
  <c r="J131" i="11" s="1"/>
  <c r="J132" i="11" s="1"/>
  <c r="J133" i="11" s="1"/>
  <c r="K131" i="11" s="1"/>
  <c r="K132" i="11" s="1"/>
  <c r="K133" i="11" s="1"/>
  <c r="L131" i="11" s="1"/>
  <c r="L132" i="11" s="1"/>
  <c r="L133" i="11" s="1"/>
  <c r="M131" i="11" s="1"/>
  <c r="M132" i="11" s="1"/>
  <c r="M133" i="11" s="1"/>
  <c r="L14" i="9"/>
  <c r="L15" i="9" s="1"/>
  <c r="C26" i="9"/>
  <c r="C27" i="9" s="1"/>
  <c r="D25" i="9" s="1"/>
  <c r="C151" i="9"/>
  <c r="C152" i="9" s="1"/>
  <c r="E26" i="8"/>
  <c r="E27" i="8" s="1"/>
  <c r="M14" i="9"/>
  <c r="N13" i="9"/>
  <c r="Q54" i="20" l="1"/>
  <c r="Q55" i="20" s="1"/>
  <c r="D43" i="17"/>
  <c r="Q40" i="13"/>
  <c r="Q41" i="13" s="1"/>
  <c r="K142" i="13"/>
  <c r="K143" i="13" s="1"/>
  <c r="L141" i="13" s="1"/>
  <c r="D96" i="13"/>
  <c r="N176" i="11"/>
  <c r="M40" i="12"/>
  <c r="M102" i="12"/>
  <c r="R106" i="11"/>
  <c r="R107" i="11" s="1"/>
  <c r="C115" i="12"/>
  <c r="C160" i="12"/>
  <c r="N147" i="11"/>
  <c r="N148" i="11" s="1"/>
  <c r="O146" i="11" s="1"/>
  <c r="O147" i="11" s="1"/>
  <c r="O148" i="11" s="1"/>
  <c r="P146" i="11" s="1"/>
  <c r="P147" i="11" s="1"/>
  <c r="P148" i="11" s="1"/>
  <c r="N100" i="12"/>
  <c r="N116" i="11" s="1"/>
  <c r="N38" i="12"/>
  <c r="N38" i="11" s="1"/>
  <c r="N39" i="11" s="1"/>
  <c r="E76" i="8"/>
  <c r="E77" i="8" s="1"/>
  <c r="F75" i="8" s="1"/>
  <c r="F76" i="8" s="1"/>
  <c r="F77" i="8" s="1"/>
  <c r="G75" i="8" s="1"/>
  <c r="G76" i="8" s="1"/>
  <c r="G77" i="8" s="1"/>
  <c r="H75" i="8" s="1"/>
  <c r="H76" i="8" s="1"/>
  <c r="H77" i="8" s="1"/>
  <c r="I75" i="8" s="1"/>
  <c r="I76" i="8" s="1"/>
  <c r="I77" i="8" s="1"/>
  <c r="J75" i="8" s="1"/>
  <c r="J76" i="8" s="1"/>
  <c r="J77" i="8" s="1"/>
  <c r="K75" i="8" s="1"/>
  <c r="K76" i="8" s="1"/>
  <c r="K77" i="8" s="1"/>
  <c r="L75" i="8" s="1"/>
  <c r="L76" i="8" s="1"/>
  <c r="L77" i="8" s="1"/>
  <c r="N75" i="9"/>
  <c r="M75" i="8" s="1"/>
  <c r="M76" i="8" s="1"/>
  <c r="G38" i="11"/>
  <c r="F25" i="8"/>
  <c r="M13" i="8"/>
  <c r="M15" i="9"/>
  <c r="D26" i="9"/>
  <c r="D27" i="9" s="1"/>
  <c r="E25" i="9" s="1"/>
  <c r="E151" i="9" s="1"/>
  <c r="D151" i="9"/>
  <c r="D152" i="9" s="1"/>
  <c r="C40" i="19" l="1"/>
  <c r="C41" i="19" s="1"/>
  <c r="N41" i="17"/>
  <c r="D44" i="17"/>
  <c r="E42" i="17" s="1"/>
  <c r="D97" i="13"/>
  <c r="E95" i="13" s="1"/>
  <c r="E96" i="13" s="1"/>
  <c r="E97" i="13" s="1"/>
  <c r="F95" i="13" s="1"/>
  <c r="F96" i="13" s="1"/>
  <c r="F97" i="13" s="1"/>
  <c r="G95" i="13" s="1"/>
  <c r="G96" i="13" s="1"/>
  <c r="G97" i="13" s="1"/>
  <c r="H95" i="13" s="1"/>
  <c r="H96" i="13" s="1"/>
  <c r="H97" i="13" s="1"/>
  <c r="I95" i="13" s="1"/>
  <c r="I96" i="13" s="1"/>
  <c r="I97" i="13" s="1"/>
  <c r="J95" i="13" s="1"/>
  <c r="J96" i="13" s="1"/>
  <c r="J97" i="13" s="1"/>
  <c r="K95" i="13" s="1"/>
  <c r="K96" i="13" s="1"/>
  <c r="K97" i="13" s="1"/>
  <c r="L95" i="13" s="1"/>
  <c r="L96" i="13" s="1"/>
  <c r="L97" i="13" s="1"/>
  <c r="M95" i="13" s="1"/>
  <c r="M96" i="13" s="1"/>
  <c r="M97" i="13" s="1"/>
  <c r="N97" i="13" s="1"/>
  <c r="O95" i="13" s="1"/>
  <c r="O96" i="13" s="1"/>
  <c r="O97" i="13" s="1"/>
  <c r="L142" i="13"/>
  <c r="L143" i="13" s="1"/>
  <c r="M141" i="13" s="1"/>
  <c r="D126" i="13"/>
  <c r="N117" i="11"/>
  <c r="N118" i="11" s="1"/>
  <c r="O116" i="11" s="1"/>
  <c r="O117" i="11" s="1"/>
  <c r="O118" i="11" s="1"/>
  <c r="P116" i="11" s="1"/>
  <c r="P117" i="11" s="1"/>
  <c r="P118" i="11" s="1"/>
  <c r="C116" i="12"/>
  <c r="C117" i="12" s="1"/>
  <c r="D115" i="12" s="1"/>
  <c r="D116" i="12" s="1"/>
  <c r="D117" i="12" s="1"/>
  <c r="E115" i="12" s="1"/>
  <c r="E116" i="12" s="1"/>
  <c r="E117" i="12" s="1"/>
  <c r="F115" i="12" s="1"/>
  <c r="F116" i="12" s="1"/>
  <c r="F117" i="12" s="1"/>
  <c r="G115" i="12" s="1"/>
  <c r="G116" i="12" s="1"/>
  <c r="G117" i="12" s="1"/>
  <c r="H115" i="12" s="1"/>
  <c r="H116" i="12" s="1"/>
  <c r="H117" i="12" s="1"/>
  <c r="I115" i="12" s="1"/>
  <c r="I116" i="12" s="1"/>
  <c r="I117" i="12" s="1"/>
  <c r="J115" i="12" s="1"/>
  <c r="J116" i="12" s="1"/>
  <c r="J117" i="12" s="1"/>
  <c r="K115" i="12" s="1"/>
  <c r="K116" i="12" s="1"/>
  <c r="K117" i="12" s="1"/>
  <c r="M77" i="8"/>
  <c r="N75" i="8" s="1"/>
  <c r="N76" i="8" s="1"/>
  <c r="N77" i="8" s="1"/>
  <c r="O75" i="8" s="1"/>
  <c r="O76" i="8" s="1"/>
  <c r="O77" i="8" s="1"/>
  <c r="D75" i="11" s="1"/>
  <c r="D76" i="11" s="1"/>
  <c r="D77" i="11" s="1"/>
  <c r="E75" i="11" s="1"/>
  <c r="E76" i="11" s="1"/>
  <c r="E77" i="11" s="1"/>
  <c r="F75" i="11" s="1"/>
  <c r="F76" i="11" s="1"/>
  <c r="F77" i="11" s="1"/>
  <c r="G75" i="11" s="1"/>
  <c r="F151" i="8"/>
  <c r="F152" i="8" s="1"/>
  <c r="R146" i="11"/>
  <c r="R147" i="11" s="1"/>
  <c r="Q75" i="8"/>
  <c r="Q76" i="8" s="1"/>
  <c r="F26" i="8"/>
  <c r="F27" i="8" s="1"/>
  <c r="G39" i="11"/>
  <c r="G40" i="11" s="1"/>
  <c r="H38" i="11" s="1"/>
  <c r="H39" i="11" s="1"/>
  <c r="H40" i="11" s="1"/>
  <c r="I38" i="11" s="1"/>
  <c r="I39" i="11" s="1"/>
  <c r="I40" i="11" s="1"/>
  <c r="J38" i="11" s="1"/>
  <c r="J39" i="11" s="1"/>
  <c r="J40" i="11" s="1"/>
  <c r="K38" i="11" s="1"/>
  <c r="K39" i="11" s="1"/>
  <c r="K40" i="11" s="1"/>
  <c r="L38" i="11" s="1"/>
  <c r="L39" i="11" s="1"/>
  <c r="L40" i="11" s="1"/>
  <c r="M38" i="11" s="1"/>
  <c r="M39" i="11" s="1"/>
  <c r="M40" i="11" s="1"/>
  <c r="N40" i="11" s="1"/>
  <c r="O38" i="11" s="1"/>
  <c r="O39" i="11" s="1"/>
  <c r="O40" i="11" s="1"/>
  <c r="P38" i="11" s="1"/>
  <c r="P39" i="11" s="1"/>
  <c r="P40" i="11" s="1"/>
  <c r="E26" i="9"/>
  <c r="E27" i="9" s="1"/>
  <c r="F25" i="9" s="1"/>
  <c r="F151" i="9" s="1"/>
  <c r="M14" i="8"/>
  <c r="M15" i="8" s="1"/>
  <c r="N13" i="8" s="1"/>
  <c r="C42" i="19" l="1"/>
  <c r="C43" i="19" s="1"/>
  <c r="D41" i="19" s="1"/>
  <c r="D42" i="19" s="1"/>
  <c r="D43" i="19" s="1"/>
  <c r="E41" i="19" s="1"/>
  <c r="E42" i="19" s="1"/>
  <c r="E43" i="19" s="1"/>
  <c r="F41" i="19" s="1"/>
  <c r="F42" i="19" s="1"/>
  <c r="F43" i="19" s="1"/>
  <c r="G41" i="19" s="1"/>
  <c r="G42" i="19" s="1"/>
  <c r="G43" i="19" s="1"/>
  <c r="H41" i="19" s="1"/>
  <c r="H42" i="19" s="1"/>
  <c r="H43" i="19" s="1"/>
  <c r="I41" i="19" s="1"/>
  <c r="I42" i="19" s="1"/>
  <c r="I43" i="19" s="1"/>
  <c r="J41" i="19" s="1"/>
  <c r="J42" i="19" s="1"/>
  <c r="J43" i="19" s="1"/>
  <c r="K41" i="19" s="1"/>
  <c r="K42" i="19" s="1"/>
  <c r="K43" i="19" s="1"/>
  <c r="Q41" i="17"/>
  <c r="Q41" i="20"/>
  <c r="P95" i="13"/>
  <c r="P96" i="13" s="1"/>
  <c r="P97" i="13" s="1"/>
  <c r="D104" i="17" s="1"/>
  <c r="E43" i="17"/>
  <c r="E44" i="17" s="1"/>
  <c r="F42" i="17" s="1"/>
  <c r="F43" i="17" s="1"/>
  <c r="F44" i="17" s="1"/>
  <c r="G42" i="17" s="1"/>
  <c r="G43" i="17" s="1"/>
  <c r="G44" i="17" s="1"/>
  <c r="H42" i="17" s="1"/>
  <c r="H43" i="17" s="1"/>
  <c r="H44" i="17" s="1"/>
  <c r="I42" i="17" s="1"/>
  <c r="I43" i="17" s="1"/>
  <c r="I44" i="17" s="1"/>
  <c r="J42" i="17" s="1"/>
  <c r="J43" i="17" s="1"/>
  <c r="J44" i="17" s="1"/>
  <c r="K42" i="17" s="1"/>
  <c r="K43" i="17" s="1"/>
  <c r="K44" i="17" s="1"/>
  <c r="L42" i="17" s="1"/>
  <c r="L43" i="17" s="1"/>
  <c r="L44" i="17" s="1"/>
  <c r="M42" i="17" s="1"/>
  <c r="M43" i="17" s="1"/>
  <c r="M44" i="17" s="1"/>
  <c r="D127" i="13"/>
  <c r="D128" i="13" s="1"/>
  <c r="E126" i="13" s="1"/>
  <c r="E127" i="13" s="1"/>
  <c r="E128" i="13" s="1"/>
  <c r="F126" i="13" s="1"/>
  <c r="F127" i="13" s="1"/>
  <c r="F128" i="13" s="1"/>
  <c r="G126" i="13" s="1"/>
  <c r="G127" i="13" s="1"/>
  <c r="G128" i="13" s="1"/>
  <c r="H126" i="13" s="1"/>
  <c r="H127" i="13" s="1"/>
  <c r="H128" i="13" s="1"/>
  <c r="I126" i="13" s="1"/>
  <c r="I127" i="13" s="1"/>
  <c r="I128" i="13" s="1"/>
  <c r="J126" i="13" s="1"/>
  <c r="J127" i="13" s="1"/>
  <c r="J128" i="13" s="1"/>
  <c r="K126" i="13" s="1"/>
  <c r="K127" i="13" s="1"/>
  <c r="K128" i="13" s="1"/>
  <c r="L126" i="13" s="1"/>
  <c r="L127" i="13" s="1"/>
  <c r="L128" i="13" s="1"/>
  <c r="M126" i="13" s="1"/>
  <c r="M127" i="13" s="1"/>
  <c r="M128" i="13" s="1"/>
  <c r="N128" i="13" s="1"/>
  <c r="O126" i="13" s="1"/>
  <c r="O127" i="13" s="1"/>
  <c r="O128" i="13" s="1"/>
  <c r="P126" i="13" s="1"/>
  <c r="P127" i="13" s="1"/>
  <c r="P128" i="13" s="1"/>
  <c r="D134" i="17" s="1"/>
  <c r="M142" i="13"/>
  <c r="M143" i="13" s="1"/>
  <c r="Q141" i="13"/>
  <c r="Q142" i="13" s="1"/>
  <c r="D28" i="13"/>
  <c r="M115" i="12"/>
  <c r="M116" i="12" s="1"/>
  <c r="L115" i="12"/>
  <c r="L116" i="12" s="1"/>
  <c r="L117" i="12" s="1"/>
  <c r="R116" i="11"/>
  <c r="R117" i="11" s="1"/>
  <c r="N74" i="11"/>
  <c r="R74" i="11" s="1"/>
  <c r="C74" i="12"/>
  <c r="G76" i="11"/>
  <c r="G77" i="11" s="1"/>
  <c r="H75" i="11" s="1"/>
  <c r="H76" i="11" s="1"/>
  <c r="H77" i="11" s="1"/>
  <c r="I75" i="11" s="1"/>
  <c r="I76" i="11" s="1"/>
  <c r="I77" i="11" s="1"/>
  <c r="J75" i="11" s="1"/>
  <c r="J76" i="11" s="1"/>
  <c r="J77" i="11" s="1"/>
  <c r="K75" i="11" s="1"/>
  <c r="K76" i="11" s="1"/>
  <c r="K77" i="11" s="1"/>
  <c r="L75" i="11" s="1"/>
  <c r="L76" i="11" s="1"/>
  <c r="L77" i="11" s="1"/>
  <c r="M75" i="11" s="1"/>
  <c r="M76" i="11" s="1"/>
  <c r="M77" i="11" s="1"/>
  <c r="R38" i="11"/>
  <c r="R39" i="11" s="1"/>
  <c r="G25" i="8"/>
  <c r="G26" i="8" s="1"/>
  <c r="G27" i="8" s="1"/>
  <c r="E152" i="9"/>
  <c r="N14" i="8"/>
  <c r="N15" i="8" s="1"/>
  <c r="F26" i="9"/>
  <c r="F27" i="9" s="1"/>
  <c r="G25" i="9" s="1"/>
  <c r="G151" i="9" s="1"/>
  <c r="Q95" i="13" l="1"/>
  <c r="Q96" i="13" s="1"/>
  <c r="C95" i="19"/>
  <c r="C96" i="19" s="1"/>
  <c r="N103" i="17"/>
  <c r="M41" i="19"/>
  <c r="M42" i="19" s="1"/>
  <c r="L41" i="19"/>
  <c r="L42" i="19" s="1"/>
  <c r="L43" i="19" s="1"/>
  <c r="M43" i="19" s="1"/>
  <c r="D105" i="17"/>
  <c r="D106" i="17" s="1"/>
  <c r="E104" i="17" s="1"/>
  <c r="E105" i="17" s="1"/>
  <c r="E106" i="17" s="1"/>
  <c r="F104" i="17" s="1"/>
  <c r="F105" i="17" s="1"/>
  <c r="F106" i="17" s="1"/>
  <c r="G104" i="17" s="1"/>
  <c r="G105" i="17" s="1"/>
  <c r="G106" i="17" s="1"/>
  <c r="H104" i="17" s="1"/>
  <c r="H105" i="17" s="1"/>
  <c r="H106" i="17" s="1"/>
  <c r="I104" i="17" s="1"/>
  <c r="I105" i="17" s="1"/>
  <c r="I106" i="17" s="1"/>
  <c r="J104" i="17" s="1"/>
  <c r="J105" i="17" s="1"/>
  <c r="J106" i="17" s="1"/>
  <c r="K104" i="17" s="1"/>
  <c r="K105" i="17" s="1"/>
  <c r="K106" i="17" s="1"/>
  <c r="L104" i="17" s="1"/>
  <c r="L105" i="17" s="1"/>
  <c r="L106" i="17" s="1"/>
  <c r="M104" i="17" s="1"/>
  <c r="M105" i="17" s="1"/>
  <c r="M106" i="17" s="1"/>
  <c r="D135" i="17"/>
  <c r="D136" i="17" s="1"/>
  <c r="E134" i="17" s="1"/>
  <c r="E135" i="17" s="1"/>
  <c r="E136" i="17" s="1"/>
  <c r="F134" i="17" s="1"/>
  <c r="F135" i="17" s="1"/>
  <c r="F136" i="17" s="1"/>
  <c r="G134" i="17" s="1"/>
  <c r="G135" i="17" s="1"/>
  <c r="G136" i="17" s="1"/>
  <c r="H134" i="17" s="1"/>
  <c r="H135" i="17" s="1"/>
  <c r="H136" i="17" s="1"/>
  <c r="I134" i="17" s="1"/>
  <c r="I135" i="17" s="1"/>
  <c r="I136" i="17" s="1"/>
  <c r="J134" i="17" s="1"/>
  <c r="J135" i="17" s="1"/>
  <c r="J136" i="17" s="1"/>
  <c r="K134" i="17" s="1"/>
  <c r="K135" i="17" s="1"/>
  <c r="K136" i="17" s="1"/>
  <c r="L134" i="17" s="1"/>
  <c r="L135" i="17" s="1"/>
  <c r="L136" i="17" s="1"/>
  <c r="M134" i="17" s="1"/>
  <c r="M135" i="17" s="1"/>
  <c r="M136" i="17" s="1"/>
  <c r="O13" i="8"/>
  <c r="O14" i="8" s="1"/>
  <c r="D29" i="13"/>
  <c r="D30" i="13" s="1"/>
  <c r="E28" i="13" s="1"/>
  <c r="E29" i="13" s="1"/>
  <c r="E30" i="13" s="1"/>
  <c r="F28" i="13" s="1"/>
  <c r="F29" i="13" s="1"/>
  <c r="F30" i="13" s="1"/>
  <c r="G28" i="13" s="1"/>
  <c r="G29" i="13" s="1"/>
  <c r="G30" i="13" s="1"/>
  <c r="H28" i="13" s="1"/>
  <c r="H29" i="13" s="1"/>
  <c r="H30" i="13" s="1"/>
  <c r="I28" i="13" s="1"/>
  <c r="I29" i="13" s="1"/>
  <c r="I30" i="13" s="1"/>
  <c r="J28" i="13" s="1"/>
  <c r="J29" i="13" s="1"/>
  <c r="J30" i="13" s="1"/>
  <c r="Q126" i="13"/>
  <c r="Q127" i="13" s="1"/>
  <c r="N175" i="11"/>
  <c r="C75" i="12"/>
  <c r="C159" i="12"/>
  <c r="M117" i="12"/>
  <c r="N115" i="12"/>
  <c r="N131" i="11" s="1"/>
  <c r="H25" i="8"/>
  <c r="H26" i="8" s="1"/>
  <c r="H27" i="8" s="1"/>
  <c r="I25" i="8" s="1"/>
  <c r="I151" i="8" s="1"/>
  <c r="G151" i="8"/>
  <c r="G152" i="8" s="1"/>
  <c r="F152" i="9"/>
  <c r="Q13" i="8"/>
  <c r="G26" i="9"/>
  <c r="G27" i="9" s="1"/>
  <c r="H25" i="9" s="1"/>
  <c r="H151" i="9" s="1"/>
  <c r="N41" i="19" l="1"/>
  <c r="Q103" i="17"/>
  <c r="N133" i="17"/>
  <c r="C135" i="19"/>
  <c r="C136" i="19" s="1"/>
  <c r="C97" i="19"/>
  <c r="C98" i="19" s="1"/>
  <c r="D96" i="19" s="1"/>
  <c r="D97" i="19" s="1"/>
  <c r="D98" i="19" s="1"/>
  <c r="E96" i="19" s="1"/>
  <c r="E97" i="19" s="1"/>
  <c r="E98" i="19" s="1"/>
  <c r="F96" i="19" s="1"/>
  <c r="F97" i="19" s="1"/>
  <c r="F98" i="19" s="1"/>
  <c r="G96" i="19" s="1"/>
  <c r="G97" i="19" s="1"/>
  <c r="G98" i="19" s="1"/>
  <c r="H96" i="19" s="1"/>
  <c r="H97" i="19" s="1"/>
  <c r="H98" i="19" s="1"/>
  <c r="I96" i="19" s="1"/>
  <c r="I97" i="19" s="1"/>
  <c r="I98" i="19" s="1"/>
  <c r="J96" i="19" s="1"/>
  <c r="J97" i="19" s="1"/>
  <c r="J98" i="19" s="1"/>
  <c r="K96" i="19" s="1"/>
  <c r="K97" i="19" s="1"/>
  <c r="K98" i="19" s="1"/>
  <c r="Q103" i="20"/>
  <c r="K28" i="13"/>
  <c r="K29" i="13" s="1"/>
  <c r="K30" i="13" s="1"/>
  <c r="L28" i="13" s="1"/>
  <c r="O15" i="8"/>
  <c r="D13" i="11" s="1"/>
  <c r="D14" i="11" s="1"/>
  <c r="D15" i="11" s="1"/>
  <c r="E13" i="11" s="1"/>
  <c r="N132" i="11"/>
  <c r="N133" i="11" s="1"/>
  <c r="O131" i="11" s="1"/>
  <c r="O132" i="11" s="1"/>
  <c r="O133" i="11" s="1"/>
  <c r="P131" i="11" s="1"/>
  <c r="P132" i="11" s="1"/>
  <c r="P133" i="11" s="1"/>
  <c r="D110" i="13" s="1"/>
  <c r="C76" i="12"/>
  <c r="C77" i="12" s="1"/>
  <c r="D75" i="12" s="1"/>
  <c r="D76" i="12" s="1"/>
  <c r="D77" i="12" s="1"/>
  <c r="E75" i="12" s="1"/>
  <c r="E76" i="12" s="1"/>
  <c r="E77" i="12" s="1"/>
  <c r="F75" i="12" s="1"/>
  <c r="F76" i="12" s="1"/>
  <c r="F77" i="12" s="1"/>
  <c r="G75" i="12" s="1"/>
  <c r="G76" i="12" s="1"/>
  <c r="G77" i="12" s="1"/>
  <c r="H75" i="12" s="1"/>
  <c r="H76" i="12" s="1"/>
  <c r="H77" i="12" s="1"/>
  <c r="I75" i="12" s="1"/>
  <c r="I76" i="12" s="1"/>
  <c r="I77" i="12" s="1"/>
  <c r="J75" i="12" s="1"/>
  <c r="J76" i="12" s="1"/>
  <c r="J77" i="12" s="1"/>
  <c r="K75" i="12" s="1"/>
  <c r="K76" i="12" s="1"/>
  <c r="K77" i="12" s="1"/>
  <c r="I26" i="8"/>
  <c r="I27" i="8" s="1"/>
  <c r="H151" i="8"/>
  <c r="H152" i="8" s="1"/>
  <c r="I152" i="8" s="1"/>
  <c r="G152" i="9"/>
  <c r="H26" i="9"/>
  <c r="H27" i="9" s="1"/>
  <c r="I25" i="9" s="1"/>
  <c r="Q14" i="8"/>
  <c r="M96" i="19" l="1"/>
  <c r="M97" i="19" s="1"/>
  <c r="L96" i="19"/>
  <c r="L97" i="19" s="1"/>
  <c r="L98" i="19" s="1"/>
  <c r="N165" i="17"/>
  <c r="Q133" i="17"/>
  <c r="C137" i="19"/>
  <c r="C138" i="19" s="1"/>
  <c r="D136" i="19" s="1"/>
  <c r="D137" i="19" s="1"/>
  <c r="D138" i="19" s="1"/>
  <c r="E136" i="19" s="1"/>
  <c r="E137" i="19" s="1"/>
  <c r="E138" i="19" s="1"/>
  <c r="F136" i="19" s="1"/>
  <c r="F137" i="19" s="1"/>
  <c r="F138" i="19" s="1"/>
  <c r="G136" i="19" s="1"/>
  <c r="G137" i="19" s="1"/>
  <c r="G138" i="19" s="1"/>
  <c r="H136" i="19" s="1"/>
  <c r="H137" i="19" s="1"/>
  <c r="H138" i="19" s="1"/>
  <c r="I136" i="19" s="1"/>
  <c r="I137" i="19" s="1"/>
  <c r="I138" i="19" s="1"/>
  <c r="J136" i="19" s="1"/>
  <c r="J137" i="19" s="1"/>
  <c r="J138" i="19" s="1"/>
  <c r="K136" i="19" s="1"/>
  <c r="K137" i="19" s="1"/>
  <c r="K138" i="19" s="1"/>
  <c r="N165" i="20"/>
  <c r="N96" i="19"/>
  <c r="N43" i="20"/>
  <c r="N42" i="17"/>
  <c r="L29" i="13"/>
  <c r="L30" i="13" s="1"/>
  <c r="M28" i="13" s="1"/>
  <c r="M29" i="13" s="1"/>
  <c r="M30" i="13" s="1"/>
  <c r="N30" i="13" s="1"/>
  <c r="O28" i="13" s="1"/>
  <c r="O29" i="13" s="1"/>
  <c r="O30" i="13" s="1"/>
  <c r="P28" i="13" s="1"/>
  <c r="P29" i="13" s="1"/>
  <c r="P30" i="13" s="1"/>
  <c r="D30" i="17" s="1"/>
  <c r="D111" i="13"/>
  <c r="D112" i="13" s="1"/>
  <c r="E110" i="13" s="1"/>
  <c r="E111" i="13" s="1"/>
  <c r="E112" i="13" s="1"/>
  <c r="F110" i="13" s="1"/>
  <c r="F111" i="13" s="1"/>
  <c r="F112" i="13" s="1"/>
  <c r="G110" i="13" s="1"/>
  <c r="G111" i="13" s="1"/>
  <c r="G112" i="13" s="1"/>
  <c r="H110" i="13" s="1"/>
  <c r="H111" i="13" s="1"/>
  <c r="H112" i="13" s="1"/>
  <c r="I110" i="13" s="1"/>
  <c r="I111" i="13" s="1"/>
  <c r="I112" i="13" s="1"/>
  <c r="J110" i="13" s="1"/>
  <c r="J111" i="13" s="1"/>
  <c r="J112" i="13" s="1"/>
  <c r="K110" i="13" s="1"/>
  <c r="K111" i="13" s="1"/>
  <c r="K112" i="13" s="1"/>
  <c r="L110" i="13" s="1"/>
  <c r="L111" i="13" s="1"/>
  <c r="L112" i="13" s="1"/>
  <c r="M110" i="13" s="1"/>
  <c r="M111" i="13" s="1"/>
  <c r="M112" i="13" s="1"/>
  <c r="N112" i="13" s="1"/>
  <c r="O110" i="13" s="1"/>
  <c r="O111" i="13" s="1"/>
  <c r="O112" i="13" s="1"/>
  <c r="P110" i="13" s="1"/>
  <c r="P111" i="13" s="1"/>
  <c r="P112" i="13" s="1"/>
  <c r="D119" i="17" s="1"/>
  <c r="M75" i="12"/>
  <c r="M76" i="12" s="1"/>
  <c r="L75" i="12"/>
  <c r="L76" i="12" s="1"/>
  <c r="L77" i="12" s="1"/>
  <c r="N12" i="11"/>
  <c r="R12" i="11" s="1"/>
  <c r="C12" i="12"/>
  <c r="R131" i="11"/>
  <c r="R132" i="11" s="1"/>
  <c r="E14" i="11"/>
  <c r="E15" i="11" s="1"/>
  <c r="F13" i="11" s="1"/>
  <c r="J25" i="8"/>
  <c r="J26" i="8" s="1"/>
  <c r="J27" i="8" s="1"/>
  <c r="K25" i="8" s="1"/>
  <c r="K151" i="8" s="1"/>
  <c r="H152" i="9"/>
  <c r="I26" i="9"/>
  <c r="I27" i="9" s="1"/>
  <c r="J25" i="9" s="1"/>
  <c r="J151" i="9" s="1"/>
  <c r="I151" i="9"/>
  <c r="N43" i="17" l="1"/>
  <c r="N44" i="17" s="1"/>
  <c r="O42" i="17" s="1"/>
  <c r="O43" i="17" s="1"/>
  <c r="O44" i="17" s="1"/>
  <c r="P42" i="17" s="1"/>
  <c r="P43" i="17" s="1"/>
  <c r="P44" i="17" s="1"/>
  <c r="D42" i="20" s="1"/>
  <c r="L136" i="19"/>
  <c r="L137" i="19" s="1"/>
  <c r="L138" i="19" s="1"/>
  <c r="M136" i="19"/>
  <c r="M137" i="19" s="1"/>
  <c r="M138" i="19" s="1"/>
  <c r="N105" i="20"/>
  <c r="N104" i="17"/>
  <c r="M98" i="19"/>
  <c r="D120" i="17"/>
  <c r="D121" i="17" s="1"/>
  <c r="E119" i="17" s="1"/>
  <c r="E120" i="17" s="1"/>
  <c r="E121" i="17" s="1"/>
  <c r="F119" i="17" s="1"/>
  <c r="F120" i="17" s="1"/>
  <c r="F121" i="17" s="1"/>
  <c r="G119" i="17" s="1"/>
  <c r="G120" i="17" s="1"/>
  <c r="G121" i="17" s="1"/>
  <c r="H119" i="17" s="1"/>
  <c r="H120" i="17" s="1"/>
  <c r="H121" i="17" s="1"/>
  <c r="I119" i="17" s="1"/>
  <c r="I120" i="17" s="1"/>
  <c r="I121" i="17" s="1"/>
  <c r="J119" i="17" s="1"/>
  <c r="J120" i="17" s="1"/>
  <c r="J121" i="17" s="1"/>
  <c r="K119" i="17" s="1"/>
  <c r="K120" i="17" s="1"/>
  <c r="K121" i="17" s="1"/>
  <c r="L119" i="17" s="1"/>
  <c r="L120" i="17" s="1"/>
  <c r="L121" i="17" s="1"/>
  <c r="M119" i="17" s="1"/>
  <c r="M120" i="17" s="1"/>
  <c r="M121" i="17" s="1"/>
  <c r="D31" i="17"/>
  <c r="Q28" i="13"/>
  <c r="Q29" i="13" s="1"/>
  <c r="Q110" i="13"/>
  <c r="Q111" i="13" s="1"/>
  <c r="C13" i="12"/>
  <c r="N75" i="12"/>
  <c r="N75" i="11" s="1"/>
  <c r="M77" i="12"/>
  <c r="K26" i="8"/>
  <c r="K27" i="8" s="1"/>
  <c r="L25" i="8" s="1"/>
  <c r="L151" i="8" s="1"/>
  <c r="F14" i="11"/>
  <c r="F15" i="11" s="1"/>
  <c r="G13" i="11" s="1"/>
  <c r="J151" i="8"/>
  <c r="J152" i="8" s="1"/>
  <c r="K152" i="8" s="1"/>
  <c r="I152" i="9"/>
  <c r="J26" i="9"/>
  <c r="J27" i="9" s="1"/>
  <c r="K25" i="9" s="1"/>
  <c r="C120" i="19" l="1"/>
  <c r="C121" i="19" s="1"/>
  <c r="N118" i="17"/>
  <c r="N105" i="17"/>
  <c r="N106" i="17" s="1"/>
  <c r="O104" i="17" s="1"/>
  <c r="O105" i="17" s="1"/>
  <c r="O106" i="17" s="1"/>
  <c r="P104" i="17" s="1"/>
  <c r="P105" i="17" s="1"/>
  <c r="P106" i="17" s="1"/>
  <c r="D104" i="20" s="1"/>
  <c r="N29" i="17"/>
  <c r="C27" i="19"/>
  <c r="C28" i="19" s="1"/>
  <c r="Q42" i="17"/>
  <c r="Q43" i="17" s="1"/>
  <c r="D43" i="20"/>
  <c r="D44" i="20" s="1"/>
  <c r="E42" i="20" s="1"/>
  <c r="E43" i="20" s="1"/>
  <c r="E44" i="20" s="1"/>
  <c r="F42" i="20" s="1"/>
  <c r="F43" i="20" s="1"/>
  <c r="F44" i="20" s="1"/>
  <c r="G42" i="20" s="1"/>
  <c r="G43" i="20" s="1"/>
  <c r="G44" i="20" s="1"/>
  <c r="H42" i="20" s="1"/>
  <c r="H43" i="20" s="1"/>
  <c r="H44" i="20" s="1"/>
  <c r="I42" i="20" s="1"/>
  <c r="I43" i="20" s="1"/>
  <c r="I44" i="20" s="1"/>
  <c r="J42" i="20" s="1"/>
  <c r="J43" i="20" s="1"/>
  <c r="J44" i="20" s="1"/>
  <c r="K42" i="20" s="1"/>
  <c r="K43" i="20" s="1"/>
  <c r="K44" i="20" s="1"/>
  <c r="L42" i="20" s="1"/>
  <c r="L43" i="20" s="1"/>
  <c r="L44" i="20" s="1"/>
  <c r="M42" i="20" s="1"/>
  <c r="M43" i="20" s="1"/>
  <c r="M44" i="20" s="1"/>
  <c r="N44" i="20" s="1"/>
  <c r="O42" i="20" s="1"/>
  <c r="O43" i="20" s="1"/>
  <c r="O44" i="20" s="1"/>
  <c r="P42" i="20" s="1"/>
  <c r="P43" i="20" s="1"/>
  <c r="P44" i="20" s="1"/>
  <c r="N136" i="19"/>
  <c r="D32" i="17"/>
  <c r="E30" i="17" s="1"/>
  <c r="C14" i="12"/>
  <c r="C15" i="12" s="1"/>
  <c r="D13" i="12" s="1"/>
  <c r="N76" i="11"/>
  <c r="N77" i="11" s="1"/>
  <c r="O75" i="11" s="1"/>
  <c r="O76" i="11" s="1"/>
  <c r="O77" i="11" s="1"/>
  <c r="P75" i="11" s="1"/>
  <c r="P76" i="11" s="1"/>
  <c r="P77" i="11" s="1"/>
  <c r="D64" i="13" s="1"/>
  <c r="L152" i="8"/>
  <c r="G14" i="11"/>
  <c r="G15" i="11" s="1"/>
  <c r="H13" i="11" s="1"/>
  <c r="L26" i="8"/>
  <c r="L27" i="8" s="1"/>
  <c r="J152" i="9"/>
  <c r="K26" i="9"/>
  <c r="K27" i="9" s="1"/>
  <c r="L25" i="9" s="1"/>
  <c r="L151" i="9" s="1"/>
  <c r="K151" i="9"/>
  <c r="C29" i="19" l="1"/>
  <c r="C30" i="19" s="1"/>
  <c r="D28" i="19" s="1"/>
  <c r="D29" i="19" s="1"/>
  <c r="D30" i="19" s="1"/>
  <c r="E28" i="19" s="1"/>
  <c r="E29" i="19" s="1"/>
  <c r="E30" i="19" s="1"/>
  <c r="F28" i="19" s="1"/>
  <c r="F29" i="19" s="1"/>
  <c r="F30" i="19" s="1"/>
  <c r="G28" i="19" s="1"/>
  <c r="G29" i="19" s="1"/>
  <c r="G30" i="19" s="1"/>
  <c r="H28" i="19" s="1"/>
  <c r="H29" i="19" s="1"/>
  <c r="H30" i="19" s="1"/>
  <c r="I28" i="19" s="1"/>
  <c r="I29" i="19" s="1"/>
  <c r="I30" i="19" s="1"/>
  <c r="J28" i="19" s="1"/>
  <c r="J29" i="19" s="1"/>
  <c r="J30" i="19" s="1"/>
  <c r="K28" i="19" s="1"/>
  <c r="K29" i="19" s="1"/>
  <c r="K30" i="19" s="1"/>
  <c r="N162" i="17"/>
  <c r="Q29" i="17"/>
  <c r="N162" i="20"/>
  <c r="Q29" i="20"/>
  <c r="D105" i="20"/>
  <c r="D106" i="20" s="1"/>
  <c r="E104" i="20" s="1"/>
  <c r="E105" i="20" s="1"/>
  <c r="E106" i="20" s="1"/>
  <c r="F104" i="20" s="1"/>
  <c r="F105" i="20" s="1"/>
  <c r="F106" i="20" s="1"/>
  <c r="G104" i="20" s="1"/>
  <c r="G105" i="20" s="1"/>
  <c r="G106" i="20" s="1"/>
  <c r="H104" i="20" s="1"/>
  <c r="H105" i="20" s="1"/>
  <c r="H106" i="20" s="1"/>
  <c r="I104" i="20" s="1"/>
  <c r="I105" i="20" s="1"/>
  <c r="I106" i="20" s="1"/>
  <c r="J104" i="20" s="1"/>
  <c r="J105" i="20" s="1"/>
  <c r="J106" i="20" s="1"/>
  <c r="K104" i="20" s="1"/>
  <c r="K105" i="20" s="1"/>
  <c r="K106" i="20" s="1"/>
  <c r="L104" i="20" s="1"/>
  <c r="L105" i="20" s="1"/>
  <c r="L106" i="20" s="1"/>
  <c r="M104" i="20" s="1"/>
  <c r="M105" i="20" s="1"/>
  <c r="M106" i="20" s="1"/>
  <c r="N106" i="20" s="1"/>
  <c r="O104" i="20" s="1"/>
  <c r="O105" i="20" s="1"/>
  <c r="O106" i="20" s="1"/>
  <c r="P104" i="20" s="1"/>
  <c r="P105" i="20" s="1"/>
  <c r="P106" i="20" s="1"/>
  <c r="Q104" i="17"/>
  <c r="Q105" i="17" s="1"/>
  <c r="Q42" i="20"/>
  <c r="Q43" i="20" s="1"/>
  <c r="N164" i="17"/>
  <c r="Q118" i="17"/>
  <c r="C122" i="19"/>
  <c r="C123" i="19" s="1"/>
  <c r="D121" i="19" s="1"/>
  <c r="D122" i="19" s="1"/>
  <c r="D123" i="19" s="1"/>
  <c r="E121" i="19" s="1"/>
  <c r="E122" i="19" s="1"/>
  <c r="E123" i="19" s="1"/>
  <c r="F121" i="19" s="1"/>
  <c r="F122" i="19" s="1"/>
  <c r="F123" i="19" s="1"/>
  <c r="G121" i="19" s="1"/>
  <c r="G122" i="19" s="1"/>
  <c r="G123" i="19" s="1"/>
  <c r="H121" i="19" s="1"/>
  <c r="H122" i="19" s="1"/>
  <c r="H123" i="19" s="1"/>
  <c r="I121" i="19" s="1"/>
  <c r="I122" i="19" s="1"/>
  <c r="I123" i="19" s="1"/>
  <c r="J121" i="19" s="1"/>
  <c r="J122" i="19" s="1"/>
  <c r="J123" i="19" s="1"/>
  <c r="N135" i="20"/>
  <c r="N134" i="17"/>
  <c r="N164" i="20"/>
  <c r="Q118" i="20"/>
  <c r="E31" i="17"/>
  <c r="E32" i="17" s="1"/>
  <c r="F30" i="17" s="1"/>
  <c r="F31" i="17" s="1"/>
  <c r="F32" i="17" s="1"/>
  <c r="G30" i="17" s="1"/>
  <c r="G31" i="17" s="1"/>
  <c r="G32" i="17" s="1"/>
  <c r="H30" i="17" s="1"/>
  <c r="H31" i="17" s="1"/>
  <c r="H32" i="17" s="1"/>
  <c r="I30" i="17" s="1"/>
  <c r="I31" i="17" s="1"/>
  <c r="I32" i="17" s="1"/>
  <c r="J30" i="17" s="1"/>
  <c r="J31" i="17" s="1"/>
  <c r="J32" i="17" s="1"/>
  <c r="K30" i="17" s="1"/>
  <c r="K31" i="17" s="1"/>
  <c r="K32" i="17" s="1"/>
  <c r="L30" i="17" s="1"/>
  <c r="L31" i="17" s="1"/>
  <c r="L32" i="17" s="1"/>
  <c r="M30" i="17" s="1"/>
  <c r="M31" i="17" s="1"/>
  <c r="M32" i="17" s="1"/>
  <c r="D65" i="13"/>
  <c r="D66" i="13" s="1"/>
  <c r="E64" i="13" s="1"/>
  <c r="E65" i="13" s="1"/>
  <c r="E66" i="13" s="1"/>
  <c r="F64" i="13" s="1"/>
  <c r="F65" i="13" s="1"/>
  <c r="F66" i="13" s="1"/>
  <c r="G64" i="13" s="1"/>
  <c r="G65" i="13" s="1"/>
  <c r="G66" i="13" s="1"/>
  <c r="H64" i="13" s="1"/>
  <c r="H65" i="13" s="1"/>
  <c r="H66" i="13" s="1"/>
  <c r="I64" i="13" s="1"/>
  <c r="I65" i="13" s="1"/>
  <c r="I66" i="13" s="1"/>
  <c r="J64" i="13" s="1"/>
  <c r="J65" i="13" s="1"/>
  <c r="J66" i="13" s="1"/>
  <c r="K64" i="13" s="1"/>
  <c r="K65" i="13" s="1"/>
  <c r="K66" i="13" s="1"/>
  <c r="L64" i="13" s="1"/>
  <c r="L65" i="13" s="1"/>
  <c r="L66" i="13" s="1"/>
  <c r="M64" i="13" s="1"/>
  <c r="M65" i="13" s="1"/>
  <c r="M66" i="13" s="1"/>
  <c r="N66" i="13" s="1"/>
  <c r="O64" i="13" s="1"/>
  <c r="O65" i="13" s="1"/>
  <c r="O66" i="13" s="1"/>
  <c r="P64" i="13" s="1"/>
  <c r="P65" i="13" s="1"/>
  <c r="P66" i="13" s="1"/>
  <c r="D87" i="17" s="1"/>
  <c r="D14" i="12"/>
  <c r="D15" i="12" s="1"/>
  <c r="E13" i="12" s="1"/>
  <c r="R75" i="11"/>
  <c r="R76" i="11" s="1"/>
  <c r="H14" i="11"/>
  <c r="H15" i="11" s="1"/>
  <c r="I13" i="11" s="1"/>
  <c r="K152" i="9"/>
  <c r="M25" i="9"/>
  <c r="K121" i="19" l="1"/>
  <c r="K122" i="19" s="1"/>
  <c r="K123" i="19" s="1"/>
  <c r="N135" i="17"/>
  <c r="N136" i="17" s="1"/>
  <c r="O134" i="17" s="1"/>
  <c r="O135" i="17" s="1"/>
  <c r="O136" i="17" s="1"/>
  <c r="P134" i="17" s="1"/>
  <c r="P135" i="17" s="1"/>
  <c r="P136" i="17" s="1"/>
  <c r="D134" i="20" s="1"/>
  <c r="Q104" i="20"/>
  <c r="Q105" i="20" s="1"/>
  <c r="M28" i="19"/>
  <c r="M29" i="19" s="1"/>
  <c r="L28" i="19"/>
  <c r="L29" i="19" s="1"/>
  <c r="L30" i="19" s="1"/>
  <c r="D88" i="17"/>
  <c r="D89" i="17" s="1"/>
  <c r="E87" i="17" s="1"/>
  <c r="E88" i="17" s="1"/>
  <c r="E89" i="17" s="1"/>
  <c r="F87" i="17" s="1"/>
  <c r="F88" i="17" s="1"/>
  <c r="F89" i="17" s="1"/>
  <c r="G87" i="17" s="1"/>
  <c r="G88" i="17" s="1"/>
  <c r="G89" i="17" s="1"/>
  <c r="H87" i="17" s="1"/>
  <c r="H88" i="17" s="1"/>
  <c r="H89" i="17" s="1"/>
  <c r="I87" i="17" s="1"/>
  <c r="I88" i="17" s="1"/>
  <c r="I89" i="17" s="1"/>
  <c r="J87" i="17" s="1"/>
  <c r="J88" i="17" s="1"/>
  <c r="J89" i="17" s="1"/>
  <c r="K87" i="17" s="1"/>
  <c r="K88" i="17" s="1"/>
  <c r="K89" i="17" s="1"/>
  <c r="L87" i="17" s="1"/>
  <c r="L88" i="17" s="1"/>
  <c r="L89" i="17" s="1"/>
  <c r="M87" i="17" s="1"/>
  <c r="M88" i="17" s="1"/>
  <c r="M89" i="17" s="1"/>
  <c r="Q64" i="13"/>
  <c r="Q65" i="13" s="1"/>
  <c r="E14" i="12"/>
  <c r="E15" i="12" s="1"/>
  <c r="F13" i="12" s="1"/>
  <c r="I14" i="11"/>
  <c r="I15" i="11" s="1"/>
  <c r="J13" i="11" s="1"/>
  <c r="M26" i="9"/>
  <c r="N25" i="9"/>
  <c r="L26" i="9"/>
  <c r="L27" i="9" s="1"/>
  <c r="N28" i="19" l="1"/>
  <c r="L121" i="19"/>
  <c r="L122" i="19" s="1"/>
  <c r="L123" i="19" s="1"/>
  <c r="M121" i="19"/>
  <c r="M122" i="19" s="1"/>
  <c r="M123" i="19" s="1"/>
  <c r="N31" i="20"/>
  <c r="N30" i="17"/>
  <c r="D135" i="20"/>
  <c r="D136" i="20" s="1"/>
  <c r="E134" i="20" s="1"/>
  <c r="E135" i="20" s="1"/>
  <c r="E136" i="20" s="1"/>
  <c r="F134" i="20" s="1"/>
  <c r="F135" i="20" s="1"/>
  <c r="F136" i="20" s="1"/>
  <c r="G134" i="20" s="1"/>
  <c r="G135" i="20" s="1"/>
  <c r="G136" i="20" s="1"/>
  <c r="H134" i="20" s="1"/>
  <c r="H135" i="20" s="1"/>
  <c r="H136" i="20" s="1"/>
  <c r="I134" i="20" s="1"/>
  <c r="I135" i="20" s="1"/>
  <c r="I136" i="20" s="1"/>
  <c r="J134" i="20" s="1"/>
  <c r="J135" i="20" s="1"/>
  <c r="J136" i="20" s="1"/>
  <c r="K134" i="20" s="1"/>
  <c r="K135" i="20" s="1"/>
  <c r="K136" i="20" s="1"/>
  <c r="L134" i="20" s="1"/>
  <c r="L135" i="20" s="1"/>
  <c r="L136" i="20" s="1"/>
  <c r="M134" i="20" s="1"/>
  <c r="M135" i="20" s="1"/>
  <c r="M136" i="20" s="1"/>
  <c r="N136" i="20" s="1"/>
  <c r="O134" i="20" s="1"/>
  <c r="O135" i="20" s="1"/>
  <c r="O136" i="20" s="1"/>
  <c r="P134" i="20" s="1"/>
  <c r="P135" i="20" s="1"/>
  <c r="P136" i="20" s="1"/>
  <c r="N86" i="17"/>
  <c r="C64" i="19"/>
  <c r="C65" i="19" s="1"/>
  <c r="Q134" i="17"/>
  <c r="Q135" i="17" s="1"/>
  <c r="M30" i="19"/>
  <c r="N121" i="19"/>
  <c r="F14" i="12"/>
  <c r="F15" i="12" s="1"/>
  <c r="G13" i="12" s="1"/>
  <c r="J14" i="11"/>
  <c r="J15" i="11" s="1"/>
  <c r="K13" i="11" s="1"/>
  <c r="L152" i="9"/>
  <c r="M25" i="8"/>
  <c r="M151" i="8" s="1"/>
  <c r="N152" i="9"/>
  <c r="M27" i="9"/>
  <c r="Q134" i="20" l="1"/>
  <c r="Q135" i="20" s="1"/>
  <c r="N31" i="17"/>
  <c r="N32" i="17" s="1"/>
  <c r="O30" i="17" s="1"/>
  <c r="O31" i="17" s="1"/>
  <c r="O32" i="17" s="1"/>
  <c r="P30" i="17" s="1"/>
  <c r="P31" i="17" s="1"/>
  <c r="P32" i="17" s="1"/>
  <c r="D30" i="20" s="1"/>
  <c r="N120" i="20"/>
  <c r="N119" i="17"/>
  <c r="Q86" i="20"/>
  <c r="N163" i="20"/>
  <c r="C66" i="19"/>
  <c r="C67" i="19" s="1"/>
  <c r="D65" i="19" s="1"/>
  <c r="D66" i="19" s="1"/>
  <c r="D67" i="19" s="1"/>
  <c r="E65" i="19" s="1"/>
  <c r="E66" i="19" s="1"/>
  <c r="E67" i="19" s="1"/>
  <c r="F65" i="19" s="1"/>
  <c r="F66" i="19" s="1"/>
  <c r="F67" i="19" s="1"/>
  <c r="G65" i="19" s="1"/>
  <c r="G66" i="19" s="1"/>
  <c r="G67" i="19" s="1"/>
  <c r="H65" i="19" s="1"/>
  <c r="H66" i="19" s="1"/>
  <c r="H67" i="19" s="1"/>
  <c r="I65" i="19" s="1"/>
  <c r="I66" i="19" s="1"/>
  <c r="I67" i="19" s="1"/>
  <c r="J65" i="19" s="1"/>
  <c r="J66" i="19" s="1"/>
  <c r="J67" i="19" s="1"/>
  <c r="K65" i="19" s="1"/>
  <c r="K66" i="19" s="1"/>
  <c r="K67" i="19" s="1"/>
  <c r="Q86" i="17"/>
  <c r="N163" i="17"/>
  <c r="G14" i="12"/>
  <c r="G15" i="12" s="1"/>
  <c r="H13" i="12" s="1"/>
  <c r="K14" i="11"/>
  <c r="K15" i="11" s="1"/>
  <c r="L13" i="11" s="1"/>
  <c r="M26" i="8"/>
  <c r="M27" i="8" s="1"/>
  <c r="N25" i="8" s="1"/>
  <c r="N151" i="8" s="1"/>
  <c r="M152" i="8"/>
  <c r="N120" i="17" l="1"/>
  <c r="N121" i="17" s="1"/>
  <c r="O119" i="17" s="1"/>
  <c r="O120" i="17" s="1"/>
  <c r="O121" i="17" s="1"/>
  <c r="P119" i="17" s="1"/>
  <c r="P120" i="17" s="1"/>
  <c r="P121" i="17" s="1"/>
  <c r="D119" i="20" s="1"/>
  <c r="Q30" i="17"/>
  <c r="Q31" i="17" s="1"/>
  <c r="D31" i="20"/>
  <c r="E30" i="20" s="1"/>
  <c r="E31" i="20" s="1"/>
  <c r="E32" i="20" s="1"/>
  <c r="F30" i="20" s="1"/>
  <c r="F31" i="20" s="1"/>
  <c r="F32" i="20" s="1"/>
  <c r="G30" i="20" s="1"/>
  <c r="G31" i="20" s="1"/>
  <c r="G32" i="20" s="1"/>
  <c r="H30" i="20" s="1"/>
  <c r="H31" i="20" s="1"/>
  <c r="H32" i="20" s="1"/>
  <c r="I30" i="20" s="1"/>
  <c r="I31" i="20" s="1"/>
  <c r="I32" i="20" s="1"/>
  <c r="J30" i="20" s="1"/>
  <c r="J31" i="20" s="1"/>
  <c r="J32" i="20" s="1"/>
  <c r="K30" i="20" s="1"/>
  <c r="K31" i="20" s="1"/>
  <c r="K32" i="20" s="1"/>
  <c r="L30" i="20" s="1"/>
  <c r="L31" i="20" s="1"/>
  <c r="L32" i="20" s="1"/>
  <c r="M30" i="20" s="1"/>
  <c r="M31" i="20" s="1"/>
  <c r="M32" i="20" s="1"/>
  <c r="N32" i="20" s="1"/>
  <c r="O30" i="20" s="1"/>
  <c r="O31" i="20" s="1"/>
  <c r="O32" i="20" s="1"/>
  <c r="P30" i="20" s="1"/>
  <c r="P31" i="20" s="1"/>
  <c r="P32" i="20" s="1"/>
  <c r="M65" i="19"/>
  <c r="M66" i="19" s="1"/>
  <c r="L65" i="19"/>
  <c r="L66" i="19" s="1"/>
  <c r="L67" i="19" s="1"/>
  <c r="H14" i="12"/>
  <c r="H15" i="12" s="1"/>
  <c r="I13" i="12" s="1"/>
  <c r="L14" i="11"/>
  <c r="L15" i="11" s="1"/>
  <c r="M13" i="11" s="1"/>
  <c r="N152" i="8"/>
  <c r="N26" i="8"/>
  <c r="N27" i="8" s="1"/>
  <c r="O25" i="8" s="1"/>
  <c r="M67" i="19" l="1"/>
  <c r="Q30" i="20"/>
  <c r="Q31" i="20" s="1"/>
  <c r="D120" i="20"/>
  <c r="D121" i="20" s="1"/>
  <c r="E119" i="20" s="1"/>
  <c r="E120" i="20" s="1"/>
  <c r="E121" i="20" s="1"/>
  <c r="F119" i="20" s="1"/>
  <c r="F120" i="20" s="1"/>
  <c r="F121" i="20" s="1"/>
  <c r="G119" i="20" s="1"/>
  <c r="G120" i="20" s="1"/>
  <c r="G121" i="20" s="1"/>
  <c r="H119" i="20" s="1"/>
  <c r="H120" i="20" s="1"/>
  <c r="H121" i="20" s="1"/>
  <c r="I119" i="20" s="1"/>
  <c r="I120" i="20" s="1"/>
  <c r="I121" i="20" s="1"/>
  <c r="J119" i="20" s="1"/>
  <c r="J120" i="20" s="1"/>
  <c r="J121" i="20" s="1"/>
  <c r="K119" i="20" s="1"/>
  <c r="K120" i="20" s="1"/>
  <c r="K121" i="20" s="1"/>
  <c r="L119" i="20" s="1"/>
  <c r="L120" i="20" s="1"/>
  <c r="L121" i="20" s="1"/>
  <c r="M119" i="20" s="1"/>
  <c r="M120" i="20" s="1"/>
  <c r="M121" i="20" s="1"/>
  <c r="N121" i="20" s="1"/>
  <c r="O119" i="20" s="1"/>
  <c r="O120" i="20" s="1"/>
  <c r="O121" i="20" s="1"/>
  <c r="P119" i="20" s="1"/>
  <c r="P120" i="20" s="1"/>
  <c r="P121" i="20" s="1"/>
  <c r="N65" i="19"/>
  <c r="Q119" i="17"/>
  <c r="Q120" i="17" s="1"/>
  <c r="I14" i="12"/>
  <c r="I15" i="12" s="1"/>
  <c r="J13" i="12" s="1"/>
  <c r="M14" i="11"/>
  <c r="M15" i="11" s="1"/>
  <c r="O26" i="8"/>
  <c r="O27" i="8" s="1"/>
  <c r="D25" i="11" s="1"/>
  <c r="Q25" i="8"/>
  <c r="O151" i="8"/>
  <c r="O152" i="8" s="1"/>
  <c r="N88" i="20" l="1"/>
  <c r="N87" i="17"/>
  <c r="Q119" i="20"/>
  <c r="Q120" i="20" s="1"/>
  <c r="J14" i="12"/>
  <c r="J15" i="12" s="1"/>
  <c r="K13" i="12" s="1"/>
  <c r="D26" i="11"/>
  <c r="D27" i="11" s="1"/>
  <c r="E25" i="11" s="1"/>
  <c r="D168" i="11"/>
  <c r="Q26" i="8"/>
  <c r="Q151" i="8"/>
  <c r="Q152" i="8" s="1"/>
  <c r="N88" i="17" l="1"/>
  <c r="N89" i="17" s="1"/>
  <c r="O87" i="17" s="1"/>
  <c r="O88" i="17" s="1"/>
  <c r="O89" i="17" s="1"/>
  <c r="P87" i="17" s="1"/>
  <c r="P88" i="17" s="1"/>
  <c r="P89" i="17" s="1"/>
  <c r="D87" i="20" s="1"/>
  <c r="N24" i="11"/>
  <c r="N173" i="11" s="1"/>
  <c r="C24" i="12"/>
  <c r="K14" i="12"/>
  <c r="K15" i="12" s="1"/>
  <c r="E26" i="11"/>
  <c r="E27" i="11" s="1"/>
  <c r="F25" i="11" s="1"/>
  <c r="E168" i="11"/>
  <c r="D88" i="20" l="1"/>
  <c r="D89" i="20" s="1"/>
  <c r="E87" i="20" s="1"/>
  <c r="E88" i="20" s="1"/>
  <c r="E89" i="20" s="1"/>
  <c r="F87" i="20" s="1"/>
  <c r="F88" i="20" s="1"/>
  <c r="F89" i="20" s="1"/>
  <c r="G87" i="20" s="1"/>
  <c r="G88" i="20" s="1"/>
  <c r="G89" i="20" s="1"/>
  <c r="H87" i="20" s="1"/>
  <c r="H88" i="20" s="1"/>
  <c r="H89" i="20" s="1"/>
  <c r="I87" i="20" s="1"/>
  <c r="I88" i="20" s="1"/>
  <c r="I89" i="20" s="1"/>
  <c r="J87" i="20" s="1"/>
  <c r="J88" i="20" s="1"/>
  <c r="J89" i="20" s="1"/>
  <c r="K87" i="20" s="1"/>
  <c r="K88" i="20" s="1"/>
  <c r="K89" i="20" s="1"/>
  <c r="L87" i="20" s="1"/>
  <c r="L88" i="20" s="1"/>
  <c r="L89" i="20" s="1"/>
  <c r="M87" i="20" s="1"/>
  <c r="M88" i="20" s="1"/>
  <c r="M89" i="20" s="1"/>
  <c r="N89" i="20" s="1"/>
  <c r="O87" i="20" s="1"/>
  <c r="O88" i="20" s="1"/>
  <c r="O89" i="20" s="1"/>
  <c r="P87" i="20" s="1"/>
  <c r="P88" i="20" s="1"/>
  <c r="P89" i="20" s="1"/>
  <c r="Q87" i="17"/>
  <c r="Q88" i="17" s="1"/>
  <c r="R166" i="11"/>
  <c r="N166" i="11"/>
  <c r="N172" i="11" s="1"/>
  <c r="L13" i="12"/>
  <c r="L14" i="12" s="1"/>
  <c r="L15" i="12" s="1"/>
  <c r="M13" i="12"/>
  <c r="C25" i="12"/>
  <c r="C150" i="12"/>
  <c r="C157" i="12"/>
  <c r="F26" i="11"/>
  <c r="F27" i="11" s="1"/>
  <c r="G25" i="11" s="1"/>
  <c r="F168" i="11"/>
  <c r="Q87" i="20" l="1"/>
  <c r="Q88" i="20" s="1"/>
  <c r="C26" i="12"/>
  <c r="C27" i="12" s="1"/>
  <c r="D25" i="12" s="1"/>
  <c r="C151" i="12"/>
  <c r="C152" i="12" s="1"/>
  <c r="M14" i="12"/>
  <c r="M15" i="12" s="1"/>
  <c r="N13" i="12"/>
  <c r="C156" i="12"/>
  <c r="G26" i="11"/>
  <c r="G27" i="11" s="1"/>
  <c r="H25" i="11" s="1"/>
  <c r="G168" i="11"/>
  <c r="N13" i="11" l="1"/>
  <c r="D26" i="12"/>
  <c r="D27" i="12" s="1"/>
  <c r="E25" i="12" s="1"/>
  <c r="D151" i="12"/>
  <c r="D152" i="12" s="1"/>
  <c r="H26" i="11"/>
  <c r="H27" i="11" s="1"/>
  <c r="I25" i="11" s="1"/>
  <c r="H168" i="11"/>
  <c r="E26" i="12" l="1"/>
  <c r="E27" i="12" s="1"/>
  <c r="F25" i="12" s="1"/>
  <c r="E151" i="12"/>
  <c r="N14" i="11"/>
  <c r="N15" i="11" s="1"/>
  <c r="O13" i="11" s="1"/>
  <c r="E152" i="12"/>
  <c r="I26" i="11"/>
  <c r="I27" i="11" s="1"/>
  <c r="J25" i="11" s="1"/>
  <c r="I168" i="11"/>
  <c r="O14" i="11" l="1"/>
  <c r="O15" i="11" s="1"/>
  <c r="P13" i="11" s="1"/>
  <c r="F26" i="12"/>
  <c r="F27" i="12" s="1"/>
  <c r="G25" i="12" s="1"/>
  <c r="F151" i="12"/>
  <c r="F152" i="12" s="1"/>
  <c r="J26" i="11"/>
  <c r="J27" i="11" s="1"/>
  <c r="K25" i="11" s="1"/>
  <c r="J168" i="11"/>
  <c r="P14" i="11" l="1"/>
  <c r="P15" i="11" s="1"/>
  <c r="R13" i="11"/>
  <c r="R14" i="11" s="1"/>
  <c r="G26" i="12"/>
  <c r="G27" i="12" s="1"/>
  <c r="H25" i="12" s="1"/>
  <c r="G151" i="12"/>
  <c r="G152" i="12" s="1"/>
  <c r="K26" i="11"/>
  <c r="K27" i="11" s="1"/>
  <c r="L25" i="11" s="1"/>
  <c r="K168" i="11"/>
  <c r="H26" i="12" l="1"/>
  <c r="H27" i="12" s="1"/>
  <c r="I25" i="12" s="1"/>
  <c r="H151" i="12"/>
  <c r="H152" i="12" s="1"/>
  <c r="L26" i="11"/>
  <c r="L27" i="11" s="1"/>
  <c r="M25" i="11" s="1"/>
  <c r="L168" i="11"/>
  <c r="I26" i="12" l="1"/>
  <c r="I27" i="12" s="1"/>
  <c r="J25" i="12" s="1"/>
  <c r="I151" i="12"/>
  <c r="I152" i="12" s="1"/>
  <c r="M26" i="11"/>
  <c r="M27" i="11" s="1"/>
  <c r="M168" i="11"/>
  <c r="J26" i="12" l="1"/>
  <c r="J27" i="12" s="1"/>
  <c r="K25" i="12" s="1"/>
  <c r="J151" i="12"/>
  <c r="J152" i="12" s="1"/>
  <c r="K26" i="12" l="1"/>
  <c r="K27" i="12" s="1"/>
  <c r="K151" i="12"/>
  <c r="K152" i="12" s="1"/>
  <c r="L25" i="12" l="1"/>
  <c r="M25" i="12"/>
  <c r="M26" i="12" l="1"/>
  <c r="N25" i="12"/>
  <c r="L151" i="12"/>
  <c r="L152" i="12" s="1"/>
  <c r="L26" i="12"/>
  <c r="L27" i="12" s="1"/>
  <c r="N25" i="11" l="1"/>
  <c r="N152" i="12"/>
  <c r="M27" i="12"/>
  <c r="N26" i="11" l="1"/>
  <c r="N27" i="11" s="1"/>
  <c r="O25" i="11" s="1"/>
  <c r="N167" i="11"/>
  <c r="N168" i="11" s="1"/>
  <c r="O26" i="11" l="1"/>
  <c r="O27" i="11" s="1"/>
  <c r="P25" i="11" s="1"/>
  <c r="O168" i="11"/>
  <c r="P168" i="11" l="1"/>
  <c r="P26" i="11"/>
  <c r="P27" i="11" s="1"/>
  <c r="R167" i="11" l="1"/>
  <c r="R168" i="11" s="1"/>
  <c r="R26" i="11"/>
  <c r="N15" i="13" l="1"/>
  <c r="C24" i="16"/>
  <c r="D147" i="13"/>
  <c r="D148" i="13" s="1"/>
  <c r="D17" i="13"/>
  <c r="D18" i="13" s="1"/>
  <c r="E16" i="13" s="1"/>
  <c r="E147" i="13" s="1"/>
  <c r="C25" i="16" l="1"/>
  <c r="C166" i="16"/>
  <c r="Q15" i="13"/>
  <c r="N146" i="13"/>
  <c r="N153" i="13"/>
  <c r="E17" i="13"/>
  <c r="E18" i="13" s="1"/>
  <c r="F16" i="13" s="1"/>
  <c r="E148" i="13"/>
  <c r="Q146" i="13" l="1"/>
  <c r="N152" i="13"/>
  <c r="C26" i="16"/>
  <c r="C27" i="16" s="1"/>
  <c r="D25" i="16" s="1"/>
  <c r="C167" i="16"/>
  <c r="F17" i="13"/>
  <c r="F18" i="13" s="1"/>
  <c r="G16" i="13" s="1"/>
  <c r="F147" i="13"/>
  <c r="F148" i="13" s="1"/>
  <c r="D167" i="16" l="1"/>
  <c r="D26" i="16"/>
  <c r="D27" i="16" s="1"/>
  <c r="E25" i="16" s="1"/>
  <c r="C168" i="16"/>
  <c r="G17" i="13"/>
  <c r="G18" i="13" s="1"/>
  <c r="H16" i="13" s="1"/>
  <c r="G147" i="13"/>
  <c r="G148" i="13" s="1"/>
  <c r="E167" i="16" l="1"/>
  <c r="E26" i="16"/>
  <c r="E27" i="16" s="1"/>
  <c r="F25" i="16" s="1"/>
  <c r="D168" i="16"/>
  <c r="H17" i="13"/>
  <c r="H18" i="13" s="1"/>
  <c r="I16" i="13" s="1"/>
  <c r="H147" i="13"/>
  <c r="H148" i="13" s="1"/>
  <c r="F167" i="16" l="1"/>
  <c r="F26" i="16"/>
  <c r="F27" i="16" s="1"/>
  <c r="G25" i="16" s="1"/>
  <c r="E168" i="16"/>
  <c r="I17" i="13"/>
  <c r="I18" i="13" s="1"/>
  <c r="J16" i="13" s="1"/>
  <c r="I147" i="13"/>
  <c r="I148" i="13" s="1"/>
  <c r="G26" i="16" l="1"/>
  <c r="G27" i="16" s="1"/>
  <c r="H25" i="16" s="1"/>
  <c r="G167" i="16"/>
  <c r="F168" i="16"/>
  <c r="J17" i="13"/>
  <c r="J18" i="13" s="1"/>
  <c r="K16" i="13" s="1"/>
  <c r="J147" i="13"/>
  <c r="J148" i="13" s="1"/>
  <c r="G168" i="16" l="1"/>
  <c r="H26" i="16"/>
  <c r="H27" i="16" s="1"/>
  <c r="I25" i="16" s="1"/>
  <c r="H167" i="16"/>
  <c r="K17" i="13"/>
  <c r="K18" i="13" s="1"/>
  <c r="L16" i="13" s="1"/>
  <c r="L147" i="13" s="1"/>
  <c r="K147" i="13"/>
  <c r="K148" i="13" s="1"/>
  <c r="L148" i="13" l="1"/>
  <c r="H168" i="16"/>
  <c r="I26" i="16"/>
  <c r="I27" i="16" s="1"/>
  <c r="J25" i="16" s="1"/>
  <c r="I167" i="16"/>
  <c r="I168" i="16" s="1"/>
  <c r="L17" i="13"/>
  <c r="L18" i="13" s="1"/>
  <c r="M16" i="13" s="1"/>
  <c r="M147" i="13" s="1"/>
  <c r="J26" i="16" l="1"/>
  <c r="J27" i="16" s="1"/>
  <c r="K25" i="16" s="1"/>
  <c r="J167" i="16"/>
  <c r="J168" i="16" s="1"/>
  <c r="M17" i="13"/>
  <c r="M18" i="13" s="1"/>
  <c r="K26" i="16" l="1"/>
  <c r="K27" i="16" s="1"/>
  <c r="K167" i="16"/>
  <c r="K168" i="16" s="1"/>
  <c r="M148" i="13"/>
  <c r="L25" i="16" l="1"/>
  <c r="M25" i="16"/>
  <c r="M26" i="16" l="1"/>
  <c r="N25" i="16"/>
  <c r="L167" i="16"/>
  <c r="L26" i="16"/>
  <c r="L27" i="16" s="1"/>
  <c r="N168" i="16" l="1"/>
  <c r="N16" i="13"/>
  <c r="L168" i="16"/>
  <c r="M167" i="16"/>
  <c r="M168" i="16" s="1"/>
  <c r="M27" i="16"/>
  <c r="N147" i="13" l="1"/>
  <c r="N148" i="13" s="1"/>
  <c r="N17" i="13"/>
  <c r="N18" i="13" s="1"/>
  <c r="O16" i="13" l="1"/>
  <c r="O147" i="13" s="1"/>
  <c r="O148" i="13" s="1"/>
  <c r="O17" i="13" l="1"/>
  <c r="O18" i="13"/>
  <c r="P16" i="13" s="1"/>
  <c r="Q16" i="13" l="1"/>
  <c r="P147" i="13"/>
  <c r="P148" i="13" s="1"/>
  <c r="P17" i="13"/>
  <c r="P18" i="13" s="1"/>
  <c r="D18" i="17" s="1"/>
  <c r="D19" i="17" l="1"/>
  <c r="D155" i="17"/>
  <c r="D156" i="17" s="1"/>
  <c r="Q147" i="13"/>
  <c r="Q148" i="13" s="1"/>
  <c r="Q17" i="13"/>
  <c r="C14" i="19" l="1"/>
  <c r="N17" i="17"/>
  <c r="D20" i="17"/>
  <c r="E18" i="17" s="1"/>
  <c r="E155" i="17" s="1"/>
  <c r="N161" i="17" l="1"/>
  <c r="N154" i="17"/>
  <c r="N160" i="17" s="1"/>
  <c r="Q17" i="17"/>
  <c r="Q154" i="17" s="1"/>
  <c r="C141" i="19"/>
  <c r="C15" i="19"/>
  <c r="N161" i="20"/>
  <c r="N154" i="20"/>
  <c r="N160" i="20" s="1"/>
  <c r="Q17" i="20"/>
  <c r="Q154" i="20" s="1"/>
  <c r="E156" i="17"/>
  <c r="E19" i="17"/>
  <c r="E20" i="17" s="1"/>
  <c r="F18" i="17" s="1"/>
  <c r="C142" i="19" l="1"/>
  <c r="C143" i="19" s="1"/>
  <c r="C16" i="19"/>
  <c r="C17" i="19" s="1"/>
  <c r="D15" i="19" s="1"/>
  <c r="F19" i="17"/>
  <c r="F20" i="17" s="1"/>
  <c r="G18" i="17" s="1"/>
  <c r="G155" i="17" s="1"/>
  <c r="F155" i="17"/>
  <c r="F156" i="17" s="1"/>
  <c r="D142" i="19" l="1"/>
  <c r="D143" i="19" s="1"/>
  <c r="D16" i="19"/>
  <c r="D17" i="19" s="1"/>
  <c r="E15" i="19" s="1"/>
  <c r="G19" i="17"/>
  <c r="G20" i="17" s="1"/>
  <c r="H18" i="17" s="1"/>
  <c r="H155" i="17" s="1"/>
  <c r="G156" i="17"/>
  <c r="E142" i="19" l="1"/>
  <c r="E143" i="19" s="1"/>
  <c r="E16" i="19"/>
  <c r="E17" i="19" s="1"/>
  <c r="F15" i="19" s="1"/>
  <c r="H19" i="17"/>
  <c r="H20" i="17" s="1"/>
  <c r="I18" i="17" s="1"/>
  <c r="I155" i="17" s="1"/>
  <c r="H156" i="17"/>
  <c r="F142" i="19" l="1"/>
  <c r="F143" i="19" s="1"/>
  <c r="F16" i="19"/>
  <c r="F17" i="19" s="1"/>
  <c r="G15" i="19" s="1"/>
  <c r="I19" i="17"/>
  <c r="I20" i="17" s="1"/>
  <c r="J18" i="17" s="1"/>
  <c r="J155" i="17" s="1"/>
  <c r="I156" i="17"/>
  <c r="G142" i="19" l="1"/>
  <c r="G143" i="19" s="1"/>
  <c r="G16" i="19"/>
  <c r="G17" i="19" s="1"/>
  <c r="H15" i="19" s="1"/>
  <c r="J19" i="17"/>
  <c r="J20" i="17" s="1"/>
  <c r="K18" i="17" s="1"/>
  <c r="K155" i="17" s="1"/>
  <c r="J156" i="17"/>
  <c r="H16" i="19" l="1"/>
  <c r="H17" i="19" s="1"/>
  <c r="I15" i="19" s="1"/>
  <c r="H142" i="19"/>
  <c r="H143" i="19" s="1"/>
  <c r="K19" i="17"/>
  <c r="K20" i="17" s="1"/>
  <c r="L18" i="17" s="1"/>
  <c r="L155" i="17" s="1"/>
  <c r="K156" i="17"/>
  <c r="I16" i="19" l="1"/>
  <c r="I17" i="19" s="1"/>
  <c r="J15" i="19" s="1"/>
  <c r="I142" i="19"/>
  <c r="I143" i="19" s="1"/>
  <c r="L19" i="17"/>
  <c r="L20" i="17" s="1"/>
  <c r="M18" i="17" s="1"/>
  <c r="M155" i="17" s="1"/>
  <c r="L156" i="17"/>
  <c r="J16" i="19" l="1"/>
  <c r="J17" i="19" s="1"/>
  <c r="K15" i="19" s="1"/>
  <c r="J142" i="19"/>
  <c r="J143" i="19" s="1"/>
  <c r="M19" i="17"/>
  <c r="M20" i="17" s="1"/>
  <c r="M156" i="17"/>
  <c r="K16" i="19" l="1"/>
  <c r="K17" i="19" s="1"/>
  <c r="K142" i="19"/>
  <c r="K143" i="19" s="1"/>
  <c r="L15" i="19" l="1"/>
  <c r="M15" i="19"/>
  <c r="M16" i="19" l="1"/>
  <c r="N15" i="19"/>
  <c r="L142" i="19"/>
  <c r="L16" i="19"/>
  <c r="L17" i="19" s="1"/>
  <c r="M142" i="19" l="1"/>
  <c r="M143" i="19" s="1"/>
  <c r="L143" i="19"/>
  <c r="N18" i="17"/>
  <c r="N143" i="19"/>
  <c r="M17" i="19"/>
  <c r="N155" i="17" l="1"/>
  <c r="N156" i="17" s="1"/>
  <c r="N19" i="17"/>
  <c r="N20" i="17" s="1"/>
  <c r="O18" i="17" s="1"/>
  <c r="N155" i="20"/>
  <c r="N19" i="20"/>
  <c r="O155" i="17" l="1"/>
  <c r="O156" i="17" s="1"/>
  <c r="O19" i="17"/>
  <c r="O20" i="17" s="1"/>
  <c r="P18" i="17" s="1"/>
  <c r="Q18" i="17" s="1"/>
  <c r="Q155" i="17" l="1"/>
  <c r="Q156" i="17" s="1"/>
  <c r="Q19" i="17"/>
  <c r="P155" i="17"/>
  <c r="P156" i="17" s="1"/>
  <c r="P19" i="17"/>
  <c r="P20" i="17" s="1"/>
  <c r="D156" i="20" l="1"/>
  <c r="D19" i="20"/>
  <c r="D20" i="20" s="1"/>
  <c r="E18" i="20" s="1"/>
  <c r="E155" i="20" l="1"/>
  <c r="E156" i="20" s="1"/>
  <c r="E19" i="20"/>
  <c r="E20" i="20" s="1"/>
  <c r="F18" i="20" s="1"/>
  <c r="F155" i="20" l="1"/>
  <c r="F156" i="20" s="1"/>
  <c r="F19" i="20"/>
  <c r="F20" i="20" s="1"/>
  <c r="G18" i="20" s="1"/>
  <c r="G155" i="20" l="1"/>
  <c r="G156" i="20" s="1"/>
  <c r="G19" i="20"/>
  <c r="G20" i="20" s="1"/>
  <c r="H19" i="20" l="1"/>
  <c r="H20" i="20" s="1"/>
  <c r="I155" i="20" s="1"/>
  <c r="H155" i="20"/>
  <c r="H156" i="20" l="1"/>
  <c r="I19" i="20"/>
  <c r="I20" i="20" s="1"/>
  <c r="J18" i="20" s="1"/>
  <c r="J156" i="20" l="1"/>
  <c r="J19" i="20"/>
  <c r="J20" i="20" s="1"/>
  <c r="K18" i="20" s="1"/>
  <c r="K156" i="20" l="1"/>
  <c r="K19" i="20"/>
  <c r="K20" i="20" s="1"/>
  <c r="L18" i="20" l="1"/>
  <c r="L19" i="20" l="1"/>
  <c r="L20" i="20" s="1"/>
  <c r="M18" i="20" l="1"/>
  <c r="M19" i="20" l="1"/>
  <c r="M20" i="20" s="1"/>
  <c r="N20" i="20" s="1"/>
  <c r="M156" i="20"/>
  <c r="N156" i="20" l="1"/>
  <c r="O18" i="20"/>
  <c r="O155" i="20" s="1"/>
  <c r="O156" i="20" l="1"/>
  <c r="O19" i="20"/>
  <c r="O20" i="20" s="1"/>
  <c r="P18" i="20" l="1"/>
  <c r="P19" i="20" l="1"/>
  <c r="P20" i="20" s="1"/>
  <c r="Q18" i="20"/>
  <c r="Q155" i="20" s="1"/>
  <c r="Q156" i="20" s="1"/>
  <c r="P156" i="20" l="1"/>
  <c r="Q19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Peters, Maryalice</author>
  </authors>
  <commentList>
    <comment ref="D4" authorId="0" shapeId="0" xr:uid="{FD367EEB-F1E4-48AC-A3EF-23805720F12F}">
      <text>
        <r>
          <rPr>
            <b/>
            <sz val="9"/>
            <color indexed="81"/>
            <rFont val="Tahoma"/>
            <family val="2"/>
          </rPr>
          <t>Peters, Maryalice:</t>
        </r>
        <r>
          <rPr>
            <sz val="9"/>
            <color indexed="81"/>
            <rFont val="Tahoma"/>
            <family val="2"/>
          </rPr>
          <t xml:space="preserve">
Prorated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Ryan, Christopher</author>
  </authors>
  <commentList>
    <comment ref="J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Ryan, Christopher:</t>
        </r>
        <r>
          <rPr>
            <sz val="9"/>
            <color indexed="81"/>
            <rFont val="Tahoma"/>
            <family val="2"/>
          </rPr>
          <t xml:space="preserve">
MOVED TO 503 BELOW</t>
        </r>
      </text>
    </comment>
    <comment ref="J13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Ryan, Christopher:</t>
        </r>
        <r>
          <rPr>
            <sz val="9"/>
            <color indexed="81"/>
            <rFont val="Tahoma"/>
            <family val="2"/>
          </rPr>
          <t xml:space="preserve">
MOVED TO 570 ABOVE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Peters, Maryalice</author>
  </authors>
  <commentList>
    <comment ref="D4" authorId="0" shapeId="0" xr:uid="{AFB0840F-5CDE-4D15-B70F-95CFD4C7799C}">
      <text>
        <r>
          <rPr>
            <b/>
            <sz val="9"/>
            <color indexed="81"/>
            <rFont val="Tahoma"/>
            <family val="2"/>
          </rPr>
          <t>Peters, Maryalice:</t>
        </r>
        <r>
          <rPr>
            <sz val="9"/>
            <color indexed="81"/>
            <rFont val="Tahoma"/>
            <family val="2"/>
          </rPr>
          <t xml:space="preserve">
Prorated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Ryan, Christopher</author>
    <author>Gresham, Maryalice</author>
  </authors>
  <commentList>
    <comment ref="F17" authorId="0" shapeId="0" xr:uid="{C193D252-8C87-49A0-B62B-CEDD22ECF7AF}">
      <text>
        <r>
          <rPr>
            <b/>
            <sz val="9"/>
            <color indexed="81"/>
            <rFont val="Tahoma"/>
            <family val="2"/>
          </rPr>
          <t>Ryan, Christopher:</t>
        </r>
        <r>
          <rPr>
            <sz val="9"/>
            <color indexed="81"/>
            <rFont val="Tahoma"/>
            <family val="2"/>
          </rPr>
          <t xml:space="preserve">
added 37,500</t>
        </r>
      </text>
    </comment>
    <comment ref="D138" authorId="0" shapeId="0" xr:uid="{FB2D4082-AEB4-4579-92E8-15ABE7700D3F}">
      <text>
        <r>
          <rPr>
            <b/>
            <sz val="9"/>
            <color indexed="81"/>
            <rFont val="Tahoma"/>
            <family val="2"/>
          </rPr>
          <t>Ryan, Christopher:</t>
        </r>
        <r>
          <rPr>
            <sz val="9"/>
            <color indexed="81"/>
            <rFont val="Tahoma"/>
            <family val="2"/>
          </rPr>
          <t xml:space="preserve">
MOVED TO 570 ABOVE</t>
        </r>
      </text>
    </comment>
    <comment ref="K160" authorId="1" shapeId="0" xr:uid="{52E82177-31C7-453F-BAD4-FBF29E07A42A}">
      <text>
        <r>
          <rPr>
            <b/>
            <sz val="9"/>
            <color indexed="81"/>
            <rFont val="Tahoma"/>
            <family val="2"/>
          </rPr>
          <t>Gresham, Maryalice:</t>
        </r>
        <r>
          <rPr>
            <sz val="9"/>
            <color indexed="81"/>
            <rFont val="Tahoma"/>
            <family val="2"/>
          </rPr>
          <t xml:space="preserve">
This reflect the adj. from previous deferral report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Peters, Maryalice</author>
  </authors>
  <commentList>
    <comment ref="D4" authorId="0" shapeId="0" xr:uid="{17F337E8-0CC1-4BBB-8B42-5AA0B91D2BC5}">
      <text>
        <r>
          <rPr>
            <b/>
            <sz val="9"/>
            <color indexed="81"/>
            <rFont val="Tahoma"/>
            <family val="2"/>
          </rPr>
          <t>Peters, Maryalice:</t>
        </r>
        <r>
          <rPr>
            <sz val="9"/>
            <color indexed="81"/>
            <rFont val="Tahoma"/>
            <family val="2"/>
          </rPr>
          <t xml:space="preserve">
Prorated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Ryan, Christopher</author>
  </authors>
  <commentList>
    <comment ref="F17" authorId="0" shapeId="0" xr:uid="{B20D407F-DFC1-404A-8C9F-A6BA9B11ED30}">
      <text>
        <r>
          <rPr>
            <b/>
            <sz val="9"/>
            <color indexed="81"/>
            <rFont val="Tahoma"/>
            <family val="2"/>
          </rPr>
          <t>Ryan, Christopher:</t>
        </r>
        <r>
          <rPr>
            <sz val="9"/>
            <color indexed="81"/>
            <rFont val="Tahoma"/>
            <family val="2"/>
          </rPr>
          <t xml:space="preserve">
added 37,500</t>
        </r>
      </text>
    </comment>
    <comment ref="M17" authorId="0" shapeId="0" xr:uid="{70D8F41A-2E07-43BF-8330-5D68316F151E}">
      <text>
        <r>
          <rPr>
            <b/>
            <sz val="9"/>
            <color indexed="81"/>
            <rFont val="Tahoma"/>
            <family val="2"/>
          </rPr>
          <t>Ryan, Christopher:</t>
        </r>
        <r>
          <rPr>
            <sz val="9"/>
            <color indexed="81"/>
            <rFont val="Tahoma"/>
            <family val="2"/>
          </rPr>
          <t xml:space="preserve">
added 11,068.75</t>
        </r>
      </text>
    </comment>
    <comment ref="D138" authorId="0" shapeId="0" xr:uid="{75B7E589-1AFF-4023-8BA1-976185BA3242}">
      <text>
        <r>
          <rPr>
            <b/>
            <sz val="9"/>
            <color indexed="81"/>
            <rFont val="Tahoma"/>
            <family val="2"/>
          </rPr>
          <t>Ryan, Christopher:</t>
        </r>
        <r>
          <rPr>
            <sz val="9"/>
            <color indexed="81"/>
            <rFont val="Tahoma"/>
            <family val="2"/>
          </rPr>
          <t xml:space="preserve">
MOVED TO 570 ABOVE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Peters, Maryalice</author>
  </authors>
  <commentList>
    <comment ref="D4" authorId="0" shapeId="0" xr:uid="{87EEE474-C56B-4D97-A9A1-E7538E9E5846}">
      <text>
        <r>
          <rPr>
            <b/>
            <sz val="9"/>
            <color indexed="81"/>
            <rFont val="Tahoma"/>
            <family val="2"/>
          </rPr>
          <t>Peters, Maryalice:</t>
        </r>
        <r>
          <rPr>
            <sz val="9"/>
            <color indexed="81"/>
            <rFont val="Tahoma"/>
            <family val="2"/>
          </rPr>
          <t xml:space="preserve">
Prorated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Ryan, Christopher</author>
  </authors>
  <commentList>
    <comment ref="G15" authorId="0" shapeId="0" xr:uid="{783E6EA2-5A7F-4510-A1D6-F1DC0370EA59}">
      <text>
        <r>
          <rPr>
            <b/>
            <sz val="9"/>
            <color indexed="81"/>
            <rFont val="Tahoma"/>
            <family val="2"/>
          </rPr>
          <t>Ryan, Christopher:</t>
        </r>
        <r>
          <rPr>
            <sz val="9"/>
            <color indexed="81"/>
            <rFont val="Tahoma"/>
            <family val="2"/>
          </rPr>
          <t xml:space="preserve">
added 37,500</t>
        </r>
      </text>
    </comment>
    <comment ref="L15" authorId="0" shapeId="0" xr:uid="{7511FD5F-C8ED-4B31-A6BC-212A48DFC43D}">
      <text>
        <r>
          <rPr>
            <b/>
            <sz val="9"/>
            <color indexed="81"/>
            <rFont val="Tahoma"/>
            <family val="2"/>
          </rPr>
          <t>Ryan, Christopher:</t>
        </r>
        <r>
          <rPr>
            <sz val="9"/>
            <color indexed="81"/>
            <rFont val="Tahoma"/>
            <family val="2"/>
          </rPr>
          <t xml:space="preserve">
added 37,500</t>
        </r>
      </text>
    </comment>
    <comment ref="D130" authorId="0" shapeId="0" xr:uid="{50656C44-3D1A-4239-AC65-0DED7DDD71ED}">
      <text>
        <r>
          <rPr>
            <b/>
            <sz val="9"/>
            <color indexed="81"/>
            <rFont val="Tahoma"/>
            <family val="2"/>
          </rPr>
          <t>Ryan, Christopher:</t>
        </r>
        <r>
          <rPr>
            <sz val="9"/>
            <color indexed="81"/>
            <rFont val="Tahoma"/>
            <family val="2"/>
          </rPr>
          <t xml:space="preserve">
MOVED TO 570 ABOVE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Peters, Maryalice</author>
  </authors>
  <commentList>
    <comment ref="D4" authorId="0" shapeId="0" xr:uid="{61872714-B914-4AB9-9076-38782466545A}">
      <text>
        <r>
          <rPr>
            <b/>
            <sz val="9"/>
            <color indexed="81"/>
            <rFont val="Tahoma"/>
            <family val="2"/>
          </rPr>
          <t>Peters, Maryalice:</t>
        </r>
        <r>
          <rPr>
            <sz val="9"/>
            <color indexed="81"/>
            <rFont val="Tahoma"/>
            <family val="2"/>
          </rPr>
          <t xml:space="preserve">
Prorated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Ryan, Christopher</author>
  </authors>
  <commentList>
    <comment ref="D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Ryan, Christopher:</t>
        </r>
        <r>
          <rPr>
            <sz val="9"/>
            <color indexed="81"/>
            <rFont val="Tahoma"/>
            <family val="2"/>
          </rPr>
          <t xml:space="preserve">
MOVED TO 503 BELOW</t>
        </r>
      </text>
    </comment>
    <comment ref="D15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Ryan, Christopher:</t>
        </r>
        <r>
          <rPr>
            <sz val="9"/>
            <color indexed="81"/>
            <rFont val="Tahoma"/>
            <family val="2"/>
          </rPr>
          <t xml:space="preserve">
MOVED TO 570 ABOVE</t>
        </r>
      </text>
    </comment>
  </commentList>
</comments>
</file>

<file path=xl/sharedStrings.xml><?xml version="1.0" encoding="utf-8"?>
<sst xmlns="http://schemas.openxmlformats.org/spreadsheetml/2006/main" count="4853" uniqueCount="324">
  <si>
    <t>Schedule</t>
  </si>
  <si>
    <t>Commodity Margin</t>
  </si>
  <si>
    <t>September 1, 2016 through August 31, 2017</t>
  </si>
  <si>
    <t>Next 3,500 therms/month</t>
  </si>
  <si>
    <t>First 500 therms/month</t>
  </si>
  <si>
    <t>All over 4,000 therms/month</t>
  </si>
  <si>
    <t>First 20,000 therms/month</t>
  </si>
  <si>
    <t>Next 80,000 therms/month</t>
  </si>
  <si>
    <t>All over 100,000 therms/month</t>
  </si>
  <si>
    <t>First 30,000 therms/month</t>
  </si>
  <si>
    <t>All over 30,000 therms/month</t>
  </si>
  <si>
    <t>First 4,000 therms/month</t>
  </si>
  <si>
    <t>Per Tariff Sheets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</si>
  <si>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</si>
  <si>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</si>
  <si>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</si>
  <si>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</si>
  <si>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</si>
  <si>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</si>
  <si>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</si>
  <si>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</si>
  <si>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</si>
  <si>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</si>
  <si>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</si>
  <si>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</si>
  <si>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Schedule 502 - Residential (Dry Out)</t>
  </si>
  <si>
    <t>Number of Customer Bills</t>
  </si>
  <si>
    <t>Normalized volumes</t>
  </si>
  <si>
    <t>Proposed Delivery Charge</t>
  </si>
  <si>
    <t>Proposed Margin Revenue</t>
  </si>
  <si>
    <t>Authorized Margin Revenue Per Customer</t>
  </si>
  <si>
    <t>Schedule 503 - Residential</t>
  </si>
  <si>
    <t>Weather Normalized volumes</t>
  </si>
  <si>
    <t>Proposed Margin Charge</t>
  </si>
  <si>
    <t>Schedule 504 - Commercial</t>
  </si>
  <si>
    <t>Schedule 505 - Industrial</t>
  </si>
  <si>
    <t>Normalized volumes - Tier 1</t>
  </si>
  <si>
    <t>Normalized volumes - Tier 2</t>
  </si>
  <si>
    <t>Normalized volumes - Tier 3</t>
  </si>
  <si>
    <t>Total Volumes</t>
  </si>
  <si>
    <t>Proposed Margin Charge - Tier 1</t>
  </si>
  <si>
    <t>Proposed Margin Charge - Tier 2</t>
  </si>
  <si>
    <t>Proposed Margin Charge - Tier 3</t>
  </si>
  <si>
    <t>Proposed Margin Revenue Tier 1</t>
  </si>
  <si>
    <t>Proposed Margin Revenue Tier 2</t>
  </si>
  <si>
    <t>Proposed Margin Revenue Tier 3</t>
  </si>
  <si>
    <t>Schedule 511 - Large Volume</t>
  </si>
  <si>
    <t>Schedule 512 - CNG</t>
  </si>
  <si>
    <t>Schedule 570 - Small Interruptible</t>
  </si>
  <si>
    <t>Customer Count</t>
  </si>
  <si>
    <t>Test Year Margin  - First 30,000 Therms Tier 1</t>
  </si>
  <si>
    <t>Test Year Margin -- &gt; 30,000 Therms Tier 2</t>
  </si>
  <si>
    <t>Authorized Margin Revenue - Tier 1</t>
  </si>
  <si>
    <t>Authorized Margin per Customer</t>
  </si>
  <si>
    <t>Schedule 570 - Interruptible Commercial</t>
  </si>
  <si>
    <t>Normalized Volumes Tier 1</t>
  </si>
  <si>
    <t>Normalized Volumes Tier 2</t>
  </si>
  <si>
    <t>Proposed Margin Charge Tier 1</t>
  </si>
  <si>
    <t>Proposed Margin Charge Tier 2</t>
  </si>
  <si>
    <t>Proposed Margin Revenue - Tier 1</t>
  </si>
  <si>
    <t>Proposed Margin Revenue - Tier 2</t>
  </si>
  <si>
    <t>Schedule 577 - Limited Interruptible</t>
  </si>
  <si>
    <t>Authorized Margin Revenue Per Customer Per Month (Rule 21)</t>
  </si>
  <si>
    <t>same as 512</t>
  </si>
  <si>
    <t>Customers</t>
  </si>
  <si>
    <t>CC&amp;B Report: CA1499 Services Summary</t>
  </si>
  <si>
    <t>Rate Schedule</t>
  </si>
  <si>
    <t>CASCADE NAUTURAL GAS CORPORATION</t>
  </si>
  <si>
    <t>DEFERRED ACCOUNTING DETAILS - TWELVE MONTHS ENDED DECEMBER 31, 2016</t>
  </si>
  <si>
    <t>RULE 21 DECOUPLING MECHANISM</t>
  </si>
  <si>
    <t>CC&amp;B Report: CA1501 Revenue by District</t>
  </si>
  <si>
    <t>Actual Margin Revenues</t>
  </si>
  <si>
    <t>Unbilled Margin Revenues</t>
  </si>
  <si>
    <t>Authorized Revenue</t>
  </si>
  <si>
    <t>Total Actual Margin Revenues</t>
  </si>
  <si>
    <t>DEFERRAL AMOUNT</t>
  </si>
  <si>
    <t>Journal Entry:</t>
  </si>
  <si>
    <t>Residential CAP</t>
  </si>
  <si>
    <t>Commerical CAP</t>
  </si>
  <si>
    <t>WA Decoupling Mechanism variance deferral</t>
  </si>
  <si>
    <t>Industrial CAP</t>
  </si>
  <si>
    <t>Small Commerical CAP</t>
  </si>
  <si>
    <t>Small Industrial CAP</t>
  </si>
  <si>
    <t>505LV</t>
  </si>
  <si>
    <t>4800 Residential</t>
  </si>
  <si>
    <t>4809 Industrial</t>
  </si>
  <si>
    <t>4810 Commercial</t>
  </si>
  <si>
    <t>4811 Commercial</t>
  </si>
  <si>
    <t>4813 Industrial</t>
  </si>
  <si>
    <t>TOTAL DEFERRAL AMOUNT</t>
  </si>
  <si>
    <t>Margin</t>
  </si>
  <si>
    <t>Average Cost of Gas</t>
  </si>
  <si>
    <t>Therms</t>
  </si>
  <si>
    <t>Actual</t>
  </si>
  <si>
    <t>Diff</t>
  </si>
  <si>
    <t>CC&amp;B Report: CA1501 Revenue by District - First 500</t>
  </si>
  <si>
    <t>CC&amp;B Report: CA1501 Revenue by District - Over 4,000</t>
  </si>
  <si>
    <t>CC&amp;B Report: CA1501 Revenue by District - Next 3,500</t>
  </si>
  <si>
    <t>CC&amp;B Report: CA1501 Revenue by District - First 20,000</t>
  </si>
  <si>
    <t>CC&amp;B Report: CA1501 Revenue by District - Next 80,000</t>
  </si>
  <si>
    <t>CC&amp;B Report: CA1501 Revenue by District - Over 100,000</t>
  </si>
  <si>
    <t>CC&amp;B Report: Current Month CA1501A Revenue by District - First 500</t>
  </si>
  <si>
    <t>CC&amp;B Report: Prior Month CA1501A Revenue by District - First 500</t>
  </si>
  <si>
    <t>CC&amp;B Report: CA1501 Revenue by District - First 30,000</t>
  </si>
  <si>
    <t>CC&amp;B Report: CA1501 Revenue by District - Over 30,000</t>
  </si>
  <si>
    <t>CC&amp;B Report: Current Month CA1501A Revenue by District - First 30,000</t>
  </si>
  <si>
    <t>CC&amp;B Report: Current Month CA1501A Revenue by District - Over 30,000</t>
  </si>
  <si>
    <t>CC&amp;B Report: Prior Month CA1501A Revenue by District - First 30,000</t>
  </si>
  <si>
    <t>CC&amp;B Report: Prior Month CA1501A Revenue by District - Over 30,000</t>
  </si>
  <si>
    <t>CC&amp;B Report: CA1501 Revenue by District - First 4,000</t>
  </si>
  <si>
    <t>CC&amp;B Report: Current Month CA1501A Revenue by District - First 4,000</t>
  </si>
  <si>
    <t>CC&amp;B Report: Current Month CA1501A Revenue by District - Over 4,000</t>
  </si>
  <si>
    <t>CC&amp;B Report: Prior Month CA1501A Revenue by District - First 4,000</t>
  </si>
  <si>
    <t>CC&amp;B Report: Prior Month CA1501A Revenue by District - Over 4,000</t>
  </si>
  <si>
    <t>Current Month - UNBILLED THERMS &amp; REVENUE XXXX.xlsx</t>
  </si>
  <si>
    <t>Prior Month - UNBILLED THERMS &amp; REVENUE XXXX.xlsx</t>
  </si>
  <si>
    <t>Less 0.00417 percent to account for uncollectibles</t>
  </si>
  <si>
    <t>CC&amp;B Report: CA1501 &amp; CI1564 CRM Adjustment for old rates</t>
  </si>
  <si>
    <t>DR: 47WA.1862.20477</t>
  </si>
  <si>
    <t>CR: 47WA.4002.4800CP</t>
  </si>
  <si>
    <t>CR: 47WA.4002.4809CP</t>
  </si>
  <si>
    <t>CR: 47WA.4002.4810CP</t>
  </si>
  <si>
    <t>CR: 47WA.4002.4811CP</t>
  </si>
  <si>
    <t>CR: 47WA.4002.4813CP</t>
  </si>
  <si>
    <t>Difference</t>
  </si>
  <si>
    <t>Rounded</t>
  </si>
  <si>
    <t>DEFERRED ACCOUNTING DETAILS - TWELVE MONTHS ENDED DECEMBER 31, 2017</t>
  </si>
  <si>
    <t>47WA.1862.20477</t>
  </si>
  <si>
    <t>47WA.4002.4800CP</t>
  </si>
  <si>
    <t>47WA.4002.4809CP</t>
  </si>
  <si>
    <t>47WA.4002.4810CP</t>
  </si>
  <si>
    <t>47WA.4002.4811CP</t>
  </si>
  <si>
    <t>47WA.4002.4813CP</t>
  </si>
  <si>
    <t>Original Entries</t>
  </si>
  <si>
    <t>Correcting Entries</t>
  </si>
  <si>
    <t>YTD</t>
  </si>
  <si>
    <t>Interest Rate</t>
  </si>
  <si>
    <t>Interest</t>
  </si>
  <si>
    <t>Monthly Deferral Total</t>
  </si>
  <si>
    <t>Cumulative Deferral Total</t>
  </si>
  <si>
    <t>Days</t>
  </si>
  <si>
    <r>
      <t>Interest (</t>
    </r>
    <r>
      <rPr>
        <b/>
        <sz val="11"/>
        <color rgb="FFFF0000"/>
        <rFont val="Calibri"/>
        <family val="2"/>
        <scheme val="minor"/>
      </rPr>
      <t>rounding</t>
    </r>
    <r>
      <rPr>
        <b/>
        <sz val="11"/>
        <rFont val="Calibri"/>
        <family val="2"/>
        <scheme val="minor"/>
      </rPr>
      <t>)</t>
    </r>
  </si>
  <si>
    <t>504LV</t>
  </si>
  <si>
    <t>CC&amp;B Report: Current Month CA1501A Revenue by District</t>
  </si>
  <si>
    <t>CC&amp;B Report: Prior Month CA1501A Revenue by District</t>
  </si>
  <si>
    <t>CC&amp;B Report: Current Month CA1501A Revenue by District - Next 3,500</t>
  </si>
  <si>
    <t>CC&amp;B Report: Prior Month CA1501A Revenue by District - Next 3,500</t>
  </si>
  <si>
    <t>Ammortize JE</t>
  </si>
  <si>
    <t>DEFERRED ACCOUNTING DETAILS - TWELVE MONTHS ENDED DECEMBER 31, 2018</t>
  </si>
  <si>
    <t>NO LONGER</t>
  </si>
  <si>
    <t>Basic Service Charge increase</t>
  </si>
  <si>
    <t>2nd Entry</t>
  </si>
  <si>
    <t>Original Entry</t>
  </si>
  <si>
    <t>DEFERRED ACCOUNTING DETAILS - TWELVE MONTHS ENDED DECEMBER 31, 2019</t>
  </si>
  <si>
    <t>04LV</t>
  </si>
  <si>
    <t>Jan</t>
  </si>
  <si>
    <t>Feb</t>
  </si>
  <si>
    <t>Mar</t>
  </si>
  <si>
    <t>Apr</t>
  </si>
  <si>
    <t>Jun</t>
  </si>
  <si>
    <t>Jul</t>
  </si>
  <si>
    <t xml:space="preserve">Aug </t>
  </si>
  <si>
    <t>Sep</t>
  </si>
  <si>
    <t>https://www.ferc.gov/enforcement/acct-matts/interest-rates.asp</t>
  </si>
  <si>
    <t>CC&amp;B Report: CA1501A Revenue by District - First 20,000</t>
  </si>
  <si>
    <t>CC&amp;B Report: CA1501A Revenue by District - Next 80,000</t>
  </si>
  <si>
    <t>CC&amp;B Report: CA1501A Revenue by District - Over 100,000</t>
  </si>
  <si>
    <t>Journal Entry</t>
  </si>
  <si>
    <t>Oct</t>
  </si>
  <si>
    <t>11LV</t>
  </si>
  <si>
    <r>
      <t>Interest (</t>
    </r>
    <r>
      <rPr>
        <sz val="11"/>
        <color rgb="FFFF0000"/>
        <rFont val="Calibri"/>
        <family val="2"/>
        <scheme val="minor"/>
      </rPr>
      <t>rounding</t>
    </r>
    <r>
      <rPr>
        <sz val="11"/>
        <rFont val="Calibri"/>
        <family val="2"/>
        <scheme val="minor"/>
      </rPr>
      <t>)</t>
    </r>
  </si>
  <si>
    <t>Nov</t>
  </si>
  <si>
    <t>Customer Count by Rate Class</t>
  </si>
  <si>
    <t>Dec</t>
  </si>
  <si>
    <t>05LV</t>
  </si>
  <si>
    <t>CA1501 Revenue by District - First 20,000</t>
  </si>
  <si>
    <t>CA1501 Revenue by District - Next 80,000</t>
  </si>
  <si>
    <t>CA1501 Revenue by District - Over 100,000</t>
  </si>
  <si>
    <t>CA1501 Revenue by District</t>
  </si>
  <si>
    <t>Prior Month CA1501A Revenue by District</t>
  </si>
  <si>
    <t>CA1501 Revenue by District - First 500</t>
  </si>
  <si>
    <t>CA1501 Revenue by District - Next 3,500</t>
  </si>
  <si>
    <t>CA1501 Revenue by District - Over 4,000</t>
  </si>
  <si>
    <t>Unbilled Therms &amp; Revenue - Current Month</t>
  </si>
  <si>
    <t>Unbilled Therms &amp; Revenue - Prior Month</t>
  </si>
  <si>
    <t>Prior Month CA1501A Revenue by District - First 500</t>
  </si>
  <si>
    <t>Prior Month CA1501A Revenue by District - Next 3,500</t>
  </si>
  <si>
    <t>CA1501 Revenue by District - First 30,000</t>
  </si>
  <si>
    <t>CA1501 Revenue by District - Over 30,000</t>
  </si>
  <si>
    <t>Prior Month CA1501A Revenue by District - First 30,000</t>
  </si>
  <si>
    <t>Prior Month CA1501A Revenue by District - Over 30,000</t>
  </si>
  <si>
    <t>4813 Industrial - 570</t>
  </si>
  <si>
    <t>4811 Commercial - 05LV</t>
  </si>
  <si>
    <t>4810 Commercial - 511</t>
  </si>
  <si>
    <t>4810 Commercial - 11LV</t>
  </si>
  <si>
    <t>4810 Commercial - 504</t>
  </si>
  <si>
    <t>4810 Commercial - 04LV</t>
  </si>
  <si>
    <t>4809 Industrial - 511</t>
  </si>
  <si>
    <t>4809 Industrial - 505</t>
  </si>
  <si>
    <t>CA1501 - Revenue by District</t>
  </si>
  <si>
    <t>4800 Residential - 503</t>
  </si>
  <si>
    <t>Deferral Amount</t>
  </si>
  <si>
    <r>
      <t>CA1501A</t>
    </r>
    <r>
      <rPr>
        <sz val="11"/>
        <color theme="1"/>
        <rFont val="Calibri"/>
        <family val="2"/>
        <scheme val="minor"/>
      </rPr>
      <t xml:space="preserve"> Curr Month Revenue by District - First 30,000</t>
    </r>
  </si>
  <si>
    <r>
      <t xml:space="preserve">CA1501A </t>
    </r>
    <r>
      <rPr>
        <sz val="11"/>
        <color theme="1"/>
        <rFont val="Calibri"/>
        <family val="2"/>
        <scheme val="minor"/>
      </rPr>
      <t>Curr Month Revenue by District - Over 30,000</t>
    </r>
  </si>
  <si>
    <r>
      <t xml:space="preserve">CA1501A </t>
    </r>
    <r>
      <rPr>
        <sz val="11.5"/>
        <color theme="1"/>
        <rFont val="Calibri"/>
        <family val="2"/>
        <scheme val="minor"/>
      </rPr>
      <t>Revenue by District - First 500 - Current Month</t>
    </r>
  </si>
  <si>
    <r>
      <t xml:space="preserve">CA1501A </t>
    </r>
    <r>
      <rPr>
        <sz val="11.5"/>
        <color theme="1"/>
        <rFont val="Calibri"/>
        <family val="2"/>
        <scheme val="minor"/>
      </rPr>
      <t>Revenue by District - Next 3,500 - Current Month</t>
    </r>
  </si>
  <si>
    <r>
      <t xml:space="preserve">CA1501A </t>
    </r>
    <r>
      <rPr>
        <sz val="11.5"/>
        <color theme="1"/>
        <rFont val="Calibri"/>
        <family val="2"/>
        <scheme val="minor"/>
      </rPr>
      <t>Revenue by District - First 20,000</t>
    </r>
  </si>
  <si>
    <r>
      <t xml:space="preserve">CA1501A </t>
    </r>
    <r>
      <rPr>
        <sz val="11.5"/>
        <color theme="1"/>
        <rFont val="Calibri"/>
        <family val="2"/>
        <scheme val="minor"/>
      </rPr>
      <t>Revenue by District - Next 80,000</t>
    </r>
  </si>
  <si>
    <r>
      <t xml:space="preserve">CA1501A </t>
    </r>
    <r>
      <rPr>
        <sz val="11.5"/>
        <color theme="1"/>
        <rFont val="Calibri"/>
        <family val="2"/>
        <scheme val="minor"/>
      </rPr>
      <t>Revenue by District - Over 100,000</t>
    </r>
  </si>
  <si>
    <r>
      <t xml:space="preserve">CA1501A </t>
    </r>
    <r>
      <rPr>
        <sz val="11"/>
        <color theme="1"/>
        <rFont val="Calibri"/>
        <family val="2"/>
        <scheme val="minor"/>
      </rPr>
      <t>- Current Month Revenue by District</t>
    </r>
  </si>
  <si>
    <t xml:space="preserve">CA1501 Revenue by District </t>
  </si>
  <si>
    <t>Aug</t>
  </si>
  <si>
    <t>Updated 3/1/2020</t>
  </si>
  <si>
    <t>https://www.ferc.gov/enforcement-legal/enforcement/interest-rates</t>
  </si>
  <si>
    <t>Var</t>
  </si>
  <si>
    <t>1501A</t>
  </si>
  <si>
    <t>Pages 9-16</t>
  </si>
  <si>
    <t>Pages 7-9</t>
  </si>
  <si>
    <t>d</t>
  </si>
  <si>
    <t>Updated 7/1/2021</t>
  </si>
  <si>
    <t>DEFERRED ACCOUNTING DETAILS - TWELVE MONTHS ENDED DECEMBER 31, 2020</t>
  </si>
  <si>
    <t>DEFERRED ACCOUNTING DETAILS - TWELVE MONTHS ENDED DECEMBER 31, 2021</t>
  </si>
  <si>
    <t xml:space="preserve">Unbilled - Therms </t>
  </si>
  <si>
    <t>Unbilled - Therms</t>
  </si>
  <si>
    <t>Unbilled Therms &amp; Revenue</t>
  </si>
  <si>
    <t>Unbilled - Percentage of 504 to Total 504+511 Therms</t>
  </si>
  <si>
    <t>Unbilled - Percentage of 511 to Total 504+511 Therms</t>
  </si>
  <si>
    <t>Margin 500</t>
  </si>
  <si>
    <t>Margin 3,500</t>
  </si>
  <si>
    <t>Margin 4,000</t>
  </si>
  <si>
    <t>Margin 20,000</t>
  </si>
  <si>
    <t>Margin 80,000</t>
  </si>
  <si>
    <t>Margin 100,000</t>
  </si>
  <si>
    <t>Margin 30,000</t>
  </si>
  <si>
    <t>Amortize JE</t>
  </si>
  <si>
    <t>Original Feb22 JE</t>
  </si>
  <si>
    <t>Original Apr22 JE</t>
  </si>
  <si>
    <t>Original</t>
  </si>
  <si>
    <t>True-up Amount</t>
  </si>
  <si>
    <t>Avg Cost of Gas</t>
  </si>
  <si>
    <t>Journal Entry - True-up</t>
  </si>
  <si>
    <t>ADDED IN AUGUST 2022 AS A TRUE-UP</t>
  </si>
  <si>
    <t>True-up JE in Aug</t>
  </si>
  <si>
    <t>Apr22 true-up 
booked in May</t>
  </si>
  <si>
    <t>Feb22 True-up</t>
  </si>
  <si>
    <t>Separate JE</t>
  </si>
  <si>
    <t>Updated 9/1/2022</t>
  </si>
  <si>
    <t>Updated 10/1/2022</t>
  </si>
  <si>
    <t>Oct22 True-up</t>
  </si>
  <si>
    <t>Updated by</t>
  </si>
  <si>
    <t>CR 11/15/22</t>
  </si>
  <si>
    <t>Original Oct 22 JE</t>
  </si>
  <si>
    <t>DEFERRED ACCOUNTING DETAILS - TWELVE MONTHS ENDED DECEMBER 31, 2022</t>
  </si>
  <si>
    <t>1501 00</t>
  </si>
  <si>
    <t>Transferred from RA20477</t>
  </si>
  <si>
    <t>Transferred from</t>
  </si>
  <si>
    <t>RA20477</t>
  </si>
  <si>
    <t>Amortizaion Rate</t>
  </si>
  <si>
    <t>Prorated</t>
  </si>
  <si>
    <t>Balance Transferred from RA20477</t>
  </si>
  <si>
    <t>WA Decoupling Mechanism Rule 21</t>
  </si>
  <si>
    <t>Deferred Accounting</t>
  </si>
  <si>
    <r>
      <rPr>
        <b/>
        <sz val="12"/>
        <color theme="1"/>
        <rFont val="Calibri"/>
        <family val="2"/>
        <scheme val="minor"/>
      </rPr>
      <t>4800 Industrial - 503</t>
    </r>
    <r>
      <rPr>
        <sz val="11"/>
        <color theme="1"/>
        <rFont val="Calibri"/>
        <family val="2"/>
        <scheme val="minor"/>
      </rPr>
      <t xml:space="preserve">           Customer Count by Rate Class</t>
    </r>
  </si>
  <si>
    <t>Formula</t>
  </si>
  <si>
    <t>CR 12/08/23</t>
  </si>
  <si>
    <t>Margin Rate - 503</t>
  </si>
  <si>
    <r>
      <rPr>
        <b/>
        <sz val="12"/>
        <color theme="1"/>
        <rFont val="Calibri"/>
        <family val="2"/>
        <scheme val="minor"/>
      </rPr>
      <t>4809 Industrial - 505</t>
    </r>
    <r>
      <rPr>
        <sz val="11"/>
        <color theme="1"/>
        <rFont val="Calibri"/>
        <family val="2"/>
        <scheme val="minor"/>
      </rPr>
      <t xml:space="preserve">           Customer Count by Rate Class</t>
    </r>
  </si>
  <si>
    <r>
      <rPr>
        <b/>
        <sz val="12"/>
        <color theme="1"/>
        <rFont val="Calibri"/>
        <family val="2"/>
        <scheme val="minor"/>
      </rPr>
      <t>4809 Industrial - 511</t>
    </r>
    <r>
      <rPr>
        <sz val="11"/>
        <color theme="1"/>
        <rFont val="Calibri"/>
        <family val="2"/>
        <scheme val="minor"/>
      </rPr>
      <t xml:space="preserve">           Customer Count by Rate Class</t>
    </r>
  </si>
  <si>
    <r>
      <rPr>
        <b/>
        <sz val="12"/>
        <color theme="1"/>
        <rFont val="Calibri"/>
        <family val="2"/>
        <scheme val="minor"/>
      </rPr>
      <t>4810 Commercial - 04LV</t>
    </r>
    <r>
      <rPr>
        <sz val="11"/>
        <color theme="1"/>
        <rFont val="Calibri"/>
        <family val="2"/>
        <scheme val="minor"/>
      </rPr>
      <t xml:space="preserve">   Customer Count by Rate Class</t>
    </r>
  </si>
  <si>
    <r>
      <t xml:space="preserve">CA1501 CA00 </t>
    </r>
    <r>
      <rPr>
        <sz val="11"/>
        <color theme="1"/>
        <rFont val="Calibri"/>
        <family val="2"/>
        <scheme val="minor"/>
      </rPr>
      <t>- Current Month Revenue by District</t>
    </r>
  </si>
  <si>
    <r>
      <rPr>
        <b/>
        <sz val="12"/>
        <color theme="1"/>
        <rFont val="Calibri"/>
        <family val="2"/>
        <scheme val="minor"/>
      </rPr>
      <t>4810 Commercial - 11LV</t>
    </r>
    <r>
      <rPr>
        <sz val="11"/>
        <color theme="1"/>
        <rFont val="Calibri"/>
        <family val="2"/>
        <scheme val="minor"/>
      </rPr>
      <t xml:space="preserve">    Customer Count by Rate Class</t>
    </r>
  </si>
  <si>
    <r>
      <t xml:space="preserve">CA1501 CA00 </t>
    </r>
    <r>
      <rPr>
        <sz val="11.5"/>
        <color theme="1"/>
        <rFont val="Calibri"/>
        <family val="2"/>
        <scheme val="minor"/>
      </rPr>
      <t>Revenue by District - First 20,000</t>
    </r>
  </si>
  <si>
    <r>
      <t xml:space="preserve">CA1501 CA00 </t>
    </r>
    <r>
      <rPr>
        <sz val="11.5"/>
        <color theme="1"/>
        <rFont val="Calibri"/>
        <family val="2"/>
        <scheme val="minor"/>
      </rPr>
      <t>Revenue by District - Next 80,000</t>
    </r>
  </si>
  <si>
    <r>
      <t xml:space="preserve">CA1501 CA00 </t>
    </r>
    <r>
      <rPr>
        <sz val="11.5"/>
        <color theme="1"/>
        <rFont val="Calibri"/>
        <family val="2"/>
        <scheme val="minor"/>
      </rPr>
      <t>Revenue by District - Over 100,000</t>
    </r>
  </si>
  <si>
    <r>
      <rPr>
        <b/>
        <sz val="12"/>
        <color theme="1"/>
        <rFont val="Calibri"/>
        <family val="2"/>
        <scheme val="minor"/>
      </rPr>
      <t xml:space="preserve">4810 Commercial - 504  </t>
    </r>
    <r>
      <rPr>
        <sz val="11"/>
        <color theme="1"/>
        <rFont val="Calibri"/>
        <family val="2"/>
        <scheme val="minor"/>
      </rPr>
      <t xml:space="preserve">    Customer Count by Rate Class</t>
    </r>
  </si>
  <si>
    <t>Margin Rate - 504</t>
  </si>
  <si>
    <r>
      <rPr>
        <b/>
        <sz val="12"/>
        <color theme="1"/>
        <rFont val="Calibri"/>
        <family val="2"/>
        <scheme val="minor"/>
      </rPr>
      <t xml:space="preserve">4810 Commercial - 511 </t>
    </r>
    <r>
      <rPr>
        <sz val="11"/>
        <color theme="1"/>
        <rFont val="Calibri"/>
        <family val="2"/>
        <scheme val="minor"/>
      </rPr>
      <t xml:space="preserve">     Customer Count by Rate Class</t>
    </r>
  </si>
  <si>
    <t>Margin Rate - 511</t>
  </si>
  <si>
    <t xml:space="preserve">                                         </t>
  </si>
  <si>
    <r>
      <rPr>
        <b/>
        <sz val="12"/>
        <color theme="1"/>
        <rFont val="Calibri"/>
        <family val="2"/>
        <scheme val="minor"/>
      </rPr>
      <t xml:space="preserve">4811 Commercial - 05LV </t>
    </r>
    <r>
      <rPr>
        <sz val="11"/>
        <color theme="1"/>
        <rFont val="Calibri"/>
        <family val="2"/>
        <scheme val="minor"/>
      </rPr>
      <t xml:space="preserve">   Customer Count by Rate Class</t>
    </r>
  </si>
  <si>
    <r>
      <t xml:space="preserve">CA1501A </t>
    </r>
    <r>
      <rPr>
        <sz val="11.5"/>
        <color theme="1"/>
        <rFont val="Calibri"/>
        <family val="2"/>
        <scheme val="minor"/>
      </rPr>
      <t>Revenue by District - First 500 - CM</t>
    </r>
  </si>
  <si>
    <r>
      <t xml:space="preserve">CA1501A </t>
    </r>
    <r>
      <rPr>
        <sz val="11.5"/>
        <color theme="1"/>
        <rFont val="Calibri"/>
        <family val="2"/>
        <scheme val="minor"/>
      </rPr>
      <t>Revenue by District - Next 3,500 - CM</t>
    </r>
  </si>
  <si>
    <r>
      <rPr>
        <b/>
        <sz val="12"/>
        <color theme="1"/>
        <rFont val="Calibri"/>
        <family val="2"/>
        <scheme val="minor"/>
      </rPr>
      <t xml:space="preserve">4813 Industrial - 570 </t>
    </r>
    <r>
      <rPr>
        <sz val="11"/>
        <color theme="1"/>
        <rFont val="Calibri"/>
        <family val="2"/>
        <scheme val="minor"/>
      </rPr>
      <t xml:space="preserve">           Customer Count by Rate Class</t>
    </r>
  </si>
  <si>
    <t>Margin First 30,000</t>
  </si>
  <si>
    <t>47WA.1862.20477 - WA Decoupling variance deferral</t>
  </si>
  <si>
    <t xml:space="preserve">47WA.4002.4800CP - Residential CAP </t>
  </si>
  <si>
    <t xml:space="preserve">47WA.4002.4809CP - Industrial CAP </t>
  </si>
  <si>
    <t xml:space="preserve">47WA.4002.4810CP - Commercial CAP </t>
  </si>
  <si>
    <t xml:space="preserve">47WA.4002.4811CP - Small Commercial CAP </t>
  </si>
  <si>
    <t>47WA.4002.4813CP - Small Industrial CAP</t>
  </si>
  <si>
    <t xml:space="preserve"> Jan 23 JE</t>
  </si>
  <si>
    <t>True-up</t>
  </si>
  <si>
    <t>DEFERRED ACCOUNTING DETAILS - TWELVE MONTHS ENDED DECEMBER 31, 2023</t>
  </si>
  <si>
    <t>Pages 9-17</t>
  </si>
  <si>
    <t>CA1501 Revenue by District - Margin</t>
  </si>
  <si>
    <t>CR 11/21/24</t>
  </si>
  <si>
    <t>Authorized Margin Revenue Per Customer Per Month 503</t>
  </si>
  <si>
    <t>CA1501 Revenue by District - Margin &gt; 4,000</t>
  </si>
  <si>
    <t>Margin &gt; 4,000</t>
  </si>
  <si>
    <t>CA1501 Revenue by District - Margin First 500</t>
  </si>
  <si>
    <t>CA1501 Revenue by District - Margin Next 3,500</t>
  </si>
  <si>
    <t>Authorized Margin Revenue Per Customer Per Month 505</t>
  </si>
  <si>
    <t>CA1501 Revenue by District - Margin &gt; 100,000</t>
  </si>
  <si>
    <t>Margin &gt; 100,000</t>
  </si>
  <si>
    <t>CA1501 Revenue by District - Margin First 20,000</t>
  </si>
  <si>
    <t>Margin First 20,000</t>
  </si>
  <si>
    <t>CA1501 Revenue by District - Margin Next 80,000</t>
  </si>
  <si>
    <t>Margin Next 80,000</t>
  </si>
  <si>
    <t>Total Actual Margin Revenues 511</t>
  </si>
  <si>
    <t>Authorized Margin Revenue Per Customer Per Month 511</t>
  </si>
  <si>
    <t>CA1501 CA00 Revenue by District - Margin</t>
  </si>
  <si>
    <t>Prior Month CA1501 CA00 Revenue by District</t>
  </si>
  <si>
    <t>Authorized Margin Revenue Per Customer Per Month 504</t>
  </si>
  <si>
    <t>CA1501 Revenue by District - Margin Over 100,000</t>
  </si>
  <si>
    <t>CA1501 CA00 Rev by District - Margin First 20,000</t>
  </si>
  <si>
    <t>CA1501 CA00 Rev by District - Margin Next 80,000</t>
  </si>
  <si>
    <t>CA1501 CA00 Rev by District - Margin Over 100,000</t>
  </si>
  <si>
    <t>Prior Month CA1501 CA00 Rev by District</t>
  </si>
  <si>
    <t>CA1501 Revenue by District - &gt; 30,000</t>
  </si>
  <si>
    <t>CA1501 CA00 Revenue by District - Margin 30,000</t>
  </si>
  <si>
    <t>CA1501 CA00 Revenue by District - Margin First 30,000</t>
  </si>
  <si>
    <t>Authorized Margin Revenue Per Customer Per Month 570</t>
  </si>
  <si>
    <t>Original JE Posted Amounts</t>
  </si>
  <si>
    <t>Updated 3/1/2023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</si>
</sst>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"/>
    <numFmt numFmtId="165" formatCode="&quot;$&quot;#,##0.00"/>
    <numFmt numFmtId="166" formatCode="&quot;$&quot;#,##0.00000"/>
    <numFmt numFmtId="167" formatCode="[$-409]mmm\-yy;@"/>
    <numFmt numFmtId="168" formatCode="_(* #,##0_);_(* \(#,##0\);_(* &quot;-&quot;??_);_(@_)"/>
    <numFmt numFmtId="169" formatCode="_(* #,##0.00000_);_(* \(#,##0.00000\);_(* &quot;-&quot;??_);_(@_)"/>
    <numFmt numFmtId="170" formatCode="_(* #,##0.0000_);_(* \(#,##0.0000\);_(* &quot;-&quot;??_);_(@_)"/>
    <numFmt numFmtId="171" formatCode="_(* #,##0.000_);_(* \(#,##0.000\);_(* &quot;-&quot;??_);_(@_)"/>
    <numFmt numFmtId="172" formatCode="mmmm\ d\,\ yyyy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u/>
      <sz val="11"/>
      <name val="Arial"/>
      <family val="2"/>
    </font>
    <font>
      <b/>
      <sz val="11.5"/>
      <color theme="1"/>
      <name val="Calibri"/>
      <family val="2"/>
      <scheme val="minor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36"/>
      <color theme="1"/>
      <name val="Arial"/>
      <family val="2"/>
    </font>
    <font>
      <b/>
      <sz val="18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theme="4" tint="-0.249977111117893"/>
      <name val="Arial"/>
      <family val="2"/>
    </font>
    <font>
      <sz val="10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2"/>
      <color theme="0"/>
      <name val="Cambria"/>
      <family val="1"/>
      <scheme val="major"/>
    </font>
    <font>
      <b/>
      <sz val="11"/>
      <color theme="0"/>
      <name val="Cambria"/>
      <family val="1"/>
      <scheme val="maj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0"/>
      <name val="Cambria"/>
      <family val="1"/>
      <scheme val="major"/>
    </font>
    <font>
      <sz val="14"/>
      <color theme="0"/>
      <name val="Cambria"/>
      <family val="1"/>
      <scheme val="major"/>
    </font>
    <font>
      <b/>
      <sz val="28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b/>
      <sz val="15"/>
      <color theme="1"/>
      <name val="Arial"/>
      <family val="2"/>
    </font>
    <font>
      <sz val="13"/>
      <color theme="1"/>
      <name val="Calibri"/>
      <family val="2"/>
      <scheme val="minor"/>
    </font>
    <font>
      <sz val="12"/>
      <color theme="0"/>
      <name val="Cambria"/>
      <family val="1"/>
      <scheme val="major"/>
    </font>
    <font>
      <sz val="10"/>
      <name val="Arial"/>
      <family val="2"/>
    </font>
    <font>
      <b/>
      <sz val="13"/>
      <color theme="0"/>
      <name val="Cambria"/>
      <family val="1"/>
      <scheme val="major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darkTrellis"/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79B4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2DCDB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thick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hair">
        <color auto="1"/>
      </top>
      <bottom style="medium">
        <color indexed="64"/>
      </bottom>
      <diagonal/>
    </border>
    <border>
      <left style="thick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thick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ck">
        <color auto="1"/>
      </right>
      <top/>
      <bottom style="hair">
        <color auto="1"/>
      </bottom>
      <diagonal/>
    </border>
    <border>
      <left/>
      <right style="thick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theme="6" tint="0.59999389629810485"/>
      </right>
      <top/>
      <bottom/>
      <diagonal/>
    </border>
    <border>
      <left/>
      <right style="thin">
        <color theme="6" tint="0.59999389629810485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46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2" borderId="0" applyNumberFormat="0" applyBorder="0" applyAlignment="0" applyProtection="0"/>
    <xf numFmtId="0" fontId="47" fillId="0" borderId="0"/>
    <xf numFmtId="43" fontId="51" fillId="0" borderId="0" applyFont="0" applyFill="0" applyBorder="0" applyAlignment="0" applyProtection="0"/>
  </cellStyleXfs>
  <cellXfs count="705">
    <xf numFmtId="0" fontId="0" fillId="0" borderId="0" xfId="0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3" xfId="0" applyBorder="1"/>
    <xf numFmtId="0" fontId="0" fillId="0" borderId="24" xfId="0" applyBorder="1"/>
    <xf numFmtId="3" fontId="6" fillId="0" borderId="15" xfId="0" applyNumberFormat="1" applyFont="1" applyBorder="1" applyAlignment="1">
      <alignment horizontal="right"/>
    </xf>
    <xf numFmtId="3" fontId="6" fillId="0" borderId="16" xfId="0" applyNumberFormat="1" applyFont="1" applyBorder="1" applyAlignment="1">
      <alignment horizontal="right"/>
    </xf>
    <xf numFmtId="165" fontId="8" fillId="0" borderId="14" xfId="0" applyNumberFormat="1" applyFont="1" applyBorder="1" applyAlignment="1">
      <alignment vertical="top"/>
    </xf>
    <xf numFmtId="166" fontId="6" fillId="0" borderId="15" xfId="0" applyNumberFormat="1" applyFont="1" applyBorder="1"/>
    <xf numFmtId="165" fontId="8" fillId="0" borderId="15" xfId="0" applyNumberFormat="1" applyFont="1" applyBorder="1" applyAlignment="1">
      <alignment vertical="top"/>
    </xf>
    <xf numFmtId="165" fontId="8" fillId="0" borderId="16" xfId="0" applyNumberFormat="1" applyFont="1" applyBorder="1" applyAlignment="1">
      <alignment vertical="top"/>
    </xf>
    <xf numFmtId="3" fontId="6" fillId="0" borderId="14" xfId="0" applyNumberFormat="1" applyFont="1" applyBorder="1" applyAlignment="1">
      <alignment horizontal="right"/>
    </xf>
    <xf numFmtId="166" fontId="6" fillId="0" borderId="14" xfId="0" applyNumberFormat="1" applyFont="1" applyBorder="1"/>
    <xf numFmtId="166" fontId="6" fillId="0" borderId="16" xfId="0" applyNumberFormat="1" applyFont="1" applyBorder="1"/>
    <xf numFmtId="0" fontId="8" fillId="0" borderId="22" xfId="0" applyFont="1" applyBorder="1" applyAlignment="1">
      <alignment vertical="top"/>
    </xf>
    <xf numFmtId="0" fontId="6" fillId="0" borderId="22" xfId="0" applyFont="1" applyBorder="1"/>
    <xf numFmtId="3" fontId="8" fillId="0" borderId="14" xfId="0" applyNumberFormat="1" applyFont="1" applyBorder="1" applyAlignment="1">
      <alignment vertical="top"/>
    </xf>
    <xf numFmtId="3" fontId="8" fillId="0" borderId="15" xfId="0" applyNumberFormat="1" applyFont="1" applyBorder="1" applyAlignment="1">
      <alignment vertical="top"/>
    </xf>
    <xf numFmtId="3" fontId="8" fillId="0" borderId="16" xfId="0" applyNumberFormat="1" applyFont="1" applyBorder="1" applyAlignment="1">
      <alignment vertical="top"/>
    </xf>
    <xf numFmtId="4" fontId="8" fillId="0" borderId="14" xfId="0" applyNumberFormat="1" applyFont="1" applyBorder="1" applyAlignment="1">
      <alignment vertical="top"/>
    </xf>
    <xf numFmtId="4" fontId="8" fillId="0" borderId="15" xfId="0" applyNumberFormat="1" applyFont="1" applyBorder="1" applyAlignment="1">
      <alignment vertical="top"/>
    </xf>
    <xf numFmtId="4" fontId="8" fillId="0" borderId="15" xfId="0" applyNumberFormat="1" applyFont="1" applyBorder="1" applyAlignment="1">
      <alignment horizontal="center" vertical="top"/>
    </xf>
    <xf numFmtId="4" fontId="8" fillId="0" borderId="16" xfId="0" applyNumberFormat="1" applyFont="1" applyBorder="1" applyAlignment="1">
      <alignment vertical="top"/>
    </xf>
    <xf numFmtId="165" fontId="8" fillId="0" borderId="22" xfId="0" applyNumberFormat="1" applyFont="1" applyBorder="1" applyAlignment="1">
      <alignment vertical="top"/>
    </xf>
    <xf numFmtId="0" fontId="0" fillId="0" borderId="20" xfId="0" applyBorder="1"/>
    <xf numFmtId="4" fontId="9" fillId="0" borderId="21" xfId="0" applyNumberFormat="1" applyFont="1" applyBorder="1" applyAlignment="1">
      <alignment vertical="top"/>
    </xf>
    <xf numFmtId="0" fontId="8" fillId="0" borderId="26" xfId="0" applyFont="1" applyBorder="1" applyAlignment="1">
      <alignment vertical="top"/>
    </xf>
    <xf numFmtId="0" fontId="3" fillId="0" borderId="22" xfId="0" applyFont="1" applyBorder="1"/>
    <xf numFmtId="17" fontId="9" fillId="0" borderId="27" xfId="0" applyNumberFormat="1" applyFont="1" applyBorder="1" applyAlignment="1">
      <alignment horizontal="center" vertical="top"/>
    </xf>
    <xf numFmtId="17" fontId="9" fillId="0" borderId="28" xfId="0" applyNumberFormat="1" applyFont="1" applyBorder="1" applyAlignment="1">
      <alignment horizontal="center" vertical="top"/>
    </xf>
    <xf numFmtId="166" fontId="6" fillId="3" borderId="15" xfId="0" applyNumberFormat="1" applyFont="1" applyFill="1" applyBorder="1"/>
    <xf numFmtId="3" fontId="6" fillId="3" borderId="15" xfId="0" applyNumberFormat="1" applyFont="1" applyFill="1" applyBorder="1" applyAlignment="1">
      <alignment horizontal="right"/>
    </xf>
    <xf numFmtId="0" fontId="3" fillId="3" borderId="22" xfId="0" applyFont="1" applyFill="1" applyBorder="1"/>
    <xf numFmtId="165" fontId="8" fillId="3" borderId="15" xfId="0" applyNumberFormat="1" applyFont="1" applyFill="1" applyBorder="1" applyAlignment="1">
      <alignment vertical="top"/>
    </xf>
    <xf numFmtId="166" fontId="6" fillId="3" borderId="14" xfId="0" applyNumberFormat="1" applyFont="1" applyFill="1" applyBorder="1"/>
    <xf numFmtId="166" fontId="6" fillId="3" borderId="16" xfId="0" applyNumberFormat="1" applyFont="1" applyFill="1" applyBorder="1"/>
    <xf numFmtId="3" fontId="6" fillId="3" borderId="14" xfId="0" applyNumberFormat="1" applyFont="1" applyFill="1" applyBorder="1" applyAlignment="1">
      <alignment horizontal="right"/>
    </xf>
    <xf numFmtId="3" fontId="6" fillId="3" borderId="16" xfId="0" applyNumberFormat="1" applyFont="1" applyFill="1" applyBorder="1" applyAlignment="1">
      <alignment horizontal="right"/>
    </xf>
    <xf numFmtId="165" fontId="8" fillId="3" borderId="14" xfId="0" applyNumberFormat="1" applyFont="1" applyFill="1" applyBorder="1" applyAlignment="1">
      <alignment vertical="top"/>
    </xf>
    <xf numFmtId="165" fontId="8" fillId="3" borderId="16" xfId="0" applyNumberFormat="1" applyFont="1" applyFill="1" applyBorder="1" applyAlignment="1">
      <alignment vertical="top"/>
    </xf>
    <xf numFmtId="0" fontId="6" fillId="0" borderId="14" xfId="0" applyFont="1" applyBorder="1" applyAlignment="1">
      <alignment horizontal="right"/>
    </xf>
    <xf numFmtId="0" fontId="6" fillId="0" borderId="15" xfId="0" applyFont="1" applyBorder="1" applyAlignment="1">
      <alignment horizontal="right"/>
    </xf>
    <xf numFmtId="0" fontId="6" fillId="0" borderId="16" xfId="0" applyFont="1" applyBorder="1" applyAlignment="1">
      <alignment horizontal="right"/>
    </xf>
    <xf numFmtId="0" fontId="0" fillId="4" borderId="0" xfId="0" applyFill="1"/>
    <xf numFmtId="0" fontId="0" fillId="0" borderId="22" xfId="0" applyBorder="1"/>
    <xf numFmtId="166" fontId="6" fillId="0" borderId="15" xfId="0" applyNumberFormat="1" applyFont="1" applyBorder="1" applyAlignment="1">
      <alignment horizontal="right"/>
    </xf>
    <xf numFmtId="17" fontId="9" fillId="0" borderId="31" xfId="0" applyNumberFormat="1" applyFont="1" applyBorder="1" applyAlignment="1">
      <alignment horizontal="center" vertical="top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/>
    <xf numFmtId="165" fontId="0" fillId="3" borderId="14" xfId="0" applyNumberFormat="1" applyFill="1" applyBorder="1"/>
    <xf numFmtId="165" fontId="0" fillId="3" borderId="15" xfId="0" applyNumberFormat="1" applyFill="1" applyBorder="1"/>
    <xf numFmtId="165" fontId="0" fillId="3" borderId="16" xfId="0" applyNumberFormat="1" applyFill="1" applyBorder="1"/>
    <xf numFmtId="3" fontId="0" fillId="0" borderId="14" xfId="0" applyNumberFormat="1" applyBorder="1"/>
    <xf numFmtId="3" fontId="0" fillId="0" borderId="15" xfId="0" applyNumberFormat="1" applyBorder="1"/>
    <xf numFmtId="3" fontId="0" fillId="0" borderId="16" xfId="0" applyNumberFormat="1" applyBorder="1"/>
    <xf numFmtId="165" fontId="0" fillId="0" borderId="14" xfId="0" applyNumberFormat="1" applyBorder="1"/>
    <xf numFmtId="165" fontId="0" fillId="0" borderId="15" xfId="0" applyNumberFormat="1" applyBorder="1"/>
    <xf numFmtId="165" fontId="0" fillId="0" borderId="16" xfId="0" applyNumberFormat="1" applyBorder="1"/>
    <xf numFmtId="1" fontId="0" fillId="0" borderId="14" xfId="0" applyNumberFormat="1" applyBorder="1"/>
    <xf numFmtId="1" fontId="0" fillId="0" borderId="15" xfId="0" applyNumberFormat="1" applyBorder="1"/>
    <xf numFmtId="1" fontId="0" fillId="0" borderId="16" xfId="0" applyNumberFormat="1" applyBorder="1"/>
    <xf numFmtId="165" fontId="0" fillId="0" borderId="17" xfId="0" applyNumberFormat="1" applyBorder="1"/>
    <xf numFmtId="165" fontId="0" fillId="0" borderId="18" xfId="0" applyNumberFormat="1" applyBorder="1"/>
    <xf numFmtId="165" fontId="0" fillId="0" borderId="19" xfId="0" applyNumberFormat="1" applyBorder="1"/>
    <xf numFmtId="0" fontId="5" fillId="0" borderId="25" xfId="0" applyFont="1" applyBorder="1"/>
    <xf numFmtId="0" fontId="5" fillId="0" borderId="22" xfId="0" applyFont="1" applyBorder="1"/>
    <xf numFmtId="0" fontId="6" fillId="3" borderId="22" xfId="0" applyFont="1" applyFill="1" applyBorder="1"/>
    <xf numFmtId="0" fontId="5" fillId="3" borderId="22" xfId="0" applyFont="1" applyFill="1" applyBorder="1"/>
    <xf numFmtId="3" fontId="6" fillId="0" borderId="22" xfId="0" applyNumberFormat="1" applyFont="1" applyBorder="1"/>
    <xf numFmtId="3" fontId="3" fillId="0" borderId="22" xfId="0" applyNumberFormat="1" applyFont="1" applyBorder="1"/>
    <xf numFmtId="3" fontId="0" fillId="0" borderId="22" xfId="0" applyNumberFormat="1" applyBorder="1"/>
    <xf numFmtId="0" fontId="5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43" fontId="0" fillId="0" borderId="1" xfId="0" applyNumberFormat="1" applyBorder="1"/>
    <xf numFmtId="0" fontId="5" fillId="0" borderId="0" xfId="0" applyFont="1" applyAlignment="1">
      <alignment horizontal="right"/>
    </xf>
    <xf numFmtId="43" fontId="5" fillId="0" borderId="0" xfId="0" applyNumberFormat="1" applyFont="1"/>
    <xf numFmtId="0" fontId="15" fillId="0" borderId="1" xfId="0" applyFont="1" applyBorder="1"/>
    <xf numFmtId="0" fontId="15" fillId="0" borderId="32" xfId="0" applyFont="1" applyBorder="1"/>
    <xf numFmtId="0" fontId="14" fillId="0" borderId="0" xfId="0" applyFont="1"/>
    <xf numFmtId="0" fontId="15" fillId="0" borderId="0" xfId="0" applyFont="1"/>
    <xf numFmtId="43" fontId="0" fillId="7" borderId="1" xfId="0" applyNumberFormat="1" applyFill="1" applyBorder="1"/>
    <xf numFmtId="0" fontId="15" fillId="0" borderId="34" xfId="0" applyFont="1" applyBorder="1"/>
    <xf numFmtId="0" fontId="15" fillId="0" borderId="30" xfId="0" applyFont="1" applyBorder="1"/>
    <xf numFmtId="0" fontId="15" fillId="0" borderId="33" xfId="0" applyFont="1" applyBorder="1"/>
    <xf numFmtId="43" fontId="0" fillId="0" borderId="35" xfId="0" applyNumberFormat="1" applyBorder="1"/>
    <xf numFmtId="43" fontId="0" fillId="0" borderId="36" xfId="0" applyNumberFormat="1" applyBorder="1"/>
    <xf numFmtId="0" fontId="11" fillId="0" borderId="2" xfId="0" applyFont="1" applyBorder="1" applyAlignment="1">
      <alignment horizontal="center"/>
    </xf>
    <xf numFmtId="0" fontId="11" fillId="0" borderId="3" xfId="0" applyFont="1" applyBorder="1"/>
    <xf numFmtId="167" fontId="11" fillId="0" borderId="37" xfId="0" applyNumberFormat="1" applyFont="1" applyBorder="1"/>
    <xf numFmtId="0" fontId="5" fillId="0" borderId="0" xfId="0" applyFont="1"/>
    <xf numFmtId="168" fontId="0" fillId="7" borderId="0" xfId="0" applyNumberFormat="1" applyFill="1"/>
    <xf numFmtId="168" fontId="0" fillId="7" borderId="6" xfId="0" applyNumberFormat="1" applyFill="1" applyBorder="1"/>
    <xf numFmtId="43" fontId="0" fillId="7" borderId="38" xfId="0" applyNumberFormat="1" applyFill="1" applyBorder="1"/>
    <xf numFmtId="43" fontId="0" fillId="0" borderId="0" xfId="0" applyNumberFormat="1"/>
    <xf numFmtId="43" fontId="0" fillId="0" borderId="6" xfId="0" applyNumberFormat="1" applyBorder="1"/>
    <xf numFmtId="43" fontId="0" fillId="0" borderId="38" xfId="0" applyNumberFormat="1" applyBorder="1"/>
    <xf numFmtId="43" fontId="5" fillId="0" borderId="6" xfId="0" applyNumberFormat="1" applyFont="1" applyBorder="1"/>
    <xf numFmtId="169" fontId="0" fillId="0" borderId="0" xfId="0" applyNumberFormat="1"/>
    <xf numFmtId="168" fontId="0" fillId="0" borderId="0" xfId="0" applyNumberFormat="1"/>
    <xf numFmtId="169" fontId="0" fillId="0" borderId="6" xfId="0" applyNumberFormat="1" applyBorder="1"/>
    <xf numFmtId="168" fontId="0" fillId="0" borderId="6" xfId="0" applyNumberFormat="1" applyBorder="1"/>
    <xf numFmtId="43" fontId="0" fillId="7" borderId="0" xfId="0" applyNumberFormat="1" applyFill="1"/>
    <xf numFmtId="43" fontId="0" fillId="7" borderId="6" xfId="0" applyNumberFormat="1" applyFill="1" applyBorder="1"/>
    <xf numFmtId="0" fontId="5" fillId="0" borderId="39" xfId="0" applyFont="1" applyBorder="1" applyAlignment="1">
      <alignment horizontal="center"/>
    </xf>
    <xf numFmtId="0" fontId="0" fillId="0" borderId="40" xfId="0" applyBorder="1"/>
    <xf numFmtId="0" fontId="0" fillId="0" borderId="41" xfId="0" applyBorder="1"/>
    <xf numFmtId="167" fontId="11" fillId="0" borderId="1" xfId="0" applyNumberFormat="1" applyFont="1" applyBorder="1"/>
    <xf numFmtId="0" fontId="0" fillId="0" borderId="0" xfId="0" applyAlignment="1">
      <alignment horizontal="right"/>
    </xf>
    <xf numFmtId="3" fontId="0" fillId="0" borderId="0" xfId="0" applyNumberFormat="1"/>
    <xf numFmtId="43" fontId="0" fillId="8" borderId="0" xfId="0" applyNumberFormat="1" applyFill="1"/>
    <xf numFmtId="43" fontId="0" fillId="8" borderId="6" xfId="0" applyNumberFormat="1" applyFill="1" applyBorder="1"/>
    <xf numFmtId="43" fontId="0" fillId="0" borderId="42" xfId="0" applyNumberFormat="1" applyBorder="1"/>
    <xf numFmtId="0" fontId="17" fillId="8" borderId="0" xfId="0" applyFont="1" applyFill="1" applyAlignment="1">
      <alignment horizontal="right"/>
    </xf>
    <xf numFmtId="43" fontId="5" fillId="8" borderId="0" xfId="0" applyNumberFormat="1" applyFont="1" applyFill="1"/>
    <xf numFmtId="0" fontId="5" fillId="8" borderId="0" xfId="0" applyFont="1" applyFill="1"/>
    <xf numFmtId="165" fontId="8" fillId="0" borderId="43" xfId="0" applyNumberFormat="1" applyFont="1" applyBorder="1" applyAlignment="1">
      <alignment vertical="top"/>
    </xf>
    <xf numFmtId="165" fontId="8" fillId="0" borderId="44" xfId="0" applyNumberFormat="1" applyFont="1" applyBorder="1" applyAlignment="1">
      <alignment vertical="top"/>
    </xf>
    <xf numFmtId="165" fontId="8" fillId="0" borderId="45" xfId="0" applyNumberFormat="1" applyFont="1" applyBorder="1" applyAlignment="1">
      <alignment vertical="top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3" fontId="6" fillId="0" borderId="43" xfId="0" applyNumberFormat="1" applyFont="1" applyBorder="1" applyAlignment="1">
      <alignment horizontal="right"/>
    </xf>
    <xf numFmtId="3" fontId="6" fillId="0" borderId="44" xfId="0" applyNumberFormat="1" applyFont="1" applyBorder="1" applyAlignment="1">
      <alignment horizontal="right"/>
    </xf>
    <xf numFmtId="3" fontId="6" fillId="0" borderId="45" xfId="0" applyNumberFormat="1" applyFont="1" applyBorder="1" applyAlignment="1">
      <alignment horizontal="right"/>
    </xf>
    <xf numFmtId="3" fontId="6" fillId="3" borderId="43" xfId="0" applyNumberFormat="1" applyFont="1" applyFill="1" applyBorder="1" applyAlignment="1">
      <alignment horizontal="right"/>
    </xf>
    <xf numFmtId="3" fontId="6" fillId="3" borderId="44" xfId="0" applyNumberFormat="1" applyFont="1" applyFill="1" applyBorder="1" applyAlignment="1">
      <alignment horizontal="right"/>
    </xf>
    <xf numFmtId="3" fontId="6" fillId="3" borderId="45" xfId="0" applyNumberFormat="1" applyFont="1" applyFill="1" applyBorder="1" applyAlignment="1">
      <alignment horizontal="right"/>
    </xf>
    <xf numFmtId="166" fontId="6" fillId="3" borderId="43" xfId="0" applyNumberFormat="1" applyFont="1" applyFill="1" applyBorder="1"/>
    <xf numFmtId="166" fontId="6" fillId="3" borderId="44" xfId="0" applyNumberFormat="1" applyFont="1" applyFill="1" applyBorder="1"/>
    <xf numFmtId="166" fontId="6" fillId="3" borderId="45" xfId="0" applyNumberFormat="1" applyFont="1" applyFill="1" applyBorder="1"/>
    <xf numFmtId="165" fontId="8" fillId="3" borderId="43" xfId="0" applyNumberFormat="1" applyFont="1" applyFill="1" applyBorder="1" applyAlignment="1">
      <alignment vertical="top"/>
    </xf>
    <xf numFmtId="165" fontId="8" fillId="3" borderId="44" xfId="0" applyNumberFormat="1" applyFont="1" applyFill="1" applyBorder="1" applyAlignment="1">
      <alignment vertical="top"/>
    </xf>
    <xf numFmtId="165" fontId="8" fillId="3" borderId="45" xfId="0" applyNumberFormat="1" applyFont="1" applyFill="1" applyBorder="1" applyAlignment="1">
      <alignment vertical="top"/>
    </xf>
    <xf numFmtId="0" fontId="0" fillId="3" borderId="43" xfId="0" applyFill="1" applyBorder="1"/>
    <xf numFmtId="0" fontId="0" fillId="3" borderId="44" xfId="0" applyFill="1" applyBorder="1"/>
    <xf numFmtId="0" fontId="0" fillId="3" borderId="45" xfId="0" applyFill="1" applyBorder="1"/>
    <xf numFmtId="0" fontId="6" fillId="0" borderId="43" xfId="0" applyFont="1" applyBorder="1" applyAlignment="1">
      <alignment horizontal="right"/>
    </xf>
    <xf numFmtId="0" fontId="6" fillId="0" borderId="44" xfId="0" applyFont="1" applyBorder="1" applyAlignment="1">
      <alignment horizontal="right"/>
    </xf>
    <xf numFmtId="0" fontId="6" fillId="0" borderId="45" xfId="0" applyFont="1" applyBorder="1" applyAlignment="1">
      <alignment horizontal="right"/>
    </xf>
    <xf numFmtId="3" fontId="0" fillId="0" borderId="43" xfId="0" applyNumberFormat="1" applyBorder="1"/>
    <xf numFmtId="3" fontId="0" fillId="0" borderId="44" xfId="0" applyNumberFormat="1" applyBorder="1"/>
    <xf numFmtId="3" fontId="0" fillId="0" borderId="45" xfId="0" applyNumberFormat="1" applyBorder="1"/>
    <xf numFmtId="166" fontId="6" fillId="0" borderId="43" xfId="0" applyNumberFormat="1" applyFont="1" applyBorder="1"/>
    <xf numFmtId="166" fontId="6" fillId="0" borderId="45" xfId="0" applyNumberFormat="1" applyFont="1" applyBorder="1"/>
    <xf numFmtId="165" fontId="0" fillId="0" borderId="43" xfId="0" applyNumberFormat="1" applyBorder="1"/>
    <xf numFmtId="165" fontId="0" fillId="0" borderId="44" xfId="0" applyNumberFormat="1" applyBorder="1"/>
    <xf numFmtId="165" fontId="0" fillId="0" borderId="45" xfId="0" applyNumberFormat="1" applyBorder="1"/>
    <xf numFmtId="3" fontId="8" fillId="0" borderId="43" xfId="0" applyNumberFormat="1" applyFont="1" applyBorder="1" applyAlignment="1">
      <alignment vertical="top"/>
    </xf>
    <xf numFmtId="3" fontId="8" fillId="0" borderId="44" xfId="0" applyNumberFormat="1" applyFont="1" applyBorder="1" applyAlignment="1">
      <alignment vertical="top"/>
    </xf>
    <xf numFmtId="3" fontId="8" fillId="0" borderId="45" xfId="0" applyNumberFormat="1" applyFont="1" applyBorder="1" applyAlignment="1">
      <alignment vertical="top"/>
    </xf>
    <xf numFmtId="166" fontId="6" fillId="0" borderId="44" xfId="0" applyNumberFormat="1" applyFont="1" applyBorder="1" applyAlignment="1">
      <alignment horizontal="right"/>
    </xf>
    <xf numFmtId="4" fontId="8" fillId="0" borderId="43" xfId="0" applyNumberFormat="1" applyFont="1" applyBorder="1" applyAlignment="1">
      <alignment vertical="top"/>
    </xf>
    <xf numFmtId="4" fontId="8" fillId="0" borderId="44" xfId="0" applyNumberFormat="1" applyFont="1" applyBorder="1" applyAlignment="1">
      <alignment vertical="top"/>
    </xf>
    <xf numFmtId="4" fontId="8" fillId="0" borderId="44" xfId="0" applyNumberFormat="1" applyFont="1" applyBorder="1" applyAlignment="1">
      <alignment horizontal="center" vertical="top"/>
    </xf>
    <xf numFmtId="4" fontId="8" fillId="0" borderId="45" xfId="0" applyNumberFormat="1" applyFont="1" applyBorder="1" applyAlignment="1">
      <alignment vertical="top"/>
    </xf>
    <xf numFmtId="1" fontId="0" fillId="0" borderId="43" xfId="0" applyNumberFormat="1" applyBorder="1"/>
    <xf numFmtId="1" fontId="0" fillId="0" borderId="44" xfId="0" applyNumberFormat="1" applyBorder="1"/>
    <xf numFmtId="1" fontId="0" fillId="0" borderId="45" xfId="0" applyNumberFormat="1" applyBorder="1"/>
    <xf numFmtId="165" fontId="0" fillId="0" borderId="46" xfId="0" applyNumberFormat="1" applyBorder="1"/>
    <xf numFmtId="165" fontId="0" fillId="0" borderId="47" xfId="0" applyNumberFormat="1" applyBorder="1"/>
    <xf numFmtId="165" fontId="0" fillId="0" borderId="48" xfId="0" applyNumberFormat="1" applyBorder="1"/>
    <xf numFmtId="43" fontId="0" fillId="0" borderId="40" xfId="0" applyNumberFormat="1" applyBorder="1"/>
    <xf numFmtId="167" fontId="11" fillId="0" borderId="51" xfId="0" applyNumberFormat="1" applyFont="1" applyBorder="1"/>
    <xf numFmtId="0" fontId="0" fillId="0" borderId="53" xfId="0" applyBorder="1"/>
    <xf numFmtId="168" fontId="0" fillId="0" borderId="53" xfId="0" applyNumberFormat="1" applyBorder="1"/>
    <xf numFmtId="43" fontId="0" fillId="0" borderId="53" xfId="0" applyNumberFormat="1" applyBorder="1"/>
    <xf numFmtId="0" fontId="0" fillId="0" borderId="54" xfId="0" applyBorder="1"/>
    <xf numFmtId="0" fontId="5" fillId="0" borderId="52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10" fontId="0" fillId="0" borderId="55" xfId="0" applyNumberFormat="1" applyBorder="1"/>
    <xf numFmtId="10" fontId="0" fillId="0" borderId="56" xfId="0" applyNumberFormat="1" applyBorder="1"/>
    <xf numFmtId="43" fontId="3" fillId="0" borderId="0" xfId="0" applyNumberFormat="1" applyFont="1"/>
    <xf numFmtId="43" fontId="3" fillId="0" borderId="6" xfId="0" applyNumberFormat="1" applyFont="1" applyBorder="1"/>
    <xf numFmtId="43" fontId="3" fillId="0" borderId="1" xfId="0" applyNumberFormat="1" applyFont="1" applyBorder="1"/>
    <xf numFmtId="43" fontId="3" fillId="0" borderId="38" xfId="0" applyNumberFormat="1" applyFont="1" applyBorder="1"/>
    <xf numFmtId="43" fontId="5" fillId="0" borderId="42" xfId="0" applyNumberFormat="1" applyFont="1" applyBorder="1"/>
    <xf numFmtId="168" fontId="3" fillId="0" borderId="0" xfId="0" applyNumberFormat="1" applyFont="1"/>
    <xf numFmtId="168" fontId="3" fillId="0" borderId="42" xfId="0" applyNumberFormat="1" applyFont="1" applyBorder="1"/>
    <xf numFmtId="3" fontId="0" fillId="0" borderId="53" xfId="0" applyNumberFormat="1" applyBorder="1"/>
    <xf numFmtId="168" fontId="3" fillId="0" borderId="6" xfId="0" applyNumberFormat="1" applyFont="1" applyBorder="1"/>
    <xf numFmtId="43" fontId="0" fillId="0" borderId="57" xfId="0" applyNumberFormat="1" applyBorder="1"/>
    <xf numFmtId="43" fontId="5" fillId="0" borderId="53" xfId="0" applyNumberFormat="1" applyFont="1" applyBorder="1"/>
    <xf numFmtId="43" fontId="5" fillId="0" borderId="58" xfId="0" applyNumberFormat="1" applyFont="1" applyBorder="1"/>
    <xf numFmtId="43" fontId="4" fillId="0" borderId="0" xfId="0" applyNumberFormat="1" applyFont="1"/>
    <xf numFmtId="167" fontId="11" fillId="5" borderId="37" xfId="0" applyNumberFormat="1" applyFont="1" applyFill="1" applyBorder="1"/>
    <xf numFmtId="10" fontId="0" fillId="5" borderId="55" xfId="0" applyNumberFormat="1" applyFill="1" applyBorder="1"/>
    <xf numFmtId="168" fontId="3" fillId="5" borderId="0" xfId="0" applyNumberFormat="1" applyFont="1" applyFill="1"/>
    <xf numFmtId="0" fontId="0" fillId="5" borderId="0" xfId="0" applyFill="1"/>
    <xf numFmtId="168" fontId="0" fillId="5" borderId="0" xfId="0" applyNumberFormat="1" applyFill="1"/>
    <xf numFmtId="43" fontId="0" fillId="5" borderId="1" xfId="0" applyNumberFormat="1" applyFill="1" applyBorder="1"/>
    <xf numFmtId="43" fontId="0" fillId="5" borderId="0" xfId="0" applyNumberFormat="1" applyFill="1"/>
    <xf numFmtId="43" fontId="5" fillId="5" borderId="0" xfId="0" applyNumberFormat="1" applyFont="1" applyFill="1"/>
    <xf numFmtId="43" fontId="3" fillId="5" borderId="0" xfId="0" applyNumberFormat="1" applyFont="1" applyFill="1"/>
    <xf numFmtId="43" fontId="3" fillId="5" borderId="1" xfId="0" applyNumberFormat="1" applyFont="1" applyFill="1" applyBorder="1"/>
    <xf numFmtId="169" fontId="0" fillId="5" borderId="0" xfId="0" applyNumberFormat="1" applyFill="1"/>
    <xf numFmtId="0" fontId="0" fillId="5" borderId="40" xfId="0" applyFill="1" applyBorder="1"/>
    <xf numFmtId="167" fontId="11" fillId="5" borderId="1" xfId="0" applyNumberFormat="1" applyFont="1" applyFill="1" applyBorder="1"/>
    <xf numFmtId="43" fontId="0" fillId="5" borderId="35" xfId="0" applyNumberFormat="1" applyFill="1" applyBorder="1"/>
    <xf numFmtId="43" fontId="0" fillId="5" borderId="36" xfId="0" applyNumberFormat="1" applyFill="1" applyBorder="1"/>
    <xf numFmtId="43" fontId="20" fillId="5" borderId="0" xfId="0" applyNumberFormat="1" applyFont="1" applyFill="1"/>
    <xf numFmtId="43" fontId="6" fillId="0" borderId="0" xfId="0" applyNumberFormat="1" applyFont="1"/>
    <xf numFmtId="0" fontId="5" fillId="5" borderId="0" xfId="0" applyFont="1" applyFill="1"/>
    <xf numFmtId="0" fontId="8" fillId="0" borderId="59" xfId="0" applyFont="1" applyBorder="1" applyAlignment="1">
      <alignment vertical="top"/>
    </xf>
    <xf numFmtId="165" fontId="8" fillId="0" borderId="60" xfId="0" applyNumberFormat="1" applyFont="1" applyBorder="1" applyAlignment="1">
      <alignment vertical="top"/>
    </xf>
    <xf numFmtId="165" fontId="8" fillId="0" borderId="61" xfId="0" applyNumberFormat="1" applyFont="1" applyBorder="1" applyAlignment="1">
      <alignment vertical="top"/>
    </xf>
    <xf numFmtId="165" fontId="8" fillId="0" borderId="62" xfId="0" applyNumberFormat="1" applyFont="1" applyBorder="1" applyAlignment="1">
      <alignment vertical="top"/>
    </xf>
    <xf numFmtId="0" fontId="0" fillId="0" borderId="64" xfId="0" applyBorder="1"/>
    <xf numFmtId="17" fontId="9" fillId="0" borderId="63" xfId="0" applyNumberFormat="1" applyFont="1" applyBorder="1" applyAlignment="1">
      <alignment horizontal="center" vertical="top"/>
    </xf>
    <xf numFmtId="0" fontId="0" fillId="9" borderId="0" xfId="0" applyFill="1"/>
    <xf numFmtId="168" fontId="0" fillId="9" borderId="0" xfId="0" applyNumberFormat="1" applyFill="1"/>
    <xf numFmtId="0" fontId="0" fillId="9" borderId="0" xfId="0" applyFill="1" applyAlignment="1">
      <alignment horizontal="right"/>
    </xf>
    <xf numFmtId="43" fontId="0" fillId="9" borderId="0" xfId="0" applyNumberFormat="1" applyFill="1"/>
    <xf numFmtId="169" fontId="0" fillId="9" borderId="0" xfId="0" applyNumberFormat="1" applyFill="1"/>
    <xf numFmtId="168" fontId="4" fillId="8" borderId="0" xfId="0" applyNumberFormat="1" applyFont="1" applyFill="1"/>
    <xf numFmtId="0" fontId="5" fillId="6" borderId="0" xfId="0" applyFont="1" applyFill="1" applyAlignment="1">
      <alignment horizontal="center"/>
    </xf>
    <xf numFmtId="43" fontId="3" fillId="6" borderId="0" xfId="0" applyNumberFormat="1" applyFont="1" applyFill="1"/>
    <xf numFmtId="0" fontId="3" fillId="2" borderId="0" xfId="0" applyFont="1" applyFill="1"/>
    <xf numFmtId="43" fontId="5" fillId="0" borderId="30" xfId="0" applyNumberFormat="1" applyFont="1" applyBorder="1"/>
    <xf numFmtId="43" fontId="5" fillId="0" borderId="65" xfId="0" applyNumberFormat="1" applyFont="1" applyBorder="1"/>
    <xf numFmtId="0" fontId="0" fillId="0" borderId="52" xfId="0" applyBorder="1"/>
    <xf numFmtId="168" fontId="0" fillId="0" borderId="67" xfId="0" applyNumberFormat="1" applyBorder="1"/>
    <xf numFmtId="168" fontId="0" fillId="0" borderId="66" xfId="0" applyNumberFormat="1" applyBorder="1"/>
    <xf numFmtId="0" fontId="0" fillId="0" borderId="39" xfId="0" applyBorder="1" applyAlignment="1">
      <alignment horizontal="left"/>
    </xf>
    <xf numFmtId="0" fontId="5" fillId="0" borderId="67" xfId="0" applyFont="1" applyBorder="1" applyAlignment="1">
      <alignment horizontal="left"/>
    </xf>
    <xf numFmtId="0" fontId="0" fillId="0" borderId="67" xfId="0" applyBorder="1"/>
    <xf numFmtId="43" fontId="0" fillId="0" borderId="67" xfId="0" applyNumberFormat="1" applyBorder="1"/>
    <xf numFmtId="0" fontId="5" fillId="0" borderId="67" xfId="0" applyFont="1" applyBorder="1"/>
    <xf numFmtId="0" fontId="11" fillId="0" borderId="68" xfId="0" applyFont="1" applyBorder="1" applyAlignment="1">
      <alignment horizontal="center"/>
    </xf>
    <xf numFmtId="0" fontId="11" fillId="0" borderId="1" xfId="0" applyFont="1" applyBorder="1"/>
    <xf numFmtId="167" fontId="11" fillId="0" borderId="36" xfId="0" applyNumberFormat="1" applyFont="1" applyBorder="1"/>
    <xf numFmtId="167" fontId="11" fillId="5" borderId="36" xfId="0" applyNumberFormat="1" applyFont="1" applyFill="1" applyBorder="1"/>
    <xf numFmtId="167" fontId="11" fillId="0" borderId="69" xfId="0" applyNumberFormat="1" applyFont="1" applyBorder="1"/>
    <xf numFmtId="0" fontId="0" fillId="8" borderId="5" xfId="0" applyFill="1" applyBorder="1" applyAlignment="1">
      <alignment horizontal="left"/>
    </xf>
    <xf numFmtId="0" fontId="0" fillId="8" borderId="0" xfId="0" applyFill="1"/>
    <xf numFmtId="168" fontId="5" fillId="7" borderId="0" xfId="0" applyNumberFormat="1" applyFont="1" applyFill="1"/>
    <xf numFmtId="43" fontId="5" fillId="7" borderId="0" xfId="0" applyNumberFormat="1" applyFont="1" applyFill="1"/>
    <xf numFmtId="43" fontId="5" fillId="7" borderId="1" xfId="0" applyNumberFormat="1" applyFont="1" applyFill="1" applyBorder="1"/>
    <xf numFmtId="168" fontId="11" fillId="0" borderId="0" xfId="0" applyNumberFormat="1" applyFont="1"/>
    <xf numFmtId="168" fontId="11" fillId="10" borderId="0" xfId="0" applyNumberFormat="1" applyFont="1" applyFill="1"/>
    <xf numFmtId="43" fontId="11" fillId="0" borderId="0" xfId="0" applyNumberFormat="1" applyFont="1"/>
    <xf numFmtId="0" fontId="23" fillId="0" borderId="0" xfId="0" applyFont="1"/>
    <xf numFmtId="0" fontId="24" fillId="0" borderId="0" xfId="0" applyFont="1"/>
    <xf numFmtId="0" fontId="15" fillId="11" borderId="34" xfId="0" applyFont="1" applyFill="1" applyBorder="1"/>
    <xf numFmtId="0" fontId="15" fillId="11" borderId="30" xfId="0" applyFont="1" applyFill="1" applyBorder="1"/>
    <xf numFmtId="43" fontId="0" fillId="11" borderId="35" xfId="0" applyNumberFormat="1" applyFill="1" applyBorder="1"/>
    <xf numFmtId="0" fontId="15" fillId="11" borderId="32" xfId="0" applyFont="1" applyFill="1" applyBorder="1"/>
    <xf numFmtId="0" fontId="15" fillId="11" borderId="0" xfId="0" applyFont="1" applyFill="1"/>
    <xf numFmtId="0" fontId="15" fillId="11" borderId="33" xfId="0" applyFont="1" applyFill="1" applyBorder="1"/>
    <xf numFmtId="0" fontId="15" fillId="11" borderId="1" xfId="0" applyFont="1" applyFill="1" applyBorder="1"/>
    <xf numFmtId="43" fontId="0" fillId="11" borderId="36" xfId="0" applyNumberFormat="1" applyFill="1" applyBorder="1"/>
    <xf numFmtId="0" fontId="24" fillId="12" borderId="0" xfId="0" applyFont="1" applyFill="1"/>
    <xf numFmtId="0" fontId="14" fillId="12" borderId="0" xfId="0" applyFont="1" applyFill="1"/>
    <xf numFmtId="167" fontId="11" fillId="12" borderId="33" xfId="0" applyNumberFormat="1" applyFont="1" applyFill="1" applyBorder="1" applyAlignment="1">
      <alignment horizontal="center"/>
    </xf>
    <xf numFmtId="167" fontId="11" fillId="12" borderId="1" xfId="0" applyNumberFormat="1" applyFont="1" applyFill="1" applyBorder="1" applyAlignment="1">
      <alignment horizontal="center"/>
    </xf>
    <xf numFmtId="0" fontId="25" fillId="0" borderId="0" xfId="0" applyFont="1"/>
    <xf numFmtId="0" fontId="5" fillId="0" borderId="0" xfId="0" applyFont="1" applyAlignment="1">
      <alignment horizontal="left"/>
    </xf>
    <xf numFmtId="0" fontId="5" fillId="0" borderId="70" xfId="0" applyFont="1" applyBorder="1" applyAlignment="1">
      <alignment horizontal="left"/>
    </xf>
    <xf numFmtId="0" fontId="0" fillId="0" borderId="40" xfId="0" applyBorder="1" applyAlignment="1">
      <alignment horizontal="right"/>
    </xf>
    <xf numFmtId="168" fontId="5" fillId="5" borderId="0" xfId="0" applyNumberFormat="1" applyFont="1" applyFill="1"/>
    <xf numFmtId="10" fontId="0" fillId="0" borderId="49" xfId="0" applyNumberFormat="1" applyBorder="1"/>
    <xf numFmtId="43" fontId="5" fillId="13" borderId="0" xfId="0" applyNumberFormat="1" applyFont="1" applyFill="1"/>
    <xf numFmtId="43" fontId="0" fillId="13" borderId="0" xfId="0" applyNumberFormat="1" applyFill="1"/>
    <xf numFmtId="43" fontId="0" fillId="13" borderId="6" xfId="0" applyNumberFormat="1" applyFill="1" applyBorder="1"/>
    <xf numFmtId="0" fontId="5" fillId="0" borderId="5" xfId="0" applyFont="1" applyBorder="1"/>
    <xf numFmtId="0" fontId="5" fillId="0" borderId="71" xfId="0" applyFont="1" applyBorder="1"/>
    <xf numFmtId="0" fontId="0" fillId="0" borderId="70" xfId="0" applyBorder="1"/>
    <xf numFmtId="168" fontId="0" fillId="0" borderId="70" xfId="0" applyNumberFormat="1" applyBorder="1"/>
    <xf numFmtId="0" fontId="0" fillId="0" borderId="40" xfId="0" applyBorder="1" applyAlignment="1">
      <alignment horizontal="left"/>
    </xf>
    <xf numFmtId="0" fontId="5" fillId="0" borderId="58" xfId="0" applyFont="1" applyBorder="1" applyAlignment="1">
      <alignment horizontal="center"/>
    </xf>
    <xf numFmtId="43" fontId="5" fillId="13" borderId="6" xfId="0" applyNumberFormat="1" applyFont="1" applyFill="1" applyBorder="1"/>
    <xf numFmtId="43" fontId="0" fillId="5" borderId="30" xfId="0" applyNumberFormat="1" applyFill="1" applyBorder="1"/>
    <xf numFmtId="43" fontId="5" fillId="7" borderId="6" xfId="0" applyNumberFormat="1" applyFont="1" applyFill="1" applyBorder="1"/>
    <xf numFmtId="43" fontId="5" fillId="7" borderId="38" xfId="0" applyNumberFormat="1" applyFont="1" applyFill="1" applyBorder="1"/>
    <xf numFmtId="43" fontId="5" fillId="8" borderId="6" xfId="0" applyNumberFormat="1" applyFont="1" applyFill="1" applyBorder="1"/>
    <xf numFmtId="164" fontId="0" fillId="8" borderId="0" xfId="0" applyNumberFormat="1" applyFill="1"/>
    <xf numFmtId="164" fontId="0" fillId="0" borderId="0" xfId="0" applyNumberFormat="1"/>
    <xf numFmtId="43" fontId="11" fillId="7" borderId="0" xfId="0" applyNumberFormat="1" applyFont="1" applyFill="1"/>
    <xf numFmtId="0" fontId="13" fillId="0" borderId="0" xfId="0" applyFont="1" applyAlignment="1">
      <alignment horizontal="center"/>
    </xf>
    <xf numFmtId="168" fontId="5" fillId="7" borderId="6" xfId="0" applyNumberFormat="1" applyFont="1" applyFill="1" applyBorder="1"/>
    <xf numFmtId="0" fontId="0" fillId="0" borderId="0" xfId="0" applyAlignment="1">
      <alignment horizontal="left"/>
    </xf>
    <xf numFmtId="168" fontId="3" fillId="7" borderId="0" xfId="0" applyNumberFormat="1" applyFont="1" applyFill="1"/>
    <xf numFmtId="168" fontId="3" fillId="7" borderId="6" xfId="0" applyNumberFormat="1" applyFont="1" applyFill="1" applyBorder="1"/>
    <xf numFmtId="43" fontId="3" fillId="7" borderId="0" xfId="0" applyNumberFormat="1" applyFont="1" applyFill="1"/>
    <xf numFmtId="43" fontId="3" fillId="7" borderId="6" xfId="0" applyNumberFormat="1" applyFont="1" applyFill="1" applyBorder="1"/>
    <xf numFmtId="43" fontId="3" fillId="8" borderId="0" xfId="0" applyNumberFormat="1" applyFont="1" applyFill="1"/>
    <xf numFmtId="43" fontId="3" fillId="0" borderId="42" xfId="0" applyNumberFormat="1" applyFont="1" applyBorder="1"/>
    <xf numFmtId="43" fontId="6" fillId="5" borderId="0" xfId="0" applyNumberFormat="1" applyFont="1" applyFill="1"/>
    <xf numFmtId="43" fontId="3" fillId="13" borderId="0" xfId="0" applyNumberFormat="1" applyFont="1" applyFill="1"/>
    <xf numFmtId="43" fontId="3" fillId="5" borderId="30" xfId="0" applyNumberFormat="1" applyFont="1" applyFill="1" applyBorder="1"/>
    <xf numFmtId="0" fontId="26" fillId="12" borderId="0" xfId="0" applyFont="1" applyFill="1"/>
    <xf numFmtId="43" fontId="0" fillId="0" borderId="58" xfId="0" applyNumberFormat="1" applyBorder="1"/>
    <xf numFmtId="43" fontId="3" fillId="10" borderId="1" xfId="0" applyNumberFormat="1" applyFont="1" applyFill="1" applyBorder="1"/>
    <xf numFmtId="43" fontId="3" fillId="10" borderId="0" xfId="0" applyNumberFormat="1" applyFont="1" applyFill="1"/>
    <xf numFmtId="43" fontId="0" fillId="10" borderId="1" xfId="0" applyNumberFormat="1" applyFill="1" applyBorder="1"/>
    <xf numFmtId="43" fontId="0" fillId="14" borderId="0" xfId="0" applyNumberFormat="1" applyFill="1"/>
    <xf numFmtId="0" fontId="0" fillId="0" borderId="73" xfId="0" applyBorder="1" applyAlignment="1">
      <alignment horizontal="right"/>
    </xf>
    <xf numFmtId="0" fontId="5" fillId="0" borderId="73" xfId="0" applyFont="1" applyBorder="1" applyAlignment="1">
      <alignment horizontal="left"/>
    </xf>
    <xf numFmtId="0" fontId="0" fillId="0" borderId="73" xfId="0" applyBorder="1"/>
    <xf numFmtId="0" fontId="0" fillId="0" borderId="73" xfId="0" applyBorder="1" applyAlignment="1">
      <alignment horizontal="left" indent="1"/>
    </xf>
    <xf numFmtId="0" fontId="5" fillId="0" borderId="73" xfId="0" applyFont="1" applyBorder="1" applyAlignment="1">
      <alignment horizontal="right"/>
    </xf>
    <xf numFmtId="0" fontId="5" fillId="0" borderId="73" xfId="0" applyFont="1" applyBorder="1" applyAlignment="1">
      <alignment horizontal="left" indent="1"/>
    </xf>
    <xf numFmtId="0" fontId="0" fillId="14" borderId="72" xfId="0" applyFill="1" applyBorder="1" applyAlignment="1">
      <alignment horizontal="left" indent="1"/>
    </xf>
    <xf numFmtId="0" fontId="25" fillId="0" borderId="73" xfId="0" applyFont="1" applyBorder="1" applyAlignment="1">
      <alignment horizontal="left" indent="1"/>
    </xf>
    <xf numFmtId="0" fontId="25" fillId="0" borderId="72" xfId="0" applyFont="1" applyBorder="1" applyAlignment="1">
      <alignment horizontal="left" indent="1"/>
    </xf>
    <xf numFmtId="0" fontId="0" fillId="0" borderId="74" xfId="0" applyBorder="1" applyAlignment="1">
      <alignment horizontal="left" indent="1"/>
    </xf>
    <xf numFmtId="0" fontId="5" fillId="0" borderId="73" xfId="0" applyFont="1" applyBorder="1"/>
    <xf numFmtId="0" fontId="5" fillId="0" borderId="72" xfId="0" applyFont="1" applyBorder="1" applyAlignment="1">
      <alignment horizontal="left" indent="1"/>
    </xf>
    <xf numFmtId="0" fontId="15" fillId="11" borderId="32" xfId="0" applyFont="1" applyFill="1" applyBorder="1" applyAlignment="1">
      <alignment horizontal="left"/>
    </xf>
    <xf numFmtId="0" fontId="0" fillId="0" borderId="75" xfId="0" applyBorder="1"/>
    <xf numFmtId="43" fontId="0" fillId="11" borderId="73" xfId="0" applyNumberFormat="1" applyFill="1" applyBorder="1"/>
    <xf numFmtId="43" fontId="0" fillId="11" borderId="72" xfId="0" applyNumberFormat="1" applyFill="1" applyBorder="1"/>
    <xf numFmtId="43" fontId="0" fillId="11" borderId="34" xfId="0" applyNumberFormat="1" applyFill="1" applyBorder="1"/>
    <xf numFmtId="43" fontId="0" fillId="11" borderId="32" xfId="0" applyNumberFormat="1" applyFill="1" applyBorder="1"/>
    <xf numFmtId="43" fontId="0" fillId="11" borderId="33" xfId="0" applyNumberFormat="1" applyFill="1" applyBorder="1"/>
    <xf numFmtId="0" fontId="0" fillId="15" borderId="0" xfId="0" applyFill="1"/>
    <xf numFmtId="0" fontId="23" fillId="15" borderId="0" xfId="0" applyFont="1" applyFill="1"/>
    <xf numFmtId="168" fontId="11" fillId="15" borderId="0" xfId="0" applyNumberFormat="1" applyFont="1" applyFill="1"/>
    <xf numFmtId="168" fontId="0" fillId="15" borderId="0" xfId="0" applyNumberFormat="1" applyFill="1"/>
    <xf numFmtId="0" fontId="0" fillId="15" borderId="0" xfId="0" applyFill="1" applyAlignment="1">
      <alignment horizontal="right"/>
    </xf>
    <xf numFmtId="43" fontId="11" fillId="15" borderId="0" xfId="0" applyNumberFormat="1" applyFont="1" applyFill="1"/>
    <xf numFmtId="169" fontId="0" fillId="15" borderId="0" xfId="0" applyNumberFormat="1" applyFill="1"/>
    <xf numFmtId="43" fontId="0" fillId="15" borderId="0" xfId="0" applyNumberFormat="1" applyFill="1"/>
    <xf numFmtId="164" fontId="0" fillId="15" borderId="0" xfId="0" applyNumberFormat="1" applyFill="1"/>
    <xf numFmtId="0" fontId="3" fillId="15" borderId="0" xfId="0" applyFont="1" applyFill="1"/>
    <xf numFmtId="10" fontId="0" fillId="0" borderId="50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167" fontId="27" fillId="0" borderId="36" xfId="0" applyNumberFormat="1" applyFont="1" applyBorder="1" applyAlignment="1">
      <alignment horizontal="center"/>
    </xf>
    <xf numFmtId="167" fontId="27" fillId="5" borderId="36" xfId="0" applyNumberFormat="1" applyFont="1" applyFill="1" applyBorder="1" applyAlignment="1">
      <alignment horizontal="center"/>
    </xf>
    <xf numFmtId="167" fontId="27" fillId="0" borderId="33" xfId="0" applyNumberFormat="1" applyFont="1" applyBorder="1" applyAlignment="1">
      <alignment horizontal="center"/>
    </xf>
    <xf numFmtId="168" fontId="3" fillId="5" borderId="0" xfId="0" applyNumberFormat="1" applyFont="1" applyFill="1" applyAlignment="1">
      <alignment horizontal="center"/>
    </xf>
    <xf numFmtId="43" fontId="3" fillId="0" borderId="33" xfId="0" applyNumberFormat="1" applyFont="1" applyBorder="1"/>
    <xf numFmtId="43" fontId="5" fillId="14" borderId="0" xfId="0" applyNumberFormat="1" applyFont="1" applyFill="1"/>
    <xf numFmtId="43" fontId="5" fillId="14" borderId="33" xfId="0" applyNumberFormat="1" applyFont="1" applyFill="1" applyBorder="1"/>
    <xf numFmtId="43" fontId="5" fillId="14" borderId="1" xfId="0" applyNumberFormat="1" applyFont="1" applyFill="1" applyBorder="1"/>
    <xf numFmtId="43" fontId="5" fillId="13" borderId="33" xfId="0" applyNumberFormat="1" applyFont="1" applyFill="1" applyBorder="1"/>
    <xf numFmtId="43" fontId="5" fillId="13" borderId="1" xfId="0" applyNumberFormat="1" applyFont="1" applyFill="1" applyBorder="1"/>
    <xf numFmtId="43" fontId="3" fillId="13" borderId="33" xfId="0" applyNumberFormat="1" applyFont="1" applyFill="1" applyBorder="1"/>
    <xf numFmtId="43" fontId="3" fillId="13" borderId="1" xfId="0" applyNumberFormat="1" applyFont="1" applyFill="1" applyBorder="1"/>
    <xf numFmtId="167" fontId="27" fillId="0" borderId="72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1" xfId="0" applyBorder="1"/>
    <xf numFmtId="0" fontId="0" fillId="0" borderId="5" xfId="0" applyBorder="1" applyAlignment="1">
      <alignment horizontal="center"/>
    </xf>
    <xf numFmtId="0" fontId="0" fillId="0" borderId="32" xfId="0" applyBorder="1"/>
    <xf numFmtId="0" fontId="27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35" xfId="0" applyBorder="1"/>
    <xf numFmtId="0" fontId="11" fillId="0" borderId="55" xfId="0" applyFont="1" applyBorder="1"/>
    <xf numFmtId="0" fontId="0" fillId="0" borderId="35" xfId="0" applyBorder="1" applyAlignment="1">
      <alignment horizontal="right"/>
    </xf>
    <xf numFmtId="0" fontId="5" fillId="0" borderId="35" xfId="0" applyFont="1" applyBorder="1" applyAlignment="1">
      <alignment horizontal="left"/>
    </xf>
    <xf numFmtId="0" fontId="0" fillId="0" borderId="35" xfId="0" applyBorder="1" applyAlignment="1">
      <alignment horizontal="left" indent="1"/>
    </xf>
    <xf numFmtId="0" fontId="0" fillId="14" borderId="35" xfId="0" applyFill="1" applyBorder="1" applyAlignment="1">
      <alignment horizontal="left" indent="1"/>
    </xf>
    <xf numFmtId="0" fontId="5" fillId="0" borderId="35" xfId="0" applyFont="1" applyBorder="1" applyAlignment="1">
      <alignment horizontal="right"/>
    </xf>
    <xf numFmtId="167" fontId="27" fillId="0" borderId="55" xfId="0" applyNumberFormat="1" applyFont="1" applyBorder="1" applyAlignment="1">
      <alignment horizontal="center"/>
    </xf>
    <xf numFmtId="10" fontId="0" fillId="0" borderId="55" xfId="0" applyNumberFormat="1" applyBorder="1" applyAlignment="1">
      <alignment horizontal="center"/>
    </xf>
    <xf numFmtId="0" fontId="5" fillId="0" borderId="77" xfId="0" applyFont="1" applyBorder="1" applyAlignment="1">
      <alignment horizontal="center"/>
    </xf>
    <xf numFmtId="0" fontId="5" fillId="0" borderId="75" xfId="0" applyFont="1" applyBorder="1" applyAlignment="1">
      <alignment horizontal="center"/>
    </xf>
    <xf numFmtId="168" fontId="0" fillId="0" borderId="75" xfId="0" applyNumberFormat="1" applyBorder="1"/>
    <xf numFmtId="43" fontId="0" fillId="0" borderId="75" xfId="0" applyNumberFormat="1" applyBorder="1"/>
    <xf numFmtId="43" fontId="3" fillId="0" borderId="29" xfId="0" applyNumberFormat="1" applyFont="1" applyBorder="1"/>
    <xf numFmtId="0" fontId="0" fillId="0" borderId="1" xfId="0" applyBorder="1" applyAlignment="1">
      <alignment horizontal="left"/>
    </xf>
    <xf numFmtId="0" fontId="5" fillId="0" borderId="35" xfId="0" applyFont="1" applyBorder="1" applyAlignment="1">
      <alignment horizontal="left" indent="1"/>
    </xf>
    <xf numFmtId="43" fontId="5" fillId="0" borderId="32" xfId="0" applyNumberFormat="1" applyFont="1" applyBorder="1"/>
    <xf numFmtId="168" fontId="0" fillId="0" borderId="34" xfId="0" applyNumberFormat="1" applyBorder="1"/>
    <xf numFmtId="43" fontId="5" fillId="0" borderId="1" xfId="0" applyNumberFormat="1" applyFont="1" applyBorder="1"/>
    <xf numFmtId="0" fontId="5" fillId="0" borderId="76" xfId="0" applyFont="1" applyBorder="1"/>
    <xf numFmtId="0" fontId="0" fillId="0" borderId="72" xfId="0" applyBorder="1" applyAlignment="1">
      <alignment horizontal="left"/>
    </xf>
    <xf numFmtId="0" fontId="5" fillId="0" borderId="40" xfId="0" applyFont="1" applyBorder="1" applyAlignment="1">
      <alignment horizontal="center"/>
    </xf>
    <xf numFmtId="43" fontId="3" fillId="10" borderId="29" xfId="0" applyNumberFormat="1" applyFont="1" applyFill="1" applyBorder="1"/>
    <xf numFmtId="0" fontId="0" fillId="0" borderId="30" xfId="0" applyBorder="1"/>
    <xf numFmtId="43" fontId="3" fillId="5" borderId="29" xfId="0" applyNumberFormat="1" applyFont="1" applyFill="1" applyBorder="1"/>
    <xf numFmtId="43" fontId="3" fillId="0" borderId="79" xfId="0" applyNumberFormat="1" applyFont="1" applyBorder="1"/>
    <xf numFmtId="43" fontId="0" fillId="0" borderId="78" xfId="0" applyNumberFormat="1" applyBorder="1"/>
    <xf numFmtId="43" fontId="0" fillId="0" borderId="80" xfId="0" applyNumberFormat="1" applyBorder="1"/>
    <xf numFmtId="0" fontId="0" fillId="0" borderId="78" xfId="0" applyBorder="1"/>
    <xf numFmtId="0" fontId="0" fillId="0" borderId="80" xfId="0" applyBorder="1"/>
    <xf numFmtId="43" fontId="5" fillId="0" borderId="80" xfId="0" applyNumberFormat="1" applyFont="1" applyBorder="1"/>
    <xf numFmtId="43" fontId="0" fillId="11" borderId="30" xfId="0" applyNumberFormat="1" applyFill="1" applyBorder="1"/>
    <xf numFmtId="43" fontId="0" fillId="11" borderId="0" xfId="0" applyNumberFormat="1" applyFill="1"/>
    <xf numFmtId="43" fontId="0" fillId="11" borderId="1" xfId="0" applyNumberFormat="1" applyFill="1" applyBorder="1"/>
    <xf numFmtId="0" fontId="3" fillId="0" borderId="30" xfId="0" applyFont="1" applyBorder="1" applyAlignment="1">
      <alignment horizontal="center"/>
    </xf>
    <xf numFmtId="43" fontId="3" fillId="0" borderId="30" xfId="0" applyNumberFormat="1" applyFont="1" applyBorder="1"/>
    <xf numFmtId="43" fontId="5" fillId="5" borderId="1" xfId="0" applyNumberFormat="1" applyFont="1" applyFill="1" applyBorder="1"/>
    <xf numFmtId="0" fontId="2" fillId="0" borderId="0" xfId="0" applyFont="1"/>
    <xf numFmtId="4" fontId="32" fillId="0" borderId="1" xfId="0" applyNumberFormat="1" applyFont="1" applyBorder="1" applyAlignment="1">
      <alignment vertical="top"/>
    </xf>
    <xf numFmtId="17" fontId="33" fillId="16" borderId="1" xfId="0" applyNumberFormat="1" applyFont="1" applyFill="1" applyBorder="1" applyAlignment="1">
      <alignment horizontal="center" vertical="top"/>
    </xf>
    <xf numFmtId="0" fontId="29" fillId="0" borderId="85" xfId="0" applyFont="1" applyBorder="1"/>
    <xf numFmtId="165" fontId="33" fillId="0" borderId="29" xfId="0" applyNumberFormat="1" applyFont="1" applyBorder="1" applyAlignment="1">
      <alignment vertical="top"/>
    </xf>
    <xf numFmtId="0" fontId="2" fillId="0" borderId="73" xfId="0" applyFont="1" applyBorder="1"/>
    <xf numFmtId="0" fontId="2" fillId="3" borderId="81" xfId="0" applyFont="1" applyFill="1" applyBorder="1"/>
    <xf numFmtId="0" fontId="29" fillId="3" borderId="82" xfId="0" applyFont="1" applyFill="1" applyBorder="1"/>
    <xf numFmtId="165" fontId="33" fillId="0" borderId="83" xfId="0" applyNumberFormat="1" applyFont="1" applyBorder="1" applyAlignment="1">
      <alignment vertical="top"/>
    </xf>
    <xf numFmtId="0" fontId="2" fillId="0" borderId="29" xfId="0" applyFont="1" applyBorder="1"/>
    <xf numFmtId="0" fontId="29" fillId="0" borderId="82" xfId="0" applyFont="1" applyBorder="1"/>
    <xf numFmtId="165" fontId="2" fillId="0" borderId="1" xfId="0" applyNumberFormat="1" applyFont="1" applyBorder="1"/>
    <xf numFmtId="0" fontId="2" fillId="0" borderId="81" xfId="0" applyFont="1" applyBorder="1"/>
    <xf numFmtId="17" fontId="33" fillId="16" borderId="72" xfId="0" applyNumberFormat="1" applyFont="1" applyFill="1" applyBorder="1" applyAlignment="1">
      <alignment horizontal="center" vertical="top"/>
    </xf>
    <xf numFmtId="165" fontId="33" fillId="0" borderId="50" xfId="0" applyNumberFormat="1" applyFont="1" applyBorder="1" applyAlignment="1">
      <alignment vertical="top"/>
    </xf>
    <xf numFmtId="0" fontId="2" fillId="3" borderId="85" xfId="0" applyFont="1" applyFill="1" applyBorder="1"/>
    <xf numFmtId="165" fontId="33" fillId="0" borderId="84" xfId="0" applyNumberFormat="1" applyFont="1" applyBorder="1" applyAlignment="1">
      <alignment vertical="top"/>
    </xf>
    <xf numFmtId="0" fontId="2" fillId="0" borderId="50" xfId="0" applyFont="1" applyBorder="1"/>
    <xf numFmtId="165" fontId="2" fillId="0" borderId="72" xfId="0" applyNumberFormat="1" applyFont="1" applyBorder="1"/>
    <xf numFmtId="0" fontId="2" fillId="0" borderId="85" xfId="0" applyFont="1" applyBorder="1"/>
    <xf numFmtId="165" fontId="0" fillId="0" borderId="0" xfId="0" applyNumberFormat="1"/>
    <xf numFmtId="0" fontId="34" fillId="0" borderId="1" xfId="0" applyFont="1" applyBorder="1"/>
    <xf numFmtId="43" fontId="0" fillId="16" borderId="1" xfId="0" applyNumberFormat="1" applyFill="1" applyBorder="1"/>
    <xf numFmtId="43" fontId="3" fillId="16" borderId="1" xfId="0" applyNumberFormat="1" applyFont="1" applyFill="1" applyBorder="1"/>
    <xf numFmtId="43" fontId="0" fillId="0" borderId="30" xfId="0" applyNumberFormat="1" applyBorder="1"/>
    <xf numFmtId="43" fontId="5" fillId="13" borderId="38" xfId="0" applyNumberFormat="1" applyFont="1" applyFill="1" applyBorder="1"/>
    <xf numFmtId="0" fontId="5" fillId="15" borderId="0" xfId="0" applyFont="1" applyFill="1" applyAlignment="1">
      <alignment horizontal="center"/>
    </xf>
    <xf numFmtId="166" fontId="0" fillId="15" borderId="0" xfId="0" applyNumberFormat="1" applyFill="1"/>
    <xf numFmtId="0" fontId="5" fillId="0" borderId="55" xfId="0" applyFont="1" applyBorder="1" applyAlignment="1">
      <alignment horizontal="right"/>
    </xf>
    <xf numFmtId="0" fontId="0" fillId="0" borderId="86" xfId="0" applyBorder="1"/>
    <xf numFmtId="0" fontId="5" fillId="0" borderId="50" xfId="0" applyFont="1" applyBorder="1" applyAlignment="1">
      <alignment horizontal="right"/>
    </xf>
    <xf numFmtId="0" fontId="11" fillId="15" borderId="0" xfId="0" applyFont="1" applyFill="1" applyAlignment="1">
      <alignment horizontal="center"/>
    </xf>
    <xf numFmtId="0" fontId="11" fillId="15" borderId="0" xfId="0" applyFont="1" applyFill="1" applyAlignment="1">
      <alignment horizontal="right"/>
    </xf>
    <xf numFmtId="0" fontId="5" fillId="15" borderId="0" xfId="0" applyFont="1" applyFill="1" applyAlignment="1">
      <alignment horizontal="right"/>
    </xf>
    <xf numFmtId="0" fontId="5" fillId="15" borderId="0" xfId="0" applyFont="1" applyFill="1"/>
    <xf numFmtId="43" fontId="19" fillId="0" borderId="0" xfId="0" applyNumberFormat="1" applyFont="1"/>
    <xf numFmtId="43" fontId="5" fillId="17" borderId="0" xfId="0" applyNumberFormat="1" applyFont="1" applyFill="1"/>
    <xf numFmtId="0" fontId="0" fillId="18" borderId="35" xfId="0" applyFill="1" applyBorder="1" applyAlignment="1">
      <alignment horizontal="right"/>
    </xf>
    <xf numFmtId="0" fontId="27" fillId="15" borderId="0" xfId="0" applyFont="1" applyFill="1" applyAlignment="1">
      <alignment horizontal="right"/>
    </xf>
    <xf numFmtId="0" fontId="0" fillId="0" borderId="87" xfId="0" applyBorder="1" applyAlignment="1">
      <alignment horizontal="right"/>
    </xf>
    <xf numFmtId="43" fontId="3" fillId="0" borderId="40" xfId="0" applyNumberFormat="1" applyFont="1" applyBorder="1"/>
    <xf numFmtId="0" fontId="5" fillId="0" borderId="72" xfId="0" applyFont="1" applyBorder="1" applyAlignment="1">
      <alignment horizontal="right"/>
    </xf>
    <xf numFmtId="0" fontId="13" fillId="0" borderId="73" xfId="0" applyFont="1" applyBorder="1" applyAlignment="1">
      <alignment horizontal="center"/>
    </xf>
    <xf numFmtId="0" fontId="0" fillId="0" borderId="67" xfId="0" applyBorder="1" applyAlignment="1">
      <alignment horizontal="right"/>
    </xf>
    <xf numFmtId="43" fontId="3" fillId="0" borderId="67" xfId="0" applyNumberFormat="1" applyFont="1" applyBorder="1"/>
    <xf numFmtId="0" fontId="0" fillId="15" borderId="0" xfId="0" applyFill="1" applyAlignment="1">
      <alignment horizontal="center"/>
    </xf>
    <xf numFmtId="0" fontId="35" fillId="15" borderId="0" xfId="0" applyFont="1" applyFill="1" applyAlignment="1">
      <alignment horizontal="right"/>
    </xf>
    <xf numFmtId="0" fontId="0" fillId="0" borderId="1" xfId="0" applyBorder="1" applyAlignment="1">
      <alignment horizontal="right"/>
    </xf>
    <xf numFmtId="168" fontId="0" fillId="0" borderId="32" xfId="0" applyNumberFormat="1" applyBorder="1"/>
    <xf numFmtId="168" fontId="0" fillId="0" borderId="30" xfId="0" applyNumberFormat="1" applyBorder="1"/>
    <xf numFmtId="0" fontId="0" fillId="0" borderId="76" xfId="0" applyBorder="1"/>
    <xf numFmtId="0" fontId="0" fillId="0" borderId="88" xfId="0" applyBorder="1"/>
    <xf numFmtId="0" fontId="5" fillId="0" borderId="35" xfId="0" applyFont="1" applyBorder="1" applyAlignment="1">
      <alignment horizontal="center"/>
    </xf>
    <xf numFmtId="168" fontId="0" fillId="0" borderId="35" xfId="0" applyNumberFormat="1" applyBorder="1"/>
    <xf numFmtId="43" fontId="5" fillId="0" borderId="76" xfId="0" applyNumberFormat="1" applyFont="1" applyBorder="1"/>
    <xf numFmtId="43" fontId="0" fillId="11" borderId="76" xfId="0" applyNumberFormat="1" applyFill="1" applyBorder="1"/>
    <xf numFmtId="0" fontId="0" fillId="0" borderId="32" xfId="0" applyBorder="1" applyAlignment="1">
      <alignment horizontal="right"/>
    </xf>
    <xf numFmtId="43" fontId="3" fillId="10" borderId="32" xfId="0" applyNumberFormat="1" applyFont="1" applyFill="1" applyBorder="1"/>
    <xf numFmtId="0" fontId="0" fillId="0" borderId="33" xfId="0" applyBorder="1"/>
    <xf numFmtId="0" fontId="0" fillId="0" borderId="36" xfId="0" applyBorder="1"/>
    <xf numFmtId="0" fontId="0" fillId="0" borderId="34" xfId="0" applyBorder="1"/>
    <xf numFmtId="43" fontId="27" fillId="15" borderId="0" xfId="0" applyNumberFormat="1" applyFont="1" applyFill="1"/>
    <xf numFmtId="0" fontId="27" fillId="15" borderId="0" xfId="0" applyFont="1" applyFill="1" applyAlignment="1">
      <alignment horizontal="center"/>
    </xf>
    <xf numFmtId="43" fontId="3" fillId="15" borderId="0" xfId="0" applyNumberFormat="1" applyFont="1" applyFill="1"/>
    <xf numFmtId="164" fontId="5" fillId="15" borderId="0" xfId="0" applyNumberFormat="1" applyFont="1" applyFill="1"/>
    <xf numFmtId="170" fontId="0" fillId="15" borderId="0" xfId="0" applyNumberFormat="1" applyFill="1" applyAlignment="1">
      <alignment horizontal="right"/>
    </xf>
    <xf numFmtId="168" fontId="5" fillId="14" borderId="0" xfId="0" applyNumberFormat="1" applyFont="1" applyFill="1"/>
    <xf numFmtId="43" fontId="0" fillId="11" borderId="74" xfId="0" applyNumberFormat="1" applyFill="1" applyBorder="1"/>
    <xf numFmtId="170" fontId="5" fillId="14" borderId="0" xfId="0" applyNumberFormat="1" applyFont="1" applyFill="1"/>
    <xf numFmtId="168" fontId="5" fillId="14" borderId="32" xfId="0" applyNumberFormat="1" applyFont="1" applyFill="1" applyBorder="1"/>
    <xf numFmtId="10" fontId="5" fillId="7" borderId="1" xfId="0" applyNumberFormat="1" applyFont="1" applyFill="1" applyBorder="1" applyAlignment="1">
      <alignment horizontal="center"/>
    </xf>
    <xf numFmtId="0" fontId="27" fillId="0" borderId="67" xfId="0" applyFont="1" applyBorder="1" applyAlignment="1">
      <alignment horizontal="center"/>
    </xf>
    <xf numFmtId="0" fontId="37" fillId="19" borderId="0" xfId="0" applyFont="1" applyFill="1" applyAlignment="1">
      <alignment horizontal="left"/>
    </xf>
    <xf numFmtId="167" fontId="37" fillId="19" borderId="0" xfId="0" applyNumberFormat="1" applyFont="1" applyFill="1" applyAlignment="1">
      <alignment horizontal="center"/>
    </xf>
    <xf numFmtId="0" fontId="37" fillId="19" borderId="0" xfId="0" applyFont="1" applyFill="1" applyAlignment="1">
      <alignment horizontal="center"/>
    </xf>
    <xf numFmtId="0" fontId="37" fillId="19" borderId="73" xfId="0" applyFont="1" applyFill="1" applyBorder="1" applyAlignment="1">
      <alignment horizontal="center"/>
    </xf>
    <xf numFmtId="0" fontId="38" fillId="20" borderId="72" xfId="0" applyFont="1" applyFill="1" applyBorder="1"/>
    <xf numFmtId="167" fontId="37" fillId="20" borderId="33" xfId="0" applyNumberFormat="1" applyFont="1" applyFill="1" applyBorder="1" applyAlignment="1">
      <alignment horizontal="center"/>
    </xf>
    <xf numFmtId="167" fontId="37" fillId="20" borderId="1" xfId="0" applyNumberFormat="1" applyFont="1" applyFill="1" applyBorder="1" applyAlignment="1">
      <alignment horizontal="center"/>
    </xf>
    <xf numFmtId="167" fontId="37" fillId="20" borderId="36" xfId="0" applyNumberFormat="1" applyFont="1" applyFill="1" applyBorder="1" applyAlignment="1">
      <alignment horizontal="center"/>
    </xf>
    <xf numFmtId="168" fontId="5" fillId="5" borderId="89" xfId="0" applyNumberFormat="1" applyFont="1" applyFill="1" applyBorder="1"/>
    <xf numFmtId="43" fontId="5" fillId="5" borderId="89" xfId="0" applyNumberFormat="1" applyFont="1" applyFill="1" applyBorder="1"/>
    <xf numFmtId="43" fontId="5" fillId="5" borderId="90" xfId="0" applyNumberFormat="1" applyFont="1" applyFill="1" applyBorder="1"/>
    <xf numFmtId="43" fontId="3" fillId="5" borderId="90" xfId="0" applyNumberFormat="1" applyFont="1" applyFill="1" applyBorder="1"/>
    <xf numFmtId="0" fontId="0" fillId="21" borderId="35" xfId="0" applyFill="1" applyBorder="1" applyAlignment="1">
      <alignment horizontal="left" indent="1"/>
    </xf>
    <xf numFmtId="43" fontId="5" fillId="10" borderId="1" xfId="0" applyNumberFormat="1" applyFont="1" applyFill="1" applyBorder="1"/>
    <xf numFmtId="43" fontId="11" fillId="10" borderId="0" xfId="0" applyNumberFormat="1" applyFont="1" applyFill="1"/>
    <xf numFmtId="43" fontId="11" fillId="10" borderId="1" xfId="0" applyNumberFormat="1" applyFont="1" applyFill="1" applyBorder="1"/>
    <xf numFmtId="0" fontId="11" fillId="21" borderId="35" xfId="0" applyFont="1" applyFill="1" applyBorder="1" applyAlignment="1">
      <alignment horizontal="right"/>
    </xf>
    <xf numFmtId="43" fontId="0" fillId="13" borderId="1" xfId="0" applyNumberFormat="1" applyFill="1" applyBorder="1"/>
    <xf numFmtId="43" fontId="0" fillId="13" borderId="33" xfId="0" applyNumberFormat="1" applyFill="1" applyBorder="1"/>
    <xf numFmtId="43" fontId="5" fillId="13" borderId="72" xfId="0" applyNumberFormat="1" applyFont="1" applyFill="1" applyBorder="1"/>
    <xf numFmtId="0" fontId="0" fillId="0" borderId="0" xfId="0" applyAlignment="1">
      <alignment horizontal="center"/>
    </xf>
    <xf numFmtId="170" fontId="0" fillId="15" borderId="0" xfId="0" applyNumberFormat="1" applyFill="1"/>
    <xf numFmtId="43" fontId="3" fillId="22" borderId="0" xfId="0" applyNumberFormat="1" applyFont="1" applyFill="1"/>
    <xf numFmtId="0" fontId="5" fillId="22" borderId="0" xfId="0" applyFont="1" applyFill="1"/>
    <xf numFmtId="0" fontId="0" fillId="22" borderId="0" xfId="0" applyFill="1"/>
    <xf numFmtId="0" fontId="38" fillId="20" borderId="1" xfId="0" applyFont="1" applyFill="1" applyBorder="1"/>
    <xf numFmtId="0" fontId="39" fillId="0" borderId="0" xfId="0" applyFont="1"/>
    <xf numFmtId="17" fontId="40" fillId="0" borderId="0" xfId="0" applyNumberFormat="1" applyFont="1" applyAlignment="1">
      <alignment horizontal="center"/>
    </xf>
    <xf numFmtId="0" fontId="40" fillId="0" borderId="1" xfId="0" applyFont="1" applyBorder="1"/>
    <xf numFmtId="43" fontId="40" fillId="0" borderId="1" xfId="0" applyNumberFormat="1" applyFont="1" applyBorder="1"/>
    <xf numFmtId="0" fontId="39" fillId="0" borderId="1" xfId="0" applyFont="1" applyBorder="1"/>
    <xf numFmtId="43" fontId="39" fillId="0" borderId="0" xfId="1" applyFont="1"/>
    <xf numFmtId="43" fontId="40" fillId="0" borderId="0" xfId="1" applyFont="1" applyAlignment="1">
      <alignment horizontal="center"/>
    </xf>
    <xf numFmtId="0" fontId="29" fillId="0" borderId="91" xfId="0" applyFont="1" applyBorder="1"/>
    <xf numFmtId="0" fontId="1" fillId="3" borderId="81" xfId="0" applyFont="1" applyFill="1" applyBorder="1"/>
    <xf numFmtId="0" fontId="1" fillId="3" borderId="85" xfId="0" applyFont="1" applyFill="1" applyBorder="1"/>
    <xf numFmtId="0" fontId="1" fillId="0" borderId="29" xfId="0" applyFont="1" applyBorder="1"/>
    <xf numFmtId="0" fontId="1" fillId="0" borderId="50" xfId="0" applyFont="1" applyBorder="1"/>
    <xf numFmtId="165" fontId="1" fillId="0" borderId="1" xfId="0" applyNumberFormat="1" applyFont="1" applyBorder="1"/>
    <xf numFmtId="165" fontId="1" fillId="0" borderId="72" xfId="0" applyNumberFormat="1" applyFont="1" applyBorder="1"/>
    <xf numFmtId="0" fontId="1" fillId="0" borderId="81" xfId="0" applyFont="1" applyBorder="1"/>
    <xf numFmtId="0" fontId="1" fillId="0" borderId="85" xfId="0" applyFont="1" applyBorder="1"/>
    <xf numFmtId="0" fontId="41" fillId="19" borderId="0" xfId="0" applyFont="1" applyFill="1"/>
    <xf numFmtId="17" fontId="42" fillId="19" borderId="1" xfId="0" applyNumberFormat="1" applyFont="1" applyFill="1" applyBorder="1" applyAlignment="1">
      <alignment horizontal="center" vertical="top"/>
    </xf>
    <xf numFmtId="17" fontId="42" fillId="19" borderId="72" xfId="0" applyNumberFormat="1" applyFont="1" applyFill="1" applyBorder="1" applyAlignment="1">
      <alignment horizontal="center" vertical="top"/>
    </xf>
    <xf numFmtId="165" fontId="0" fillId="0" borderId="32" xfId="0" applyNumberFormat="1" applyBorder="1"/>
    <xf numFmtId="165" fontId="33" fillId="0" borderId="29" xfId="0" applyNumberFormat="1" applyFont="1" applyBorder="1" applyAlignment="1">
      <alignment vertical="center"/>
    </xf>
    <xf numFmtId="165" fontId="33" fillId="0" borderId="50" xfId="0" applyNumberFormat="1" applyFont="1" applyBorder="1" applyAlignment="1">
      <alignment vertical="center"/>
    </xf>
    <xf numFmtId="0" fontId="2" fillId="3" borderId="81" xfId="0" applyFont="1" applyFill="1" applyBorder="1" applyAlignment="1">
      <alignment vertical="center"/>
    </xf>
    <xf numFmtId="0" fontId="2" fillId="3" borderId="85" xfId="0" applyFont="1" applyFill="1" applyBorder="1" applyAlignment="1">
      <alignment vertical="center"/>
    </xf>
    <xf numFmtId="165" fontId="33" fillId="0" borderId="83" xfId="0" applyNumberFormat="1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0" fontId="2" fillId="0" borderId="81" xfId="0" applyFont="1" applyBorder="1" applyAlignment="1">
      <alignment vertical="center"/>
    </xf>
    <xf numFmtId="0" fontId="2" fillId="0" borderId="85" xfId="0" applyFont="1" applyBorder="1" applyAlignment="1">
      <alignment vertical="center"/>
    </xf>
    <xf numFmtId="0" fontId="1" fillId="0" borderId="73" xfId="0" applyFont="1" applyBorder="1"/>
    <xf numFmtId="0" fontId="1" fillId="3" borderId="82" xfId="0" applyFont="1" applyFill="1" applyBorder="1"/>
    <xf numFmtId="0" fontId="1" fillId="0" borderId="82" xfId="0" applyFont="1" applyBorder="1"/>
    <xf numFmtId="0" fontId="1" fillId="0" borderId="91" xfId="0" applyFont="1" applyBorder="1"/>
    <xf numFmtId="43" fontId="0" fillId="0" borderId="0" xfId="1" applyFont="1"/>
    <xf numFmtId="43" fontId="4" fillId="5" borderId="0" xfId="0" applyNumberFormat="1" applyFont="1" applyFill="1"/>
    <xf numFmtId="168" fontId="5" fillId="5" borderId="89" xfId="0" applyNumberFormat="1" applyFont="1" applyFill="1" applyBorder="1" applyAlignment="1">
      <alignment horizontal="center"/>
    </xf>
    <xf numFmtId="43" fontId="5" fillId="5" borderId="89" xfId="0" applyNumberFormat="1" applyFont="1" applyFill="1" applyBorder="1" applyAlignment="1">
      <alignment horizontal="center"/>
    </xf>
    <xf numFmtId="168" fontId="27" fillId="15" borderId="0" xfId="0" applyNumberFormat="1" applyFont="1" applyFill="1"/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0" fontId="0" fillId="0" borderId="55" xfId="4" applyNumberFormat="1" applyFont="1" applyFill="1" applyBorder="1"/>
    <xf numFmtId="10" fontId="5" fillId="0" borderId="55" xfId="4" applyNumberFormat="1" applyFont="1" applyFill="1" applyBorder="1" applyAlignment="1">
      <alignment horizontal="center"/>
    </xf>
    <xf numFmtId="168" fontId="3" fillId="0" borderId="0" xfId="1" applyNumberFormat="1" applyFont="1" applyBorder="1"/>
    <xf numFmtId="168" fontId="0" fillId="0" borderId="0" xfId="1" applyNumberFormat="1" applyFont="1" applyBorder="1"/>
    <xf numFmtId="43" fontId="0" fillId="0" borderId="0" xfId="1" applyFont="1" applyBorder="1"/>
    <xf numFmtId="169" fontId="0" fillId="0" borderId="0" xfId="1" applyNumberFormat="1" applyFont="1" applyBorder="1"/>
    <xf numFmtId="168" fontId="0" fillId="0" borderId="0" xfId="1" applyNumberFormat="1" applyFont="1"/>
    <xf numFmtId="168" fontId="0" fillId="7" borderId="0" xfId="1" applyNumberFormat="1" applyFont="1" applyFill="1" applyBorder="1"/>
    <xf numFmtId="169" fontId="0" fillId="7" borderId="0" xfId="1" applyNumberFormat="1" applyFont="1" applyFill="1" applyBorder="1" applyAlignment="1">
      <alignment horizontal="center"/>
    </xf>
    <xf numFmtId="169" fontId="0" fillId="7" borderId="0" xfId="1" applyNumberFormat="1" applyFont="1" applyFill="1" applyBorder="1"/>
    <xf numFmtId="43" fontId="0" fillId="0" borderId="0" xfId="1" applyFont="1" applyFill="1" applyBorder="1"/>
    <xf numFmtId="43" fontId="5" fillId="0" borderId="0" xfId="1" applyFont="1" applyFill="1" applyBorder="1"/>
    <xf numFmtId="43" fontId="0" fillId="0" borderId="0" xfId="1" applyFont="1" applyFill="1"/>
    <xf numFmtId="43" fontId="3" fillId="0" borderId="0" xfId="1" applyFont="1" applyFill="1" applyBorder="1"/>
    <xf numFmtId="43" fontId="3" fillId="0" borderId="1" xfId="1" applyFont="1" applyFill="1" applyBorder="1"/>
    <xf numFmtId="43" fontId="5" fillId="0" borderId="0" xfId="0" applyNumberFormat="1" applyFont="1" applyAlignment="1">
      <alignment horizontal="right"/>
    </xf>
    <xf numFmtId="43" fontId="5" fillId="0" borderId="0" xfId="1" applyFont="1" applyBorder="1"/>
    <xf numFmtId="168" fontId="0" fillId="0" borderId="0" xfId="1" applyNumberFormat="1" applyFont="1" applyFill="1" applyBorder="1"/>
    <xf numFmtId="43" fontId="5" fillId="0" borderId="0" xfId="1" applyFont="1" applyFill="1" applyAlignment="1">
      <alignment horizontal="right"/>
    </xf>
    <xf numFmtId="43" fontId="5" fillId="0" borderId="0" xfId="1" applyFont="1" applyFill="1"/>
    <xf numFmtId="43" fontId="4" fillId="0" borderId="0" xfId="1" applyFont="1" applyFill="1"/>
    <xf numFmtId="43" fontId="3" fillId="0" borderId="0" xfId="1" applyFont="1" applyFill="1"/>
    <xf numFmtId="0" fontId="5" fillId="0" borderId="6" xfId="0" applyFont="1" applyBorder="1" applyAlignment="1">
      <alignment horizontal="center"/>
    </xf>
    <xf numFmtId="43" fontId="0" fillId="0" borderId="53" xfId="1" applyFont="1" applyBorder="1"/>
    <xf numFmtId="171" fontId="3" fillId="0" borderId="0" xfId="1" applyNumberFormat="1" applyFont="1" applyFill="1" applyBorder="1"/>
    <xf numFmtId="43" fontId="0" fillId="0" borderId="0" xfId="0" applyNumberFormat="1" applyAlignment="1">
      <alignment horizontal="right"/>
    </xf>
    <xf numFmtId="44" fontId="0" fillId="0" borderId="0" xfId="3" applyFont="1"/>
    <xf numFmtId="0" fontId="49" fillId="0" borderId="1" xfId="0" applyFont="1" applyBorder="1" applyAlignment="1">
      <alignment horizontal="center"/>
    </xf>
    <xf numFmtId="167" fontId="50" fillId="19" borderId="0" xfId="0" applyNumberFormat="1" applyFont="1" applyFill="1" applyAlignment="1">
      <alignment horizontal="center"/>
    </xf>
    <xf numFmtId="43" fontId="5" fillId="5" borderId="90" xfId="0" applyNumberFormat="1" applyFont="1" applyFill="1" applyBorder="1" applyAlignment="1">
      <alignment horizontal="center"/>
    </xf>
    <xf numFmtId="43" fontId="5" fillId="7" borderId="72" xfId="0" applyNumberFormat="1" applyFont="1" applyFill="1" applyBorder="1"/>
    <xf numFmtId="168" fontId="0" fillId="14" borderId="0" xfId="0" applyNumberFormat="1" applyFill="1"/>
    <xf numFmtId="169" fontId="0" fillId="14" borderId="0" xfId="0" applyNumberFormat="1" applyFill="1"/>
    <xf numFmtId="43" fontId="0" fillId="21" borderId="32" xfId="0" applyNumberFormat="1" applyFill="1" applyBorder="1"/>
    <xf numFmtId="43" fontId="0" fillId="21" borderId="0" xfId="0" applyNumberFormat="1" applyFill="1"/>
    <xf numFmtId="43" fontId="0" fillId="21" borderId="73" xfId="0" applyNumberFormat="1" applyFill="1" applyBorder="1"/>
    <xf numFmtId="0" fontId="27" fillId="0" borderId="35" xfId="0" applyFont="1" applyBorder="1" applyAlignment="1">
      <alignment horizontal="right"/>
    </xf>
    <xf numFmtId="0" fontId="0" fillId="0" borderId="73" xfId="0" applyBorder="1" applyAlignment="1">
      <alignment vertical="top"/>
    </xf>
    <xf numFmtId="0" fontId="0" fillId="0" borderId="0" xfId="0" applyAlignment="1">
      <alignment horizontal="left" vertical="top"/>
    </xf>
    <xf numFmtId="0" fontId="27" fillId="0" borderId="36" xfId="0" applyFont="1" applyBorder="1" applyAlignment="1">
      <alignment horizontal="right" vertical="top"/>
    </xf>
    <xf numFmtId="43" fontId="27" fillId="0" borderId="29" xfId="0" applyNumberFormat="1" applyFont="1" applyBorder="1" applyAlignment="1">
      <alignment vertical="top"/>
    </xf>
    <xf numFmtId="43" fontId="0" fillId="0" borderId="29" xfId="0" applyNumberFormat="1" applyBorder="1" applyAlignment="1">
      <alignment vertical="top"/>
    </xf>
    <xf numFmtId="43" fontId="3" fillId="0" borderId="29" xfId="0" applyNumberFormat="1" applyFont="1" applyBorder="1" applyAlignment="1">
      <alignment vertical="top"/>
    </xf>
    <xf numFmtId="43" fontId="3" fillId="5" borderId="29" xfId="0" applyNumberFormat="1" applyFont="1" applyFill="1" applyBorder="1" applyAlignment="1">
      <alignment vertical="top"/>
    </xf>
    <xf numFmtId="43" fontId="3" fillId="0" borderId="50" xfId="0" applyNumberFormat="1" applyFont="1" applyBorder="1" applyAlignment="1">
      <alignment vertical="top"/>
    </xf>
    <xf numFmtId="0" fontId="0" fillId="0" borderId="35" xfId="0" applyBorder="1" applyAlignment="1">
      <alignment vertical="top"/>
    </xf>
    <xf numFmtId="0" fontId="0" fillId="0" borderId="0" xfId="0" applyAlignment="1">
      <alignment vertical="top"/>
    </xf>
    <xf numFmtId="0" fontId="0" fillId="15" borderId="0" xfId="0" applyFill="1" applyAlignment="1">
      <alignment vertical="top"/>
    </xf>
    <xf numFmtId="0" fontId="0" fillId="15" borderId="0" xfId="0" applyFill="1" applyAlignment="1">
      <alignment horizontal="center" vertical="top"/>
    </xf>
    <xf numFmtId="43" fontId="3" fillId="0" borderId="1" xfId="0" applyNumberFormat="1" applyFont="1" applyBorder="1" applyAlignment="1">
      <alignment vertical="top"/>
    </xf>
    <xf numFmtId="43" fontId="0" fillId="0" borderId="1" xfId="0" applyNumberFormat="1" applyBorder="1" applyAlignment="1">
      <alignment vertical="top"/>
    </xf>
    <xf numFmtId="43" fontId="3" fillId="5" borderId="1" xfId="0" applyNumberFormat="1" applyFont="1" applyFill="1" applyBorder="1" applyAlignment="1">
      <alignment vertical="top"/>
    </xf>
    <xf numFmtId="43" fontId="0" fillId="0" borderId="72" xfId="0" applyNumberFormat="1" applyBorder="1"/>
    <xf numFmtId="43" fontId="3" fillId="0" borderId="34" xfId="0" applyNumberFormat="1" applyFont="1" applyBorder="1"/>
    <xf numFmtId="43" fontId="0" fillId="15" borderId="0" xfId="0" applyNumberFormat="1" applyFill="1" applyAlignment="1">
      <alignment vertical="top"/>
    </xf>
    <xf numFmtId="43" fontId="5" fillId="13" borderId="32" xfId="0" applyNumberFormat="1" applyFont="1" applyFill="1" applyBorder="1"/>
    <xf numFmtId="43" fontId="5" fillId="13" borderId="73" xfId="0" applyNumberFormat="1" applyFont="1" applyFill="1" applyBorder="1"/>
    <xf numFmtId="43" fontId="3" fillId="0" borderId="72" xfId="0" applyNumberFormat="1" applyFont="1" applyBorder="1"/>
    <xf numFmtId="0" fontId="27" fillId="0" borderId="76" xfId="0" applyFont="1" applyBorder="1" applyAlignment="1">
      <alignment horizontal="right" vertical="top"/>
    </xf>
    <xf numFmtId="43" fontId="3" fillId="0" borderId="0" xfId="0" applyNumberFormat="1" applyFont="1" applyAlignment="1">
      <alignment vertical="top"/>
    </xf>
    <xf numFmtId="43" fontId="0" fillId="0" borderId="0" xfId="0" applyNumberFormat="1" applyAlignment="1">
      <alignment vertical="top"/>
    </xf>
    <xf numFmtId="43" fontId="3" fillId="5" borderId="0" xfId="0" applyNumberFormat="1" applyFont="1" applyFill="1" applyAlignment="1">
      <alignment vertical="top"/>
    </xf>
    <xf numFmtId="43" fontId="3" fillId="0" borderId="65" xfId="0" applyNumberFormat="1" applyFont="1" applyBorder="1" applyAlignment="1">
      <alignment vertical="top"/>
    </xf>
    <xf numFmtId="43" fontId="3" fillId="0" borderId="93" xfId="0" applyNumberFormat="1" applyFont="1" applyBorder="1" applyAlignment="1">
      <alignment vertical="top"/>
    </xf>
    <xf numFmtId="0" fontId="0" fillId="15" borderId="0" xfId="0" applyFill="1" applyAlignment="1">
      <alignment horizontal="right" vertical="top"/>
    </xf>
    <xf numFmtId="168" fontId="0" fillId="14" borderId="32" xfId="0" applyNumberFormat="1" applyFill="1" applyBorder="1"/>
    <xf numFmtId="43" fontId="0" fillId="14" borderId="32" xfId="0" applyNumberFormat="1" applyFill="1" applyBorder="1"/>
    <xf numFmtId="43" fontId="3" fillId="0" borderId="32" xfId="0" applyNumberFormat="1" applyFont="1" applyBorder="1"/>
    <xf numFmtId="43" fontId="3" fillId="0" borderId="73" xfId="0" applyNumberFormat="1" applyFont="1" applyBorder="1"/>
    <xf numFmtId="0" fontId="0" fillId="0" borderId="40" xfId="0" applyBorder="1" applyAlignment="1">
      <alignment horizontal="left" vertical="top"/>
    </xf>
    <xf numFmtId="43" fontId="5" fillId="7" borderId="32" xfId="0" applyNumberFormat="1" applyFont="1" applyFill="1" applyBorder="1"/>
    <xf numFmtId="43" fontId="5" fillId="7" borderId="73" xfId="0" applyNumberFormat="1" applyFont="1" applyFill="1" applyBorder="1"/>
    <xf numFmtId="170" fontId="0" fillId="14" borderId="0" xfId="0" applyNumberFormat="1" applyFill="1"/>
    <xf numFmtId="43" fontId="3" fillId="0" borderId="72" xfId="0" applyNumberFormat="1" applyFont="1" applyBorder="1" applyAlignment="1">
      <alignment vertical="top"/>
    </xf>
    <xf numFmtId="0" fontId="28" fillId="0" borderId="73" xfId="0" applyFont="1" applyBorder="1" applyAlignment="1">
      <alignment horizontal="left" indent="1"/>
    </xf>
    <xf numFmtId="0" fontId="27" fillId="0" borderId="35" xfId="0" applyFont="1" applyBorder="1" applyAlignment="1">
      <alignment horizontal="right" vertical="top"/>
    </xf>
    <xf numFmtId="43" fontId="3" fillId="0" borderId="49" xfId="0" applyNumberFormat="1" applyFont="1" applyBorder="1" applyAlignment="1">
      <alignment vertical="top"/>
    </xf>
    <xf numFmtId="0" fontId="27" fillId="0" borderId="36" xfId="0" applyFont="1" applyBorder="1" applyAlignment="1">
      <alignment horizontal="right"/>
    </xf>
    <xf numFmtId="43" fontId="0" fillId="0" borderId="29" xfId="0" applyNumberFormat="1" applyBorder="1"/>
    <xf numFmtId="43" fontId="3" fillId="0" borderId="50" xfId="0" applyNumberFormat="1" applyFont="1" applyBorder="1"/>
    <xf numFmtId="168" fontId="3" fillId="0" borderId="34" xfId="0" applyNumberFormat="1" applyFont="1" applyBorder="1"/>
    <xf numFmtId="0" fontId="37" fillId="19" borderId="36" xfId="0" applyFont="1" applyFill="1" applyBorder="1" applyAlignment="1">
      <alignment horizontal="left"/>
    </xf>
    <xf numFmtId="167" fontId="37" fillId="19" borderId="1" xfId="0" applyNumberFormat="1" applyFont="1" applyFill="1" applyBorder="1" applyAlignment="1">
      <alignment horizontal="center"/>
    </xf>
    <xf numFmtId="167" fontId="50" fillId="19" borderId="1" xfId="0" applyNumberFormat="1" applyFont="1" applyFill="1" applyBorder="1" applyAlignment="1">
      <alignment horizontal="center"/>
    </xf>
    <xf numFmtId="0" fontId="37" fillId="19" borderId="1" xfId="0" applyFont="1" applyFill="1" applyBorder="1" applyAlignment="1">
      <alignment horizontal="center"/>
    </xf>
    <xf numFmtId="167" fontId="37" fillId="19" borderId="36" xfId="0" applyNumberFormat="1" applyFont="1" applyFill="1" applyBorder="1" applyAlignment="1">
      <alignment horizontal="center"/>
    </xf>
    <xf numFmtId="43" fontId="3" fillId="0" borderId="76" xfId="0" applyNumberFormat="1" applyFont="1" applyBorder="1"/>
    <xf numFmtId="43" fontId="6" fillId="0" borderId="73" xfId="0" applyNumberFormat="1" applyFont="1" applyBorder="1"/>
    <xf numFmtId="43" fontId="3" fillId="0" borderId="35" xfId="0" applyNumberFormat="1" applyFont="1" applyBorder="1"/>
    <xf numFmtId="0" fontId="0" fillId="0" borderId="36" xfId="0" applyBorder="1" applyAlignment="1">
      <alignment horizontal="right"/>
    </xf>
    <xf numFmtId="0" fontId="5" fillId="0" borderId="29" xfId="0" applyFont="1" applyBorder="1" applyAlignment="1">
      <alignment horizontal="right"/>
    </xf>
    <xf numFmtId="43" fontId="5" fillId="0" borderId="29" xfId="0" applyNumberFormat="1" applyFont="1" applyBorder="1"/>
    <xf numFmtId="0" fontId="38" fillId="20" borderId="50" xfId="0" applyFont="1" applyFill="1" applyBorder="1"/>
    <xf numFmtId="43" fontId="38" fillId="20" borderId="50" xfId="1" applyFont="1" applyFill="1" applyBorder="1" applyAlignment="1">
      <alignment horizontal="center"/>
    </xf>
    <xf numFmtId="167" fontId="50" fillId="20" borderId="1" xfId="0" applyNumberFormat="1" applyFont="1" applyFill="1" applyBorder="1" applyAlignment="1">
      <alignment horizontal="center"/>
    </xf>
    <xf numFmtId="167" fontId="37" fillId="20" borderId="29" xfId="0" applyNumberFormat="1" applyFont="1" applyFill="1" applyBorder="1" applyAlignment="1">
      <alignment horizontal="center"/>
    </xf>
    <xf numFmtId="0" fontId="15" fillId="11" borderId="74" xfId="0" applyFont="1" applyFill="1" applyBorder="1"/>
    <xf numFmtId="43" fontId="6" fillId="11" borderId="30" xfId="1" applyFont="1" applyFill="1" applyBorder="1"/>
    <xf numFmtId="0" fontId="15" fillId="11" borderId="73" xfId="0" applyFont="1" applyFill="1" applyBorder="1"/>
    <xf numFmtId="43" fontId="6" fillId="11" borderId="0" xfId="1" applyFont="1" applyFill="1" applyBorder="1"/>
    <xf numFmtId="0" fontId="15" fillId="11" borderId="72" xfId="0" applyFont="1" applyFill="1" applyBorder="1"/>
    <xf numFmtId="43" fontId="6" fillId="11" borderId="1" xfId="1" applyFont="1" applyFill="1" applyBorder="1"/>
    <xf numFmtId="0" fontId="40" fillId="0" borderId="1" xfId="0" applyFont="1" applyBorder="1" applyAlignment="1">
      <alignment horizontal="center"/>
    </xf>
    <xf numFmtId="16" fontId="40" fillId="0" borderId="1" xfId="0" applyNumberFormat="1" applyFont="1" applyBorder="1" applyAlignment="1">
      <alignment horizontal="center"/>
    </xf>
    <xf numFmtId="0" fontId="1" fillId="3" borderId="81" xfId="0" applyFont="1" applyFill="1" applyBorder="1" applyAlignment="1">
      <alignment vertical="center"/>
    </xf>
    <xf numFmtId="0" fontId="1" fillId="0" borderId="81" xfId="0" applyFont="1" applyBorder="1" applyAlignment="1">
      <alignment vertical="center"/>
    </xf>
    <xf numFmtId="0" fontId="1" fillId="3" borderId="85" xfId="0" applyFont="1" applyFill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50" xfId="0" applyFont="1" applyBorder="1" applyAlignment="1">
      <alignment vertical="center"/>
    </xf>
    <xf numFmtId="0" fontId="1" fillId="0" borderId="85" xfId="0" applyFont="1" applyBorder="1" applyAlignment="1">
      <alignment vertical="center"/>
    </xf>
    <xf numFmtId="168" fontId="3" fillId="0" borderId="0" xfId="1" applyNumberFormat="1" applyFont="1" applyFill="1" applyBorder="1"/>
    <xf numFmtId="169" fontId="0" fillId="0" borderId="0" xfId="1" applyNumberFormat="1" applyFont="1" applyFill="1" applyBorder="1"/>
    <xf numFmtId="167" fontId="52" fillId="19" borderId="0" xfId="0" applyNumberFormat="1" applyFont="1" applyFill="1" applyAlignment="1">
      <alignment horizontal="center"/>
    </xf>
    <xf numFmtId="0" fontId="52" fillId="19" borderId="73" xfId="0" applyFont="1" applyFill="1" applyBorder="1" applyAlignment="1">
      <alignment horizontal="center"/>
    </xf>
    <xf numFmtId="0" fontId="27" fillId="15" borderId="0" xfId="0" applyFont="1" applyFill="1"/>
    <xf numFmtId="43" fontId="27" fillId="15" borderId="0" xfId="0" applyNumberFormat="1" applyFont="1" applyFill="1" applyAlignment="1">
      <alignment horizontal="right"/>
    </xf>
    <xf numFmtId="170" fontId="27" fillId="15" borderId="0" xfId="0" applyNumberFormat="1" applyFont="1" applyFill="1" applyAlignment="1">
      <alignment horizontal="right"/>
    </xf>
    <xf numFmtId="49" fontId="0" fillId="21" borderId="0" xfId="0" applyNumberFormat="1" applyFill="1" applyAlignment="1">
      <alignment horizontal="right"/>
    </xf>
    <xf numFmtId="0" fontId="27" fillId="15" borderId="0" xfId="0" applyFont="1" applyFill="1" applyAlignment="1">
      <alignment vertical="top"/>
    </xf>
    <xf numFmtId="43" fontId="3" fillId="0" borderId="30" xfId="0" applyNumberFormat="1" applyFont="1" applyBorder="1" applyAlignment="1">
      <alignment vertical="top"/>
    </xf>
    <xf numFmtId="0" fontId="38" fillId="20" borderId="1" xfId="0" applyFont="1" applyFill="1" applyBorder="1" applyAlignment="1">
      <alignment horizontal="center"/>
    </xf>
    <xf numFmtId="0" fontId="41" fillId="19" borderId="55" xfId="0" applyFont="1" applyFill="1" applyBorder="1"/>
    <xf numFmtId="165" fontId="33" fillId="0" borderId="83" xfId="0" applyNumberFormat="1" applyFont="1" applyBorder="1"/>
    <xf numFmtId="165" fontId="33" fillId="0" borderId="29" xfId="0" applyNumberFormat="1" applyFont="1" applyBorder="1"/>
    <xf numFmtId="165" fontId="33" fillId="0" borderId="50" xfId="0" applyNumberFormat="1" applyFont="1" applyBorder="1"/>
    <xf numFmtId="0" fontId="27" fillId="0" borderId="0" xfId="0" applyFont="1" applyAlignment="1">
      <alignment horizontal="right"/>
    </xf>
    <xf numFmtId="0" fontId="27" fillId="0" borderId="0" xfId="0" applyFont="1" applyAlignment="1">
      <alignment horizontal="center"/>
    </xf>
    <xf numFmtId="168" fontId="27" fillId="0" borderId="0" xfId="0" applyNumberFormat="1" applyFont="1"/>
    <xf numFmtId="43" fontId="3" fillId="5" borderId="67" xfId="0" applyNumberFormat="1" applyFont="1" applyFill="1" applyBorder="1"/>
    <xf numFmtId="43" fontId="0" fillId="5" borderId="72" xfId="0" applyNumberFormat="1" applyFill="1" applyBorder="1"/>
    <xf numFmtId="168" fontId="0" fillId="0" borderId="0" xfId="1" applyNumberFormat="1" applyFont="1" applyFill="1"/>
    <xf numFmtId="44" fontId="0" fillId="0" borderId="0" xfId="3" applyFont="1" applyFill="1"/>
    <xf numFmtId="168" fontId="0" fillId="23" borderId="0" xfId="1" applyNumberFormat="1" applyFont="1" applyFill="1" applyBorder="1"/>
    <xf numFmtId="169" fontId="0" fillId="23" borderId="0" xfId="1" applyNumberFormat="1" applyFont="1" applyFill="1" applyBorder="1" applyAlignment="1">
      <alignment horizontal="center"/>
    </xf>
    <xf numFmtId="169" fontId="0" fillId="23" borderId="0" xfId="1" applyNumberFormat="1" applyFont="1" applyFill="1" applyBorder="1"/>
    <xf numFmtId="168" fontId="0" fillId="23" borderId="0" xfId="1" applyNumberFormat="1" applyFont="1" applyFill="1" applyBorder="1" applyAlignment="1"/>
    <xf numFmtId="43" fontId="19" fillId="0" borderId="0" xfId="1" applyFont="1" applyFill="1"/>
    <xf numFmtId="43" fontId="0" fillId="15" borderId="0" xfId="0" applyNumberFormat="1" applyFill="1" applyAlignment="1">
      <alignment horizontal="center"/>
    </xf>
    <xf numFmtId="0" fontId="12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23" fillId="15" borderId="0" xfId="0" applyFont="1" applyFill="1" applyAlignment="1">
      <alignment horizontal="center"/>
    </xf>
    <xf numFmtId="0" fontId="36" fillId="15" borderId="0" xfId="0" applyFont="1" applyFill="1" applyAlignment="1">
      <alignment horizontal="center"/>
    </xf>
    <xf numFmtId="172" fontId="48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40" xfId="0" applyFont="1" applyBorder="1" applyAlignment="1">
      <alignment horizontal="center"/>
    </xf>
    <xf numFmtId="0" fontId="11" fillId="0" borderId="92" xfId="0" applyFont="1" applyBorder="1" applyAlignment="1">
      <alignment horizontal="center" wrapText="1"/>
    </xf>
    <xf numFmtId="0" fontId="11" fillId="0" borderId="73" xfId="0" applyFont="1" applyBorder="1" applyAlignment="1">
      <alignment horizontal="center" wrapText="1"/>
    </xf>
    <xf numFmtId="0" fontId="43" fillId="0" borderId="0" xfId="0" applyFont="1" applyAlignment="1">
      <alignment horizontal="center" vertical="center" wrapText="1"/>
    </xf>
    <xf numFmtId="0" fontId="44" fillId="6" borderId="1" xfId="0" applyFont="1" applyFill="1" applyBorder="1" applyAlignment="1">
      <alignment horizontal="center"/>
    </xf>
    <xf numFmtId="43" fontId="40" fillId="0" borderId="0" xfId="0" applyNumberFormat="1" applyFont="1" applyAlignment="1">
      <alignment horizontal="center" wrapText="1"/>
    </xf>
    <xf numFmtId="43" fontId="40" fillId="0" borderId="1" xfId="0" applyNumberFormat="1" applyFont="1" applyBorder="1" applyAlignment="1">
      <alignment horizontal="center" wrapText="1"/>
    </xf>
    <xf numFmtId="0" fontId="44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3" fillId="8" borderId="0" xfId="0" applyFont="1" applyFill="1" applyAlignment="1">
      <alignment horizontal="center" vertical="center" wrapText="1"/>
    </xf>
    <xf numFmtId="0" fontId="44" fillId="6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0" fillId="8" borderId="0" xfId="0" applyFont="1" applyFill="1" applyAlignment="1">
      <alignment horizontal="center" wrapText="1"/>
    </xf>
    <xf numFmtId="0" fontId="31" fillId="6" borderId="1" xfId="0" applyFont="1" applyFill="1" applyBorder="1" applyAlignment="1">
      <alignment horizontal="center"/>
    </xf>
    <xf numFmtId="0" fontId="16" fillId="0" borderId="0" xfId="0" applyFont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8" fillId="8" borderId="0" xfId="0" applyFont="1" applyFill="1" applyAlignment="1">
      <alignment horizontal="center" wrapText="1"/>
    </xf>
    <xf numFmtId="0" fontId="7" fillId="6" borderId="0" xfId="0" applyFont="1" applyFill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7" fillId="5" borderId="8" xfId="0" applyFont="1" applyFill="1" applyBorder="1" applyAlignment="1">
      <alignment horizontal="center"/>
    </xf>
  </cellXfs>
  <cellStyles count="9">
    <cellStyle name="20% - Accent1 2 2 10 3" xfId="6" xr:uid="{AE580427-8A67-4E81-99C1-A1F2DB8F9F8E}"/>
    <cellStyle name="Comma" xfId="1" builtinId="3"/>
    <cellStyle name="Comma 2 3" xfId="8" xr:uid="{8E06860F-DFD6-4644-A6F5-0AA091A8AE49}"/>
    <cellStyle name="Currency" xfId="3" builtinId="4"/>
    <cellStyle name="Normal" xfId="0" builtinId="0"/>
    <cellStyle name="Normal 14" xfId="5" xr:uid="{11DD6EB0-29B9-415A-9996-2A1171133967}"/>
    <cellStyle name="Normal 2" xfId="2" xr:uid="{807C3FC0-679C-40AB-9D27-6C4610FC659B}"/>
    <cellStyle name="Normal 41" xfId="7" xr:uid="{0E9E36B8-6CB9-4461-AC9C-A6435C2F09B0}"/>
    <cellStyle name="Percent" xfId="4" builtinId="5"/>
  </cellStyles>
  <dxfs count="0"/>
  <tableStyles count="1" defaultTableStyle="TableStyleMedium2" defaultPivotStyle="PivotStyleLight16">
    <tableStyle name="Invisible" pivot="0" table="0" count="0" xr9:uid="{11B9CEDF-11CB-48F9-A262-AFAAC64CC780}"/>
  </tableStyles>
  <colors>
    <mruColors>
      <color rgb="FFF2DCDB"/>
      <color rgb="FFF79B4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42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5013</xdr:colOff>
      <xdr:row>135</xdr:row>
      <xdr:rowOff>5013</xdr:rowOff>
    </xdr:from>
    <xdr:to>
      <xdr:col>3</xdr:col>
      <xdr:colOff>5014</xdr:colOff>
      <xdr:row>141</xdr:row>
      <xdr:rowOff>10786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0490006-E29A-44C8-9456-F5B6871B4365}"/>
            </a:ext>
          </a:extLst>
        </xdr:cNvPr>
        <xdr:cNvSpPr txBox="1"/>
      </xdr:nvSpPr>
      <xdr:spPr>
        <a:xfrm>
          <a:off x="128838" y="26069925"/>
          <a:ext cx="3448051" cy="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25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47WA.1862.20477</a:t>
          </a:r>
          <a:r>
            <a:rPr lang="en-US" sz="1125"/>
            <a:t> - WA Decoupling variance deferral</a:t>
          </a:r>
        </a:p>
        <a:p>
          <a:r>
            <a:rPr lang="en-US" sz="1125"/>
            <a:t>47WA.4002.4800CP - </a:t>
          </a:r>
          <a:r>
            <a:rPr lang="en-US" sz="1125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Residential CAP</a:t>
          </a:r>
          <a:r>
            <a:rPr lang="en-US" sz="1125"/>
            <a:t> </a:t>
          </a:r>
        </a:p>
        <a:p>
          <a:r>
            <a:rPr lang="en-US" sz="1125"/>
            <a:t>47WA.4002.4809CP - </a:t>
          </a:r>
          <a:r>
            <a:rPr lang="en-US" sz="1125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Industrial CAP</a:t>
          </a:r>
          <a:r>
            <a:rPr lang="en-US" sz="1125"/>
            <a:t> </a:t>
          </a:r>
        </a:p>
        <a:p>
          <a:r>
            <a:rPr lang="en-US" sz="1125"/>
            <a:t>47WA.4002.4810CP - </a:t>
          </a:r>
          <a:r>
            <a:rPr lang="en-US" sz="1125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Commercial CAP</a:t>
          </a:r>
          <a:r>
            <a:rPr lang="en-US" sz="1125"/>
            <a:t> </a:t>
          </a:r>
        </a:p>
        <a:p>
          <a:r>
            <a:rPr lang="en-US" sz="1125"/>
            <a:t>47WA.4002.4811CP - </a:t>
          </a:r>
          <a:r>
            <a:rPr lang="en-US" sz="1125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Small Commercial CAP</a:t>
          </a:r>
          <a:r>
            <a:rPr lang="en-US" sz="1125"/>
            <a:t> </a:t>
          </a:r>
        </a:p>
        <a:p>
          <a:r>
            <a:rPr lang="en-US" sz="1125"/>
            <a:t>47WA.4002.4813CP - Small Industrial CAP</a:t>
          </a:r>
        </a:p>
      </xdr:txBody>
    </xdr:sp>
    <xdr:clientData/>
  </xdr:twoCellAnchor>
  <xdr:twoCellAnchor>
    <xdr:from>
      <xdr:col>2</xdr:col>
      <xdr:colOff>47625</xdr:colOff>
      <xdr:row>142</xdr:row>
      <xdr:rowOff>152400</xdr:rowOff>
    </xdr:from>
    <xdr:to>
      <xdr:col>3</xdr:col>
      <xdr:colOff>47626</xdr:colOff>
      <xdr:row>148</xdr:row>
      <xdr:rowOff>158173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DFAFB55-C5BA-4431-ABCC-C564FE0691B1}"/>
            </a:ext>
          </a:extLst>
        </xdr:cNvPr>
        <xdr:cNvSpPr txBox="1"/>
      </xdr:nvSpPr>
      <xdr:spPr>
        <a:xfrm>
          <a:off x="171450" y="26069925"/>
          <a:ext cx="3448051" cy="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25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47WA.1862.20477</a:t>
          </a:r>
          <a:r>
            <a:rPr lang="en-US" sz="1125"/>
            <a:t> - WA Decoupling variance deferral</a:t>
          </a:r>
        </a:p>
        <a:p>
          <a:r>
            <a:rPr lang="en-US" sz="1125"/>
            <a:t>47WA.4002.4800CP - </a:t>
          </a:r>
          <a:r>
            <a:rPr lang="en-US" sz="1125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Residential CAP</a:t>
          </a:r>
          <a:r>
            <a:rPr lang="en-US" sz="1125"/>
            <a:t> </a:t>
          </a:r>
        </a:p>
        <a:p>
          <a:r>
            <a:rPr lang="en-US" sz="1125"/>
            <a:t>47WA.4002.4809CP- </a:t>
          </a:r>
          <a:r>
            <a:rPr lang="en-US" sz="1125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Industrial CAP</a:t>
          </a:r>
          <a:r>
            <a:rPr lang="en-US" sz="1125"/>
            <a:t> </a:t>
          </a:r>
        </a:p>
        <a:p>
          <a:r>
            <a:rPr lang="en-US" sz="1125"/>
            <a:t>47WA.4002.4810CP - </a:t>
          </a:r>
          <a:r>
            <a:rPr lang="en-US" sz="1125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Commercial CAP</a:t>
          </a:r>
          <a:r>
            <a:rPr lang="en-US" sz="1125"/>
            <a:t> </a:t>
          </a:r>
        </a:p>
        <a:p>
          <a:r>
            <a:rPr lang="en-US" sz="1125"/>
            <a:t>47WA.4002.4811CP - </a:t>
          </a:r>
          <a:r>
            <a:rPr lang="en-US" sz="1125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Small Commercial CAP</a:t>
          </a:r>
          <a:r>
            <a:rPr lang="en-US" sz="1125"/>
            <a:t> </a:t>
          </a:r>
        </a:p>
        <a:p>
          <a:r>
            <a:rPr lang="en-US" sz="1125"/>
            <a:t>47WA.4002.4813CP - Small Industrial CAP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159</xdr:row>
      <xdr:rowOff>6349</xdr:rowOff>
    </xdr:from>
    <xdr:to>
      <xdr:col>2</xdr:col>
      <xdr:colOff>3438524</xdr:colOff>
      <xdr:row>164</xdr:row>
      <xdr:rowOff>196021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30FC661-6B59-4AF1-886C-66F993CC8730}"/>
            </a:ext>
          </a:extLst>
        </xdr:cNvPr>
        <xdr:cNvSpPr txBox="1"/>
      </xdr:nvSpPr>
      <xdr:spPr>
        <a:xfrm>
          <a:off x="161925" y="27095449"/>
          <a:ext cx="3400424" cy="1189797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25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47WA.1862.20477</a:t>
          </a:r>
          <a:r>
            <a:rPr lang="en-US" sz="1125"/>
            <a:t> - WA Decoupling variance deferral</a:t>
          </a:r>
        </a:p>
        <a:p>
          <a:r>
            <a:rPr lang="en-US" sz="1125"/>
            <a:t>47WA.4002.4800CP - </a:t>
          </a:r>
          <a:r>
            <a:rPr lang="en-US" sz="1125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Residential CAP</a:t>
          </a:r>
          <a:r>
            <a:rPr lang="en-US" sz="1125"/>
            <a:t> </a:t>
          </a:r>
        </a:p>
        <a:p>
          <a:r>
            <a:rPr lang="en-US" sz="1125"/>
            <a:t>47WA.4002.4809CP - </a:t>
          </a:r>
          <a:r>
            <a:rPr lang="en-US" sz="1125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Industrial CAP</a:t>
          </a:r>
          <a:r>
            <a:rPr lang="en-US" sz="1125"/>
            <a:t> </a:t>
          </a:r>
        </a:p>
        <a:p>
          <a:r>
            <a:rPr lang="en-US" sz="1125"/>
            <a:t>47WA.4002.4810CP - </a:t>
          </a:r>
          <a:r>
            <a:rPr lang="en-US" sz="1125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Commercial CAP</a:t>
          </a:r>
          <a:r>
            <a:rPr lang="en-US" sz="1125"/>
            <a:t> </a:t>
          </a:r>
        </a:p>
        <a:p>
          <a:r>
            <a:rPr lang="en-US" sz="1125"/>
            <a:t>47WA.4002.4811CP - </a:t>
          </a:r>
          <a:r>
            <a:rPr lang="en-US" sz="1125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Small Commercial CAP</a:t>
          </a:r>
          <a:r>
            <a:rPr lang="en-US" sz="1125"/>
            <a:t> </a:t>
          </a:r>
        </a:p>
        <a:p>
          <a:r>
            <a:rPr lang="en-US" sz="1125"/>
            <a:t>47WA.4002.4813CP - Small Industrial CAP</a:t>
          </a:r>
        </a:p>
      </xdr:txBody>
    </xdr:sp>
    <xdr:clientData/>
  </xdr:twoCellAnchor>
  <xdr:twoCellAnchor>
    <xdr:from>
      <xdr:col>2</xdr:col>
      <xdr:colOff>5013</xdr:colOff>
      <xdr:row>168</xdr:row>
      <xdr:rowOff>5013</xdr:rowOff>
    </xdr:from>
    <xdr:to>
      <xdr:col>3</xdr:col>
      <xdr:colOff>5014</xdr:colOff>
      <xdr:row>174</xdr:row>
      <xdr:rowOff>10786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FA3BB91-CBA3-46D3-84FC-4252BBCEA60E}"/>
            </a:ext>
          </a:extLst>
        </xdr:cNvPr>
        <xdr:cNvSpPr txBox="1"/>
      </xdr:nvSpPr>
      <xdr:spPr>
        <a:xfrm>
          <a:off x="130342" y="28725395"/>
          <a:ext cx="3479133" cy="114877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25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47WA.1862.20477</a:t>
          </a:r>
          <a:r>
            <a:rPr lang="en-US" sz="1125"/>
            <a:t> - WA Decoupling variance deferral</a:t>
          </a:r>
        </a:p>
        <a:p>
          <a:r>
            <a:rPr lang="en-US" sz="1125"/>
            <a:t>47WA.4002.4800CP - </a:t>
          </a:r>
          <a:r>
            <a:rPr lang="en-US" sz="1125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Residential CAP</a:t>
          </a:r>
          <a:r>
            <a:rPr lang="en-US" sz="1125"/>
            <a:t> </a:t>
          </a:r>
        </a:p>
        <a:p>
          <a:r>
            <a:rPr lang="en-US" sz="1125"/>
            <a:t>47WA.4002.4809CP - </a:t>
          </a:r>
          <a:r>
            <a:rPr lang="en-US" sz="1125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Industrial CAP</a:t>
          </a:r>
          <a:r>
            <a:rPr lang="en-US" sz="1125"/>
            <a:t> </a:t>
          </a:r>
        </a:p>
        <a:p>
          <a:r>
            <a:rPr lang="en-US" sz="1125"/>
            <a:t>47WA.4002.4810CP - </a:t>
          </a:r>
          <a:r>
            <a:rPr lang="en-US" sz="1125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Commercial CAP</a:t>
          </a:r>
          <a:r>
            <a:rPr lang="en-US" sz="1125"/>
            <a:t> </a:t>
          </a:r>
        </a:p>
        <a:p>
          <a:r>
            <a:rPr lang="en-US" sz="1125"/>
            <a:t>47WA.4002.4811CP - </a:t>
          </a:r>
          <a:r>
            <a:rPr lang="en-US" sz="1125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Small Commercial CAP</a:t>
          </a:r>
          <a:r>
            <a:rPr lang="en-US" sz="1125"/>
            <a:t> </a:t>
          </a:r>
        </a:p>
        <a:p>
          <a:r>
            <a:rPr lang="en-US" sz="1125"/>
            <a:t>47WA.4002.4813CP - Small Industrial CAP</a:t>
          </a:r>
        </a:p>
      </xdr:txBody>
    </xdr:sp>
    <xdr:clientData/>
  </xdr:twoCellAnchor>
  <xdr:twoCellAnchor>
    <xdr:from>
      <xdr:col>2</xdr:col>
      <xdr:colOff>47625</xdr:colOff>
      <xdr:row>175</xdr:row>
      <xdr:rowOff>152400</xdr:rowOff>
    </xdr:from>
    <xdr:to>
      <xdr:col>3</xdr:col>
      <xdr:colOff>47626</xdr:colOff>
      <xdr:row>181</xdr:row>
      <xdr:rowOff>158173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A057D53-7358-4775-93A3-8AA97B6C812F}"/>
            </a:ext>
          </a:extLst>
        </xdr:cNvPr>
        <xdr:cNvSpPr txBox="1"/>
      </xdr:nvSpPr>
      <xdr:spPr>
        <a:xfrm>
          <a:off x="171450" y="30308550"/>
          <a:ext cx="3476626" cy="114877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25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47WA.1862.20477</a:t>
          </a:r>
          <a:r>
            <a:rPr lang="en-US" sz="1125"/>
            <a:t> - WA Decoupling variance deferral</a:t>
          </a:r>
        </a:p>
        <a:p>
          <a:r>
            <a:rPr lang="en-US" sz="1125"/>
            <a:t>47WA.4002.4800CP - </a:t>
          </a:r>
          <a:r>
            <a:rPr lang="en-US" sz="1125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Residential CAP</a:t>
          </a:r>
          <a:r>
            <a:rPr lang="en-US" sz="1125"/>
            <a:t> </a:t>
          </a:r>
        </a:p>
        <a:p>
          <a:r>
            <a:rPr lang="en-US" sz="1125"/>
            <a:t>47WA.4002.4809CP- </a:t>
          </a:r>
          <a:r>
            <a:rPr lang="en-US" sz="1125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Industrial CAP</a:t>
          </a:r>
          <a:r>
            <a:rPr lang="en-US" sz="1125"/>
            <a:t> </a:t>
          </a:r>
        </a:p>
        <a:p>
          <a:r>
            <a:rPr lang="en-US" sz="1125"/>
            <a:t>47WA.4002.4810CP - </a:t>
          </a:r>
          <a:r>
            <a:rPr lang="en-US" sz="1125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Commercial CAP</a:t>
          </a:r>
          <a:r>
            <a:rPr lang="en-US" sz="1125"/>
            <a:t> </a:t>
          </a:r>
        </a:p>
        <a:p>
          <a:r>
            <a:rPr lang="en-US" sz="1125"/>
            <a:t>47WA.4002.4811CP - </a:t>
          </a:r>
          <a:r>
            <a:rPr lang="en-US" sz="1125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Small Commercial CAP</a:t>
          </a:r>
          <a:r>
            <a:rPr lang="en-US" sz="1125"/>
            <a:t> </a:t>
          </a:r>
        </a:p>
        <a:p>
          <a:r>
            <a:rPr lang="en-US" sz="1125"/>
            <a:t>47WA.4002.4813CP - Small Industrial CAP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159</xdr:row>
      <xdr:rowOff>15874</xdr:rowOff>
    </xdr:from>
    <xdr:to>
      <xdr:col>2</xdr:col>
      <xdr:colOff>3790949</xdr:colOff>
      <xdr:row>164</xdr:row>
      <xdr:rowOff>204303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45722BB-942F-49C4-B5DC-6E58638CF493}"/>
            </a:ext>
          </a:extLst>
        </xdr:cNvPr>
        <xdr:cNvSpPr txBox="1"/>
      </xdr:nvSpPr>
      <xdr:spPr>
        <a:xfrm>
          <a:off x="127000" y="26304874"/>
          <a:ext cx="3790949" cy="1209951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25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47WA.1862.20477</a:t>
          </a:r>
          <a:r>
            <a:rPr lang="en-US" sz="1125"/>
            <a:t> - WA Decoupling variance deferral</a:t>
          </a:r>
        </a:p>
        <a:p>
          <a:r>
            <a:rPr lang="en-US" sz="1125"/>
            <a:t>47WA.4002.4800CP - </a:t>
          </a:r>
          <a:r>
            <a:rPr lang="en-US" sz="1125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Residential CAP</a:t>
          </a:r>
          <a:r>
            <a:rPr lang="en-US" sz="1125"/>
            <a:t> </a:t>
          </a:r>
        </a:p>
        <a:p>
          <a:r>
            <a:rPr lang="en-US" sz="1125"/>
            <a:t>47WA.4002.4809CP - </a:t>
          </a:r>
          <a:r>
            <a:rPr lang="en-US" sz="1125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Industrial CAP</a:t>
          </a:r>
          <a:r>
            <a:rPr lang="en-US" sz="1125"/>
            <a:t> </a:t>
          </a:r>
        </a:p>
        <a:p>
          <a:r>
            <a:rPr lang="en-US" sz="1125"/>
            <a:t>47WA.4002.4810CP - </a:t>
          </a:r>
          <a:r>
            <a:rPr lang="en-US" sz="1125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Commerical CAP</a:t>
          </a:r>
          <a:r>
            <a:rPr lang="en-US" sz="1125"/>
            <a:t> </a:t>
          </a:r>
        </a:p>
        <a:p>
          <a:r>
            <a:rPr lang="en-US" sz="1125"/>
            <a:t>47WA.4002.4811CP - </a:t>
          </a:r>
          <a:r>
            <a:rPr lang="en-US" sz="1125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Small Commerical CAP</a:t>
          </a:r>
          <a:r>
            <a:rPr lang="en-US" sz="1125"/>
            <a:t> </a:t>
          </a:r>
        </a:p>
        <a:p>
          <a:r>
            <a:rPr lang="en-US" sz="1125"/>
            <a:t>47WA.4002.4813CP - Small Industrial CAP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151</xdr:row>
      <xdr:rowOff>28576</xdr:rowOff>
    </xdr:from>
    <xdr:to>
      <xdr:col>2</xdr:col>
      <xdr:colOff>3790949</xdr:colOff>
      <xdr:row>156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894B523-2E65-433C-BA11-6B307224BDFA}"/>
            </a:ext>
          </a:extLst>
        </xdr:cNvPr>
        <xdr:cNvSpPr txBox="1"/>
      </xdr:nvSpPr>
      <xdr:spPr>
        <a:xfrm>
          <a:off x="123825" y="25488901"/>
          <a:ext cx="3790949" cy="11525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lang="en-US" sz="1125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47WA.1862.20477</a:t>
          </a:r>
          <a:r>
            <a:rPr lang="en-US" sz="1125"/>
            <a:t> - WA Decoupling variance deferral</a:t>
          </a:r>
        </a:p>
        <a:p>
          <a:r>
            <a:rPr lang="en-US" sz="1125"/>
            <a:t>47WA.4002.4800CP - </a:t>
          </a:r>
          <a:r>
            <a:rPr lang="en-US" sz="1125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Residential CAP</a:t>
          </a:r>
          <a:r>
            <a:rPr lang="en-US" sz="1125"/>
            <a:t> </a:t>
          </a:r>
        </a:p>
        <a:p>
          <a:r>
            <a:rPr lang="en-US" sz="1125"/>
            <a:t>47WA.4002.4809CP - </a:t>
          </a:r>
          <a:r>
            <a:rPr lang="en-US" sz="1125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Industrial CAP</a:t>
          </a:r>
          <a:r>
            <a:rPr lang="en-US" sz="1125"/>
            <a:t> </a:t>
          </a:r>
        </a:p>
        <a:p>
          <a:r>
            <a:rPr lang="en-US" sz="1125"/>
            <a:t>47WA.4002.4810CP - </a:t>
          </a:r>
          <a:r>
            <a:rPr lang="en-US" sz="1125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Commerical CAP</a:t>
          </a:r>
          <a:r>
            <a:rPr lang="en-US" sz="1125"/>
            <a:t> </a:t>
          </a:r>
        </a:p>
        <a:p>
          <a:r>
            <a:rPr lang="en-US" sz="1125"/>
            <a:t>47WA.4002.4811CP - </a:t>
          </a:r>
          <a:r>
            <a:rPr lang="en-US" sz="1125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Small Commerical CAP</a:t>
          </a:r>
          <a:r>
            <a:rPr lang="en-US" sz="1125"/>
            <a:t> </a:t>
          </a:r>
        </a:p>
        <a:p>
          <a:r>
            <a:rPr lang="en-US" sz="1125"/>
            <a:t>47WA.4002.4813CP - Small Industrial CAP</a:t>
          </a:r>
        </a:p>
      </xdr:txBody>
    </xdr:sp>
    <xdr:clientData/>
  </xdr:twoCellAnchor>
  <xdr:twoCellAnchor>
    <xdr:from>
      <xdr:col>1</xdr:col>
      <xdr:colOff>0</xdr:colOff>
      <xdr:row>159</xdr:row>
      <xdr:rowOff>0</xdr:rowOff>
    </xdr:from>
    <xdr:to>
      <xdr:col>3</xdr:col>
      <xdr:colOff>0</xdr:colOff>
      <xdr:row>165</xdr:row>
      <xdr:rowOff>9524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7F12F3E-0551-4259-B786-F3859BDF9450}"/>
            </a:ext>
          </a:extLst>
        </xdr:cNvPr>
        <xdr:cNvSpPr txBox="1"/>
      </xdr:nvSpPr>
      <xdr:spPr>
        <a:xfrm>
          <a:off x="123825" y="27432000"/>
          <a:ext cx="3829050" cy="11525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lang="en-US" sz="1125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47WA.1862.20477</a:t>
          </a:r>
          <a:r>
            <a:rPr lang="en-US" sz="1125"/>
            <a:t> - WA Decoupling variance deferral</a:t>
          </a:r>
        </a:p>
        <a:p>
          <a:r>
            <a:rPr lang="en-US" sz="1125"/>
            <a:t>47WA.4002.4800CP - </a:t>
          </a:r>
          <a:r>
            <a:rPr lang="en-US" sz="1125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Residential CAP</a:t>
          </a:r>
          <a:r>
            <a:rPr lang="en-US" sz="1125"/>
            <a:t> </a:t>
          </a:r>
        </a:p>
        <a:p>
          <a:r>
            <a:rPr lang="en-US" sz="1125"/>
            <a:t>47WA.4002.4809CP - </a:t>
          </a:r>
          <a:r>
            <a:rPr lang="en-US" sz="1125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Industrial CAP</a:t>
          </a:r>
          <a:r>
            <a:rPr lang="en-US" sz="1125"/>
            <a:t> </a:t>
          </a:r>
        </a:p>
        <a:p>
          <a:r>
            <a:rPr lang="en-US" sz="1125"/>
            <a:t>47WA.4002.4810CP - </a:t>
          </a:r>
          <a:r>
            <a:rPr lang="en-US" sz="1125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Commerical CAP</a:t>
          </a:r>
          <a:r>
            <a:rPr lang="en-US" sz="1125"/>
            <a:t> </a:t>
          </a:r>
        </a:p>
        <a:p>
          <a:r>
            <a:rPr lang="en-US" sz="1125"/>
            <a:t>47WA.4002.4811CP - </a:t>
          </a:r>
          <a:r>
            <a:rPr lang="en-US" sz="1125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Small Commerical CAP</a:t>
          </a:r>
          <a:r>
            <a:rPr lang="en-US" sz="1125"/>
            <a:t> </a:t>
          </a:r>
        </a:p>
        <a:p>
          <a:r>
            <a:rPr lang="en-US" sz="1125"/>
            <a:t>47WA.4002.4813CP - Small Industrial CAP</a:t>
          </a:r>
        </a:p>
      </xdr:txBody>
    </xdr:sp>
    <xdr:clientData/>
  </xdr:twoCellAnchor>
  <xdr:twoCellAnchor>
    <xdr:from>
      <xdr:col>1</xdr:col>
      <xdr:colOff>0</xdr:colOff>
      <xdr:row>166</xdr:row>
      <xdr:rowOff>0</xdr:rowOff>
    </xdr:from>
    <xdr:to>
      <xdr:col>3</xdr:col>
      <xdr:colOff>47625</xdr:colOff>
      <xdr:row>172</xdr:row>
      <xdr:rowOff>9524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A52A6FC-7BFC-4998-8379-FA4E02746943}"/>
            </a:ext>
          </a:extLst>
        </xdr:cNvPr>
        <xdr:cNvSpPr txBox="1"/>
      </xdr:nvSpPr>
      <xdr:spPr>
        <a:xfrm>
          <a:off x="123825" y="28765500"/>
          <a:ext cx="3876675" cy="11525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lang="en-US" sz="1125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47WA.1862.20477</a:t>
          </a:r>
          <a:r>
            <a:rPr lang="en-US" sz="1125"/>
            <a:t> - WA Decoupling variance deferral</a:t>
          </a:r>
        </a:p>
        <a:p>
          <a:r>
            <a:rPr lang="en-US" sz="1125"/>
            <a:t>47WA.4002.4800CP - </a:t>
          </a:r>
          <a:r>
            <a:rPr lang="en-US" sz="1125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Residential CAP</a:t>
          </a:r>
          <a:r>
            <a:rPr lang="en-US" sz="1125"/>
            <a:t> </a:t>
          </a:r>
        </a:p>
        <a:p>
          <a:r>
            <a:rPr lang="en-US" sz="1125"/>
            <a:t>47WA.4002.4809CP - </a:t>
          </a:r>
          <a:r>
            <a:rPr lang="en-US" sz="1125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Industrial CAP</a:t>
          </a:r>
          <a:r>
            <a:rPr lang="en-US" sz="1125"/>
            <a:t> </a:t>
          </a:r>
        </a:p>
        <a:p>
          <a:r>
            <a:rPr lang="en-US" sz="1125"/>
            <a:t>47WA.4002.4810CP - </a:t>
          </a:r>
          <a:r>
            <a:rPr lang="en-US" sz="1125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Commerical CAP</a:t>
          </a:r>
          <a:r>
            <a:rPr lang="en-US" sz="1125"/>
            <a:t> </a:t>
          </a:r>
        </a:p>
        <a:p>
          <a:r>
            <a:rPr lang="en-US" sz="1125"/>
            <a:t>47WA.4002.4811CP - </a:t>
          </a:r>
          <a:r>
            <a:rPr lang="en-US" sz="1125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Small Commerical CAP</a:t>
          </a:r>
          <a:r>
            <a:rPr lang="en-US" sz="1125"/>
            <a:t> </a:t>
          </a:r>
        </a:p>
        <a:p>
          <a:r>
            <a:rPr lang="en-US" sz="1125"/>
            <a:t>47WA.4002.4813CP - Small Industrial CAP</a:t>
          </a:r>
        </a:p>
      </xdr:txBody>
    </xdr:sp>
    <xdr:clientData/>
  </xdr:twoCellAnchor>
  <xdr:twoCellAnchor editAs="oneCell">
    <xdr:from>
      <xdr:col>0</xdr:col>
      <xdr:colOff>0</xdr:colOff>
      <xdr:row>174</xdr:row>
      <xdr:rowOff>57150</xdr:rowOff>
    </xdr:from>
    <xdr:to>
      <xdr:col>4</xdr:col>
      <xdr:colOff>47002</xdr:colOff>
      <xdr:row>198</xdr:row>
      <xdr:rowOff>94674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DC1C62C-48C7-4B91-8327-42C481C2A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346650"/>
          <a:ext cx="4980952" cy="46095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cob.betterbed\Desktop\2024%20decoupling\2024%20WA%20CAP.xlsx" TargetMode="External"/><Relationship Id="rId1" Type="http://schemas.openxmlformats.org/officeDocument/2006/relationships/externalLinkPath" Target="/sites/WestRegulatoryGeneral/Shared%20Documents/Projects/09-15-2025%20Filings/WA%20DMA/2024%20WA%20CAP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Dept\Rates\PGA%202024\WA%20PGA\DMA\WA%20CAP%202023.xlsx" TargetMode="External"/><Relationship Id="rId1" Type="http://schemas.openxmlformats.org/officeDocument/2006/relationships/externalLinkPath" Target="file:///G:\Dept\Rates\PGA%202024\WA%20PGA\DMA\WA%20CAP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pt\Rates\PGA%202022\WA\DMA\E-Filed%209-15-22\NEW-CNGC-Advice-W22-09-03-Rule-21-Decoupling-WP-09.15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ecklist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Ammort Split 2024"/>
      <sheetName val="Ammort Split 2023"/>
      <sheetName val="Margins 2024"/>
      <sheetName val="Margins 2023"/>
      <sheetName val="Margins 2022"/>
      <sheetName val="Margins 22"/>
      <sheetName val="Margins 2021"/>
      <sheetName val="Ammort Split 2022"/>
      <sheetName val="Ammort Split 2021"/>
      <sheetName val="Ammort Split 2020"/>
      <sheetName val="Ammort Split 2019"/>
      <sheetName val="Ammort Split 2018"/>
      <sheetName val="Margins 2020"/>
      <sheetName val="Margins 2019"/>
      <sheetName val="Ammort Split 2017"/>
      <sheetName val="Margins 2018"/>
      <sheetName val="Authorized Margins"/>
      <sheetName val="Authorized Margins (original)"/>
      <sheetName val="WACAP2016 (original)"/>
    </sheetNames>
    <sheetDataSet>
      <sheetData sheetId="0"/>
      <sheetData sheetId="1"/>
      <sheetData sheetId="2">
        <row r="20">
          <cell r="Q20">
            <v>-2182081.5100000016</v>
          </cell>
        </row>
        <row r="30">
          <cell r="Q30">
            <v>73309.330000000031</v>
          </cell>
        </row>
        <row r="40">
          <cell r="Q40">
            <v>-30973.830000000067</v>
          </cell>
        </row>
        <row r="50">
          <cell r="Q50">
            <v>15781.050000000027</v>
          </cell>
        </row>
        <row r="65">
          <cell r="Q65">
            <v>45225.089999999771</v>
          </cell>
        </row>
        <row r="79">
          <cell r="Q79">
            <v>920278.46999999858</v>
          </cell>
        </row>
        <row r="93">
          <cell r="Q93">
            <v>-499657.6999999999</v>
          </cell>
        </row>
        <row r="119">
          <cell r="Q119">
            <v>4636.0299999999861</v>
          </cell>
        </row>
        <row r="124">
          <cell r="P124">
            <v>174320.67999999766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15">
          <cell r="N15">
            <v>160036.08000000002</v>
          </cell>
        </row>
        <row r="28">
          <cell r="N28">
            <v>-5376.57</v>
          </cell>
        </row>
        <row r="41">
          <cell r="N41">
            <v>2271.65</v>
          </cell>
        </row>
        <row r="53">
          <cell r="N53">
            <v>-1157.4000000000001</v>
          </cell>
        </row>
        <row r="69">
          <cell r="N69">
            <v>-3316.86</v>
          </cell>
        </row>
        <row r="81">
          <cell r="N81">
            <v>-67494.16</v>
          </cell>
        </row>
        <row r="96">
          <cell r="N96">
            <v>36645.399999999994</v>
          </cell>
        </row>
        <row r="126">
          <cell r="N126">
            <v>-340.02000000000004</v>
          </cell>
        </row>
      </sheetData>
      <sheetData sheetId="11"/>
      <sheetData sheetId="12"/>
      <sheetData sheetId="13">
        <row r="7">
          <cell r="E7">
            <v>35.76</v>
          </cell>
          <cell r="F7">
            <v>29.09</v>
          </cell>
          <cell r="G7">
            <v>24.67</v>
          </cell>
          <cell r="H7">
            <v>16.09</v>
          </cell>
          <cell r="I7">
            <v>10.31</v>
          </cell>
          <cell r="J7">
            <v>6.6</v>
          </cell>
          <cell r="K7">
            <v>5.4</v>
          </cell>
          <cell r="L7">
            <v>5.41</v>
          </cell>
          <cell r="M7">
            <v>6.55</v>
          </cell>
          <cell r="N7">
            <v>14.96</v>
          </cell>
          <cell r="P7">
            <v>28.21</v>
          </cell>
          <cell r="Q7">
            <v>36.58</v>
          </cell>
        </row>
        <row r="9">
          <cell r="E9">
            <v>148.19999999999999</v>
          </cell>
          <cell r="F9">
            <v>122.07</v>
          </cell>
          <cell r="G9">
            <v>96.8</v>
          </cell>
          <cell r="H9">
            <v>61.86</v>
          </cell>
          <cell r="I9">
            <v>43.03</v>
          </cell>
          <cell r="J9">
            <v>29.53</v>
          </cell>
          <cell r="K9">
            <v>30.55</v>
          </cell>
          <cell r="L9">
            <v>30.61</v>
          </cell>
          <cell r="M9">
            <v>39.67</v>
          </cell>
          <cell r="N9">
            <v>72.53</v>
          </cell>
          <cell r="P9">
            <v>109.96</v>
          </cell>
          <cell r="Q9">
            <v>141.21</v>
          </cell>
        </row>
        <row r="11">
          <cell r="E11">
            <v>578.55999999999995</v>
          </cell>
          <cell r="F11">
            <v>503.46</v>
          </cell>
          <cell r="G11">
            <v>502.82</v>
          </cell>
          <cell r="H11">
            <v>433.21</v>
          </cell>
          <cell r="I11">
            <v>272.13</v>
          </cell>
          <cell r="J11">
            <v>243.07</v>
          </cell>
          <cell r="K11">
            <v>214.56</v>
          </cell>
          <cell r="L11">
            <v>189.32</v>
          </cell>
          <cell r="M11">
            <v>235.83</v>
          </cell>
          <cell r="N11">
            <v>378.59</v>
          </cell>
          <cell r="P11">
            <v>326.54000000000002</v>
          </cell>
          <cell r="Q11">
            <v>508.91</v>
          </cell>
        </row>
        <row r="13">
          <cell r="E13">
            <v>3761.29</v>
          </cell>
          <cell r="F13">
            <v>3442.57</v>
          </cell>
          <cell r="G13">
            <v>3346.34</v>
          </cell>
          <cell r="H13">
            <v>3193.43</v>
          </cell>
          <cell r="I13">
            <v>1909.68</v>
          </cell>
          <cell r="J13">
            <v>1855.34</v>
          </cell>
          <cell r="K13">
            <v>1599.54</v>
          </cell>
          <cell r="L13">
            <v>1297.22</v>
          </cell>
          <cell r="M13">
            <v>1295.93</v>
          </cell>
          <cell r="N13">
            <v>1549.68</v>
          </cell>
          <cell r="P13">
            <v>1802.95</v>
          </cell>
          <cell r="Q13">
            <v>2867.06</v>
          </cell>
        </row>
        <row r="15">
          <cell r="E15">
            <v>2205.48</v>
          </cell>
          <cell r="F15">
            <v>2224.48</v>
          </cell>
          <cell r="G15">
            <v>1988.22</v>
          </cell>
          <cell r="H15">
            <v>1990.59</v>
          </cell>
          <cell r="I15">
            <v>1645.52</v>
          </cell>
          <cell r="J15">
            <v>1273.76</v>
          </cell>
          <cell r="K15">
            <v>1085.46</v>
          </cell>
          <cell r="L15">
            <v>1055.6300000000001</v>
          </cell>
          <cell r="M15">
            <v>997.25</v>
          </cell>
          <cell r="N15">
            <v>938.29</v>
          </cell>
          <cell r="P15">
            <v>1774.6</v>
          </cell>
          <cell r="Q15">
            <v>2186.1799999999998</v>
          </cell>
        </row>
      </sheetData>
      <sheetData sheetId="14">
        <row r="11">
          <cell r="D11">
            <v>590</v>
          </cell>
          <cell r="E11">
            <v>513.41999999999996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ecklist"/>
      <sheetName val="WA CAP 2023"/>
      <sheetName val="WA CAP 2024"/>
      <sheetName val="Authorized Margins 2023"/>
      <sheetName val="WA CAP 2022"/>
      <sheetName val="Authorized Margins 2022"/>
      <sheetName val="Authorized Margins 22"/>
      <sheetName val="WA CAP 2021"/>
      <sheetName val="Authorized Margins 2021"/>
      <sheetName val="WACAP 2020"/>
      <sheetName val="WACAP 2019"/>
      <sheetName val="Ammort Split 2023"/>
      <sheetName val="Ammort Split 2022"/>
      <sheetName val="Ammort Split 2021"/>
      <sheetName val="Authorized Margins 2020"/>
      <sheetName val="Ammort Split 2020"/>
      <sheetName val="WACAP 2018"/>
      <sheetName val="Ammort Split 2019"/>
      <sheetName val="Ammort Split 2018"/>
      <sheetName val="Authorized Margins 2019"/>
      <sheetName val="Authorized Margins 2018"/>
      <sheetName val="WACAP 2017"/>
      <sheetName val="Authorized Margins"/>
      <sheetName val="Ammort Split 2017"/>
      <sheetName val="WACAP 2016"/>
      <sheetName val="Authorized Margins (original)"/>
      <sheetName val="WACAP2016 (original)"/>
    </sheetNames>
    <sheetDataSet>
      <sheetData sheetId="0"/>
      <sheetData sheetId="1"/>
      <sheetData sheetId="2"/>
      <sheetData sheetId="3"/>
      <sheetData sheetId="4">
        <row r="19">
          <cell r="Q19">
            <v>1316503.8400000001</v>
          </cell>
        </row>
        <row r="31">
          <cell r="Q31">
            <v>12557.009999999893</v>
          </cell>
        </row>
        <row r="43">
          <cell r="Q43">
            <v>126616.79000000001</v>
          </cell>
        </row>
        <row r="55">
          <cell r="Q55">
            <v>26177.68</v>
          </cell>
        </row>
        <row r="72">
          <cell r="Q72">
            <v>79505.280000000013</v>
          </cell>
        </row>
        <row r="88">
          <cell r="Q88">
            <v>2107033.0600000005</v>
          </cell>
        </row>
        <row r="105">
          <cell r="Q105">
            <v>-195175.2</v>
          </cell>
        </row>
        <row r="120">
          <cell r="Q120">
            <v>-1725.36</v>
          </cell>
        </row>
        <row r="135">
          <cell r="Q135">
            <v>7686.6799999999912</v>
          </cell>
        </row>
        <row r="156">
          <cell r="O156">
            <v>748786.52999999817</v>
          </cell>
        </row>
      </sheetData>
      <sheetData sheetId="5">
        <row r="7">
          <cell r="D7">
            <v>36.47</v>
          </cell>
          <cell r="E7">
            <v>29.67</v>
          </cell>
        </row>
        <row r="9">
          <cell r="D9">
            <v>151.13999999999999</v>
          </cell>
          <cell r="E9">
            <v>124.49</v>
          </cell>
        </row>
        <row r="11">
          <cell r="D11">
            <v>590</v>
          </cell>
          <cell r="E11">
            <v>513.41999999999996</v>
          </cell>
        </row>
        <row r="13">
          <cell r="D13">
            <v>3835.8</v>
          </cell>
          <cell r="E13">
            <v>3510.76</v>
          </cell>
        </row>
        <row r="15">
          <cell r="D15">
            <v>2248.98</v>
          </cell>
          <cell r="E15">
            <v>2268.35</v>
          </cell>
        </row>
      </sheetData>
      <sheetData sheetId="6"/>
      <sheetData sheetId="7"/>
      <sheetData sheetId="8"/>
      <sheetData sheetId="9"/>
      <sheetData sheetId="10"/>
      <sheetData sheetId="11">
        <row r="15">
          <cell r="N15">
            <v>-83328.58</v>
          </cell>
        </row>
        <row r="28">
          <cell r="N28">
            <v>-794.81</v>
          </cell>
        </row>
        <row r="41">
          <cell r="N41">
            <v>-8014.2500000000009</v>
          </cell>
        </row>
        <row r="53">
          <cell r="N53">
            <v>-1656.9199999999998</v>
          </cell>
        </row>
        <row r="69">
          <cell r="N69">
            <v>-5032.3200000000006</v>
          </cell>
        </row>
        <row r="81">
          <cell r="N81">
            <v>-133365.42000000001</v>
          </cell>
        </row>
        <row r="96">
          <cell r="N96">
            <v>12353.689999999999</v>
          </cell>
        </row>
        <row r="111">
          <cell r="N111">
            <v>109.21</v>
          </cell>
        </row>
        <row r="126">
          <cell r="N126">
            <v>-486.54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CAP 2021"/>
      <sheetName val="WACAP2021Amort"/>
      <sheetName val="WACAP 2020"/>
      <sheetName val="WACAP2020Amort"/>
      <sheetName val="Ammort Split 2020"/>
      <sheetName val="Authorized Margins 2020"/>
      <sheetName val="WACAP 2019"/>
      <sheetName val="WACAP2019 Amort"/>
      <sheetName val="Ammort Split 2019"/>
      <sheetName val="WACAP 2018"/>
      <sheetName val="Ammort Split 2018"/>
      <sheetName val="Authorized Margins 2018"/>
      <sheetName val="WACAP 2017"/>
      <sheetName val="Authorized Margins"/>
      <sheetName val="Ammort Split 2017"/>
      <sheetName val="WACAP 2016"/>
      <sheetName val="Authorized Margins (original)"/>
      <sheetName val="WACAP2016 (original)"/>
    </sheetNames>
    <sheetDataSet>
      <sheetData sheetId="0">
        <row r="17">
          <cell r="N17">
            <v>1420894.4199999983</v>
          </cell>
        </row>
        <row r="18">
          <cell r="N18">
            <v>38933.39</v>
          </cell>
        </row>
        <row r="29">
          <cell r="N29">
            <v>128396.87999999996</v>
          </cell>
        </row>
        <row r="30">
          <cell r="N30">
            <v>3518.1399999999994</v>
          </cell>
        </row>
        <row r="41">
          <cell r="N41">
            <v>-246215.44</v>
          </cell>
        </row>
        <row r="42">
          <cell r="N42">
            <v>-6746.4399999999987</v>
          </cell>
        </row>
        <row r="53">
          <cell r="N53">
            <v>-12071.150000000001</v>
          </cell>
        </row>
        <row r="54">
          <cell r="N54">
            <v>-330.76</v>
          </cell>
        </row>
        <row r="70">
          <cell r="N70">
            <v>-595590.74</v>
          </cell>
        </row>
        <row r="71">
          <cell r="N71">
            <v>-16319.52</v>
          </cell>
        </row>
        <row r="86">
          <cell r="N86">
            <v>2484120.0499999998</v>
          </cell>
        </row>
        <row r="87">
          <cell r="N87">
            <v>68066.28</v>
          </cell>
        </row>
        <row r="103">
          <cell r="N103">
            <v>133006.58999999997</v>
          </cell>
        </row>
        <row r="104">
          <cell r="N104">
            <v>3644.45</v>
          </cell>
        </row>
        <row r="118">
          <cell r="N118">
            <v>4073.5099999999993</v>
          </cell>
        </row>
        <row r="119">
          <cell r="N119">
            <v>111.61</v>
          </cell>
        </row>
        <row r="133">
          <cell r="N133">
            <v>4603.1900000000005</v>
          </cell>
        </row>
        <row r="134">
          <cell r="N134">
            <v>126.13</v>
          </cell>
        </row>
      </sheetData>
      <sheetData sheetId="1"/>
      <sheetData sheetId="2">
        <row r="15">
          <cell r="N15">
            <v>-1285433.2000000007</v>
          </cell>
        </row>
        <row r="16">
          <cell r="N16">
            <v>-46518.05</v>
          </cell>
        </row>
        <row r="27">
          <cell r="N27">
            <v>-204177.64000000004</v>
          </cell>
        </row>
        <row r="28">
          <cell r="N28">
            <v>-7388.93</v>
          </cell>
        </row>
        <row r="39">
          <cell r="N39">
            <v>-297923.25</v>
          </cell>
        </row>
        <row r="40">
          <cell r="N40">
            <v>-10781.449999999999</v>
          </cell>
        </row>
        <row r="50">
          <cell r="N50">
            <v>-6187.7</v>
          </cell>
        </row>
        <row r="51">
          <cell r="N51">
            <v>-223.94000000000003</v>
          </cell>
        </row>
        <row r="62">
          <cell r="N62">
            <v>-2124434.7099999986</v>
          </cell>
        </row>
        <row r="63">
          <cell r="N63">
            <v>-76880.489999999991</v>
          </cell>
        </row>
        <row r="79">
          <cell r="N79">
            <v>-231584.88</v>
          </cell>
        </row>
        <row r="80">
          <cell r="N80">
            <v>-8380.76</v>
          </cell>
        </row>
        <row r="93">
          <cell r="N93">
            <v>-284826.75000000006</v>
          </cell>
        </row>
        <row r="94">
          <cell r="N94">
            <v>-10307.5</v>
          </cell>
        </row>
        <row r="108">
          <cell r="N108">
            <v>3451.1799999999994</v>
          </cell>
        </row>
        <row r="109">
          <cell r="N109">
            <v>124.9</v>
          </cell>
        </row>
        <row r="124">
          <cell r="N124">
            <v>20894.48</v>
          </cell>
        </row>
        <row r="125">
          <cell r="N125">
            <v>756.15</v>
          </cell>
        </row>
      </sheetData>
      <sheetData sheetId="3">
        <row r="12">
          <cell r="Q12">
            <v>-63287.46</v>
          </cell>
        </row>
        <row r="15">
          <cell r="P15">
            <v>-1063575.4082999979</v>
          </cell>
        </row>
        <row r="21">
          <cell r="Q21">
            <v>7213.21</v>
          </cell>
        </row>
        <row r="24">
          <cell r="P24">
            <v>-230927.16778000013</v>
          </cell>
        </row>
        <row r="30">
          <cell r="Q30">
            <v>136.58000000000001</v>
          </cell>
        </row>
        <row r="33">
          <cell r="P33">
            <v>-13621.742420000002</v>
          </cell>
        </row>
        <row r="39">
          <cell r="Q39">
            <v>46137.599999999999</v>
          </cell>
        </row>
        <row r="42">
          <cell r="P42">
            <v>-2082516.2394399978</v>
          </cell>
        </row>
        <row r="48">
          <cell r="Q48">
            <v>24110.47</v>
          </cell>
        </row>
        <row r="51">
          <cell r="P51">
            <v>-508968.49360000016</v>
          </cell>
        </row>
        <row r="60">
          <cell r="P60">
            <v>13467.092959999998</v>
          </cell>
        </row>
        <row r="66">
          <cell r="Q66">
            <v>-2641.6128200000003</v>
          </cell>
        </row>
        <row r="69">
          <cell r="P69">
            <v>27404.747700000004</v>
          </cell>
        </row>
      </sheetData>
      <sheetData sheetId="4"/>
      <sheetData sheetId="5"/>
      <sheetData sheetId="6"/>
      <sheetData sheetId="7">
        <row r="14">
          <cell r="R14">
            <v>-23262.857789999995</v>
          </cell>
        </row>
        <row r="23">
          <cell r="R23">
            <v>1689739.3573900026</v>
          </cell>
        </row>
        <row r="29">
          <cell r="S29">
            <v>-528.52</v>
          </cell>
        </row>
        <row r="32">
          <cell r="R32">
            <v>-79548.009630000088</v>
          </cell>
        </row>
        <row r="38">
          <cell r="S38">
            <v>-3.21</v>
          </cell>
        </row>
        <row r="41">
          <cell r="R41">
            <v>-6866.4607100000021</v>
          </cell>
        </row>
        <row r="47">
          <cell r="S47">
            <v>159870.23000000001</v>
          </cell>
        </row>
        <row r="50">
          <cell r="R50">
            <v>15293.497130000596</v>
          </cell>
        </row>
        <row r="53">
          <cell r="S53">
            <v>3020687</v>
          </cell>
          <cell r="T53">
            <v>3327813</v>
          </cell>
        </row>
        <row r="56">
          <cell r="S56">
            <v>87646.24</v>
          </cell>
        </row>
        <row r="59">
          <cell r="R59">
            <v>-241868.02390000009</v>
          </cell>
        </row>
        <row r="68">
          <cell r="R68">
            <v>-946.80199999999991</v>
          </cell>
        </row>
        <row r="77">
          <cell r="R77">
            <v>9450.7179100000012</v>
          </cell>
        </row>
        <row r="80">
          <cell r="S80">
            <v>230233</v>
          </cell>
        </row>
        <row r="81">
          <cell r="S81">
            <v>-1.9060000000000001E-2</v>
          </cell>
        </row>
        <row r="86">
          <cell r="R86">
            <v>38181.735080000006</v>
          </cell>
        </row>
        <row r="95">
          <cell r="R95">
            <v>6784.0729599999995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erc.gov/enforcement-legal/enforcement/interest-rate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ferc.gov/enforcement-legal/enforcement/interest-rates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www.ferc.gov/enforcement-legal/enforcement/interest-rates" TargetMode="External"/><Relationship Id="rId1" Type="http://schemas.openxmlformats.org/officeDocument/2006/relationships/hyperlink" Target="https://www.ferc.gov/enforcement/acct-matts/interest-rates.asp" TargetMode="External"/><Relationship Id="rId6" Type="http://schemas.openxmlformats.org/officeDocument/2006/relationships/comments" Target="../comments7.xml"/><Relationship Id="rId5" Type="http://schemas.openxmlformats.org/officeDocument/2006/relationships/vmlDrawing" Target="../drawings/vmlDrawing7.vml"/><Relationship Id="rId4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ferc.gov/enforcement/acct-matts/interest-rates.asp" TargetMode="External"/><Relationship Id="rId4" Type="http://schemas.openxmlformats.org/officeDocument/2006/relationships/comments" Target="../comments9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ferc.gov/enforcement-legal/enforcement/interest-rates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ferc.gov/enforcement-legal/enforcement/interest-rates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67C82-9052-4BA2-9BC6-EEF84D1F1712}">
  <dimension ref="A1:AB157"/>
  <sheetViews>
    <sheetView topLeftCell="A99" workbookViewId="0">
      <selection activeCell="G15" sqref="G15"/>
    </sheetView>
  </sheetViews>
  <sheetFormatPr defaultColWidth="9.140625" defaultRowHeight="15" x14ac:dyDescent="0.25"/>
  <cols>
    <col min="1" max="1" width="1.85546875" customWidth="1"/>
    <col min="2" max="2" width="2.85546875" hidden="1" customWidth="1"/>
    <col min="3" max="3" width="52" customWidth="1"/>
    <col min="4" max="4" width="17.7109375" customWidth="1"/>
    <col min="5" max="5" width="15.7109375" customWidth="1"/>
    <col min="6" max="6" width="15.85546875" customWidth="1"/>
    <col min="7" max="7" width="15" customWidth="1"/>
    <col min="8" max="8" width="16" customWidth="1"/>
    <col min="9" max="15" width="14.7109375" customWidth="1"/>
    <col min="16" max="16" width="15.85546875" bestFit="1" customWidth="1"/>
    <col min="17" max="17" width="14.7109375" customWidth="1"/>
    <col min="18" max="18" width="15.7109375" bestFit="1" customWidth="1"/>
    <col min="19" max="19" width="2" customWidth="1"/>
    <col min="20" max="20" width="17.85546875" customWidth="1"/>
    <col min="21" max="21" width="16.85546875" customWidth="1"/>
    <col min="22" max="22" width="14" bestFit="1" customWidth="1"/>
    <col min="23" max="23" width="10" customWidth="1"/>
    <col min="24" max="24" width="9.140625" customWidth="1"/>
    <col min="25" max="25" width="0.7109375" customWidth="1"/>
    <col min="26" max="26" width="10.140625" customWidth="1"/>
    <col min="27" max="27" width="9.140625" customWidth="1"/>
  </cols>
  <sheetData>
    <row r="1" spans="1:27" ht="7.5" customHeight="1" x14ac:dyDescent="0.3"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676"/>
      <c r="N1" s="676"/>
      <c r="O1" s="676"/>
      <c r="P1" s="676"/>
      <c r="Q1" s="676"/>
      <c r="T1" s="333"/>
      <c r="U1" s="333"/>
      <c r="V1" s="333"/>
      <c r="W1" s="333"/>
      <c r="X1" s="333"/>
      <c r="Y1" s="333"/>
      <c r="Z1" s="333"/>
      <c r="AA1" s="333"/>
    </row>
    <row r="2" spans="1:27" ht="19.5" x14ac:dyDescent="0.3">
      <c r="C2" s="677" t="s">
        <v>260</v>
      </c>
      <c r="D2" s="677"/>
      <c r="E2" s="677"/>
      <c r="F2" s="677"/>
      <c r="G2" s="677"/>
      <c r="H2" s="677"/>
      <c r="I2" s="677"/>
      <c r="J2" s="677"/>
      <c r="K2" s="677"/>
      <c r="L2" s="677"/>
      <c r="M2" s="677"/>
      <c r="N2" s="677"/>
      <c r="O2" s="677"/>
      <c r="P2" s="677"/>
      <c r="Q2" s="677"/>
      <c r="R2" s="677"/>
      <c r="T2" s="678" t="s">
        <v>213</v>
      </c>
      <c r="U2" s="679"/>
      <c r="V2" s="679"/>
      <c r="W2" s="679"/>
      <c r="X2" s="679"/>
      <c r="Y2" s="679"/>
      <c r="Z2" s="679"/>
      <c r="AA2" s="330"/>
    </row>
    <row r="3" spans="1:27" ht="19.5" x14ac:dyDescent="0.3">
      <c r="C3" s="677" t="s">
        <v>261</v>
      </c>
      <c r="D3" s="677"/>
      <c r="E3" s="677"/>
      <c r="F3" s="677"/>
      <c r="G3" s="677"/>
      <c r="H3" s="677"/>
      <c r="I3" s="677"/>
      <c r="J3" s="677"/>
      <c r="K3" s="677"/>
      <c r="L3" s="677"/>
      <c r="M3" s="677"/>
      <c r="N3" s="677"/>
      <c r="O3" s="677"/>
      <c r="P3" s="677"/>
      <c r="Q3" s="677"/>
      <c r="R3" s="677"/>
      <c r="T3" s="330">
        <v>1501</v>
      </c>
      <c r="U3" s="330" t="s">
        <v>293</v>
      </c>
      <c r="V3" s="330"/>
      <c r="W3" s="330"/>
      <c r="X3" s="330"/>
      <c r="Y3" s="330"/>
      <c r="Z3" s="330"/>
      <c r="AA3" s="330"/>
    </row>
    <row r="4" spans="1:27" ht="19.5" x14ac:dyDescent="0.3">
      <c r="B4" s="293"/>
      <c r="C4" s="680">
        <f>Q6</f>
        <v>45657</v>
      </c>
      <c r="D4" s="680"/>
      <c r="E4" s="680"/>
      <c r="F4" s="680"/>
      <c r="G4" s="680"/>
      <c r="H4" s="680"/>
      <c r="I4" s="680"/>
      <c r="J4" s="680"/>
      <c r="K4" s="680"/>
      <c r="L4" s="680"/>
      <c r="M4" s="680"/>
      <c r="N4" s="680"/>
      <c r="O4" s="680"/>
      <c r="P4" s="680"/>
      <c r="Q4" s="680"/>
      <c r="R4" s="680"/>
      <c r="T4" s="334" t="s">
        <v>253</v>
      </c>
      <c r="U4" s="330" t="s">
        <v>217</v>
      </c>
      <c r="V4" s="330"/>
      <c r="W4" s="330"/>
      <c r="X4" s="330"/>
      <c r="Y4" s="330"/>
      <c r="Z4" s="330"/>
      <c r="AA4" s="330"/>
    </row>
    <row r="5" spans="1:27" ht="9" customHeight="1" thickBot="1" x14ac:dyDescent="0.35">
      <c r="B5" s="293"/>
      <c r="C5" s="355"/>
      <c r="D5" s="355"/>
      <c r="E5" s="565"/>
      <c r="F5" s="355"/>
      <c r="G5" s="355"/>
      <c r="H5" s="355"/>
      <c r="I5" s="355"/>
      <c r="J5" s="355"/>
      <c r="K5" s="355"/>
      <c r="L5" s="355"/>
      <c r="M5" s="355"/>
      <c r="N5" s="355"/>
      <c r="O5" s="355"/>
      <c r="P5" s="355"/>
      <c r="Q5" s="355"/>
      <c r="R5" s="356"/>
      <c r="T5" s="330"/>
      <c r="U5" s="330"/>
      <c r="V5" s="330"/>
      <c r="W5" s="330"/>
      <c r="X5" s="330"/>
      <c r="Y5" s="330"/>
      <c r="Z5" s="330"/>
      <c r="AA5" s="330"/>
    </row>
    <row r="6" spans="1:27" ht="20.25" customHeight="1" x14ac:dyDescent="0.25">
      <c r="A6" s="313"/>
      <c r="B6" s="470" t="s">
        <v>66</v>
      </c>
      <c r="C6" s="471"/>
      <c r="D6" s="650">
        <v>45291</v>
      </c>
      <c r="E6" s="650">
        <f>+D6+31</f>
        <v>45322</v>
      </c>
      <c r="F6" s="650">
        <f>+E6+29</f>
        <v>45351</v>
      </c>
      <c r="G6" s="650">
        <f>+F6+31</f>
        <v>45382</v>
      </c>
      <c r="H6" s="650">
        <f>+G6+30</f>
        <v>45412</v>
      </c>
      <c r="I6" s="650">
        <f>+H6+31</f>
        <v>45443</v>
      </c>
      <c r="J6" s="650">
        <f>+I6+30</f>
        <v>45473</v>
      </c>
      <c r="K6" s="650">
        <f>+J6+31</f>
        <v>45504</v>
      </c>
      <c r="L6" s="650">
        <f>+K6+31</f>
        <v>45535</v>
      </c>
      <c r="M6" s="650">
        <f>+L6+30</f>
        <v>45565</v>
      </c>
      <c r="N6" s="650">
        <f>+M6+31</f>
        <v>45596</v>
      </c>
      <c r="O6" s="650" t="s">
        <v>234</v>
      </c>
      <c r="P6" s="650">
        <f>+N6+30</f>
        <v>45626</v>
      </c>
      <c r="Q6" s="650">
        <f>+P6+31</f>
        <v>45657</v>
      </c>
      <c r="R6" s="651" t="s">
        <v>135</v>
      </c>
      <c r="S6" s="358"/>
      <c r="T6" s="330"/>
      <c r="U6" s="330"/>
      <c r="V6" s="330"/>
      <c r="W6" s="330"/>
      <c r="X6" s="330"/>
      <c r="Y6" s="330"/>
      <c r="Z6" s="330"/>
      <c r="AA6" s="330"/>
    </row>
    <row r="7" spans="1:27" x14ac:dyDescent="0.25">
      <c r="A7" s="313"/>
      <c r="B7" s="360"/>
      <c r="C7" s="364" t="s">
        <v>136</v>
      </c>
      <c r="D7" s="469">
        <v>8.3500000000000005E-2</v>
      </c>
      <c r="E7" s="469">
        <v>8.5000000000000006E-2</v>
      </c>
      <c r="F7" s="469">
        <v>8.5000000000000006E-2</v>
      </c>
      <c r="G7" s="469">
        <v>8.5000000000000006E-2</v>
      </c>
      <c r="H7" s="469">
        <v>8.5000000000000006E-2</v>
      </c>
      <c r="I7" s="469">
        <v>8.5000000000000006E-2</v>
      </c>
      <c r="J7" s="469">
        <v>8.5000000000000006E-2</v>
      </c>
      <c r="K7" s="469">
        <v>8.5000000000000006E-2</v>
      </c>
      <c r="L7" s="469">
        <v>8.5000000000000006E-2</v>
      </c>
      <c r="M7" s="469">
        <v>8.5000000000000006E-2</v>
      </c>
      <c r="N7" s="469">
        <v>8.5000000000000006E-2</v>
      </c>
      <c r="O7" s="469"/>
      <c r="P7" s="469">
        <v>8.5000000000000006E-2</v>
      </c>
      <c r="Q7" s="469">
        <v>8.5000000000000006E-2</v>
      </c>
      <c r="R7" s="451"/>
      <c r="S7" s="358"/>
      <c r="T7" s="330"/>
      <c r="U7" s="330"/>
      <c r="V7" s="330"/>
      <c r="W7" s="330"/>
      <c r="X7" s="330"/>
      <c r="Y7" s="330"/>
      <c r="Z7" s="330"/>
      <c r="AA7" s="330"/>
    </row>
    <row r="8" spans="1:27" ht="15.75" x14ac:dyDescent="0.25">
      <c r="A8" s="313"/>
      <c r="B8" s="361"/>
      <c r="C8" s="364" t="s">
        <v>140</v>
      </c>
      <c r="D8" s="341">
        <v>31</v>
      </c>
      <c r="E8" s="491">
        <v>31</v>
      </c>
      <c r="F8" s="396">
        <v>29</v>
      </c>
      <c r="G8" s="341">
        <v>31</v>
      </c>
      <c r="H8" s="341">
        <v>30</v>
      </c>
      <c r="I8" s="341">
        <v>31</v>
      </c>
      <c r="J8" s="341">
        <v>30</v>
      </c>
      <c r="K8" s="341">
        <v>31</v>
      </c>
      <c r="L8" s="341">
        <v>31</v>
      </c>
      <c r="M8" s="341">
        <v>30</v>
      </c>
      <c r="N8" s="341">
        <v>31</v>
      </c>
      <c r="O8" s="341"/>
      <c r="P8" s="341">
        <v>30</v>
      </c>
      <c r="Q8" s="396">
        <v>31</v>
      </c>
      <c r="R8" s="451"/>
      <c r="T8" s="330"/>
      <c r="U8" s="330"/>
      <c r="V8" s="444" t="s">
        <v>92</v>
      </c>
      <c r="W8" s="330"/>
      <c r="X8" s="330"/>
      <c r="Y8" s="330"/>
      <c r="Z8" s="330"/>
      <c r="AA8" s="330"/>
    </row>
    <row r="9" spans="1:27" ht="15.75" x14ac:dyDescent="0.25">
      <c r="A9" s="313"/>
      <c r="B9" s="295" t="s">
        <v>64</v>
      </c>
      <c r="C9" s="362" t="s">
        <v>262</v>
      </c>
      <c r="D9" s="250">
        <v>204516</v>
      </c>
      <c r="E9" s="250">
        <v>204779</v>
      </c>
      <c r="F9" s="250">
        <v>204816</v>
      </c>
      <c r="G9" s="250">
        <v>204869</v>
      </c>
      <c r="H9" s="250">
        <v>204733</v>
      </c>
      <c r="I9" s="250">
        <v>204534</v>
      </c>
      <c r="J9" s="250">
        <v>204360</v>
      </c>
      <c r="K9" s="250">
        <v>204251</v>
      </c>
      <c r="L9" s="250">
        <v>204284</v>
      </c>
      <c r="M9" s="250">
        <v>204420</v>
      </c>
      <c r="N9" s="250">
        <v>205225</v>
      </c>
      <c r="O9" s="274" t="s">
        <v>249</v>
      </c>
      <c r="P9" s="250">
        <v>205755</v>
      </c>
      <c r="Q9" s="250">
        <v>206012</v>
      </c>
      <c r="R9" s="99"/>
      <c r="T9" s="652">
        <v>4800</v>
      </c>
      <c r="U9" s="461">
        <v>503</v>
      </c>
      <c r="V9" s="332">
        <f>+U12</f>
        <v>16989465</v>
      </c>
      <c r="W9" s="333"/>
      <c r="X9" s="444" t="s">
        <v>90</v>
      </c>
      <c r="Y9" s="330"/>
      <c r="Z9" s="444" t="s">
        <v>214</v>
      </c>
      <c r="AA9" s="330"/>
    </row>
    <row r="10" spans="1:27" ht="15.75" x14ac:dyDescent="0.25">
      <c r="A10" s="313"/>
      <c r="B10" s="295" t="s">
        <v>71</v>
      </c>
      <c r="C10" s="366" t="s">
        <v>294</v>
      </c>
      <c r="D10" s="252">
        <v>5815745.7800000003</v>
      </c>
      <c r="E10" s="252">
        <v>7205999.1500000004</v>
      </c>
      <c r="F10" s="252">
        <v>6498683.7999999998</v>
      </c>
      <c r="G10" s="252">
        <v>5679159.9000000004</v>
      </c>
      <c r="H10" s="252">
        <v>3911999.95</v>
      </c>
      <c r="I10" s="252">
        <v>2856301.64</v>
      </c>
      <c r="J10" s="252">
        <v>1771663.59</v>
      </c>
      <c r="K10" s="252">
        <v>1174370.8600000001</v>
      </c>
      <c r="L10" s="252">
        <v>905102.29</v>
      </c>
      <c r="M10" s="252">
        <v>970735.73</v>
      </c>
      <c r="N10" s="252">
        <v>1689911.63</v>
      </c>
      <c r="O10" s="398" t="s">
        <v>295</v>
      </c>
      <c r="P10" s="252">
        <v>3104684.42</v>
      </c>
      <c r="Q10" s="568">
        <v>5768108.8399999999</v>
      </c>
      <c r="R10" s="362"/>
      <c r="T10" s="437" t="s">
        <v>90</v>
      </c>
      <c r="U10" s="335">
        <v>5768108.8399999999</v>
      </c>
      <c r="V10" s="336">
        <f>U10/V9</f>
        <v>0.33951091691233359</v>
      </c>
      <c r="W10" s="336">
        <f>U10/V9</f>
        <v>0.33951091691233359</v>
      </c>
      <c r="X10" s="330">
        <v>0.34623999999999999</v>
      </c>
      <c r="Y10" s="330"/>
      <c r="Z10" s="492">
        <f>X10-W10</f>
        <v>6.7290830876663987E-3</v>
      </c>
      <c r="AA10" s="330"/>
    </row>
    <row r="11" spans="1:27" ht="15.75" x14ac:dyDescent="0.25">
      <c r="A11" s="313"/>
      <c r="B11" s="295" t="s">
        <v>72</v>
      </c>
      <c r="C11" s="366" t="s">
        <v>223</v>
      </c>
      <c r="D11" s="569">
        <v>14067230</v>
      </c>
      <c r="E11" s="569">
        <v>15499056</v>
      </c>
      <c r="F11" s="569">
        <v>12205483</v>
      </c>
      <c r="G11" s="569">
        <v>9782550</v>
      </c>
      <c r="H11" s="569">
        <v>6956219</v>
      </c>
      <c r="I11" s="569">
        <v>4796093</v>
      </c>
      <c r="J11" s="569">
        <v>2037175</v>
      </c>
      <c r="K11" s="569">
        <v>1709750</v>
      </c>
      <c r="L11" s="569">
        <v>1234582</v>
      </c>
      <c r="M11" s="569">
        <v>1701165</v>
      </c>
      <c r="N11" s="569">
        <v>4719218</v>
      </c>
      <c r="O11" s="204"/>
      <c r="P11" s="465">
        <v>11829807</v>
      </c>
      <c r="Q11" s="465">
        <v>14663134</v>
      </c>
      <c r="R11" s="99"/>
      <c r="T11" s="437" t="s">
        <v>239</v>
      </c>
      <c r="U11" s="335">
        <v>11267678.65</v>
      </c>
      <c r="V11" s="336">
        <f>U11/V9</f>
        <v>0.66321562509472787</v>
      </c>
      <c r="W11" s="336">
        <f>U11/V9</f>
        <v>0.66321562509472787</v>
      </c>
      <c r="X11" s="330">
        <v>0.66366999999999998</v>
      </c>
      <c r="Y11" s="330"/>
      <c r="Z11" s="492">
        <f>X11-W11</f>
        <v>4.5437490527211466E-4</v>
      </c>
      <c r="AA11" s="330"/>
    </row>
    <row r="12" spans="1:27" ht="15.75" x14ac:dyDescent="0.25">
      <c r="A12" s="313"/>
      <c r="B12" s="295"/>
      <c r="C12" s="366" t="s">
        <v>265</v>
      </c>
      <c r="D12" s="570">
        <v>0.33950999999999998</v>
      </c>
      <c r="E12" s="570">
        <v>0.33950999999999998</v>
      </c>
      <c r="F12" s="570">
        <v>0.33950999999999998</v>
      </c>
      <c r="G12" s="570">
        <v>0.33950999999999998</v>
      </c>
      <c r="H12" s="570">
        <v>0.33950999999999998</v>
      </c>
      <c r="I12" s="570">
        <v>0.33950999999999998</v>
      </c>
      <c r="J12" s="570">
        <v>0.33950999999999998</v>
      </c>
      <c r="K12" s="570">
        <v>0.33950999999999998</v>
      </c>
      <c r="L12" s="570">
        <v>0.33950999999999998</v>
      </c>
      <c r="M12" s="570">
        <v>0.33950999999999998</v>
      </c>
      <c r="N12" s="570">
        <v>0.33950999999999998</v>
      </c>
      <c r="O12" s="210"/>
      <c r="P12" s="570">
        <v>0.33950999999999998</v>
      </c>
      <c r="Q12" s="570">
        <v>0.33950999999999998</v>
      </c>
      <c r="R12" s="99"/>
      <c r="T12" s="653" t="s">
        <v>92</v>
      </c>
      <c r="U12" s="332">
        <v>16989465</v>
      </c>
      <c r="V12" s="336"/>
      <c r="W12" s="336"/>
      <c r="X12" s="330"/>
      <c r="Y12" s="330"/>
      <c r="Z12" s="492"/>
      <c r="AA12" s="330"/>
    </row>
    <row r="13" spans="1:27" ht="15.75" x14ac:dyDescent="0.25">
      <c r="A13" s="313"/>
      <c r="B13" s="295"/>
      <c r="C13" s="366" t="s">
        <v>224</v>
      </c>
      <c r="D13" s="310">
        <v>4775965.26</v>
      </c>
      <c r="E13" s="310">
        <f>ROUND(E11*E12,2)</f>
        <v>5262084.5</v>
      </c>
      <c r="F13" s="310">
        <f t="shared" ref="F13:Q13" si="0">ROUND(F11*F12,2)</f>
        <v>4143883.53</v>
      </c>
      <c r="G13" s="310">
        <f t="shared" si="0"/>
        <v>3321273.55</v>
      </c>
      <c r="H13" s="310">
        <f t="shared" si="0"/>
        <v>2361705.91</v>
      </c>
      <c r="I13" s="310">
        <f t="shared" si="0"/>
        <v>1628321.53</v>
      </c>
      <c r="J13" s="310">
        <f t="shared" si="0"/>
        <v>691641.28</v>
      </c>
      <c r="K13" s="310">
        <f t="shared" si="0"/>
        <v>580477.22</v>
      </c>
      <c r="L13" s="310">
        <f t="shared" si="0"/>
        <v>419152.93</v>
      </c>
      <c r="M13" s="310">
        <f t="shared" si="0"/>
        <v>577562.53</v>
      </c>
      <c r="N13" s="310">
        <f>ROUND(N11*N12,2)</f>
        <v>1602221.7</v>
      </c>
      <c r="O13" s="206"/>
      <c r="P13" s="310">
        <f t="shared" si="0"/>
        <v>4016337.77</v>
      </c>
      <c r="Q13" s="310">
        <f t="shared" si="0"/>
        <v>4978280.62</v>
      </c>
      <c r="R13" s="99"/>
      <c r="T13" s="437"/>
      <c r="U13" s="460"/>
      <c r="V13" s="336"/>
      <c r="W13" s="336"/>
      <c r="X13" s="330"/>
      <c r="Y13" s="330"/>
      <c r="Z13" s="336"/>
      <c r="AA13" s="330"/>
    </row>
    <row r="14" spans="1:27" ht="15.75" x14ac:dyDescent="0.25">
      <c r="A14" s="313"/>
      <c r="B14" s="295" t="s">
        <v>72</v>
      </c>
      <c r="C14" s="366" t="s">
        <v>184</v>
      </c>
      <c r="D14" s="88">
        <v>-4560269.12</v>
      </c>
      <c r="E14" s="88">
        <f t="shared" ref="E14:N14" si="1">-D13</f>
        <v>-4775965.26</v>
      </c>
      <c r="F14" s="88">
        <f t="shared" si="1"/>
        <v>-5262084.5</v>
      </c>
      <c r="G14" s="88">
        <f t="shared" si="1"/>
        <v>-4143883.53</v>
      </c>
      <c r="H14" s="88">
        <f t="shared" si="1"/>
        <v>-3321273.55</v>
      </c>
      <c r="I14" s="88">
        <f t="shared" si="1"/>
        <v>-2361705.91</v>
      </c>
      <c r="J14" s="88">
        <f t="shared" si="1"/>
        <v>-1628321.53</v>
      </c>
      <c r="K14" s="88">
        <f t="shared" si="1"/>
        <v>-691641.28</v>
      </c>
      <c r="L14" s="88">
        <f t="shared" si="1"/>
        <v>-580477.22</v>
      </c>
      <c r="M14" s="88">
        <f t="shared" si="1"/>
        <v>-419152.93</v>
      </c>
      <c r="N14" s="88">
        <f t="shared" si="1"/>
        <v>-577562.53</v>
      </c>
      <c r="O14" s="205"/>
      <c r="P14" s="88">
        <f>-N13</f>
        <v>-1602221.7</v>
      </c>
      <c r="Q14" s="88">
        <f>-P13</f>
        <v>-4016337.77</v>
      </c>
      <c r="R14" s="99"/>
      <c r="T14" s="535"/>
      <c r="U14" s="330"/>
      <c r="V14" s="333"/>
      <c r="W14" s="333"/>
      <c r="X14" s="330"/>
      <c r="Y14" s="330"/>
      <c r="Z14" s="330"/>
      <c r="AA14" s="330"/>
    </row>
    <row r="15" spans="1:27" ht="15.75" x14ac:dyDescent="0.25">
      <c r="A15" s="313"/>
      <c r="B15" s="295"/>
      <c r="C15" s="364" t="s">
        <v>74</v>
      </c>
      <c r="D15" s="108">
        <v>6031441.919999999</v>
      </c>
      <c r="E15" s="108">
        <f>E13+E10+E14</f>
        <v>7692118.3900000006</v>
      </c>
      <c r="F15" s="108">
        <f t="shared" ref="F15:N15" si="2">F13+F10+F14</f>
        <v>5380482.8300000001</v>
      </c>
      <c r="G15" s="108">
        <f t="shared" si="2"/>
        <v>4856549.92</v>
      </c>
      <c r="H15" s="108">
        <f t="shared" si="2"/>
        <v>2952432.3100000005</v>
      </c>
      <c r="I15" s="108">
        <f t="shared" si="2"/>
        <v>2122917.2599999998</v>
      </c>
      <c r="J15" s="108">
        <f t="shared" si="2"/>
        <v>834983.34000000008</v>
      </c>
      <c r="K15" s="108">
        <f t="shared" si="2"/>
        <v>1063206.8</v>
      </c>
      <c r="L15" s="108">
        <f t="shared" si="2"/>
        <v>743778</v>
      </c>
      <c r="M15" s="108">
        <f t="shared" si="2"/>
        <v>1129145.33</v>
      </c>
      <c r="N15" s="108">
        <f t="shared" si="2"/>
        <v>2714570.8</v>
      </c>
      <c r="O15" s="206"/>
      <c r="P15" s="108">
        <f>P13+P10+P14</f>
        <v>5518800.4899999993</v>
      </c>
      <c r="Q15" s="108">
        <f>Q13+Q10+Q14</f>
        <v>6730051.6900000013</v>
      </c>
      <c r="R15" s="362"/>
      <c r="T15" s="654"/>
      <c r="U15" s="337"/>
      <c r="V15" s="336"/>
      <c r="W15" s="336"/>
      <c r="X15" s="330"/>
      <c r="Y15" s="330"/>
      <c r="Z15" s="336"/>
      <c r="AA15" s="330"/>
    </row>
    <row r="16" spans="1:27" ht="15.75" x14ac:dyDescent="0.25">
      <c r="A16" s="313"/>
      <c r="B16" s="295"/>
      <c r="C16" s="655" t="s">
        <v>296</v>
      </c>
      <c r="D16" s="571">
        <f>+'[1]Margins 2023'!Q7</f>
        <v>36.58</v>
      </c>
      <c r="E16" s="572">
        <f>+'[1]Margins 2023'!E7</f>
        <v>35.76</v>
      </c>
      <c r="F16" s="572">
        <f>+'[1]Margins 2023'!F7</f>
        <v>29.09</v>
      </c>
      <c r="G16" s="572">
        <f>+'[1]Margins 2023'!G7</f>
        <v>24.67</v>
      </c>
      <c r="H16" s="572">
        <f>+'[1]Margins 2023'!H7</f>
        <v>16.09</v>
      </c>
      <c r="I16" s="572">
        <f>+'[1]Margins 2023'!I7</f>
        <v>10.31</v>
      </c>
      <c r="J16" s="572">
        <f>+'[1]Margins 2023'!J7</f>
        <v>6.6</v>
      </c>
      <c r="K16" s="572">
        <f>+'[1]Margins 2023'!K7</f>
        <v>5.4</v>
      </c>
      <c r="L16" s="572">
        <f>+'[1]Margins 2023'!L7</f>
        <v>5.41</v>
      </c>
      <c r="M16" s="572">
        <f>+'[1]Margins 2023'!M7</f>
        <v>6.55</v>
      </c>
      <c r="N16" s="572">
        <f>+'[1]Margins 2023'!N7</f>
        <v>14.96</v>
      </c>
      <c r="O16" s="206"/>
      <c r="P16" s="572">
        <f>+'[1]Margins 2023'!P7</f>
        <v>28.21</v>
      </c>
      <c r="Q16" s="572">
        <f>+'[1]Margins 2023'!Q7</f>
        <v>36.58</v>
      </c>
      <c r="R16" s="362"/>
      <c r="T16" s="654"/>
      <c r="U16" s="337"/>
      <c r="V16" s="336"/>
      <c r="W16" s="336"/>
      <c r="X16" s="330"/>
      <c r="Y16" s="330"/>
      <c r="Z16" s="336"/>
      <c r="AA16" s="330"/>
    </row>
    <row r="17" spans="1:27" ht="15.75" x14ac:dyDescent="0.25">
      <c r="A17" s="313"/>
      <c r="B17" s="295"/>
      <c r="C17" s="487" t="s">
        <v>73</v>
      </c>
      <c r="D17" s="571">
        <v>-7481195.2800000003</v>
      </c>
      <c r="E17" s="572">
        <f>ROUND(-E16*'WA CAP 2024'!E9,2)</f>
        <v>-7322897.04</v>
      </c>
      <c r="F17" s="572">
        <f>ROUND(-F16*'WA CAP 2024'!F9,2)</f>
        <v>-5958097.4400000004</v>
      </c>
      <c r="G17" s="572">
        <f>ROUND(-G16*'WA CAP 2024'!G9,2)</f>
        <v>-5054118.2300000004</v>
      </c>
      <c r="H17" s="572">
        <f>ROUND(-H16*'WA CAP 2024'!H9,2)</f>
        <v>-3294153.97</v>
      </c>
      <c r="I17" s="572">
        <f>ROUND(-I16*'WA CAP 2024'!I9,2)</f>
        <v>-2108745.54</v>
      </c>
      <c r="J17" s="572">
        <f>ROUND(-J16*'WA CAP 2024'!J9,2)</f>
        <v>-1348776</v>
      </c>
      <c r="K17" s="572">
        <f>ROUND(-K16*'WA CAP 2024'!K9,2)</f>
        <v>-1102955.3999999999</v>
      </c>
      <c r="L17" s="572">
        <f>ROUND(-L16*'WA CAP 2024'!L9,2)</f>
        <v>-1105176.44</v>
      </c>
      <c r="M17" s="572">
        <f>ROUND(-M16*'WA CAP 2024'!M9,2)</f>
        <v>-1338951</v>
      </c>
      <c r="N17" s="572">
        <f>ROUND(-N16*'WA CAP 2024'!N9,2)</f>
        <v>-3070166</v>
      </c>
      <c r="O17" s="206"/>
      <c r="P17" s="572">
        <f>ROUND(-P16*'WA CAP 2024'!P9,2)</f>
        <v>-5804348.5499999998</v>
      </c>
      <c r="Q17" s="572">
        <f>ROUND(-Q16*'WA CAP 2024'!Q9,2)</f>
        <v>-7535918.96</v>
      </c>
      <c r="R17" s="362"/>
      <c r="T17" s="652"/>
      <c r="U17" s="330"/>
      <c r="V17" s="330"/>
      <c r="W17" s="330"/>
      <c r="X17" s="330"/>
      <c r="Y17" s="330"/>
      <c r="Z17" s="330"/>
      <c r="AA17" s="330"/>
    </row>
    <row r="18" spans="1:27" ht="15.75" x14ac:dyDescent="0.25">
      <c r="A18" s="313"/>
      <c r="B18" s="295"/>
      <c r="C18" s="364" t="s">
        <v>201</v>
      </c>
      <c r="D18" s="187">
        <v>-1449753.3600000013</v>
      </c>
      <c r="E18" s="108">
        <f>+E15+E17</f>
        <v>369221.35000000056</v>
      </c>
      <c r="F18" s="108">
        <f t="shared" ref="F18:Q18" si="3">+F15+F17</f>
        <v>-577614.61000000034</v>
      </c>
      <c r="G18" s="108">
        <f t="shared" si="3"/>
        <v>-197568.31000000052</v>
      </c>
      <c r="H18" s="108">
        <f t="shared" si="3"/>
        <v>-341721.65999999968</v>
      </c>
      <c r="I18" s="108">
        <f t="shared" si="3"/>
        <v>14171.719999999739</v>
      </c>
      <c r="J18" s="108">
        <f t="shared" si="3"/>
        <v>-513792.65999999992</v>
      </c>
      <c r="K18" s="108">
        <f t="shared" si="3"/>
        <v>-39748.59999999986</v>
      </c>
      <c r="L18" s="108">
        <f t="shared" si="3"/>
        <v>-361398.43999999994</v>
      </c>
      <c r="M18" s="108">
        <f t="shared" si="3"/>
        <v>-209805.66999999993</v>
      </c>
      <c r="N18" s="108">
        <f t="shared" si="3"/>
        <v>-355595.20000000019</v>
      </c>
      <c r="O18" s="532">
        <f>-ROUND('[1]2023'!Q20,2)+0.07</f>
        <v>2182081.5799999996</v>
      </c>
      <c r="P18" s="108">
        <f t="shared" si="3"/>
        <v>-285548.06000000052</v>
      </c>
      <c r="Q18" s="108">
        <f t="shared" si="3"/>
        <v>-805867.26999999862</v>
      </c>
      <c r="R18" s="99">
        <f>SUM(E18:Q18)-O18</f>
        <v>-3305267.4099999992</v>
      </c>
      <c r="T18" s="652"/>
      <c r="U18" s="330"/>
      <c r="V18" s="330"/>
      <c r="W18" s="330"/>
      <c r="X18" s="330"/>
      <c r="Y18" s="330"/>
      <c r="Z18" s="330"/>
      <c r="AA18" s="330"/>
    </row>
    <row r="19" spans="1:27" ht="15.75" x14ac:dyDescent="0.25">
      <c r="A19" s="313"/>
      <c r="B19" s="295"/>
      <c r="C19" s="574" t="s">
        <v>137</v>
      </c>
      <c r="D19" s="187">
        <v>-5156.9399999999996</v>
      </c>
      <c r="E19" s="108">
        <f>ROUND(ROUND(D21*E$7,2)/365*E$8,2)</f>
        <v>0</v>
      </c>
      <c r="F19" s="187">
        <f>ROUND(ROUND(E21*F$7,2)/365*F$8,2)</f>
        <v>2493.5100000000002</v>
      </c>
      <c r="G19" s="187">
        <f t="shared" ref="G19:J19" si="4">ROUND(ROUND(F21*G$7,2)/365*G$8,2)</f>
        <v>-1486.43</v>
      </c>
      <c r="H19" s="187">
        <f t="shared" si="4"/>
        <v>-2829.13</v>
      </c>
      <c r="I19" s="187">
        <f t="shared" si="4"/>
        <v>-5410.81</v>
      </c>
      <c r="J19" s="187">
        <f t="shared" si="4"/>
        <v>-5175.0600000000004</v>
      </c>
      <c r="K19" s="187">
        <f>ROUND(ROUND(J21*K$7,2)/365*K$8,2)</f>
        <v>-9094.09</v>
      </c>
      <c r="L19" s="187">
        <f>ROUND(ROUND(K21*L$7,2)/365*L$8,2)</f>
        <v>-9446.69</v>
      </c>
      <c r="M19" s="187">
        <f>ROUND(ROUND(L21*M$7,2)/365*M$8,2)</f>
        <v>-11732.79</v>
      </c>
      <c r="N19" s="187">
        <f>ROUND(ROUND(M21*N$7,2)/365*N$8,2)</f>
        <v>-13723.21</v>
      </c>
      <c r="O19" s="208">
        <f>'[1]Ammort Split 2024'!N15</f>
        <v>160036.08000000002</v>
      </c>
      <c r="P19" s="187">
        <f>ROUND(ROUND(O21*P$7,2)/365*P$8,2)</f>
        <v>502.04</v>
      </c>
      <c r="Q19" s="187">
        <f t="shared" ref="Q19" si="5">ROUND(ROUND(P21*Q$7,2)/365*Q$8,2)</f>
        <v>-1539.02</v>
      </c>
      <c r="R19" s="100">
        <f>SUM(E19:Q19)</f>
        <v>102594.4</v>
      </c>
      <c r="T19" s="652"/>
      <c r="U19" s="330"/>
      <c r="V19" s="330"/>
      <c r="W19" s="330"/>
      <c r="X19" s="330"/>
      <c r="Y19" s="330"/>
      <c r="Z19" s="330"/>
      <c r="AA19" s="330"/>
    </row>
    <row r="20" spans="1:27" ht="15.75" x14ac:dyDescent="0.25">
      <c r="A20" s="313"/>
      <c r="B20" s="295"/>
      <c r="C20" s="364" t="s">
        <v>138</v>
      </c>
      <c r="D20" s="189">
        <v>-1454910.3000000012</v>
      </c>
      <c r="E20" s="88">
        <f t="shared" ref="E20:Q20" si="6">SUM(E18:E19)</f>
        <v>369221.35000000056</v>
      </c>
      <c r="F20" s="189">
        <f t="shared" si="6"/>
        <v>-575121.10000000033</v>
      </c>
      <c r="G20" s="189">
        <f t="shared" si="6"/>
        <v>-199054.74000000051</v>
      </c>
      <c r="H20" s="189">
        <f t="shared" si="6"/>
        <v>-344550.78999999969</v>
      </c>
      <c r="I20" s="189">
        <f t="shared" si="6"/>
        <v>8760.9099999997379</v>
      </c>
      <c r="J20" s="189">
        <f t="shared" si="6"/>
        <v>-518967.71999999991</v>
      </c>
      <c r="K20" s="189">
        <f t="shared" si="6"/>
        <v>-48842.689999999857</v>
      </c>
      <c r="L20" s="189">
        <f t="shared" si="6"/>
        <v>-370845.12999999995</v>
      </c>
      <c r="M20" s="189">
        <f t="shared" si="6"/>
        <v>-221538.45999999993</v>
      </c>
      <c r="N20" s="189">
        <f t="shared" si="6"/>
        <v>-369318.41000000021</v>
      </c>
      <c r="O20" s="209">
        <f>SUM(O18:O19)</f>
        <v>2342117.6599999997</v>
      </c>
      <c r="P20" s="189">
        <f t="shared" si="6"/>
        <v>-285046.02000000054</v>
      </c>
      <c r="Q20" s="189">
        <f t="shared" si="6"/>
        <v>-807406.28999999864</v>
      </c>
      <c r="R20" s="453">
        <f>SUM(R18:R19)</f>
        <v>-3202673.0099999993</v>
      </c>
      <c r="T20" s="652"/>
      <c r="U20" s="330"/>
      <c r="V20" s="330"/>
      <c r="W20" s="330"/>
      <c r="X20" s="330"/>
      <c r="Y20" s="330"/>
      <c r="Z20" s="330"/>
      <c r="AA20" s="330"/>
    </row>
    <row r="21" spans="1:27" s="584" customFormat="1" ht="21" customHeight="1" x14ac:dyDescent="0.25">
      <c r="A21" s="575"/>
      <c r="B21" s="576"/>
      <c r="C21" s="577" t="s">
        <v>139</v>
      </c>
      <c r="D21" s="250"/>
      <c r="E21" s="579">
        <f t="shared" ref="E21:Q21" si="7">D21+E20</f>
        <v>369221.35000000056</v>
      </c>
      <c r="F21" s="580">
        <f t="shared" si="7"/>
        <v>-205899.74999999977</v>
      </c>
      <c r="G21" s="580">
        <f t="shared" si="7"/>
        <v>-404954.49000000028</v>
      </c>
      <c r="H21" s="580">
        <f t="shared" si="7"/>
        <v>-749505.28</v>
      </c>
      <c r="I21" s="580">
        <f t="shared" si="7"/>
        <v>-740744.37000000034</v>
      </c>
      <c r="J21" s="580">
        <f t="shared" si="7"/>
        <v>-1259712.0900000003</v>
      </c>
      <c r="K21" s="580">
        <f t="shared" si="7"/>
        <v>-1308554.7800000003</v>
      </c>
      <c r="L21" s="580">
        <f t="shared" si="7"/>
        <v>-1679399.9100000001</v>
      </c>
      <c r="M21" s="580">
        <f t="shared" si="7"/>
        <v>-1900938.37</v>
      </c>
      <c r="N21" s="580">
        <f t="shared" si="7"/>
        <v>-2270256.7800000003</v>
      </c>
      <c r="O21" s="581">
        <f t="shared" si="7"/>
        <v>71860.879999999423</v>
      </c>
      <c r="P21" s="580">
        <f t="shared" si="7"/>
        <v>-213185.14000000112</v>
      </c>
      <c r="Q21" s="582">
        <f t="shared" si="7"/>
        <v>-1020591.4299999997</v>
      </c>
      <c r="R21" s="583"/>
      <c r="T21" s="656"/>
      <c r="U21" s="585"/>
      <c r="V21" s="586" t="s">
        <v>92</v>
      </c>
      <c r="W21" s="585"/>
      <c r="X21" s="585"/>
      <c r="Y21" s="585"/>
      <c r="Z21" s="585"/>
      <c r="AA21" s="585"/>
    </row>
    <row r="22" spans="1:27" ht="15.75" x14ac:dyDescent="0.25">
      <c r="A22" s="313"/>
      <c r="B22" s="295" t="s">
        <v>64</v>
      </c>
      <c r="C22" s="362" t="s">
        <v>266</v>
      </c>
      <c r="D22" s="250">
        <v>495</v>
      </c>
      <c r="E22" s="250">
        <v>498</v>
      </c>
      <c r="F22" s="250">
        <v>498</v>
      </c>
      <c r="G22" s="250">
        <v>498</v>
      </c>
      <c r="H22" s="250">
        <v>498</v>
      </c>
      <c r="I22" s="250">
        <v>500</v>
      </c>
      <c r="J22" s="250">
        <v>498</v>
      </c>
      <c r="K22" s="250">
        <v>494</v>
      </c>
      <c r="L22" s="250">
        <v>493</v>
      </c>
      <c r="M22" s="250">
        <v>492</v>
      </c>
      <c r="N22" s="250">
        <v>493</v>
      </c>
      <c r="O22" s="274"/>
      <c r="P22" s="250">
        <v>494</v>
      </c>
      <c r="Q22" s="250">
        <v>494</v>
      </c>
      <c r="R22" s="99"/>
      <c r="T22" s="652">
        <v>4809</v>
      </c>
      <c r="U22" s="461">
        <v>505</v>
      </c>
      <c r="V22" s="535">
        <f>+U27</f>
        <v>1453441</v>
      </c>
      <c r="W22" s="333"/>
      <c r="X22" s="444" t="s">
        <v>90</v>
      </c>
      <c r="Y22" s="330"/>
      <c r="Z22" s="444" t="s">
        <v>214</v>
      </c>
      <c r="AA22" s="330"/>
    </row>
    <row r="23" spans="1:27" ht="15.75" x14ac:dyDescent="0.25">
      <c r="A23" s="313"/>
      <c r="B23" s="295" t="s">
        <v>71</v>
      </c>
      <c r="C23" s="366" t="s">
        <v>297</v>
      </c>
      <c r="D23" s="251">
        <v>42196.17</v>
      </c>
      <c r="E23" s="251">
        <v>131468.93</v>
      </c>
      <c r="F23" s="251">
        <v>98992.72</v>
      </c>
      <c r="G23" s="251">
        <v>86036.19</v>
      </c>
      <c r="H23" s="251">
        <v>60628.87</v>
      </c>
      <c r="I23" s="251">
        <v>55904.58</v>
      </c>
      <c r="J23" s="251">
        <v>30671.91</v>
      </c>
      <c r="K23" s="251">
        <v>27270.91</v>
      </c>
      <c r="L23" s="251">
        <v>32337.53</v>
      </c>
      <c r="M23" s="251">
        <v>34514.89</v>
      </c>
      <c r="N23" s="251">
        <v>90812.34</v>
      </c>
      <c r="O23" s="274"/>
      <c r="P23" s="251">
        <v>58427.66</v>
      </c>
      <c r="Q23" s="251">
        <v>107305.42</v>
      </c>
      <c r="R23" s="99"/>
      <c r="T23" s="437" t="s">
        <v>298</v>
      </c>
      <c r="U23" s="335">
        <v>107305.42</v>
      </c>
      <c r="V23" s="336">
        <f>U23/V27</f>
        <v>0.22362983108776974</v>
      </c>
      <c r="W23" s="336">
        <f>U23/V27</f>
        <v>0.22362983108776974</v>
      </c>
      <c r="X23" s="330">
        <v>0.22363</v>
      </c>
      <c r="Y23" s="330"/>
      <c r="Z23" s="492">
        <f>X23-W23</f>
        <v>1.6891223025838897E-7</v>
      </c>
      <c r="AA23" s="330"/>
    </row>
    <row r="24" spans="1:27" ht="15.75" x14ac:dyDescent="0.25">
      <c r="A24" s="313"/>
      <c r="B24" s="295" t="s">
        <v>71</v>
      </c>
      <c r="C24" s="366" t="s">
        <v>299</v>
      </c>
      <c r="D24" s="251">
        <v>114871.87</v>
      </c>
      <c r="E24" s="251">
        <v>44114.39</v>
      </c>
      <c r="F24" s="251">
        <v>44563.56</v>
      </c>
      <c r="G24" s="251">
        <v>43292.65</v>
      </c>
      <c r="H24" s="251">
        <v>39441.19</v>
      </c>
      <c r="I24" s="251">
        <v>34842.79</v>
      </c>
      <c r="J24" s="251">
        <v>26257.200000000001</v>
      </c>
      <c r="K24" s="251">
        <v>20351.27</v>
      </c>
      <c r="L24" s="251">
        <v>17212.849999999999</v>
      </c>
      <c r="M24" s="251">
        <v>18958.46</v>
      </c>
      <c r="N24" s="251">
        <v>24378.12</v>
      </c>
      <c r="O24" s="274"/>
      <c r="P24" s="251">
        <v>35003.08</v>
      </c>
      <c r="Q24" s="251">
        <v>41915.870000000003</v>
      </c>
      <c r="R24" s="99"/>
      <c r="T24" s="437" t="s">
        <v>227</v>
      </c>
      <c r="U24" s="335">
        <v>41915.870000000003</v>
      </c>
      <c r="V24" s="336">
        <f>U24/V28</f>
        <v>0.18355010903740554</v>
      </c>
      <c r="W24" s="336">
        <f>U24/V28</f>
        <v>0.18355010903740554</v>
      </c>
      <c r="X24" s="330">
        <v>0.18354999999999999</v>
      </c>
      <c r="Y24" s="330"/>
      <c r="Z24" s="492">
        <f>X24-W24</f>
        <v>-1.0903740554901731E-7</v>
      </c>
      <c r="AA24" s="330"/>
    </row>
    <row r="25" spans="1:27" ht="15.75" x14ac:dyDescent="0.25">
      <c r="A25" s="313"/>
      <c r="B25" s="295" t="s">
        <v>71</v>
      </c>
      <c r="C25" s="366" t="s">
        <v>300</v>
      </c>
      <c r="D25" s="252">
        <v>91709.51</v>
      </c>
      <c r="E25" s="252">
        <v>133165.96</v>
      </c>
      <c r="F25" s="252">
        <v>131326.5</v>
      </c>
      <c r="G25" s="252">
        <v>115450.31</v>
      </c>
      <c r="H25" s="252">
        <v>94532.35</v>
      </c>
      <c r="I25" s="252">
        <v>79699.8</v>
      </c>
      <c r="J25" s="252">
        <v>52633.43</v>
      </c>
      <c r="K25" s="252">
        <v>44789.84</v>
      </c>
      <c r="L25" s="252">
        <v>40302.57</v>
      </c>
      <c r="M25" s="252">
        <v>46435.03</v>
      </c>
      <c r="N25" s="252">
        <v>60829.79</v>
      </c>
      <c r="O25" s="398"/>
      <c r="P25" s="252">
        <v>77422.789999999994</v>
      </c>
      <c r="Q25" s="251">
        <v>116221.87</v>
      </c>
      <c r="R25" s="99"/>
      <c r="T25" s="437" t="s">
        <v>228</v>
      </c>
      <c r="U25" s="335">
        <v>116221.87</v>
      </c>
      <c r="V25" s="336">
        <f>U25/V29</f>
        <v>0.17748999706784277</v>
      </c>
      <c r="W25" s="336">
        <f>U25/V29</f>
        <v>0.17748999706784277</v>
      </c>
      <c r="X25" s="330">
        <v>0.17749000000000001</v>
      </c>
      <c r="Y25" s="330"/>
      <c r="Z25" s="492">
        <f>X25-W25</f>
        <v>2.93215723923268E-9</v>
      </c>
      <c r="AA25" s="330"/>
    </row>
    <row r="26" spans="1:27" ht="15.75" x14ac:dyDescent="0.25">
      <c r="A26" s="313"/>
      <c r="B26" s="271"/>
      <c r="C26" s="364" t="s">
        <v>74</v>
      </c>
      <c r="D26" s="108">
        <v>248777.55</v>
      </c>
      <c r="E26" s="108">
        <f t="shared" ref="E26:N26" si="8">SUM(E23:E25)</f>
        <v>308749.28000000003</v>
      </c>
      <c r="F26" s="108">
        <f t="shared" si="8"/>
        <v>274882.78000000003</v>
      </c>
      <c r="G26" s="108">
        <f t="shared" si="8"/>
        <v>244779.15</v>
      </c>
      <c r="H26" s="108">
        <f t="shared" si="8"/>
        <v>194602.41</v>
      </c>
      <c r="I26" s="108">
        <f t="shared" si="8"/>
        <v>170447.16999999998</v>
      </c>
      <c r="J26" s="108">
        <f t="shared" si="8"/>
        <v>109562.54000000001</v>
      </c>
      <c r="K26" s="108">
        <f t="shared" si="8"/>
        <v>92412.01999999999</v>
      </c>
      <c r="L26" s="108">
        <f t="shared" si="8"/>
        <v>89852.95</v>
      </c>
      <c r="M26" s="108">
        <f t="shared" si="8"/>
        <v>99908.38</v>
      </c>
      <c r="N26" s="108">
        <f t="shared" si="8"/>
        <v>176020.25</v>
      </c>
      <c r="O26" s="206"/>
      <c r="P26" s="108">
        <f>SUM(P23:P25)</f>
        <v>170853.53</v>
      </c>
      <c r="Q26" s="423">
        <f>SUM(Q23:Q25)</f>
        <v>265443.16000000003</v>
      </c>
      <c r="R26" s="362"/>
      <c r="T26" s="437" t="s">
        <v>239</v>
      </c>
      <c r="U26" s="335">
        <v>940248.09</v>
      </c>
      <c r="V26" s="336">
        <f>U26/V22</f>
        <v>0.64691177006841005</v>
      </c>
      <c r="W26" s="336">
        <f>U26/V22</f>
        <v>0.64691177006841005</v>
      </c>
      <c r="X26" s="338">
        <v>0.64839000000000002</v>
      </c>
      <c r="Y26" s="330"/>
      <c r="Z26" s="492">
        <f>X26-W26</f>
        <v>1.4782299315899694E-3</v>
      </c>
      <c r="AA26" s="330"/>
    </row>
    <row r="27" spans="1:27" ht="15.75" x14ac:dyDescent="0.25">
      <c r="A27" s="313"/>
      <c r="B27" s="271"/>
      <c r="C27" s="655" t="s">
        <v>301</v>
      </c>
      <c r="D27" s="571">
        <f>+'[1]Margins 2023'!Q11</f>
        <v>508.91</v>
      </c>
      <c r="E27" s="572">
        <f>+'[1]Margins 2023'!E11</f>
        <v>578.55999999999995</v>
      </c>
      <c r="F27" s="572">
        <f>+'[1]Margins 2023'!F11</f>
        <v>503.46</v>
      </c>
      <c r="G27" s="572">
        <f>+'[1]Margins 2023'!G11</f>
        <v>502.82</v>
      </c>
      <c r="H27" s="572">
        <f>+'[1]Margins 2023'!H11</f>
        <v>433.21</v>
      </c>
      <c r="I27" s="572">
        <f>+'[1]Margins 2023'!I11</f>
        <v>272.13</v>
      </c>
      <c r="J27" s="572">
        <f>+'[1]Margins 2023'!J11</f>
        <v>243.07</v>
      </c>
      <c r="K27" s="572">
        <f>+'[1]Margins 2023'!K11</f>
        <v>214.56</v>
      </c>
      <c r="L27" s="572">
        <f>+'[1]Margins 2023'!L11</f>
        <v>189.32</v>
      </c>
      <c r="M27" s="572">
        <f>+'[1]Margins 2023'!M11</f>
        <v>235.83</v>
      </c>
      <c r="N27" s="572">
        <f>+'[1]Margins 2023'!N11</f>
        <v>378.59</v>
      </c>
      <c r="O27" s="206"/>
      <c r="P27" s="572">
        <f>+'[1]Margins 2023'!P11</f>
        <v>326.54000000000002</v>
      </c>
      <c r="Q27" s="572">
        <f>+'[1]Margins 2023'!Q11</f>
        <v>508.91</v>
      </c>
      <c r="R27" s="362"/>
      <c r="T27" s="437" t="s">
        <v>92</v>
      </c>
      <c r="U27" s="332">
        <v>1453441</v>
      </c>
      <c r="V27" s="337">
        <f>ROUND(U23/X23,0)</f>
        <v>479835</v>
      </c>
      <c r="W27" s="336"/>
      <c r="X27" s="338"/>
      <c r="Y27" s="330"/>
      <c r="Z27" s="492"/>
      <c r="AA27" s="330"/>
    </row>
    <row r="28" spans="1:27" ht="15.75" x14ac:dyDescent="0.25">
      <c r="A28" s="313"/>
      <c r="B28" s="271"/>
      <c r="C28" s="487" t="s">
        <v>73</v>
      </c>
      <c r="D28" s="571">
        <v>-251910.45</v>
      </c>
      <c r="E28" s="572">
        <f>ROUND(-E27*'WA CAP 2024'!E22,2)</f>
        <v>-288122.88</v>
      </c>
      <c r="F28" s="572">
        <f>ROUND(-F27*'WA CAP 2024'!F22,2)</f>
        <v>-250723.08</v>
      </c>
      <c r="G28" s="572">
        <f>ROUND(-G27*'WA CAP 2024'!G22,2)</f>
        <v>-250404.36</v>
      </c>
      <c r="H28" s="572">
        <f>ROUND(-H27*'WA CAP 2024'!H22,2)</f>
        <v>-215738.58</v>
      </c>
      <c r="I28" s="572">
        <f>ROUND(-I27*'WA CAP 2024'!I22,2)</f>
        <v>-136065</v>
      </c>
      <c r="J28" s="572">
        <f>ROUND(-J27*'WA CAP 2024'!J22,2)</f>
        <v>-121048.86</v>
      </c>
      <c r="K28" s="572">
        <f>ROUND(-K27*'WA CAP 2024'!K22,2)</f>
        <v>-105992.64</v>
      </c>
      <c r="L28" s="572">
        <f>ROUND(-L27*'WA CAP 2024'!L22,2)</f>
        <v>-93334.76</v>
      </c>
      <c r="M28" s="572">
        <f>ROUND(-M27*'WA CAP 2024'!M22,2)</f>
        <v>-116028.36</v>
      </c>
      <c r="N28" s="572">
        <f>ROUND(-N27*'WA CAP 2024'!N22,2)</f>
        <v>-186644.87</v>
      </c>
      <c r="O28" s="206"/>
      <c r="P28" s="572">
        <f>ROUND(-P27*'WA CAP 2024'!P22,2)</f>
        <v>-161310.76</v>
      </c>
      <c r="Q28" s="572">
        <f>ROUND(-Q27*'WA CAP 2024'!Q22,2)</f>
        <v>-251401.54</v>
      </c>
      <c r="R28" s="362"/>
      <c r="T28" s="652"/>
      <c r="U28" s="330"/>
      <c r="V28" s="337">
        <f>ROUND(U24/X24,0)</f>
        <v>228362</v>
      </c>
      <c r="W28" s="330"/>
      <c r="X28" s="330"/>
      <c r="Y28" s="330"/>
      <c r="Z28" s="330"/>
      <c r="AA28" s="330"/>
    </row>
    <row r="29" spans="1:27" ht="15.75" x14ac:dyDescent="0.25">
      <c r="A29" s="313"/>
      <c r="B29" s="271"/>
      <c r="C29" s="364" t="s">
        <v>201</v>
      </c>
      <c r="D29" s="187">
        <v>-3132.9000000000233</v>
      </c>
      <c r="E29" s="108">
        <f>+E26+E28</f>
        <v>20626.400000000023</v>
      </c>
      <c r="F29" s="108">
        <f t="shared" ref="F29:Q29" si="9">+F26+F28</f>
        <v>24159.700000000041</v>
      </c>
      <c r="G29" s="108">
        <f t="shared" si="9"/>
        <v>-5625.2099999999919</v>
      </c>
      <c r="H29" s="108">
        <f>+H26+H28</f>
        <v>-21136.169999999984</v>
      </c>
      <c r="I29" s="108">
        <f t="shared" si="9"/>
        <v>34382.169999999984</v>
      </c>
      <c r="J29" s="108">
        <f t="shared" si="9"/>
        <v>-11486.319999999992</v>
      </c>
      <c r="K29" s="108">
        <f t="shared" si="9"/>
        <v>-13580.62000000001</v>
      </c>
      <c r="L29" s="108">
        <f t="shared" si="9"/>
        <v>-3481.8099999999977</v>
      </c>
      <c r="M29" s="108">
        <f t="shared" si="9"/>
        <v>-16119.979999999996</v>
      </c>
      <c r="N29" s="108">
        <f t="shared" si="9"/>
        <v>-10624.619999999995</v>
      </c>
      <c r="O29" s="302">
        <f>-ROUND('[1]2023'!Q30,2)</f>
        <v>-73309.33</v>
      </c>
      <c r="P29" s="108">
        <f t="shared" si="9"/>
        <v>9542.7699999999895</v>
      </c>
      <c r="Q29" s="108">
        <f t="shared" si="9"/>
        <v>14041.620000000024</v>
      </c>
      <c r="R29" s="99">
        <f>SUM(E29:Q29)-O29+0.06</f>
        <v>20697.990000000096</v>
      </c>
      <c r="T29" s="652"/>
      <c r="U29" s="330"/>
      <c r="V29" s="337">
        <f>ROUND(U25/X25,0)</f>
        <v>654808</v>
      </c>
      <c r="W29" s="330"/>
      <c r="X29" s="330"/>
      <c r="Y29" s="330"/>
      <c r="Z29" s="330"/>
      <c r="AA29" s="330"/>
    </row>
    <row r="30" spans="1:27" ht="15.75" x14ac:dyDescent="0.25">
      <c r="A30" s="313"/>
      <c r="B30" s="295"/>
      <c r="C30" s="574" t="s">
        <v>137</v>
      </c>
      <c r="D30" s="187">
        <v>538.29</v>
      </c>
      <c r="E30" s="108">
        <f>ROUND(ROUND(D32*E$7,2)/365*E$8,2)</f>
        <v>529.23</v>
      </c>
      <c r="F30" s="187">
        <f>ROUND(ROUND(E32*F$7,2)/365*F$8,2)</f>
        <v>637.96</v>
      </c>
      <c r="G30" s="187">
        <f t="shared" ref="G30:Q30" si="10">ROUND(ROUND(F32*G$7,2)/365*G$8,2)</f>
        <v>860.98</v>
      </c>
      <c r="H30" s="187">
        <f t="shared" si="10"/>
        <v>799.92</v>
      </c>
      <c r="I30" s="187">
        <f t="shared" si="10"/>
        <v>679.77</v>
      </c>
      <c r="J30" s="187">
        <f t="shared" si="10"/>
        <v>902.8</v>
      </c>
      <c r="K30" s="187">
        <f t="shared" si="10"/>
        <v>856.49</v>
      </c>
      <c r="L30" s="187">
        <f t="shared" si="10"/>
        <v>764.63</v>
      </c>
      <c r="M30" s="187">
        <f t="shared" si="10"/>
        <v>720.98</v>
      </c>
      <c r="N30" s="187">
        <f t="shared" si="10"/>
        <v>633.85</v>
      </c>
      <c r="O30" s="208">
        <f>'[1]Ammort Split 2024'!N28</f>
        <v>-5376.57</v>
      </c>
      <c r="P30" s="187">
        <f>ROUND(ROUND(O32*P$7,2)/365*P$8,2)</f>
        <v>-6.12</v>
      </c>
      <c r="Q30" s="187">
        <f t="shared" si="10"/>
        <v>62.52</v>
      </c>
      <c r="R30" s="100">
        <f>SUM(E30:Q30)</f>
        <v>2066.440000000001</v>
      </c>
      <c r="T30" s="652"/>
      <c r="U30" s="330"/>
      <c r="W30" s="330"/>
      <c r="X30" s="330"/>
      <c r="Y30" s="330"/>
      <c r="Z30" s="330"/>
      <c r="AA30" s="330"/>
    </row>
    <row r="31" spans="1:27" ht="15.75" x14ac:dyDescent="0.25">
      <c r="A31" s="313"/>
      <c r="B31" s="295"/>
      <c r="C31" s="364" t="s">
        <v>138</v>
      </c>
      <c r="D31" s="189">
        <v>-2594.6100000000233</v>
      </c>
      <c r="E31" s="88">
        <f t="shared" ref="E31:Q31" si="11">SUM(E29:E30)</f>
        <v>21155.630000000023</v>
      </c>
      <c r="F31" s="189">
        <f t="shared" si="11"/>
        <v>24797.66000000004</v>
      </c>
      <c r="G31" s="189">
        <f t="shared" si="11"/>
        <v>-4764.2299999999923</v>
      </c>
      <c r="H31" s="189">
        <f t="shared" si="11"/>
        <v>-20336.249999999985</v>
      </c>
      <c r="I31" s="189">
        <f t="shared" si="11"/>
        <v>35061.939999999981</v>
      </c>
      <c r="J31" s="189">
        <f t="shared" si="11"/>
        <v>-10583.519999999993</v>
      </c>
      <c r="K31" s="189">
        <f t="shared" si="11"/>
        <v>-12724.13000000001</v>
      </c>
      <c r="L31" s="189">
        <f t="shared" si="11"/>
        <v>-2717.1799999999976</v>
      </c>
      <c r="M31" s="189">
        <f t="shared" si="11"/>
        <v>-15398.999999999996</v>
      </c>
      <c r="N31" s="189">
        <f t="shared" si="11"/>
        <v>-9990.769999999995</v>
      </c>
      <c r="O31" s="209">
        <f>SUM(O29:O30)</f>
        <v>-78685.899999999994</v>
      </c>
      <c r="P31" s="189">
        <f t="shared" si="11"/>
        <v>9536.6499999999887</v>
      </c>
      <c r="Q31" s="189">
        <f t="shared" si="11"/>
        <v>14104.140000000025</v>
      </c>
      <c r="R31" s="453">
        <f>SUM(R29:R30)</f>
        <v>22764.430000000099</v>
      </c>
      <c r="T31" s="652"/>
      <c r="U31" s="330"/>
      <c r="V31" s="330"/>
      <c r="W31" s="330"/>
      <c r="X31" s="330"/>
      <c r="Y31" s="330"/>
      <c r="Z31" s="330"/>
      <c r="AA31" s="330"/>
    </row>
    <row r="32" spans="1:27" s="584" customFormat="1" ht="21" customHeight="1" x14ac:dyDescent="0.25">
      <c r="A32" s="575"/>
      <c r="B32" s="576"/>
      <c r="C32" s="577" t="s">
        <v>139</v>
      </c>
      <c r="D32" s="587">
        <v>73309.330000000031</v>
      </c>
      <c r="E32" s="588">
        <f>D32+E31</f>
        <v>94464.96000000005</v>
      </c>
      <c r="F32" s="587">
        <f t="shared" ref="F32:Q32" si="12">E32+F31</f>
        <v>119262.62000000008</v>
      </c>
      <c r="G32" s="587">
        <f t="shared" si="12"/>
        <v>114498.39000000009</v>
      </c>
      <c r="H32" s="587">
        <f t="shared" si="12"/>
        <v>94162.140000000101</v>
      </c>
      <c r="I32" s="587">
        <f t="shared" si="12"/>
        <v>129224.08000000007</v>
      </c>
      <c r="J32" s="587">
        <f t="shared" si="12"/>
        <v>118640.56000000008</v>
      </c>
      <c r="K32" s="587">
        <f t="shared" si="12"/>
        <v>105916.43000000008</v>
      </c>
      <c r="L32" s="587">
        <f t="shared" si="12"/>
        <v>103199.25000000009</v>
      </c>
      <c r="M32" s="587">
        <f t="shared" si="12"/>
        <v>87800.250000000087</v>
      </c>
      <c r="N32" s="587">
        <f t="shared" si="12"/>
        <v>77809.480000000098</v>
      </c>
      <c r="O32" s="589">
        <f>N32+O31</f>
        <v>-876.41999999989639</v>
      </c>
      <c r="P32" s="587">
        <f t="shared" si="12"/>
        <v>8660.2300000000923</v>
      </c>
      <c r="Q32" s="582">
        <f t="shared" si="12"/>
        <v>22764.370000000119</v>
      </c>
      <c r="R32" s="583"/>
      <c r="T32" s="652"/>
      <c r="U32" s="585"/>
      <c r="V32" s="585"/>
      <c r="W32" s="585"/>
      <c r="X32" s="585"/>
      <c r="Y32" s="585"/>
      <c r="Z32" s="585"/>
      <c r="AA32" s="585"/>
    </row>
    <row r="33" spans="1:27" ht="15.75" x14ac:dyDescent="0.25">
      <c r="A33" s="313"/>
      <c r="B33" s="295" t="s">
        <v>64</v>
      </c>
      <c r="C33" s="362" t="s">
        <v>267</v>
      </c>
      <c r="D33" s="250">
        <v>27</v>
      </c>
      <c r="E33" s="250">
        <v>26</v>
      </c>
      <c r="F33" s="250">
        <v>26</v>
      </c>
      <c r="G33" s="250">
        <v>26</v>
      </c>
      <c r="H33" s="250">
        <v>27</v>
      </c>
      <c r="I33" s="250">
        <v>28</v>
      </c>
      <c r="J33" s="250">
        <v>28</v>
      </c>
      <c r="K33" s="250">
        <v>28</v>
      </c>
      <c r="L33" s="250">
        <v>28</v>
      </c>
      <c r="M33" s="250">
        <v>28</v>
      </c>
      <c r="N33" s="250">
        <v>28</v>
      </c>
      <c r="O33" s="274"/>
      <c r="P33" s="250">
        <v>28</v>
      </c>
      <c r="Q33" s="250">
        <v>25</v>
      </c>
      <c r="R33" s="99"/>
      <c r="T33" s="652">
        <v>4809</v>
      </c>
      <c r="U33" s="461">
        <v>511</v>
      </c>
      <c r="V33" s="535">
        <f>+U38</f>
        <v>426723</v>
      </c>
      <c r="W33" s="333"/>
      <c r="X33" s="444" t="s">
        <v>90</v>
      </c>
      <c r="Y33" s="330"/>
      <c r="Z33" s="444" t="s">
        <v>214</v>
      </c>
      <c r="AA33" s="330"/>
    </row>
    <row r="34" spans="1:27" ht="15.75" x14ac:dyDescent="0.25">
      <c r="A34" s="313"/>
      <c r="B34" s="295" t="s">
        <v>71</v>
      </c>
      <c r="C34" s="366" t="s">
        <v>302</v>
      </c>
      <c r="D34" s="251">
        <v>48860.02</v>
      </c>
      <c r="E34" s="251">
        <v>62553.03</v>
      </c>
      <c r="F34" s="251">
        <v>52356.35</v>
      </c>
      <c r="G34" s="251">
        <v>47940.9</v>
      </c>
      <c r="H34" s="251">
        <v>929.26</v>
      </c>
      <c r="I34" s="251">
        <v>1077.42</v>
      </c>
      <c r="J34" s="251">
        <v>3406.1</v>
      </c>
      <c r="K34" s="251">
        <v>2742.4</v>
      </c>
      <c r="L34" s="251">
        <v>1933.39</v>
      </c>
      <c r="M34" s="251">
        <v>1328.76</v>
      </c>
      <c r="N34" s="251">
        <v>1316.37</v>
      </c>
      <c r="O34" s="274"/>
      <c r="P34" s="251">
        <v>384.53</v>
      </c>
      <c r="Q34" s="251">
        <v>701.82</v>
      </c>
      <c r="R34" s="99"/>
      <c r="T34" s="437" t="s">
        <v>303</v>
      </c>
      <c r="U34" s="335">
        <v>701.82</v>
      </c>
      <c r="V34" s="336">
        <f>U34/V38</f>
        <v>0.17767594936708861</v>
      </c>
      <c r="W34" s="336">
        <f>U34/V38</f>
        <v>0.17767594936708861</v>
      </c>
      <c r="X34" s="338">
        <v>0.17768999999999999</v>
      </c>
      <c r="Y34" s="330"/>
      <c r="Z34" s="492">
        <f>X34-W34</f>
        <v>1.4050632911377647E-5</v>
      </c>
      <c r="AA34" s="330"/>
    </row>
    <row r="35" spans="1:27" ht="15.75" x14ac:dyDescent="0.25">
      <c r="B35" s="87" t="s">
        <v>71</v>
      </c>
      <c r="C35" s="366" t="s">
        <v>304</v>
      </c>
      <c r="D35" s="251">
        <v>12800.41</v>
      </c>
      <c r="E35" s="251">
        <v>20131.23</v>
      </c>
      <c r="F35" s="251">
        <v>13942.22</v>
      </c>
      <c r="G35" s="251">
        <v>15124.54</v>
      </c>
      <c r="H35" s="251">
        <v>42760.24</v>
      </c>
      <c r="I35" s="251">
        <v>35882.61</v>
      </c>
      <c r="J35" s="251">
        <v>31726.86</v>
      </c>
      <c r="K35" s="251">
        <v>27615.31</v>
      </c>
      <c r="L35" s="251">
        <v>22978.07</v>
      </c>
      <c r="M35" s="251">
        <v>24054.55</v>
      </c>
      <c r="N35" s="251">
        <v>40081.1</v>
      </c>
      <c r="O35" s="274"/>
      <c r="P35" s="251">
        <v>41651.57</v>
      </c>
      <c r="Q35" s="251">
        <v>49600.4</v>
      </c>
      <c r="R35" s="99"/>
      <c r="T35" s="437" t="s">
        <v>305</v>
      </c>
      <c r="U35" s="335">
        <v>49600.4</v>
      </c>
      <c r="V35" s="336">
        <f>U35/V39</f>
        <v>0.13819000415123883</v>
      </c>
      <c r="W35" s="336">
        <f>U35/V39</f>
        <v>0.13819000415123883</v>
      </c>
      <c r="X35" s="330">
        <v>0.13819000000000001</v>
      </c>
      <c r="Y35" s="330"/>
      <c r="Z35" s="492">
        <f>X35-W35</f>
        <v>-4.1512388249120846E-9</v>
      </c>
      <c r="AA35" s="330"/>
    </row>
    <row r="36" spans="1:27" ht="15.75" x14ac:dyDescent="0.25">
      <c r="A36" s="313"/>
      <c r="B36" s="295" t="s">
        <v>71</v>
      </c>
      <c r="C36" s="366" t="s">
        <v>306</v>
      </c>
      <c r="D36" s="252"/>
      <c r="E36" s="252"/>
      <c r="F36" s="252"/>
      <c r="G36" s="252"/>
      <c r="H36" s="252">
        <v>13146.23</v>
      </c>
      <c r="I36" s="252">
        <v>12844.86</v>
      </c>
      <c r="J36" s="252">
        <v>22303.86</v>
      </c>
      <c r="K36" s="252">
        <v>16133.55</v>
      </c>
      <c r="L36" s="252">
        <v>13539.75</v>
      </c>
      <c r="M36" s="252">
        <v>10853.81</v>
      </c>
      <c r="N36" s="252">
        <v>19065.990000000002</v>
      </c>
      <c r="O36" s="398"/>
      <c r="P36" s="252">
        <v>11758.61</v>
      </c>
      <c r="Q36" s="252">
        <v>16854.47</v>
      </c>
      <c r="R36" s="99"/>
      <c r="T36" s="437" t="s">
        <v>307</v>
      </c>
      <c r="U36" s="335">
        <v>16854.47</v>
      </c>
      <c r="V36" s="336">
        <f>U36/V40</f>
        <v>4.0489954668082438E-2</v>
      </c>
      <c r="W36" s="336">
        <f>U36/V40</f>
        <v>4.0489954668082438E-2</v>
      </c>
      <c r="X36" s="330">
        <v>4.0489999999999998E-2</v>
      </c>
      <c r="Y36" s="330"/>
      <c r="Z36" s="336">
        <f>X36-W36</f>
        <v>4.533191756000976E-8</v>
      </c>
      <c r="AA36" s="330"/>
    </row>
    <row r="37" spans="1:27" ht="15.75" x14ac:dyDescent="0.25">
      <c r="A37" s="313"/>
      <c r="B37" s="295"/>
      <c r="C37" s="364" t="s">
        <v>308</v>
      </c>
      <c r="D37" s="108">
        <v>61660.429999999993</v>
      </c>
      <c r="E37" s="108">
        <f t="shared" ref="E37:N37" si="13">SUM(E34:E36)</f>
        <v>82684.259999999995</v>
      </c>
      <c r="F37" s="108">
        <f t="shared" si="13"/>
        <v>66298.569999999992</v>
      </c>
      <c r="G37" s="108">
        <f t="shared" si="13"/>
        <v>63065.440000000002</v>
      </c>
      <c r="H37" s="108">
        <f t="shared" si="13"/>
        <v>56835.729999999996</v>
      </c>
      <c r="I37" s="108">
        <f t="shared" si="13"/>
        <v>49804.89</v>
      </c>
      <c r="J37" s="108">
        <f t="shared" si="13"/>
        <v>57436.82</v>
      </c>
      <c r="K37" s="108">
        <f t="shared" si="13"/>
        <v>46491.26</v>
      </c>
      <c r="L37" s="108">
        <f t="shared" si="13"/>
        <v>38451.21</v>
      </c>
      <c r="M37" s="108">
        <f t="shared" si="13"/>
        <v>36237.119999999995</v>
      </c>
      <c r="N37" s="108">
        <f t="shared" si="13"/>
        <v>60463.460000000006</v>
      </c>
      <c r="O37" s="206"/>
      <c r="P37" s="108">
        <f>SUM(P34:P36)</f>
        <v>53794.71</v>
      </c>
      <c r="Q37" s="423">
        <f>SUM(Q34:Q36)</f>
        <v>67156.69</v>
      </c>
      <c r="R37" s="362"/>
      <c r="T37" s="437" t="s">
        <v>239</v>
      </c>
      <c r="U37" s="335">
        <v>276433.15999999997</v>
      </c>
      <c r="V37" s="336">
        <f>U37/V33</f>
        <v>0.64780468828724946</v>
      </c>
      <c r="W37" s="336">
        <f>U37/V33</f>
        <v>0.64780468828724946</v>
      </c>
      <c r="X37" s="338">
        <f>+X26</f>
        <v>0.64839000000000002</v>
      </c>
      <c r="Y37" s="330"/>
      <c r="Z37" s="492">
        <f>X37-W37</f>
        <v>5.8531171275055804E-4</v>
      </c>
      <c r="AA37" s="330"/>
    </row>
    <row r="38" spans="1:27" ht="15.75" x14ac:dyDescent="0.25">
      <c r="A38" s="313"/>
      <c r="B38" s="295"/>
      <c r="C38" s="655" t="s">
        <v>309</v>
      </c>
      <c r="D38" s="571">
        <f>+'[1]Margins 2023'!Q13</f>
        <v>2867.06</v>
      </c>
      <c r="E38" s="572">
        <f>+'[1]Margins 2023'!E13</f>
        <v>3761.29</v>
      </c>
      <c r="F38" s="572">
        <f>+'[1]Margins 2023'!F13</f>
        <v>3442.57</v>
      </c>
      <c r="G38" s="572">
        <f>+'[1]Margins 2023'!G13</f>
        <v>3346.34</v>
      </c>
      <c r="H38" s="572">
        <f>+'[1]Margins 2023'!H13</f>
        <v>3193.43</v>
      </c>
      <c r="I38" s="572">
        <f>+'[1]Margins 2023'!I13</f>
        <v>1909.68</v>
      </c>
      <c r="J38" s="572">
        <f>+'[1]Margins 2023'!J13</f>
        <v>1855.34</v>
      </c>
      <c r="K38" s="572">
        <f>+'[1]Margins 2023'!K13</f>
        <v>1599.54</v>
      </c>
      <c r="L38" s="572">
        <f>+'[1]Margins 2023'!L13</f>
        <v>1297.22</v>
      </c>
      <c r="M38" s="572">
        <f>+'[1]Margins 2023'!M13</f>
        <v>1295.93</v>
      </c>
      <c r="N38" s="572">
        <f>+'[1]Margins 2023'!N13</f>
        <v>1549.68</v>
      </c>
      <c r="O38" s="206"/>
      <c r="P38" s="572">
        <f>+'[1]Margins 2023'!P13</f>
        <v>1802.95</v>
      </c>
      <c r="Q38" s="572">
        <f>+'[1]Margins 2023'!Q13</f>
        <v>2867.06</v>
      </c>
      <c r="R38" s="362"/>
      <c r="T38" s="437" t="s">
        <v>92</v>
      </c>
      <c r="U38" s="332">
        <v>426723</v>
      </c>
      <c r="V38" s="337">
        <f>ROUND(U34/X34,0)</f>
        <v>3950</v>
      </c>
      <c r="W38" s="336"/>
      <c r="X38" s="338"/>
      <c r="Y38" s="330"/>
      <c r="Z38" s="492"/>
      <c r="AA38" s="330"/>
    </row>
    <row r="39" spans="1:27" ht="15.75" x14ac:dyDescent="0.25">
      <c r="A39" s="313"/>
      <c r="B39" s="295"/>
      <c r="C39" s="487" t="s">
        <v>73</v>
      </c>
      <c r="D39" s="571">
        <v>-77410.62</v>
      </c>
      <c r="E39" s="572">
        <f>ROUND(-E38*'WA CAP 2024'!E33,2)</f>
        <v>-97793.54</v>
      </c>
      <c r="F39" s="572">
        <f>ROUND(-F38*'WA CAP 2024'!F33,2)</f>
        <v>-89506.82</v>
      </c>
      <c r="G39" s="572">
        <f>ROUND(-G38*'WA CAP 2024'!G33,2)</f>
        <v>-87004.84</v>
      </c>
      <c r="H39" s="572">
        <f>ROUND(-H38*'WA CAP 2024'!H33,2)</f>
        <v>-86222.61</v>
      </c>
      <c r="I39" s="572">
        <f>ROUND(-I38*'WA CAP 2024'!I33,2)</f>
        <v>-53471.040000000001</v>
      </c>
      <c r="J39" s="572">
        <f>ROUND(-J38*'WA CAP 2024'!J33,2)</f>
        <v>-51949.52</v>
      </c>
      <c r="K39" s="572">
        <f>ROUND(-K38*'WA CAP 2024'!K33,2)</f>
        <v>-44787.12</v>
      </c>
      <c r="L39" s="572">
        <f>ROUND(-L38*'WA CAP 2024'!L33,2)</f>
        <v>-36322.160000000003</v>
      </c>
      <c r="M39" s="572">
        <f>ROUND(-M38*'WA CAP 2024'!M33,2)</f>
        <v>-36286.04</v>
      </c>
      <c r="N39" s="572">
        <f>ROUND(-N38*'WA CAP 2024'!N33,2)</f>
        <v>-43391.040000000001</v>
      </c>
      <c r="O39" s="206"/>
      <c r="P39" s="572">
        <f>ROUND(-P38*'WA CAP 2024'!P33,2)</f>
        <v>-50482.6</v>
      </c>
      <c r="Q39" s="572">
        <f>ROUND(-Q38*'WA CAP 2024'!Q33,2)</f>
        <v>-71676.5</v>
      </c>
      <c r="R39" s="362"/>
      <c r="T39" s="652"/>
      <c r="U39" s="330"/>
      <c r="V39" s="337">
        <f>ROUND(U35/X35,0)</f>
        <v>358929</v>
      </c>
      <c r="W39" s="330"/>
      <c r="X39" s="330"/>
      <c r="Y39" s="330"/>
      <c r="Z39" s="330"/>
      <c r="AA39" s="330"/>
    </row>
    <row r="40" spans="1:27" ht="15.75" x14ac:dyDescent="0.25">
      <c r="A40" s="313"/>
      <c r="B40" s="295"/>
      <c r="C40" s="364" t="s">
        <v>201</v>
      </c>
      <c r="D40" s="187">
        <v>-15750.190000000002</v>
      </c>
      <c r="E40" s="108">
        <f>+E37+E39</f>
        <v>-15109.279999999999</v>
      </c>
      <c r="F40" s="108">
        <f t="shared" ref="F40:Q40" si="14">+F37+F39</f>
        <v>-23208.250000000015</v>
      </c>
      <c r="G40" s="108">
        <f t="shared" si="14"/>
        <v>-23939.399999999994</v>
      </c>
      <c r="H40" s="108">
        <f t="shared" si="14"/>
        <v>-29386.880000000005</v>
      </c>
      <c r="I40" s="108">
        <f t="shared" si="14"/>
        <v>-3666.1500000000015</v>
      </c>
      <c r="J40" s="108">
        <f t="shared" si="14"/>
        <v>5487.3000000000029</v>
      </c>
      <c r="K40" s="108">
        <f t="shared" si="14"/>
        <v>1704.1399999999994</v>
      </c>
      <c r="L40" s="108">
        <f t="shared" si="14"/>
        <v>2129.0499999999956</v>
      </c>
      <c r="M40" s="108">
        <f t="shared" si="14"/>
        <v>-48.92000000000553</v>
      </c>
      <c r="N40" s="108">
        <f t="shared" si="14"/>
        <v>17072.420000000006</v>
      </c>
      <c r="O40" s="302">
        <f>-ROUND('[1]2023'!Q40,2)</f>
        <v>30973.83</v>
      </c>
      <c r="P40" s="108">
        <f t="shared" si="14"/>
        <v>3312.1100000000006</v>
      </c>
      <c r="Q40" s="108">
        <f t="shared" si="14"/>
        <v>-4519.8099999999977</v>
      </c>
      <c r="R40" s="99">
        <f>SUM(E40:Q40)-O40</f>
        <v>-70173.670000000027</v>
      </c>
      <c r="T40" s="652"/>
      <c r="U40" s="330"/>
      <c r="V40" s="337">
        <f>ROUND(U36/X36,0)</f>
        <v>416263</v>
      </c>
      <c r="W40" s="330"/>
      <c r="X40" s="330"/>
      <c r="Y40" s="330"/>
      <c r="Z40" s="330"/>
      <c r="AA40" s="330"/>
    </row>
    <row r="41" spans="1:27" ht="15.75" x14ac:dyDescent="0.25">
      <c r="A41" s="313"/>
      <c r="B41" s="295"/>
      <c r="C41" s="574" t="s">
        <v>137</v>
      </c>
      <c r="D41" s="187">
        <v>-107.2</v>
      </c>
      <c r="E41" s="108">
        <f>ROUND(ROUND(D43*E$7,2)/365*E$8,2)</f>
        <v>-223.61</v>
      </c>
      <c r="F41" s="187">
        <f>ROUND(ROUND(E43*F$7,2)/365*F$8,2)</f>
        <v>-312.73</v>
      </c>
      <c r="G41" s="187">
        <f t="shared" ref="G41:Q41" si="15">ROUND(ROUND(F43*G$7,2)/365*G$8,2)</f>
        <v>-504.1</v>
      </c>
      <c r="H41" s="187">
        <f t="shared" si="15"/>
        <v>-658.61</v>
      </c>
      <c r="I41" s="187">
        <f t="shared" si="15"/>
        <v>-897.46</v>
      </c>
      <c r="J41" s="187">
        <f t="shared" si="15"/>
        <v>-900.4</v>
      </c>
      <c r="K41" s="187">
        <f t="shared" si="15"/>
        <v>-897.3</v>
      </c>
      <c r="L41" s="187">
        <f t="shared" si="15"/>
        <v>-891.47</v>
      </c>
      <c r="M41" s="187">
        <f t="shared" si="15"/>
        <v>-854.07</v>
      </c>
      <c r="N41" s="187">
        <f t="shared" si="15"/>
        <v>-889.06</v>
      </c>
      <c r="O41" s="208">
        <f>'[1]Ammort Split 2024'!N41</f>
        <v>2271.65</v>
      </c>
      <c r="P41" s="187">
        <f>ROUND(ROUND(O43*P$7,2)/365*P$8,2)</f>
        <v>-515.04999999999995</v>
      </c>
      <c r="Q41" s="187">
        <f t="shared" si="15"/>
        <v>-512.03</v>
      </c>
      <c r="R41" s="100">
        <f>SUM(E41:Q41)</f>
        <v>-5784.24</v>
      </c>
      <c r="T41" s="652"/>
      <c r="U41" s="330"/>
      <c r="W41" s="330"/>
      <c r="X41" s="330"/>
      <c r="Y41" s="330"/>
      <c r="Z41" s="330"/>
      <c r="AA41" s="330"/>
    </row>
    <row r="42" spans="1:27" ht="15.75" x14ac:dyDescent="0.25">
      <c r="A42" s="313"/>
      <c r="B42" s="295"/>
      <c r="C42" s="364" t="s">
        <v>138</v>
      </c>
      <c r="D42" s="189">
        <v>-15857.390000000003</v>
      </c>
      <c r="E42" s="88">
        <f t="shared" ref="E42:Q42" si="16">SUM(E40:E41)</f>
        <v>-15332.89</v>
      </c>
      <c r="F42" s="189">
        <f t="shared" si="16"/>
        <v>-23520.980000000014</v>
      </c>
      <c r="G42" s="189">
        <f t="shared" si="16"/>
        <v>-24443.499999999993</v>
      </c>
      <c r="H42" s="189">
        <f t="shared" si="16"/>
        <v>-30045.490000000005</v>
      </c>
      <c r="I42" s="189">
        <f t="shared" si="16"/>
        <v>-4563.6100000000015</v>
      </c>
      <c r="J42" s="189">
        <f t="shared" si="16"/>
        <v>4586.9000000000033</v>
      </c>
      <c r="K42" s="189">
        <f t="shared" si="16"/>
        <v>806.83999999999946</v>
      </c>
      <c r="L42" s="189">
        <f t="shared" si="16"/>
        <v>1237.5799999999956</v>
      </c>
      <c r="M42" s="189">
        <f t="shared" si="16"/>
        <v>-902.99000000000558</v>
      </c>
      <c r="N42" s="189">
        <f t="shared" si="16"/>
        <v>16183.360000000006</v>
      </c>
      <c r="O42" s="209">
        <f>SUM(O40:O41)</f>
        <v>33245.480000000003</v>
      </c>
      <c r="P42" s="189">
        <f t="shared" si="16"/>
        <v>2797.0600000000004</v>
      </c>
      <c r="Q42" s="189">
        <f t="shared" si="16"/>
        <v>-5031.8399999999974</v>
      </c>
      <c r="R42" s="453">
        <f>SUM(R40:R41)</f>
        <v>-75957.910000000033</v>
      </c>
      <c r="T42" s="652"/>
      <c r="U42" s="330"/>
      <c r="V42" s="330"/>
      <c r="W42" s="330"/>
      <c r="X42" s="330"/>
      <c r="Y42" s="330"/>
      <c r="Z42" s="330"/>
      <c r="AA42" s="330"/>
    </row>
    <row r="43" spans="1:27" s="584" customFormat="1" ht="21" customHeight="1" x14ac:dyDescent="0.25">
      <c r="A43" s="575"/>
      <c r="B43" s="576"/>
      <c r="C43" s="577" t="s">
        <v>139</v>
      </c>
      <c r="D43" s="580">
        <v>-30973.830000000067</v>
      </c>
      <c r="E43" s="579">
        <f>D43+E42</f>
        <v>-46306.720000000067</v>
      </c>
      <c r="F43" s="580">
        <f t="shared" ref="F43:Q43" si="17">E43+F42</f>
        <v>-69827.700000000084</v>
      </c>
      <c r="G43" s="580">
        <f t="shared" si="17"/>
        <v>-94271.20000000007</v>
      </c>
      <c r="H43" s="580">
        <f t="shared" si="17"/>
        <v>-124316.69000000008</v>
      </c>
      <c r="I43" s="580">
        <f t="shared" si="17"/>
        <v>-128880.30000000008</v>
      </c>
      <c r="J43" s="580">
        <f t="shared" si="17"/>
        <v>-124293.40000000007</v>
      </c>
      <c r="K43" s="580">
        <f t="shared" si="17"/>
        <v>-123486.56000000007</v>
      </c>
      <c r="L43" s="580">
        <f t="shared" si="17"/>
        <v>-122248.98000000007</v>
      </c>
      <c r="M43" s="580">
        <f t="shared" si="17"/>
        <v>-123151.97000000007</v>
      </c>
      <c r="N43" s="580">
        <f t="shared" si="17"/>
        <v>-106968.61000000007</v>
      </c>
      <c r="O43" s="581">
        <f t="shared" si="17"/>
        <v>-73723.130000000063</v>
      </c>
      <c r="P43" s="580">
        <f t="shared" si="17"/>
        <v>-70926.070000000065</v>
      </c>
      <c r="Q43" s="582">
        <f t="shared" si="17"/>
        <v>-75957.910000000062</v>
      </c>
      <c r="R43" s="583"/>
      <c r="T43" s="656"/>
      <c r="U43" s="585"/>
      <c r="V43" s="585"/>
      <c r="W43" s="585"/>
      <c r="X43" s="585"/>
      <c r="Y43" s="585"/>
      <c r="Z43" s="585"/>
      <c r="AA43" s="585"/>
    </row>
    <row r="44" spans="1:27" ht="15.75" x14ac:dyDescent="0.25">
      <c r="A44" s="313"/>
      <c r="B44" s="295" t="s">
        <v>64</v>
      </c>
      <c r="C44" s="362" t="s">
        <v>268</v>
      </c>
      <c r="D44" s="250">
        <v>1</v>
      </c>
      <c r="E44" s="250">
        <v>1</v>
      </c>
      <c r="F44" s="250">
        <v>1</v>
      </c>
      <c r="G44" s="250">
        <v>1</v>
      </c>
      <c r="H44" s="250">
        <v>1</v>
      </c>
      <c r="I44" s="250">
        <v>1</v>
      </c>
      <c r="J44" s="250">
        <v>1</v>
      </c>
      <c r="K44" s="250">
        <v>1</v>
      </c>
      <c r="L44" s="250">
        <v>1</v>
      </c>
      <c r="M44" s="250">
        <v>1</v>
      </c>
      <c r="N44" s="250">
        <v>1</v>
      </c>
      <c r="O44" s="274"/>
      <c r="P44" s="250">
        <v>1</v>
      </c>
      <c r="Q44" s="250">
        <v>1</v>
      </c>
      <c r="R44" s="452"/>
      <c r="T44" s="663">
        <v>4810</v>
      </c>
      <c r="U44" s="664" t="s">
        <v>154</v>
      </c>
      <c r="V44" s="665">
        <f>+U47</f>
        <v>7214</v>
      </c>
      <c r="W44" s="113">
        <f>V44</f>
        <v>7214</v>
      </c>
      <c r="X44" s="491" t="s">
        <v>90</v>
      </c>
      <c r="Z44" s="491" t="s">
        <v>214</v>
      </c>
    </row>
    <row r="45" spans="1:27" ht="15.75" x14ac:dyDescent="0.25">
      <c r="A45" s="313"/>
      <c r="B45" s="295" t="s">
        <v>71</v>
      </c>
      <c r="C45" s="366" t="s">
        <v>294</v>
      </c>
      <c r="D45" s="251">
        <v>1887.03</v>
      </c>
      <c r="E45" s="251">
        <v>1984.55</v>
      </c>
      <c r="F45" s="251">
        <v>2189.5500000000002</v>
      </c>
      <c r="G45" s="251">
        <v>2595.84</v>
      </c>
      <c r="H45" s="251">
        <v>1506.9</v>
      </c>
      <c r="I45" s="251">
        <v>1646.5</v>
      </c>
      <c r="J45" s="251">
        <v>890.21</v>
      </c>
      <c r="K45" s="251">
        <v>731.56</v>
      </c>
      <c r="L45" s="251">
        <v>350.85</v>
      </c>
      <c r="M45" s="251">
        <v>610.44000000000005</v>
      </c>
      <c r="N45" s="251">
        <v>502.96</v>
      </c>
      <c r="O45" s="207"/>
      <c r="P45" s="251">
        <v>810.31</v>
      </c>
      <c r="Q45" s="251">
        <v>2051.08</v>
      </c>
      <c r="R45" s="99"/>
      <c r="T45" s="437" t="s">
        <v>90</v>
      </c>
      <c r="U45" s="335">
        <v>2051.08</v>
      </c>
      <c r="V45" s="336">
        <f>U45/V44</f>
        <v>0.28431937898530635</v>
      </c>
      <c r="W45" s="336">
        <f>U45/W44</f>
        <v>0.28431937898530635</v>
      </c>
      <c r="X45" s="330">
        <v>0.28432000000000002</v>
      </c>
      <c r="Y45" s="330"/>
      <c r="Z45" s="492">
        <f>X45-W45</f>
        <v>6.2101469366915296E-7</v>
      </c>
      <c r="AA45" s="330"/>
    </row>
    <row r="46" spans="1:27" ht="15.75" x14ac:dyDescent="0.25">
      <c r="A46" s="313"/>
      <c r="B46" s="295" t="s">
        <v>72</v>
      </c>
      <c r="C46" s="377" t="s">
        <v>310</v>
      </c>
      <c r="D46" s="276">
        <v>1984.55</v>
      </c>
      <c r="E46" s="276">
        <v>2189.5500000000002</v>
      </c>
      <c r="F46" s="276">
        <v>2595.84</v>
      </c>
      <c r="G46" s="276">
        <v>1506.9</v>
      </c>
      <c r="H46" s="276">
        <v>1646.5</v>
      </c>
      <c r="I46" s="276">
        <v>890.21</v>
      </c>
      <c r="J46" s="276">
        <v>731.56</v>
      </c>
      <c r="K46" s="276">
        <v>350.85</v>
      </c>
      <c r="L46" s="276">
        <v>610.44000000000005</v>
      </c>
      <c r="M46" s="276">
        <v>502.96</v>
      </c>
      <c r="N46" s="276">
        <v>810.31</v>
      </c>
      <c r="O46" s="207"/>
      <c r="P46" s="276">
        <v>2051.08</v>
      </c>
      <c r="Q46" s="276">
        <v>1803.73</v>
      </c>
      <c r="R46" s="99"/>
      <c r="T46" s="437" t="s">
        <v>239</v>
      </c>
      <c r="U46" s="335">
        <v>4769.18</v>
      </c>
      <c r="V46" s="336">
        <f>U46/V44</f>
        <v>0.66110063764901583</v>
      </c>
      <c r="W46" s="336">
        <f>U46/W44</f>
        <v>0.66110063764901583</v>
      </c>
      <c r="X46" s="338">
        <v>0.66110000000000002</v>
      </c>
      <c r="Y46" s="330"/>
      <c r="Z46" s="492">
        <f>X46-W46</f>
        <v>-6.3764901581109257E-7</v>
      </c>
      <c r="AA46" s="330"/>
    </row>
    <row r="47" spans="1:27" ht="15.75" x14ac:dyDescent="0.25">
      <c r="A47" s="313"/>
      <c r="B47" s="295" t="s">
        <v>72</v>
      </c>
      <c r="C47" s="366" t="s">
        <v>311</v>
      </c>
      <c r="D47" s="108">
        <v>-1887.03</v>
      </c>
      <c r="E47" s="108">
        <f t="shared" ref="E47:N47" si="18">-D46</f>
        <v>-1984.55</v>
      </c>
      <c r="F47" s="88">
        <f t="shared" si="18"/>
        <v>-2189.5500000000002</v>
      </c>
      <c r="G47" s="88">
        <f t="shared" si="18"/>
        <v>-2595.84</v>
      </c>
      <c r="H47" s="88">
        <f t="shared" si="18"/>
        <v>-1506.9</v>
      </c>
      <c r="I47" s="88">
        <f t="shared" si="18"/>
        <v>-1646.5</v>
      </c>
      <c r="J47" s="88">
        <f t="shared" si="18"/>
        <v>-890.21</v>
      </c>
      <c r="K47" s="88">
        <f t="shared" si="18"/>
        <v>-731.56</v>
      </c>
      <c r="L47" s="88">
        <f t="shared" si="18"/>
        <v>-350.85</v>
      </c>
      <c r="M47" s="88">
        <f t="shared" si="18"/>
        <v>-610.44000000000005</v>
      </c>
      <c r="N47" s="88">
        <f t="shared" si="18"/>
        <v>-502.96</v>
      </c>
      <c r="O47" s="205"/>
      <c r="P47" s="88">
        <f>-N46</f>
        <v>-810.31</v>
      </c>
      <c r="Q47" s="590">
        <f>-P46</f>
        <v>-2051.08</v>
      </c>
      <c r="R47" s="99"/>
      <c r="T47" s="437" t="s">
        <v>92</v>
      </c>
      <c r="U47" s="332">
        <v>7214</v>
      </c>
      <c r="V47" s="336"/>
      <c r="W47" s="336"/>
      <c r="X47" s="330"/>
      <c r="Y47" s="330"/>
      <c r="Z47" s="336"/>
      <c r="AA47" s="330"/>
    </row>
    <row r="48" spans="1:27" x14ac:dyDescent="0.25">
      <c r="A48" s="313"/>
      <c r="C48" s="364" t="s">
        <v>74</v>
      </c>
      <c r="D48" s="591">
        <v>1984.55</v>
      </c>
      <c r="E48" s="423">
        <f>SUM(E45:E47)</f>
        <v>2189.5500000000002</v>
      </c>
      <c r="F48" s="187">
        <f t="shared" ref="F48:G48" si="19">SUM(F45:F47)</f>
        <v>2595.84</v>
      </c>
      <c r="G48" s="187">
        <f t="shared" si="19"/>
        <v>1506.8999999999996</v>
      </c>
      <c r="H48" s="187">
        <f>SUM(H45:H47)</f>
        <v>1646.5</v>
      </c>
      <c r="I48" s="187">
        <f t="shared" ref="I48:Q48" si="20">SUM(I45:I47)</f>
        <v>890.21</v>
      </c>
      <c r="J48" s="187">
        <f t="shared" si="20"/>
        <v>731.56</v>
      </c>
      <c r="K48" s="187">
        <f t="shared" si="20"/>
        <v>350.84999999999991</v>
      </c>
      <c r="L48" s="187">
        <f t="shared" si="20"/>
        <v>610.44000000000005</v>
      </c>
      <c r="M48" s="187">
        <f t="shared" si="20"/>
        <v>502.96000000000004</v>
      </c>
      <c r="N48" s="187">
        <f t="shared" si="20"/>
        <v>810.31</v>
      </c>
      <c r="O48" s="208"/>
      <c r="P48" s="187">
        <f t="shared" si="20"/>
        <v>2051.08</v>
      </c>
      <c r="Q48" s="397">
        <f t="shared" si="20"/>
        <v>1803.73</v>
      </c>
      <c r="R48" s="362"/>
      <c r="T48" s="330"/>
      <c r="U48" s="330"/>
      <c r="V48" s="330"/>
      <c r="W48" s="330"/>
      <c r="X48" s="330"/>
      <c r="Y48" s="330"/>
      <c r="Z48" s="330"/>
      <c r="AA48" s="330"/>
    </row>
    <row r="49" spans="1:28" x14ac:dyDescent="0.25">
      <c r="A49" s="313"/>
      <c r="C49" s="655" t="s">
        <v>312</v>
      </c>
      <c r="D49" s="571">
        <f>+'[1]Margins 2023'!Q9</f>
        <v>141.21</v>
      </c>
      <c r="E49" s="572">
        <f>+'[1]Margins 2023'!E9</f>
        <v>148.19999999999999</v>
      </c>
      <c r="F49" s="572">
        <f>+'[1]Margins 2023'!F9</f>
        <v>122.07</v>
      </c>
      <c r="G49" s="572">
        <f>+'[1]Margins 2023'!G9</f>
        <v>96.8</v>
      </c>
      <c r="H49" s="572">
        <f>+'[1]Margins 2023'!H9</f>
        <v>61.86</v>
      </c>
      <c r="I49" s="572">
        <f>+'[1]Margins 2023'!I9</f>
        <v>43.03</v>
      </c>
      <c r="J49" s="572">
        <f>+'[1]Margins 2023'!J9</f>
        <v>29.53</v>
      </c>
      <c r="K49" s="572">
        <f>+'[1]Margins 2023'!K9</f>
        <v>30.55</v>
      </c>
      <c r="L49" s="572">
        <f>+'[1]Margins 2023'!L9</f>
        <v>30.61</v>
      </c>
      <c r="M49" s="572">
        <f>+'[1]Margins 2023'!M9</f>
        <v>39.67</v>
      </c>
      <c r="N49" s="572">
        <f>+'[1]Margins 2023'!N9</f>
        <v>72.53</v>
      </c>
      <c r="O49" s="206"/>
      <c r="P49" s="572">
        <f>+'[1]Margins 2023'!P9</f>
        <v>109.96</v>
      </c>
      <c r="Q49" s="572">
        <f>+'[1]Margins 2023'!Q9</f>
        <v>141.21</v>
      </c>
      <c r="R49" s="362"/>
      <c r="T49" s="330"/>
      <c r="U49" s="330"/>
      <c r="V49" s="330"/>
      <c r="W49" s="330"/>
      <c r="X49" s="330"/>
      <c r="Y49" s="330"/>
      <c r="Z49" s="330"/>
      <c r="AA49" s="330"/>
    </row>
    <row r="50" spans="1:28" ht="15.75" x14ac:dyDescent="0.25">
      <c r="A50" s="313"/>
      <c r="B50" s="295"/>
      <c r="C50" s="487" t="s">
        <v>73</v>
      </c>
      <c r="D50" s="571">
        <v>-141.21</v>
      </c>
      <c r="E50" s="572">
        <f>ROUND(-E49*'WA CAP 2024'!E44,2)</f>
        <v>-148.19999999999999</v>
      </c>
      <c r="F50" s="572">
        <f>ROUND(-F49*'WA CAP 2024'!F44,2)</f>
        <v>-122.07</v>
      </c>
      <c r="G50" s="572">
        <f>ROUND(-G49*'WA CAP 2024'!G44,2)</f>
        <v>-96.8</v>
      </c>
      <c r="H50" s="572">
        <f>ROUND(-H49*'WA CAP 2024'!H44,2)</f>
        <v>-61.86</v>
      </c>
      <c r="I50" s="572">
        <f>ROUND(-I49*'WA CAP 2024'!I44,2)</f>
        <v>-43.03</v>
      </c>
      <c r="J50" s="572">
        <f>ROUND(-J49*'WA CAP 2024'!J44,2)</f>
        <v>-29.53</v>
      </c>
      <c r="K50" s="572">
        <f>ROUND(-K49*'WA CAP 2024'!K44,2)</f>
        <v>-30.55</v>
      </c>
      <c r="L50" s="572">
        <f>ROUND(-L49*'WA CAP 2024'!L44,2)</f>
        <v>-30.61</v>
      </c>
      <c r="M50" s="572">
        <f>ROUND(-M49*'WA CAP 2024'!M44,2)</f>
        <v>-39.67</v>
      </c>
      <c r="N50" s="572">
        <f>ROUND(-N49*'WA CAP 2024'!N44,2)</f>
        <v>-72.53</v>
      </c>
      <c r="O50" s="206"/>
      <c r="P50" s="572">
        <f>ROUND(-P49*'WA CAP 2024'!P44,2)</f>
        <v>-109.96</v>
      </c>
      <c r="Q50" s="572">
        <f>ROUND(-Q49*'WA CAP 2024'!Q44,2)</f>
        <v>-141.21</v>
      </c>
      <c r="R50" s="362"/>
      <c r="T50" s="330"/>
      <c r="U50" s="337"/>
      <c r="V50" s="330"/>
      <c r="W50" s="330"/>
      <c r="X50" s="330"/>
      <c r="Y50" s="330"/>
      <c r="Z50" s="330"/>
      <c r="AA50" s="330"/>
    </row>
    <row r="51" spans="1:28" x14ac:dyDescent="0.25">
      <c r="A51" s="313"/>
      <c r="B51" s="295"/>
      <c r="C51" s="364" t="s">
        <v>201</v>
      </c>
      <c r="D51" s="187">
        <v>1843.34</v>
      </c>
      <c r="E51" s="108">
        <f>+E48+E50</f>
        <v>2041.3500000000001</v>
      </c>
      <c r="F51" s="108">
        <f t="shared" ref="F51:N51" si="21">+F48+F50</f>
        <v>2473.77</v>
      </c>
      <c r="G51" s="108">
        <f t="shared" si="21"/>
        <v>1410.0999999999997</v>
      </c>
      <c r="H51" s="108">
        <f t="shared" si="21"/>
        <v>1584.64</v>
      </c>
      <c r="I51" s="108">
        <f t="shared" si="21"/>
        <v>847.18000000000006</v>
      </c>
      <c r="J51" s="108">
        <f t="shared" si="21"/>
        <v>702.03</v>
      </c>
      <c r="K51" s="108">
        <f t="shared" si="21"/>
        <v>320.2999999999999</v>
      </c>
      <c r="L51" s="108">
        <f t="shared" si="21"/>
        <v>579.83000000000004</v>
      </c>
      <c r="M51" s="108">
        <f t="shared" si="21"/>
        <v>463.29</v>
      </c>
      <c r="N51" s="108">
        <f t="shared" si="21"/>
        <v>737.78</v>
      </c>
      <c r="O51" s="302">
        <f>-ROUND('[1]2023'!Q50,2)</f>
        <v>-15781.05</v>
      </c>
      <c r="P51" s="108">
        <f t="shared" ref="P51:Q51" si="22">+P48+P50</f>
        <v>1941.12</v>
      </c>
      <c r="Q51" s="108">
        <f t="shared" si="22"/>
        <v>1662.52</v>
      </c>
      <c r="R51" s="99">
        <f>SUM(E51:Q51)-O51</f>
        <v>14763.91</v>
      </c>
      <c r="T51" s="330"/>
      <c r="U51" s="337"/>
      <c r="V51" s="330"/>
      <c r="W51" s="330"/>
      <c r="X51" s="330"/>
      <c r="Y51" s="330"/>
      <c r="Z51" s="330"/>
      <c r="AA51" s="330"/>
    </row>
    <row r="52" spans="1:28" ht="15.75" x14ac:dyDescent="0.25">
      <c r="A52" s="313"/>
      <c r="B52" s="295"/>
      <c r="C52" s="574" t="s">
        <v>137</v>
      </c>
      <c r="D52" s="187">
        <v>98.15</v>
      </c>
      <c r="E52" s="108">
        <f>ROUND(ROUND(D54*E$7,2)/365*E$8,2)</f>
        <v>113.93</v>
      </c>
      <c r="F52" s="187">
        <f>ROUND(ROUND(E54*F$7,2)/365*F$8,2)</f>
        <v>121.13</v>
      </c>
      <c r="G52" s="187">
        <f t="shared" ref="G52:N52" si="23">ROUND(ROUND(F54*G$7,2)/365*G$8,2)</f>
        <v>148.22</v>
      </c>
      <c r="H52" s="187">
        <f t="shared" si="23"/>
        <v>154.32</v>
      </c>
      <c r="I52" s="187">
        <f t="shared" si="23"/>
        <v>172.02</v>
      </c>
      <c r="J52" s="187">
        <f t="shared" si="23"/>
        <v>173.59</v>
      </c>
      <c r="K52" s="187">
        <f t="shared" si="23"/>
        <v>185.7</v>
      </c>
      <c r="L52" s="187">
        <f t="shared" si="23"/>
        <v>189.35</v>
      </c>
      <c r="M52" s="187">
        <f t="shared" si="23"/>
        <v>188.62</v>
      </c>
      <c r="N52" s="187">
        <f t="shared" si="23"/>
        <v>199.61</v>
      </c>
      <c r="O52" s="208">
        <f>'[1]Ammort Split 2024'!N53</f>
        <v>-1157.4000000000001</v>
      </c>
      <c r="P52" s="187">
        <f>ROUND(ROUND(O54*P$7,2)/365*P$8,2)</f>
        <v>81.39</v>
      </c>
      <c r="Q52" s="187">
        <f t="shared" ref="Q52" si="24">ROUND(ROUND(P54*Q$7,2)/365*Q$8,2)</f>
        <v>98.7</v>
      </c>
      <c r="R52" s="100">
        <f>SUM(E52:Q52)</f>
        <v>669.17999999999972</v>
      </c>
      <c r="T52" s="330"/>
      <c r="U52" s="337"/>
      <c r="V52" s="330"/>
      <c r="W52" s="330"/>
      <c r="X52" s="330"/>
      <c r="Y52" s="330"/>
      <c r="Z52" s="330"/>
      <c r="AA52" s="330"/>
    </row>
    <row r="53" spans="1:28" x14ac:dyDescent="0.25">
      <c r="A53" s="313"/>
      <c r="B53" s="295"/>
      <c r="C53" s="364" t="s">
        <v>138</v>
      </c>
      <c r="D53" s="189">
        <v>1941.49</v>
      </c>
      <c r="E53" s="88">
        <f t="shared" ref="E53:Q53" si="25">SUM(E51:E52)</f>
        <v>2155.2800000000002</v>
      </c>
      <c r="F53" s="189">
        <f t="shared" si="25"/>
        <v>2594.9</v>
      </c>
      <c r="G53" s="189">
        <f t="shared" si="25"/>
        <v>1558.3199999999997</v>
      </c>
      <c r="H53" s="189">
        <f t="shared" si="25"/>
        <v>1738.96</v>
      </c>
      <c r="I53" s="189">
        <f t="shared" si="25"/>
        <v>1019.2</v>
      </c>
      <c r="J53" s="189">
        <f t="shared" si="25"/>
        <v>875.62</v>
      </c>
      <c r="K53" s="189">
        <f t="shared" si="25"/>
        <v>505.99999999999989</v>
      </c>
      <c r="L53" s="189">
        <f t="shared" si="25"/>
        <v>769.18000000000006</v>
      </c>
      <c r="M53" s="189">
        <f t="shared" si="25"/>
        <v>651.91000000000008</v>
      </c>
      <c r="N53" s="189">
        <f t="shared" si="25"/>
        <v>937.39</v>
      </c>
      <c r="O53" s="209">
        <f>SUM(O51:O52)</f>
        <v>-16938.45</v>
      </c>
      <c r="P53" s="189">
        <f t="shared" si="25"/>
        <v>2022.51</v>
      </c>
      <c r="Q53" s="189">
        <f t="shared" si="25"/>
        <v>1761.22</v>
      </c>
      <c r="R53" s="453">
        <f>SUM(R51:R52)</f>
        <v>15433.09</v>
      </c>
      <c r="T53" s="330"/>
      <c r="U53" s="337"/>
      <c r="V53" s="330"/>
      <c r="W53" s="330"/>
      <c r="X53" s="330"/>
      <c r="Y53" s="330"/>
      <c r="Z53" s="330"/>
      <c r="AA53" s="330"/>
    </row>
    <row r="54" spans="1:28" s="584" customFormat="1" ht="21" customHeight="1" x14ac:dyDescent="0.25">
      <c r="A54" s="575"/>
      <c r="B54" s="576"/>
      <c r="C54" s="577" t="s">
        <v>139</v>
      </c>
      <c r="D54" s="587">
        <v>15781.050000000027</v>
      </c>
      <c r="E54" s="588">
        <f t="shared" ref="E54:Q54" si="26">D54+E53</f>
        <v>17936.330000000027</v>
      </c>
      <c r="F54" s="587">
        <f t="shared" si="26"/>
        <v>20531.230000000029</v>
      </c>
      <c r="G54" s="587">
        <f>F54+G53</f>
        <v>22089.550000000028</v>
      </c>
      <c r="H54" s="587">
        <f t="shared" si="26"/>
        <v>23828.510000000028</v>
      </c>
      <c r="I54" s="587">
        <f t="shared" si="26"/>
        <v>24847.710000000028</v>
      </c>
      <c r="J54" s="587">
        <f t="shared" si="26"/>
        <v>25723.330000000027</v>
      </c>
      <c r="K54" s="587">
        <f t="shared" si="26"/>
        <v>26229.330000000027</v>
      </c>
      <c r="L54" s="587">
        <f t="shared" si="26"/>
        <v>26998.510000000028</v>
      </c>
      <c r="M54" s="587">
        <f t="shared" si="26"/>
        <v>27650.420000000027</v>
      </c>
      <c r="N54" s="587">
        <f t="shared" si="26"/>
        <v>28587.810000000027</v>
      </c>
      <c r="O54" s="589">
        <f t="shared" si="26"/>
        <v>11649.360000000026</v>
      </c>
      <c r="P54" s="587">
        <f t="shared" si="26"/>
        <v>13671.870000000026</v>
      </c>
      <c r="Q54" s="582">
        <f t="shared" si="26"/>
        <v>15433.090000000026</v>
      </c>
      <c r="R54" s="583"/>
      <c r="T54" s="585"/>
      <c r="U54" s="592"/>
      <c r="V54" s="592"/>
      <c r="W54" s="585"/>
      <c r="X54" s="585"/>
      <c r="Y54" s="585"/>
      <c r="Z54" s="585"/>
      <c r="AA54" s="585"/>
    </row>
    <row r="55" spans="1:28" hidden="1" x14ac:dyDescent="0.25">
      <c r="A55" s="313"/>
      <c r="B55" s="295"/>
      <c r="C55" s="368"/>
      <c r="D55" s="90"/>
      <c r="E55" s="108"/>
      <c r="F55" s="90"/>
      <c r="G55" s="90"/>
      <c r="H55" s="90"/>
      <c r="I55" s="90"/>
      <c r="J55" s="90"/>
      <c r="K55" s="90"/>
      <c r="L55" s="90"/>
      <c r="M55" s="90"/>
      <c r="N55" s="90"/>
      <c r="O55" s="204"/>
      <c r="P55" s="90"/>
      <c r="Q55" s="90"/>
      <c r="R55" s="362"/>
      <c r="T55" s="334"/>
      <c r="U55" s="337"/>
      <c r="V55" s="337"/>
      <c r="W55" s="330"/>
      <c r="X55" s="330"/>
      <c r="Y55" s="330"/>
      <c r="Z55" s="330"/>
      <c r="AA55" s="330"/>
    </row>
    <row r="56" spans="1:28" ht="15.75" x14ac:dyDescent="0.25">
      <c r="A56" s="313"/>
      <c r="B56" s="295"/>
      <c r="C56" s="362" t="s">
        <v>270</v>
      </c>
      <c r="D56" s="250">
        <v>3</v>
      </c>
      <c r="E56" s="250">
        <v>3</v>
      </c>
      <c r="F56" s="250">
        <v>3</v>
      </c>
      <c r="G56" s="250">
        <v>3</v>
      </c>
      <c r="H56" s="250">
        <v>3</v>
      </c>
      <c r="I56" s="250">
        <v>3</v>
      </c>
      <c r="J56" s="250">
        <v>3</v>
      </c>
      <c r="K56" s="250">
        <v>3</v>
      </c>
      <c r="L56" s="250">
        <v>3</v>
      </c>
      <c r="M56" s="250">
        <v>3</v>
      </c>
      <c r="N56" s="250">
        <v>3</v>
      </c>
      <c r="O56" s="274"/>
      <c r="P56" s="250">
        <v>3</v>
      </c>
      <c r="Q56" s="250">
        <v>3</v>
      </c>
      <c r="R56" s="452"/>
      <c r="T56" s="437">
        <v>4810</v>
      </c>
      <c r="U56" s="461" t="s">
        <v>169</v>
      </c>
      <c r="V56" s="535">
        <f>+U61</f>
        <v>103951</v>
      </c>
      <c r="W56" s="333"/>
      <c r="X56" s="444" t="s">
        <v>90</v>
      </c>
      <c r="Y56" s="330"/>
      <c r="Z56" s="444" t="s">
        <v>214</v>
      </c>
      <c r="AA56" s="330"/>
      <c r="AB56" s="104"/>
    </row>
    <row r="57" spans="1:28" ht="15.75" x14ac:dyDescent="0.25">
      <c r="A57" s="313"/>
      <c r="B57" s="295"/>
      <c r="C57" s="366" t="s">
        <v>304</v>
      </c>
      <c r="D57" s="251">
        <v>10102.780000000001</v>
      </c>
      <c r="E57" s="251">
        <v>10454.4</v>
      </c>
      <c r="F57" s="251">
        <v>10454.4</v>
      </c>
      <c r="G57" s="251">
        <v>9745.07</v>
      </c>
      <c r="H57" s="251">
        <v>9114.84</v>
      </c>
      <c r="I57" s="251">
        <v>8789.19</v>
      </c>
      <c r="J57" s="251">
        <v>5692.42</v>
      </c>
      <c r="K57" s="251">
        <v>2455.2199999999998</v>
      </c>
      <c r="L57" s="251">
        <v>1647.09</v>
      </c>
      <c r="M57" s="251">
        <v>1812.62</v>
      </c>
      <c r="N57" s="251">
        <v>2087.2199999999998</v>
      </c>
      <c r="O57" s="274"/>
      <c r="P57" s="251">
        <v>8086.83</v>
      </c>
      <c r="Q57" s="251">
        <v>9744.02</v>
      </c>
      <c r="R57" s="99"/>
      <c r="T57" s="334" t="s">
        <v>90</v>
      </c>
      <c r="U57" s="335">
        <v>9744.02</v>
      </c>
      <c r="V57" s="336">
        <f>U57/V56</f>
        <v>9.3736664389952956E-2</v>
      </c>
      <c r="W57" s="336">
        <f>U57/V61</f>
        <v>0.17769061035432282</v>
      </c>
      <c r="X57" s="338">
        <f>+X34</f>
        <v>0.17768999999999999</v>
      </c>
      <c r="Y57" s="330"/>
      <c r="Z57" s="492">
        <f>X57-W57</f>
        <v>-6.1035432283307323E-7</v>
      </c>
      <c r="AA57" s="330"/>
      <c r="AB57" s="104"/>
    </row>
    <row r="58" spans="1:28" ht="15.75" x14ac:dyDescent="0.25">
      <c r="A58" s="313"/>
      <c r="B58" s="295"/>
      <c r="C58" s="366" t="s">
        <v>306</v>
      </c>
      <c r="D58" s="251">
        <v>8444.0400000000009</v>
      </c>
      <c r="E58" s="251">
        <v>9717.5499999999993</v>
      </c>
      <c r="F58" s="251">
        <v>15828.66</v>
      </c>
      <c r="G58" s="251">
        <v>7734.78</v>
      </c>
      <c r="H58" s="251">
        <v>5040.97</v>
      </c>
      <c r="I58" s="251">
        <v>1359.44</v>
      </c>
      <c r="J58" s="251"/>
      <c r="K58" s="251"/>
      <c r="L58" s="251"/>
      <c r="M58" s="251"/>
      <c r="N58" s="251"/>
      <c r="O58" s="274"/>
      <c r="P58" s="251"/>
      <c r="Q58" s="251">
        <v>6508.27</v>
      </c>
      <c r="R58" s="99"/>
      <c r="T58" s="334" t="s">
        <v>90</v>
      </c>
      <c r="U58" s="335">
        <v>6508.27</v>
      </c>
      <c r="V58" s="336">
        <f>U58/V56</f>
        <v>6.2609017710267348E-2</v>
      </c>
      <c r="W58" s="336">
        <f>U58/V62</f>
        <v>0.13818863197231246</v>
      </c>
      <c r="X58" s="330">
        <f>+X35</f>
        <v>0.13819000000000001</v>
      </c>
      <c r="Y58" s="330"/>
      <c r="Z58" s="492">
        <f>X58-W58</f>
        <v>1.36802768754829E-6</v>
      </c>
      <c r="AA58" s="330"/>
      <c r="AB58" s="104"/>
    </row>
    <row r="59" spans="1:28" ht="15.75" x14ac:dyDescent="0.25">
      <c r="A59" s="313"/>
      <c r="B59" s="295"/>
      <c r="C59" s="366" t="s">
        <v>313</v>
      </c>
      <c r="D59" s="251"/>
      <c r="E59" s="251"/>
      <c r="F59" s="251"/>
      <c r="G59" s="251">
        <v>0</v>
      </c>
      <c r="H59" s="251"/>
      <c r="I59" s="251"/>
      <c r="J59" s="251"/>
      <c r="K59" s="251"/>
      <c r="L59" s="251"/>
      <c r="M59" s="251"/>
      <c r="N59" s="251"/>
      <c r="O59" s="274"/>
      <c r="P59" s="251"/>
      <c r="Q59" s="251"/>
      <c r="R59" s="99"/>
      <c r="T59" s="334" t="s">
        <v>90</v>
      </c>
      <c r="U59" s="335">
        <v>0</v>
      </c>
      <c r="V59" s="336">
        <f>U59/V57</f>
        <v>0</v>
      </c>
      <c r="W59" s="336" t="e">
        <f>U59/V64</f>
        <v>#DIV/0!</v>
      </c>
      <c r="X59" s="330">
        <f>+X36</f>
        <v>4.0489999999999998E-2</v>
      </c>
      <c r="Y59" s="330"/>
      <c r="Z59" s="336" t="e">
        <f>X59-W59</f>
        <v>#DIV/0!</v>
      </c>
      <c r="AA59" s="330"/>
      <c r="AB59" s="104"/>
    </row>
    <row r="60" spans="1:28" ht="15.75" x14ac:dyDescent="0.25">
      <c r="A60" s="313"/>
      <c r="B60" s="295"/>
      <c r="C60" s="318" t="s">
        <v>314</v>
      </c>
      <c r="D60" s="276">
        <v>10454.4</v>
      </c>
      <c r="E60" s="276">
        <v>10454.4</v>
      </c>
      <c r="F60" s="276">
        <v>9745.07</v>
      </c>
      <c r="G60" s="276">
        <v>9114.84</v>
      </c>
      <c r="H60" s="276">
        <v>8789.19</v>
      </c>
      <c r="I60" s="276">
        <v>5692.42</v>
      </c>
      <c r="J60" s="276">
        <v>2455.2199999999998</v>
      </c>
      <c r="K60" s="276">
        <v>1647.09</v>
      </c>
      <c r="L60" s="276">
        <v>1812.62</v>
      </c>
      <c r="M60" s="276">
        <v>2087.2199999999998</v>
      </c>
      <c r="N60" s="276">
        <v>8086.83</v>
      </c>
      <c r="O60" s="207"/>
      <c r="P60" s="276">
        <v>9744.02</v>
      </c>
      <c r="Q60" s="276">
        <f>10333.65</f>
        <v>10333.65</v>
      </c>
      <c r="R60" s="99"/>
      <c r="T60" s="334" t="s">
        <v>239</v>
      </c>
      <c r="U60" s="335">
        <v>67400.78</v>
      </c>
      <c r="V60" s="336">
        <f>U60/V56</f>
        <v>0.64838991447893723</v>
      </c>
      <c r="W60" s="336">
        <f>U60/V56</f>
        <v>0.64838991447893723</v>
      </c>
      <c r="X60" s="338">
        <f>+X37</f>
        <v>0.64839000000000002</v>
      </c>
      <c r="Y60" s="330"/>
      <c r="Z60" s="492">
        <f>X60-W60</f>
        <v>8.5521062787030644E-8</v>
      </c>
      <c r="AA60" s="330"/>
      <c r="AB60" s="104"/>
    </row>
    <row r="61" spans="1:28" ht="15.75" x14ac:dyDescent="0.25">
      <c r="A61" s="313"/>
      <c r="B61" s="295"/>
      <c r="C61" s="318" t="s">
        <v>315</v>
      </c>
      <c r="D61" s="276">
        <v>9717.5499999999993</v>
      </c>
      <c r="E61" s="276">
        <v>15828.66</v>
      </c>
      <c r="F61" s="276">
        <v>7734.78</v>
      </c>
      <c r="G61" s="276">
        <v>5040.97</v>
      </c>
      <c r="H61" s="276">
        <v>1359.44</v>
      </c>
      <c r="I61" s="276"/>
      <c r="J61" s="276"/>
      <c r="K61" s="276"/>
      <c r="L61" s="276"/>
      <c r="M61" s="276"/>
      <c r="N61" s="276"/>
      <c r="O61" s="207"/>
      <c r="P61" s="276">
        <v>6508.27</v>
      </c>
      <c r="Q61" s="276">
        <v>9613.08</v>
      </c>
      <c r="R61" s="99"/>
      <c r="T61" s="334" t="s">
        <v>92</v>
      </c>
      <c r="U61" s="332">
        <v>103951</v>
      </c>
      <c r="V61" s="337">
        <f>ROUND(U57/X57,0)</f>
        <v>54837</v>
      </c>
      <c r="W61" s="330"/>
      <c r="X61" s="330"/>
      <c r="Y61" s="330"/>
      <c r="Z61" s="330"/>
      <c r="AA61" s="330"/>
      <c r="AB61" s="104"/>
    </row>
    <row r="62" spans="1:28" x14ac:dyDescent="0.25">
      <c r="A62" s="313"/>
      <c r="B62" s="295"/>
      <c r="C62" s="318" t="s">
        <v>316</v>
      </c>
      <c r="D62" s="593"/>
      <c r="E62" s="276"/>
      <c r="F62" s="276"/>
      <c r="G62" s="276"/>
      <c r="H62" s="276"/>
      <c r="I62" s="276"/>
      <c r="J62" s="276"/>
      <c r="K62" s="276"/>
      <c r="L62" s="276"/>
      <c r="M62" s="276"/>
      <c r="N62" s="276"/>
      <c r="O62" s="207"/>
      <c r="P62" s="276"/>
      <c r="Q62" s="594"/>
      <c r="R62" s="99"/>
      <c r="T62" s="334"/>
      <c r="U62" s="337"/>
      <c r="V62" s="337">
        <f>ROUND(U58/X58,0)</f>
        <v>47097</v>
      </c>
      <c r="W62" s="330"/>
      <c r="X62" s="330"/>
      <c r="Y62" s="330"/>
      <c r="Z62" s="330"/>
      <c r="AA62" s="330"/>
      <c r="AB62" s="104"/>
    </row>
    <row r="63" spans="1:28" x14ac:dyDescent="0.25">
      <c r="A63" s="313"/>
      <c r="B63" s="295"/>
      <c r="C63" s="366" t="s">
        <v>317</v>
      </c>
      <c r="D63" s="346">
        <v>-18546.82</v>
      </c>
      <c r="E63" s="88">
        <f t="shared" ref="E63:N63" si="27">-D60-D61-D62</f>
        <v>-20171.949999999997</v>
      </c>
      <c r="F63" s="189">
        <f t="shared" si="27"/>
        <v>-26283.059999999998</v>
      </c>
      <c r="G63" s="189">
        <f t="shared" si="27"/>
        <v>-17479.849999999999</v>
      </c>
      <c r="H63" s="189">
        <f t="shared" si="27"/>
        <v>-14155.810000000001</v>
      </c>
      <c r="I63" s="189">
        <f t="shared" si="27"/>
        <v>-10148.630000000001</v>
      </c>
      <c r="J63" s="189">
        <f t="shared" si="27"/>
        <v>-5692.42</v>
      </c>
      <c r="K63" s="189">
        <f t="shared" si="27"/>
        <v>-2455.2199999999998</v>
      </c>
      <c r="L63" s="189">
        <f t="shared" si="27"/>
        <v>-1647.09</v>
      </c>
      <c r="M63" s="189">
        <f t="shared" si="27"/>
        <v>-1812.62</v>
      </c>
      <c r="N63" s="189">
        <f t="shared" si="27"/>
        <v>-2087.2199999999998</v>
      </c>
      <c r="O63" s="209"/>
      <c r="P63" s="189">
        <f>-N60-N61-N62</f>
        <v>-8086.83</v>
      </c>
      <c r="Q63" s="595">
        <f>-P60-P61-P62</f>
        <v>-16252.29</v>
      </c>
      <c r="R63" s="362"/>
      <c r="T63" s="334"/>
      <c r="U63" s="334"/>
      <c r="V63" s="334"/>
      <c r="W63" s="334"/>
      <c r="X63" s="334"/>
      <c r="Y63" s="334"/>
      <c r="Z63" s="334"/>
      <c r="AA63" s="334"/>
      <c r="AB63" s="104"/>
    </row>
    <row r="64" spans="1:28" x14ac:dyDescent="0.25">
      <c r="A64" s="313"/>
      <c r="B64" s="295"/>
      <c r="C64" s="311" t="s">
        <v>74</v>
      </c>
      <c r="D64" s="108">
        <v>20171.950000000004</v>
      </c>
      <c r="E64" s="108">
        <f t="shared" ref="E64:N64" si="28">SUM(E57:E63)</f>
        <v>26283.059999999998</v>
      </c>
      <c r="F64" s="108">
        <f t="shared" si="28"/>
        <v>17479.849999999999</v>
      </c>
      <c r="G64" s="108">
        <f t="shared" si="28"/>
        <v>14155.810000000001</v>
      </c>
      <c r="H64" s="108">
        <f t="shared" si="28"/>
        <v>10148.629999999997</v>
      </c>
      <c r="I64" s="108">
        <f t="shared" si="28"/>
        <v>5692.42</v>
      </c>
      <c r="J64" s="108">
        <f t="shared" si="28"/>
        <v>2455.2199999999993</v>
      </c>
      <c r="K64" s="108">
        <f t="shared" si="28"/>
        <v>1647.0899999999997</v>
      </c>
      <c r="L64" s="108">
        <f t="shared" si="28"/>
        <v>1812.6200000000001</v>
      </c>
      <c r="M64" s="108">
        <f t="shared" si="28"/>
        <v>2087.2199999999998</v>
      </c>
      <c r="N64" s="187">
        <f t="shared" si="28"/>
        <v>8086.83</v>
      </c>
      <c r="O64" s="208"/>
      <c r="P64" s="187">
        <f>SUM(P57:P63)</f>
        <v>16252.289999999999</v>
      </c>
      <c r="Q64" s="187">
        <f>SUM(Q57:Q63)</f>
        <v>19946.730000000003</v>
      </c>
      <c r="R64" s="362"/>
      <c r="S64" s="358"/>
      <c r="T64" s="334"/>
      <c r="U64" s="337"/>
      <c r="V64" s="337">
        <f>ROUND(U59/X59,0)</f>
        <v>0</v>
      </c>
      <c r="W64" s="330"/>
      <c r="X64" s="330"/>
      <c r="Y64" s="330"/>
      <c r="Z64" s="330"/>
      <c r="AA64" s="330"/>
      <c r="AB64" s="104"/>
    </row>
    <row r="65" spans="1:28" x14ac:dyDescent="0.25">
      <c r="A65" s="313"/>
      <c r="B65" s="295"/>
      <c r="C65" s="655" t="s">
        <v>309</v>
      </c>
      <c r="D65" s="571">
        <f>+'[1]Margins 2023'!Q13</f>
        <v>2867.06</v>
      </c>
      <c r="E65" s="572">
        <f>+'[1]Margins 2023'!E13</f>
        <v>3761.29</v>
      </c>
      <c r="F65" s="572">
        <f>+'[1]Margins 2023'!F13</f>
        <v>3442.57</v>
      </c>
      <c r="G65" s="572">
        <f>+'[1]Margins 2023'!G13</f>
        <v>3346.34</v>
      </c>
      <c r="H65" s="572">
        <f>+'[1]Margins 2023'!H13</f>
        <v>3193.43</v>
      </c>
      <c r="I65" s="572">
        <f>+'[1]Margins 2023'!I13</f>
        <v>1909.68</v>
      </c>
      <c r="J65" s="572">
        <f>+'[1]Margins 2023'!J13</f>
        <v>1855.34</v>
      </c>
      <c r="K65" s="572">
        <f>+'[1]Margins 2023'!K13</f>
        <v>1599.54</v>
      </c>
      <c r="L65" s="572">
        <f>+'[1]Margins 2023'!L13</f>
        <v>1297.22</v>
      </c>
      <c r="M65" s="572">
        <f>+'[1]Margins 2023'!M13</f>
        <v>1295.93</v>
      </c>
      <c r="N65" s="572">
        <f>+'[1]Margins 2023'!N13</f>
        <v>1549.68</v>
      </c>
      <c r="O65" s="206"/>
      <c r="P65" s="572">
        <f>+'[1]Margins 2023'!P13</f>
        <v>1802.95</v>
      </c>
      <c r="Q65" s="572">
        <f>+'[1]Margins 2023'!Q13</f>
        <v>2867.06</v>
      </c>
      <c r="R65" s="362"/>
      <c r="T65" s="334"/>
      <c r="U65" s="337"/>
      <c r="W65" s="330"/>
      <c r="X65" s="330"/>
      <c r="Y65" s="330"/>
      <c r="Z65" s="330"/>
      <c r="AA65" s="330"/>
      <c r="AB65" s="104"/>
    </row>
    <row r="66" spans="1:28" ht="15.75" x14ac:dyDescent="0.25">
      <c r="A66" s="313"/>
      <c r="B66" s="295"/>
      <c r="C66" s="487" t="s">
        <v>73</v>
      </c>
      <c r="D66" s="571">
        <v>-8601.18</v>
      </c>
      <c r="E66" s="572">
        <f>ROUND(-E65*'WA CAP 2024'!E56,2)</f>
        <v>-11283.87</v>
      </c>
      <c r="F66" s="572">
        <f>ROUND(-F65*'WA CAP 2024'!F56,2)</f>
        <v>-10327.709999999999</v>
      </c>
      <c r="G66" s="572">
        <f>ROUND(-G65*'WA CAP 2024'!G56,2)</f>
        <v>-10039.02</v>
      </c>
      <c r="H66" s="572">
        <f>ROUND(-H65*'WA CAP 2024'!H56,2)</f>
        <v>-9580.2900000000009</v>
      </c>
      <c r="I66" s="572">
        <f>ROUND(-I65*'WA CAP 2024'!I56,2)</f>
        <v>-5729.04</v>
      </c>
      <c r="J66" s="572">
        <f>ROUND(-J65*'WA CAP 2024'!J56,2)</f>
        <v>-5566.02</v>
      </c>
      <c r="K66" s="572">
        <f>ROUND(-K65*'WA CAP 2024'!K56,2)</f>
        <v>-4798.62</v>
      </c>
      <c r="L66" s="572">
        <f>ROUND(-L65*'WA CAP 2024'!L56,2)</f>
        <v>-3891.66</v>
      </c>
      <c r="M66" s="572">
        <f>ROUND(-M65*'WA CAP 2024'!M56,2)</f>
        <v>-3887.79</v>
      </c>
      <c r="N66" s="572">
        <f>ROUND(-N65*'WA CAP 2024'!N56,2)</f>
        <v>-4649.04</v>
      </c>
      <c r="O66" s="206"/>
      <c r="P66" s="572">
        <f>ROUND(-P65*'WA CAP 2024'!P56,2)</f>
        <v>-5408.85</v>
      </c>
      <c r="Q66" s="572">
        <f>ROUND(-Q65*'WA CAP 2024'!Q56,2)</f>
        <v>-8601.18</v>
      </c>
      <c r="R66" s="362"/>
      <c r="T66" s="334"/>
      <c r="U66" s="337"/>
      <c r="V66" s="337"/>
      <c r="W66" s="330"/>
      <c r="X66" s="330"/>
      <c r="Y66" s="330"/>
      <c r="Z66" s="330"/>
      <c r="AA66" s="330"/>
      <c r="AB66" s="104"/>
    </row>
    <row r="67" spans="1:28" x14ac:dyDescent="0.25">
      <c r="A67" s="313"/>
      <c r="B67" s="295"/>
      <c r="C67" s="364" t="s">
        <v>201</v>
      </c>
      <c r="D67" s="187">
        <v>11570.770000000004</v>
      </c>
      <c r="E67" s="108">
        <f>+E64+E66</f>
        <v>14999.189999999997</v>
      </c>
      <c r="F67" s="108">
        <f t="shared" ref="F67:Q67" si="29">+F64+F66</f>
        <v>7152.1399999999994</v>
      </c>
      <c r="G67" s="108">
        <f t="shared" si="29"/>
        <v>4116.7900000000009</v>
      </c>
      <c r="H67" s="108">
        <f t="shared" si="29"/>
        <v>568.33999999999651</v>
      </c>
      <c r="I67" s="108">
        <f t="shared" si="29"/>
        <v>-36.619999999999891</v>
      </c>
      <c r="J67" s="108">
        <f t="shared" si="29"/>
        <v>-3110.8000000000011</v>
      </c>
      <c r="K67" s="108">
        <f t="shared" si="29"/>
        <v>-3151.53</v>
      </c>
      <c r="L67" s="108">
        <f t="shared" si="29"/>
        <v>-2079.04</v>
      </c>
      <c r="M67" s="108">
        <f t="shared" si="29"/>
        <v>-1800.5700000000002</v>
      </c>
      <c r="N67" s="108">
        <f t="shared" si="29"/>
        <v>3437.79</v>
      </c>
      <c r="O67" s="302">
        <f>-ROUND('[1]2023'!Q65,2)</f>
        <v>-45225.09</v>
      </c>
      <c r="P67" s="108">
        <f t="shared" si="29"/>
        <v>10843.439999999999</v>
      </c>
      <c r="Q67" s="108">
        <f t="shared" si="29"/>
        <v>11345.550000000003</v>
      </c>
      <c r="R67" s="99">
        <f>SUM(E67:Q67)-O67</f>
        <v>42284.679999999993</v>
      </c>
      <c r="T67" s="334"/>
      <c r="U67" s="337"/>
      <c r="V67" s="337"/>
      <c r="W67" s="330"/>
      <c r="X67" s="330"/>
      <c r="Y67" s="330"/>
      <c r="Z67" s="330"/>
      <c r="AA67" s="330"/>
      <c r="AB67" s="104"/>
    </row>
    <row r="68" spans="1:28" ht="15.75" x14ac:dyDescent="0.25">
      <c r="A68" s="313"/>
      <c r="B68" s="295"/>
      <c r="C68" s="574" t="s">
        <v>137</v>
      </c>
      <c r="D68" s="187">
        <v>236.99</v>
      </c>
      <c r="E68" s="187">
        <f t="shared" ref="E68:N68" si="30">ROUND(ROUND(D70*E$7,2)/365*E$8,2)</f>
        <v>326.49</v>
      </c>
      <c r="F68" s="187">
        <f t="shared" si="30"/>
        <v>408.93</v>
      </c>
      <c r="G68" s="187">
        <f t="shared" si="30"/>
        <v>491.71</v>
      </c>
      <c r="H68" s="187">
        <f t="shared" si="30"/>
        <v>508.05</v>
      </c>
      <c r="I68" s="187">
        <f t="shared" si="30"/>
        <v>532.75</v>
      </c>
      <c r="J68" s="187">
        <f t="shared" si="30"/>
        <v>519.03</v>
      </c>
      <c r="K68" s="187">
        <f t="shared" si="30"/>
        <v>517.62</v>
      </c>
      <c r="L68" s="187">
        <f t="shared" si="30"/>
        <v>498.61</v>
      </c>
      <c r="M68" s="187">
        <f t="shared" si="30"/>
        <v>471.48</v>
      </c>
      <c r="N68" s="187">
        <f t="shared" si="30"/>
        <v>477.6</v>
      </c>
      <c r="O68" s="208">
        <f>'[1]Ammort Split 2024'!N69</f>
        <v>-3316.86</v>
      </c>
      <c r="P68" s="187">
        <f>ROUND(ROUND(O70*P$7,2)/365*P$8,2)</f>
        <v>150.41999999999999</v>
      </c>
      <c r="Q68" s="187">
        <f>ROUND(ROUND(P70*Q$7,2)/365*Q$8,2)</f>
        <v>234.8</v>
      </c>
      <c r="R68" s="100">
        <f>SUM(E68:Q68)</f>
        <v>1820.6300000000003</v>
      </c>
      <c r="T68" s="337"/>
      <c r="U68" s="337"/>
      <c r="V68" s="337"/>
      <c r="W68" s="330"/>
      <c r="X68" s="330"/>
      <c r="Y68" s="330"/>
      <c r="Z68" s="330"/>
      <c r="AA68" s="330"/>
      <c r="AB68" s="104"/>
    </row>
    <row r="69" spans="1:28" x14ac:dyDescent="0.25">
      <c r="A69" s="313"/>
      <c r="B69" s="295"/>
      <c r="C69" s="364" t="s">
        <v>138</v>
      </c>
      <c r="D69" s="189">
        <v>11807.760000000004</v>
      </c>
      <c r="E69" s="88">
        <f t="shared" ref="E69:R69" si="31">SUM(E67:E68)</f>
        <v>15325.679999999997</v>
      </c>
      <c r="F69" s="189">
        <f t="shared" si="31"/>
        <v>7561.07</v>
      </c>
      <c r="G69" s="189">
        <f t="shared" si="31"/>
        <v>4608.5000000000009</v>
      </c>
      <c r="H69" s="189">
        <f t="shared" si="31"/>
        <v>1076.3899999999965</v>
      </c>
      <c r="I69" s="189">
        <f t="shared" si="31"/>
        <v>496.13000000000011</v>
      </c>
      <c r="J69" s="189">
        <f t="shared" si="31"/>
        <v>-2591.7700000000013</v>
      </c>
      <c r="K69" s="189">
        <f t="shared" si="31"/>
        <v>-2633.9100000000003</v>
      </c>
      <c r="L69" s="189">
        <f t="shared" si="31"/>
        <v>-1580.4299999999998</v>
      </c>
      <c r="M69" s="189">
        <f t="shared" si="31"/>
        <v>-1329.0900000000001</v>
      </c>
      <c r="N69" s="189">
        <f t="shared" si="31"/>
        <v>3915.39</v>
      </c>
      <c r="O69" s="209">
        <f t="shared" si="31"/>
        <v>-48541.95</v>
      </c>
      <c r="P69" s="189">
        <f t="shared" si="31"/>
        <v>10993.859999999999</v>
      </c>
      <c r="Q69" s="189">
        <f t="shared" si="31"/>
        <v>11580.350000000002</v>
      </c>
      <c r="R69" s="453">
        <f t="shared" si="31"/>
        <v>44105.30999999999</v>
      </c>
      <c r="T69" s="334"/>
      <c r="U69" s="337"/>
      <c r="V69" s="337"/>
      <c r="W69" s="433"/>
      <c r="X69" s="433"/>
      <c r="Y69" s="433"/>
      <c r="Z69" s="433"/>
      <c r="AA69" s="433"/>
      <c r="AB69" s="104"/>
    </row>
    <row r="70" spans="1:28" s="584" customFormat="1" ht="21" customHeight="1" thickBot="1" x14ac:dyDescent="0.3">
      <c r="A70" s="575"/>
      <c r="B70" s="576"/>
      <c r="C70" s="596" t="s">
        <v>139</v>
      </c>
      <c r="D70" s="597">
        <v>45225.089999999771</v>
      </c>
      <c r="E70" s="598">
        <f t="shared" ref="E70:Q70" si="32">D70+E69</f>
        <v>60550.769999999771</v>
      </c>
      <c r="F70" s="597">
        <f t="shared" si="32"/>
        <v>68111.839999999764</v>
      </c>
      <c r="G70" s="597">
        <f t="shared" si="32"/>
        <v>72720.339999999764</v>
      </c>
      <c r="H70" s="597">
        <f t="shared" si="32"/>
        <v>73796.729999999763</v>
      </c>
      <c r="I70" s="597">
        <f t="shared" si="32"/>
        <v>74292.859999999768</v>
      </c>
      <c r="J70" s="597">
        <f t="shared" si="32"/>
        <v>71701.089999999764</v>
      </c>
      <c r="K70" s="597">
        <f t="shared" si="32"/>
        <v>69067.17999999976</v>
      </c>
      <c r="L70" s="597">
        <f t="shared" si="32"/>
        <v>67486.749999999767</v>
      </c>
      <c r="M70" s="597">
        <f t="shared" si="32"/>
        <v>66157.659999999771</v>
      </c>
      <c r="N70" s="597">
        <f t="shared" si="32"/>
        <v>70073.04999999977</v>
      </c>
      <c r="O70" s="599">
        <f t="shared" si="32"/>
        <v>21531.099999999773</v>
      </c>
      <c r="P70" s="600">
        <f t="shared" si="32"/>
        <v>32524.959999999774</v>
      </c>
      <c r="Q70" s="657">
        <f t="shared" si="32"/>
        <v>44105.309999999779</v>
      </c>
      <c r="R70" s="583"/>
      <c r="T70" s="602"/>
      <c r="U70" s="592"/>
      <c r="V70" s="592"/>
      <c r="W70" s="585"/>
      <c r="X70" s="585"/>
      <c r="Y70" s="585"/>
      <c r="Z70" s="585"/>
      <c r="AA70" s="585"/>
    </row>
    <row r="71" spans="1:28" ht="4.5" customHeight="1" x14ac:dyDescent="0.25">
      <c r="B71" s="295"/>
      <c r="C71" s="442"/>
      <c r="D71" s="442"/>
      <c r="E71" s="442"/>
      <c r="F71" s="443"/>
      <c r="G71" s="443"/>
      <c r="H71" s="443"/>
      <c r="I71" s="443"/>
      <c r="J71" s="443"/>
      <c r="K71" s="443"/>
      <c r="L71" s="443"/>
      <c r="M71" s="443"/>
      <c r="N71" s="443"/>
      <c r="O71" s="666"/>
      <c r="P71" s="187"/>
      <c r="Q71" s="443"/>
      <c r="R71" s="240"/>
      <c r="T71" s="334"/>
      <c r="U71" s="337"/>
      <c r="V71" s="675"/>
      <c r="W71" s="330"/>
      <c r="X71" s="330"/>
      <c r="Y71" s="330"/>
      <c r="Z71" s="330"/>
      <c r="AA71" s="330"/>
    </row>
    <row r="72" spans="1:28" ht="4.5" customHeight="1" x14ac:dyDescent="0.25">
      <c r="B72" s="295"/>
      <c r="C72" s="446"/>
      <c r="D72" s="446"/>
      <c r="E72" s="446"/>
      <c r="F72" s="189"/>
      <c r="G72" s="189"/>
      <c r="H72" s="189"/>
      <c r="I72" s="189"/>
      <c r="J72" s="189"/>
      <c r="K72" s="189"/>
      <c r="L72" s="189"/>
      <c r="M72" s="189"/>
      <c r="N72" s="189"/>
      <c r="O72" s="209"/>
      <c r="P72" s="189"/>
      <c r="Q72" s="189"/>
      <c r="R72" s="356"/>
      <c r="T72" s="334"/>
      <c r="U72" s="337"/>
      <c r="V72" s="675"/>
      <c r="W72" s="330"/>
      <c r="X72" s="330"/>
      <c r="Y72" s="330"/>
      <c r="Z72" s="330"/>
      <c r="AA72" s="330"/>
    </row>
    <row r="73" spans="1:28" ht="15.75" x14ac:dyDescent="0.25">
      <c r="A73" s="313"/>
      <c r="B73" s="295" t="s">
        <v>64</v>
      </c>
      <c r="C73" s="362" t="s">
        <v>274</v>
      </c>
      <c r="D73" s="250">
        <v>27655</v>
      </c>
      <c r="E73" s="250">
        <v>27744</v>
      </c>
      <c r="F73" s="250">
        <v>27770</v>
      </c>
      <c r="G73" s="250">
        <v>27774</v>
      </c>
      <c r="H73" s="250">
        <v>27692</v>
      </c>
      <c r="I73" s="250">
        <v>27605</v>
      </c>
      <c r="J73" s="250">
        <v>27540</v>
      </c>
      <c r="K73" s="250">
        <v>27492</v>
      </c>
      <c r="L73" s="250">
        <v>27434</v>
      </c>
      <c r="M73" s="250">
        <v>27430</v>
      </c>
      <c r="N73" s="250">
        <v>27561</v>
      </c>
      <c r="O73" s="274"/>
      <c r="P73" s="250">
        <v>27659</v>
      </c>
      <c r="Q73" s="250">
        <v>27765</v>
      </c>
      <c r="R73" s="452"/>
      <c r="T73" s="663">
        <v>4810</v>
      </c>
      <c r="U73" s="664">
        <v>504</v>
      </c>
      <c r="V73" s="665">
        <f>+U76</f>
        <v>11649065</v>
      </c>
      <c r="W73" s="113"/>
      <c r="X73" s="491" t="s">
        <v>90</v>
      </c>
      <c r="Z73" s="491" t="s">
        <v>214</v>
      </c>
    </row>
    <row r="74" spans="1:28" ht="15.75" x14ac:dyDescent="0.25">
      <c r="A74" s="313"/>
      <c r="B74" s="295" t="s">
        <v>71</v>
      </c>
      <c r="C74" s="366" t="s">
        <v>294</v>
      </c>
      <c r="D74" s="251">
        <v>3409660.32</v>
      </c>
      <c r="E74" s="251">
        <v>4207244.1500000004</v>
      </c>
      <c r="F74" s="251">
        <f>4025414.9+7.68</f>
        <v>4025422.58</v>
      </c>
      <c r="G74" s="251">
        <v>3340094.65</v>
      </c>
      <c r="H74" s="251">
        <v>2405221.2799999998</v>
      </c>
      <c r="I74" s="251">
        <v>1768082.95</v>
      </c>
      <c r="J74" s="251">
        <v>1199869.46</v>
      </c>
      <c r="K74" s="251">
        <v>916018.48</v>
      </c>
      <c r="L74" s="251">
        <v>753230.34</v>
      </c>
      <c r="M74" s="251">
        <v>765213.21</v>
      </c>
      <c r="N74" s="251">
        <v>1147068.75</v>
      </c>
      <c r="O74" s="207"/>
      <c r="P74" s="251">
        <v>1811004.51</v>
      </c>
      <c r="Q74" s="251">
        <v>3312061.36</v>
      </c>
      <c r="R74" s="99"/>
      <c r="T74" s="437" t="s">
        <v>90</v>
      </c>
      <c r="U74" s="335">
        <v>3312061.36</v>
      </c>
      <c r="V74" s="336">
        <f>U74/V73</f>
        <v>0.28431993125628535</v>
      </c>
      <c r="W74" s="336">
        <f>U74/V73</f>
        <v>0.28431993125628535</v>
      </c>
      <c r="X74" s="338">
        <f>+X45</f>
        <v>0.28432000000000002</v>
      </c>
      <c r="Y74" s="330"/>
      <c r="Z74" s="492">
        <f>X74-W74</f>
        <v>6.8743714665142619E-8</v>
      </c>
      <c r="AA74" s="330"/>
    </row>
    <row r="75" spans="1:28" ht="15.75" x14ac:dyDescent="0.25">
      <c r="A75" s="313"/>
      <c r="B75" s="295"/>
      <c r="C75" s="366" t="s">
        <v>222</v>
      </c>
      <c r="D75" s="603">
        <v>9891430</v>
      </c>
      <c r="E75" s="569">
        <v>10822314</v>
      </c>
      <c r="F75" s="569">
        <v>9095253</v>
      </c>
      <c r="G75" s="569">
        <v>6914906</v>
      </c>
      <c r="H75" s="569">
        <v>5147493</v>
      </c>
      <c r="I75" s="569">
        <v>3563321</v>
      </c>
      <c r="J75" s="569">
        <v>2922710</v>
      </c>
      <c r="K75" s="569">
        <v>1591699</v>
      </c>
      <c r="L75" s="569">
        <v>1224864</v>
      </c>
      <c r="M75" s="569">
        <v>1603086</v>
      </c>
      <c r="N75" s="569">
        <v>3810712</v>
      </c>
      <c r="O75" s="204"/>
      <c r="P75" s="465">
        <v>8251068</v>
      </c>
      <c r="Q75" s="465">
        <v>10060958</v>
      </c>
      <c r="R75" s="99"/>
      <c r="T75" s="437" t="s">
        <v>239</v>
      </c>
      <c r="U75" s="335">
        <v>7693155.0899999999</v>
      </c>
      <c r="V75" s="336">
        <f>U75/V73</f>
        <v>0.66040966292144476</v>
      </c>
      <c r="W75" s="336">
        <f>U75/V73</f>
        <v>0.66040966292144476</v>
      </c>
      <c r="X75" s="338">
        <f>+X46</f>
        <v>0.66110000000000002</v>
      </c>
      <c r="Y75" s="330"/>
      <c r="Z75" s="492">
        <f>X75-W75</f>
        <v>6.9033707855525872E-4</v>
      </c>
      <c r="AA75" s="330"/>
    </row>
    <row r="76" spans="1:28" ht="15.75" x14ac:dyDescent="0.25">
      <c r="A76" s="313"/>
      <c r="B76" s="295"/>
      <c r="C76" s="366" t="s">
        <v>275</v>
      </c>
      <c r="D76" s="570">
        <v>0.28432000000000002</v>
      </c>
      <c r="E76" s="570">
        <v>0.28432000000000002</v>
      </c>
      <c r="F76" s="570">
        <v>0.28432000000000002</v>
      </c>
      <c r="G76" s="570">
        <v>0.28432000000000002</v>
      </c>
      <c r="H76" s="570">
        <v>0.28432000000000002</v>
      </c>
      <c r="I76" s="570">
        <v>0.28432000000000002</v>
      </c>
      <c r="J76" s="570">
        <v>0.28432000000000002</v>
      </c>
      <c r="K76" s="570">
        <v>0.28432000000000002</v>
      </c>
      <c r="L76" s="570">
        <v>0.28432000000000002</v>
      </c>
      <c r="M76" s="570">
        <v>0.28432000000000002</v>
      </c>
      <c r="N76" s="570">
        <v>0.28432000000000002</v>
      </c>
      <c r="O76" s="204"/>
      <c r="P76" s="570">
        <v>0.28432000000000002</v>
      </c>
      <c r="Q76" s="570">
        <v>0.28432000000000002</v>
      </c>
      <c r="R76" s="99"/>
      <c r="T76" s="437" t="s">
        <v>92</v>
      </c>
      <c r="U76" s="332">
        <v>11649065</v>
      </c>
      <c r="V76" s="337">
        <f>ROUND(U87/X87,0)</f>
        <v>33712</v>
      </c>
      <c r="W76" s="336"/>
      <c r="X76" s="330"/>
      <c r="Y76" s="330"/>
      <c r="Z76" s="336"/>
      <c r="AA76" s="330"/>
    </row>
    <row r="77" spans="1:28" ht="15.75" x14ac:dyDescent="0.25">
      <c r="A77" s="313"/>
      <c r="B77" s="376" t="s">
        <v>72</v>
      </c>
      <c r="C77" s="366" t="s">
        <v>224</v>
      </c>
      <c r="D77" s="604">
        <v>2812331.38</v>
      </c>
      <c r="E77" s="310">
        <f t="shared" ref="E77:N77" si="33">ROUND(E75*E76,2)</f>
        <v>3077000.32</v>
      </c>
      <c r="F77" s="310">
        <f>ROUND(F75*F76,2)</f>
        <v>2585962.33</v>
      </c>
      <c r="G77" s="310">
        <f t="shared" si="33"/>
        <v>1966046.07</v>
      </c>
      <c r="H77" s="310">
        <f t="shared" si="33"/>
        <v>1463535.21</v>
      </c>
      <c r="I77" s="310">
        <f t="shared" si="33"/>
        <v>1013123.43</v>
      </c>
      <c r="J77" s="310">
        <f t="shared" si="33"/>
        <v>830984.91</v>
      </c>
      <c r="K77" s="310">
        <f t="shared" si="33"/>
        <v>452551.86</v>
      </c>
      <c r="L77" s="310">
        <f t="shared" si="33"/>
        <v>348253.33</v>
      </c>
      <c r="M77" s="310">
        <f t="shared" si="33"/>
        <v>455789.41</v>
      </c>
      <c r="N77" s="310">
        <f t="shared" si="33"/>
        <v>1083461.6399999999</v>
      </c>
      <c r="O77" s="204"/>
      <c r="P77" s="310">
        <f>ROUND(P75*P76,2)</f>
        <v>2345943.65</v>
      </c>
      <c r="Q77" s="310">
        <f>ROUND(Q75*Q76,2)</f>
        <v>2860531.58</v>
      </c>
      <c r="R77" s="99"/>
      <c r="T77" s="460"/>
      <c r="U77" s="337"/>
      <c r="V77" s="337"/>
      <c r="W77" s="337"/>
      <c r="X77" s="337"/>
      <c r="Y77" s="337"/>
      <c r="Z77" s="337"/>
      <c r="AA77" s="330"/>
    </row>
    <row r="78" spans="1:28" ht="15.75" x14ac:dyDescent="0.25">
      <c r="A78" s="313"/>
      <c r="B78" s="295" t="s">
        <v>72</v>
      </c>
      <c r="C78" s="366" t="s">
        <v>184</v>
      </c>
      <c r="D78" s="605">
        <v>-2665689.0699999998</v>
      </c>
      <c r="E78" s="108">
        <f>-D77</f>
        <v>-2812331.38</v>
      </c>
      <c r="F78" s="187">
        <f t="shared" ref="F78:N78" si="34">-E77</f>
        <v>-3077000.32</v>
      </c>
      <c r="G78" s="187">
        <f t="shared" si="34"/>
        <v>-2585962.33</v>
      </c>
      <c r="H78" s="187">
        <f t="shared" si="34"/>
        <v>-1966046.07</v>
      </c>
      <c r="I78" s="187">
        <f t="shared" si="34"/>
        <v>-1463535.21</v>
      </c>
      <c r="J78" s="187">
        <f t="shared" si="34"/>
        <v>-1013123.43</v>
      </c>
      <c r="K78" s="187">
        <f t="shared" si="34"/>
        <v>-830984.91</v>
      </c>
      <c r="L78" s="187">
        <f t="shared" si="34"/>
        <v>-452551.86</v>
      </c>
      <c r="M78" s="187">
        <f>-L77</f>
        <v>-348253.33</v>
      </c>
      <c r="N78" s="187">
        <f t="shared" si="34"/>
        <v>-455789.41</v>
      </c>
      <c r="O78" s="208"/>
      <c r="P78" s="187">
        <f>-N77</f>
        <v>-1083461.6399999999</v>
      </c>
      <c r="Q78" s="606">
        <f>-P77</f>
        <v>-2345943.65</v>
      </c>
      <c r="R78" s="99"/>
      <c r="T78" s="460"/>
      <c r="U78" s="337"/>
      <c r="V78" s="337"/>
      <c r="W78" s="337"/>
      <c r="X78" s="337"/>
      <c r="Y78" s="337"/>
      <c r="Z78" s="337"/>
      <c r="AA78" s="330"/>
    </row>
    <row r="79" spans="1:28" ht="15.75" x14ac:dyDescent="0.25">
      <c r="A79" s="313"/>
      <c r="B79" s="295"/>
      <c r="C79" s="311" t="s">
        <v>74</v>
      </c>
      <c r="D79" s="187">
        <v>3556302.63</v>
      </c>
      <c r="E79" s="108">
        <f t="shared" ref="E79:N79" si="35">+E78+E77+E74</f>
        <v>4471913.09</v>
      </c>
      <c r="F79" s="187">
        <f t="shared" si="35"/>
        <v>3534384.5900000003</v>
      </c>
      <c r="G79" s="187">
        <f t="shared" si="35"/>
        <v>2720178.3899999997</v>
      </c>
      <c r="H79" s="187">
        <f t="shared" si="35"/>
        <v>1902710.4199999997</v>
      </c>
      <c r="I79" s="187">
        <f t="shared" si="35"/>
        <v>1317671.17</v>
      </c>
      <c r="J79" s="187">
        <f t="shared" si="35"/>
        <v>1017730.94</v>
      </c>
      <c r="K79" s="187">
        <f t="shared" si="35"/>
        <v>537585.42999999993</v>
      </c>
      <c r="L79" s="187">
        <f t="shared" si="35"/>
        <v>648931.81000000006</v>
      </c>
      <c r="M79" s="187">
        <f t="shared" si="35"/>
        <v>872749.28999999992</v>
      </c>
      <c r="N79" s="187">
        <f t="shared" si="35"/>
        <v>1774740.98</v>
      </c>
      <c r="O79" s="208"/>
      <c r="P79" s="187">
        <f>+P78+P77+P74</f>
        <v>3073486.52</v>
      </c>
      <c r="Q79" s="187">
        <f>+Q78+Q77+Q74</f>
        <v>3826649.29</v>
      </c>
      <c r="R79" s="362"/>
      <c r="T79" s="460"/>
      <c r="U79" s="337"/>
      <c r="V79" s="337"/>
      <c r="W79" s="337"/>
      <c r="X79" s="337"/>
      <c r="Y79" s="337"/>
      <c r="Z79" s="337"/>
      <c r="AA79" s="330"/>
    </row>
    <row r="80" spans="1:28" ht="15.75" x14ac:dyDescent="0.25">
      <c r="A80" s="313"/>
      <c r="B80" s="295"/>
      <c r="C80" s="655" t="s">
        <v>312</v>
      </c>
      <c r="D80" s="571">
        <f>+'[1]Margins 2023'!Q9</f>
        <v>141.21</v>
      </c>
      <c r="E80" s="572">
        <f>+'[1]Margins 2023'!E9</f>
        <v>148.19999999999999</v>
      </c>
      <c r="F80" s="572">
        <f>+'[1]Margins 2023'!F9</f>
        <v>122.07</v>
      </c>
      <c r="G80" s="572">
        <f>+'[1]Margins 2023'!G9</f>
        <v>96.8</v>
      </c>
      <c r="H80" s="572">
        <f>+'[1]Margins 2023'!H9</f>
        <v>61.86</v>
      </c>
      <c r="I80" s="572">
        <f>+'[1]Margins 2023'!I9</f>
        <v>43.03</v>
      </c>
      <c r="J80" s="572">
        <f>+'[1]Margins 2023'!J9</f>
        <v>29.53</v>
      </c>
      <c r="K80" s="572">
        <f>+'[1]Margins 2023'!K9</f>
        <v>30.55</v>
      </c>
      <c r="L80" s="572">
        <f>+'[1]Margins 2023'!L9</f>
        <v>30.61</v>
      </c>
      <c r="M80" s="572">
        <f>+'[1]Margins 2023'!M9</f>
        <v>39.67</v>
      </c>
      <c r="N80" s="572">
        <f>+'[1]Margins 2023'!N9</f>
        <v>72.53</v>
      </c>
      <c r="O80" s="206"/>
      <c r="P80" s="572">
        <f>+'[1]Margins 2023'!P9</f>
        <v>109.96</v>
      </c>
      <c r="Q80" s="572">
        <f>+'[1]Margins 2023'!Q9</f>
        <v>141.21</v>
      </c>
      <c r="R80" s="362"/>
      <c r="T80" s="460"/>
      <c r="U80" s="337"/>
      <c r="V80" s="337"/>
      <c r="W80" s="337"/>
      <c r="X80" s="337"/>
      <c r="Y80" s="337"/>
      <c r="Z80" s="337"/>
      <c r="AA80" s="330"/>
    </row>
    <row r="81" spans="1:27" ht="15.75" x14ac:dyDescent="0.25">
      <c r="A81" s="313"/>
      <c r="B81" s="295"/>
      <c r="C81" s="487" t="s">
        <v>73</v>
      </c>
      <c r="D81" s="571">
        <v>-3905162.55</v>
      </c>
      <c r="E81" s="572">
        <f>ROUND(-E80*'WA CAP 2024'!E73,2)</f>
        <v>-4111660.8</v>
      </c>
      <c r="F81" s="572">
        <f>ROUND(-F80*'WA CAP 2024'!F73,2)</f>
        <v>-3389883.9</v>
      </c>
      <c r="G81" s="572">
        <f>ROUND(-G80*'WA CAP 2024'!G73,2)</f>
        <v>-2688523.2</v>
      </c>
      <c r="H81" s="572">
        <f>ROUND(-H80*'WA CAP 2024'!H73,2)</f>
        <v>-1713027.12</v>
      </c>
      <c r="I81" s="572">
        <f>ROUND(-I80*'WA CAP 2024'!I73,2)</f>
        <v>-1187843.1499999999</v>
      </c>
      <c r="J81" s="572">
        <f>ROUND(-J80*'WA CAP 2024'!J73,2)</f>
        <v>-813256.2</v>
      </c>
      <c r="K81" s="572">
        <f>ROUND(-K80*'WA CAP 2024'!K73,2)</f>
        <v>-839880.6</v>
      </c>
      <c r="L81" s="572">
        <f>ROUND(-L80*'WA CAP 2024'!L73,2)</f>
        <v>-839754.74</v>
      </c>
      <c r="M81" s="572">
        <f>ROUND(-M80*'WA CAP 2024'!M73,2)</f>
        <v>-1088148.1000000001</v>
      </c>
      <c r="N81" s="572">
        <f>ROUND(-N80*'WA CAP 2024'!N73,2)</f>
        <v>-1998999.33</v>
      </c>
      <c r="O81" s="206"/>
      <c r="P81" s="572">
        <f>ROUND(-P80*'WA CAP 2024'!P73,2)</f>
        <v>-3041383.64</v>
      </c>
      <c r="Q81" s="572">
        <f>ROUND(-Q80*'WA CAP 2024'!Q73,2)</f>
        <v>-3920695.65</v>
      </c>
      <c r="R81" s="362"/>
      <c r="T81" s="460"/>
      <c r="U81" s="337"/>
      <c r="V81" s="330"/>
      <c r="W81" s="330"/>
      <c r="X81" s="330"/>
      <c r="Y81" s="330"/>
      <c r="Z81" s="330"/>
      <c r="AA81" s="330"/>
    </row>
    <row r="82" spans="1:27" ht="15.75" x14ac:dyDescent="0.25">
      <c r="A82" s="313"/>
      <c r="B82" s="295"/>
      <c r="C82" s="364" t="s">
        <v>201</v>
      </c>
      <c r="D82" s="187">
        <v>-348859.91999999993</v>
      </c>
      <c r="E82" s="108">
        <f>+E79+E81</f>
        <v>360252.29000000004</v>
      </c>
      <c r="F82" s="108">
        <f t="shared" ref="F82:Q82" si="36">+F79+F81</f>
        <v>144500.69000000041</v>
      </c>
      <c r="G82" s="108">
        <f t="shared" si="36"/>
        <v>31655.189999999478</v>
      </c>
      <c r="H82" s="108">
        <f t="shared" si="36"/>
        <v>189683.29999999958</v>
      </c>
      <c r="I82" s="108">
        <f t="shared" si="36"/>
        <v>129828.02000000002</v>
      </c>
      <c r="J82" s="108">
        <f t="shared" si="36"/>
        <v>204474.74</v>
      </c>
      <c r="K82" s="108">
        <f t="shared" si="36"/>
        <v>-302295.17000000004</v>
      </c>
      <c r="L82" s="108">
        <f>+L79+L81</f>
        <v>-190822.92999999993</v>
      </c>
      <c r="M82" s="108">
        <f t="shared" si="36"/>
        <v>-215398.81000000017</v>
      </c>
      <c r="N82" s="108">
        <f t="shared" si="36"/>
        <v>-224258.35000000009</v>
      </c>
      <c r="O82" s="302">
        <f>-ROUND('[1]2023'!Q79,2)</f>
        <v>-920278.47</v>
      </c>
      <c r="P82" s="108">
        <f t="shared" si="36"/>
        <v>32102.879999999888</v>
      </c>
      <c r="Q82" s="108">
        <f t="shared" si="36"/>
        <v>-94046.35999999987</v>
      </c>
      <c r="R82" s="99">
        <f>SUM(E82:Q82)-O82</f>
        <v>65675.489999999292</v>
      </c>
      <c r="T82" s="460"/>
      <c r="U82" s="337"/>
      <c r="V82" s="330"/>
      <c r="W82" s="330"/>
      <c r="X82" s="330"/>
      <c r="Y82" s="330"/>
      <c r="Z82" s="330"/>
      <c r="AA82" s="330"/>
    </row>
    <row r="83" spans="1:27" ht="15.75" x14ac:dyDescent="0.25">
      <c r="A83" s="313"/>
      <c r="B83" s="295"/>
      <c r="C83" s="574" t="s">
        <v>137</v>
      </c>
      <c r="D83" s="187">
        <v>8937.07</v>
      </c>
      <c r="E83" s="108">
        <f>ROUND(ROUND(D85*E$7,2)/365*E$8,2)</f>
        <v>6643.65</v>
      </c>
      <c r="F83" s="187">
        <f>ROUND(ROUND(E85*F$7,2)/365*F$8,2)</f>
        <v>8692.84</v>
      </c>
      <c r="G83" s="187">
        <f>ROUND(ROUND(F85*G$7,2)/365*G$8,2)</f>
        <v>10398.27</v>
      </c>
      <c r="H83" s="187">
        <f t="shared" ref="H83:Q83" si="37">ROUND(ROUND(G85*H$7,2)/365*H$8,2)</f>
        <v>10356.64</v>
      </c>
      <c r="I83" s="187">
        <f t="shared" si="37"/>
        <v>12145.99</v>
      </c>
      <c r="J83" s="187">
        <f t="shared" si="37"/>
        <v>12746.05</v>
      </c>
      <c r="K83" s="187">
        <f t="shared" si="37"/>
        <v>14739.08</v>
      </c>
      <c r="L83" s="187">
        <f t="shared" si="37"/>
        <v>12663.16</v>
      </c>
      <c r="M83" s="187">
        <f t="shared" si="37"/>
        <v>11009.99</v>
      </c>
      <c r="N83" s="187">
        <f t="shared" si="37"/>
        <v>9901.4699999999993</v>
      </c>
      <c r="O83" s="208">
        <f>'[1]Ammort Split 2024'!N81</f>
        <v>-67494.16</v>
      </c>
      <c r="P83" s="187">
        <f>ROUND(ROUND(O85*P$7,2)/365*P$8,2)</f>
        <v>1183.6300000000001</v>
      </c>
      <c r="Q83" s="187">
        <f t="shared" si="37"/>
        <v>1463.39</v>
      </c>
      <c r="R83" s="100">
        <f>SUM(E83:Q83)</f>
        <v>44450.000000000007</v>
      </c>
      <c r="T83" s="652"/>
      <c r="U83" s="330"/>
      <c r="V83" s="330"/>
      <c r="W83" s="330"/>
      <c r="X83" s="330"/>
      <c r="Y83" s="330"/>
      <c r="Z83" s="330"/>
      <c r="AA83" s="330"/>
    </row>
    <row r="84" spans="1:27" ht="15.75" x14ac:dyDescent="0.25">
      <c r="A84" s="313"/>
      <c r="B84" s="295"/>
      <c r="C84" s="364" t="s">
        <v>138</v>
      </c>
      <c r="D84" s="189">
        <v>-339922.84999999992</v>
      </c>
      <c r="E84" s="88">
        <f t="shared" ref="E84:Q84" si="38">SUM(E82:E83)</f>
        <v>366895.94000000006</v>
      </c>
      <c r="F84" s="189">
        <f t="shared" si="38"/>
        <v>153193.53000000041</v>
      </c>
      <c r="G84" s="189">
        <f t="shared" si="38"/>
        <v>42053.459999999483</v>
      </c>
      <c r="H84" s="189">
        <f t="shared" si="38"/>
        <v>200039.93999999959</v>
      </c>
      <c r="I84" s="189">
        <f t="shared" si="38"/>
        <v>141974.01</v>
      </c>
      <c r="J84" s="189">
        <f t="shared" si="38"/>
        <v>217220.78999999998</v>
      </c>
      <c r="K84" s="189">
        <f t="shared" si="38"/>
        <v>-287556.09000000003</v>
      </c>
      <c r="L84" s="189">
        <f t="shared" si="38"/>
        <v>-178159.76999999993</v>
      </c>
      <c r="M84" s="189">
        <f t="shared" si="38"/>
        <v>-204388.82000000018</v>
      </c>
      <c r="N84" s="189">
        <f t="shared" si="38"/>
        <v>-214356.88000000009</v>
      </c>
      <c r="O84" s="209">
        <f>SUM(O82:O83)</f>
        <v>-987772.63</v>
      </c>
      <c r="P84" s="189">
        <f t="shared" si="38"/>
        <v>33286.509999999886</v>
      </c>
      <c r="Q84" s="189">
        <f t="shared" si="38"/>
        <v>-92582.96999999987</v>
      </c>
      <c r="R84" s="453">
        <f>SUM(R82:R83)</f>
        <v>110125.48999999929</v>
      </c>
      <c r="T84" s="652"/>
      <c r="U84" s="330"/>
      <c r="V84" s="330"/>
      <c r="W84" s="330"/>
      <c r="X84" s="330"/>
      <c r="Y84" s="330"/>
      <c r="Z84" s="330"/>
      <c r="AA84" s="330"/>
    </row>
    <row r="85" spans="1:27" s="584" customFormat="1" ht="21" customHeight="1" thickBot="1" x14ac:dyDescent="0.3">
      <c r="A85" s="575"/>
      <c r="B85" s="607"/>
      <c r="C85" s="577" t="s">
        <v>139</v>
      </c>
      <c r="D85" s="580">
        <v>920278.46999999858</v>
      </c>
      <c r="E85" s="579">
        <f t="shared" ref="E85:Q85" si="39">D85+E84</f>
        <v>1287174.4099999988</v>
      </c>
      <c r="F85" s="580">
        <f t="shared" si="39"/>
        <v>1440367.9399999992</v>
      </c>
      <c r="G85" s="580">
        <f t="shared" si="39"/>
        <v>1482421.3999999987</v>
      </c>
      <c r="H85" s="580">
        <f t="shared" si="39"/>
        <v>1682461.3399999985</v>
      </c>
      <c r="I85" s="580">
        <f t="shared" si="39"/>
        <v>1824435.3499999985</v>
      </c>
      <c r="J85" s="580">
        <f t="shared" si="39"/>
        <v>2041656.1399999985</v>
      </c>
      <c r="K85" s="580">
        <f t="shared" si="39"/>
        <v>1754100.0499999984</v>
      </c>
      <c r="L85" s="580">
        <f t="shared" si="39"/>
        <v>1575940.2799999984</v>
      </c>
      <c r="M85" s="580">
        <f t="shared" si="39"/>
        <v>1371551.4599999981</v>
      </c>
      <c r="N85" s="580">
        <f t="shared" si="39"/>
        <v>1157194.579999998</v>
      </c>
      <c r="O85" s="581">
        <f t="shared" si="39"/>
        <v>169421.94999999797</v>
      </c>
      <c r="P85" s="580">
        <f t="shared" si="39"/>
        <v>202708.45999999787</v>
      </c>
      <c r="Q85" s="582">
        <f t="shared" si="39"/>
        <v>110125.489999998</v>
      </c>
      <c r="R85" s="583"/>
      <c r="T85" s="656"/>
      <c r="U85" s="585"/>
      <c r="V85" s="592"/>
      <c r="W85" s="585"/>
      <c r="X85" s="585"/>
      <c r="Y85" s="585"/>
      <c r="Z85" s="585"/>
      <c r="AA85" s="585"/>
    </row>
    <row r="86" spans="1:27" ht="15.75" x14ac:dyDescent="0.25">
      <c r="A86" s="313"/>
      <c r="B86" s="295" t="s">
        <v>64</v>
      </c>
      <c r="C86" s="362" t="s">
        <v>276</v>
      </c>
      <c r="D86" s="250">
        <v>69</v>
      </c>
      <c r="E86" s="250">
        <v>69</v>
      </c>
      <c r="F86" s="250">
        <v>69</v>
      </c>
      <c r="G86" s="250">
        <v>69</v>
      </c>
      <c r="H86" s="250">
        <v>69</v>
      </c>
      <c r="I86" s="250">
        <v>69</v>
      </c>
      <c r="J86" s="250">
        <v>69</v>
      </c>
      <c r="K86" s="250">
        <v>70</v>
      </c>
      <c r="L86" s="250">
        <v>70</v>
      </c>
      <c r="M86" s="250">
        <v>70</v>
      </c>
      <c r="N86" s="250">
        <v>70</v>
      </c>
      <c r="O86" s="274"/>
      <c r="P86" s="250">
        <v>70</v>
      </c>
      <c r="Q86" s="250">
        <v>70</v>
      </c>
      <c r="R86" s="452"/>
      <c r="T86" s="663">
        <v>4810</v>
      </c>
      <c r="U86" s="664">
        <v>511</v>
      </c>
      <c r="V86" s="665">
        <f>+U91</f>
        <v>1269049</v>
      </c>
      <c r="W86" s="113"/>
      <c r="X86" s="491" t="s">
        <v>90</v>
      </c>
      <c r="Z86" s="491" t="s">
        <v>214</v>
      </c>
    </row>
    <row r="87" spans="1:27" ht="15.75" x14ac:dyDescent="0.25">
      <c r="A87" s="313"/>
      <c r="B87" s="295" t="s">
        <v>71</v>
      </c>
      <c r="C87" s="314" t="s">
        <v>302</v>
      </c>
      <c r="D87" s="251">
        <v>142356.48000000001</v>
      </c>
      <c r="E87" s="251">
        <v>5949.32</v>
      </c>
      <c r="F87" s="251">
        <v>4575.8599999999997</v>
      </c>
      <c r="G87" s="251">
        <v>3167.03</v>
      </c>
      <c r="H87" s="251">
        <v>1298.83</v>
      </c>
      <c r="I87" s="251">
        <v>834.18</v>
      </c>
      <c r="J87" s="251">
        <v>61122.7</v>
      </c>
      <c r="K87" s="251">
        <v>44197.89</v>
      </c>
      <c r="L87" s="251">
        <v>42733.93</v>
      </c>
      <c r="M87" s="251">
        <v>43916.51</v>
      </c>
      <c r="N87" s="251">
        <v>58441.46</v>
      </c>
      <c r="O87" s="207"/>
      <c r="P87" s="251">
        <v>1438.25</v>
      </c>
      <c r="Q87" s="251">
        <v>5990.37</v>
      </c>
      <c r="R87" s="99"/>
      <c r="T87" s="437" t="s">
        <v>232</v>
      </c>
      <c r="U87" s="335">
        <v>5990.37</v>
      </c>
      <c r="V87" s="336">
        <f>U87/V76</f>
        <v>0.17769251305173231</v>
      </c>
      <c r="W87" s="336">
        <f>U87/V76</f>
        <v>0.17769251305173231</v>
      </c>
      <c r="X87" s="338">
        <f>+X57</f>
        <v>0.17768999999999999</v>
      </c>
      <c r="Y87" s="330"/>
      <c r="Z87" s="492">
        <f>X87-W87</f>
        <v>-2.5130517323224133E-6</v>
      </c>
      <c r="AA87" s="330"/>
    </row>
    <row r="88" spans="1:27" ht="15.75" x14ac:dyDescent="0.25">
      <c r="A88" s="313"/>
      <c r="B88" s="295" t="s">
        <v>71</v>
      </c>
      <c r="C88" s="314" t="s">
        <v>304</v>
      </c>
      <c r="D88" s="251">
        <v>37564.730000000003</v>
      </c>
      <c r="E88" s="251">
        <v>161396.78</v>
      </c>
      <c r="F88" s="251">
        <v>152128.09</v>
      </c>
      <c r="G88" s="251">
        <v>133548.69</v>
      </c>
      <c r="H88" s="251">
        <v>108530.82</v>
      </c>
      <c r="I88" s="251">
        <v>85395.19</v>
      </c>
      <c r="J88" s="251">
        <v>16731.3</v>
      </c>
      <c r="K88" s="251">
        <v>16534.259999999998</v>
      </c>
      <c r="L88" s="251">
        <v>15315.88</v>
      </c>
      <c r="M88" s="251">
        <v>16651.07</v>
      </c>
      <c r="N88" s="251">
        <v>27581.43</v>
      </c>
      <c r="O88" s="207"/>
      <c r="P88" s="251">
        <v>88198.01</v>
      </c>
      <c r="Q88" s="251">
        <v>127003.33</v>
      </c>
      <c r="R88" s="99"/>
      <c r="T88" s="437" t="s">
        <v>230</v>
      </c>
      <c r="U88" s="335">
        <v>127003.33</v>
      </c>
      <c r="V88" s="336">
        <f>U88/V91</f>
        <v>0.13818994417055022</v>
      </c>
      <c r="W88" s="336">
        <f>U88/V91</f>
        <v>0.13818994417055022</v>
      </c>
      <c r="X88" s="330">
        <f>+X58</f>
        <v>0.13819000000000001</v>
      </c>
      <c r="Y88" s="330"/>
      <c r="Z88" s="492">
        <f>X88-W88</f>
        <v>5.5829449785438356E-8</v>
      </c>
      <c r="AA88" s="330"/>
    </row>
    <row r="89" spans="1:27" ht="15.75" x14ac:dyDescent="0.25">
      <c r="A89" s="313"/>
      <c r="B89" s="295" t="s">
        <v>71</v>
      </c>
      <c r="C89" s="314" t="s">
        <v>306</v>
      </c>
      <c r="D89" s="608">
        <v>2828.47</v>
      </c>
      <c r="E89" s="251">
        <v>49010.98</v>
      </c>
      <c r="F89" s="251">
        <v>49829.2</v>
      </c>
      <c r="G89" s="251">
        <v>35965.440000000002</v>
      </c>
      <c r="H89" s="251">
        <v>30266.16</v>
      </c>
      <c r="I89" s="251">
        <v>22104.799999999999</v>
      </c>
      <c r="J89" s="251"/>
      <c r="K89" s="251"/>
      <c r="L89" s="251"/>
      <c r="M89" s="251"/>
      <c r="N89" s="251"/>
      <c r="O89" s="207"/>
      <c r="P89" s="251">
        <v>32436.36</v>
      </c>
      <c r="Q89" s="609">
        <v>52748.08</v>
      </c>
      <c r="R89" s="99"/>
      <c r="T89" s="437" t="s">
        <v>231</v>
      </c>
      <c r="U89" s="335">
        <v>52748.08</v>
      </c>
      <c r="V89" s="336">
        <f>U89/V92</f>
        <v>4.0490012228044978E-2</v>
      </c>
      <c r="W89" s="336">
        <f>U89/V92</f>
        <v>4.0490012228044978E-2</v>
      </c>
      <c r="X89" s="330">
        <f>+X59</f>
        <v>4.0489999999999998E-2</v>
      </c>
      <c r="Y89" s="330"/>
      <c r="Z89" s="492">
        <f>X89-W89</f>
        <v>-1.2228044979356589E-8</v>
      </c>
      <c r="AA89" s="330"/>
    </row>
    <row r="90" spans="1:27" ht="15.75" x14ac:dyDescent="0.25">
      <c r="A90" s="313"/>
      <c r="B90" s="295"/>
      <c r="C90" s="366" t="s">
        <v>222</v>
      </c>
      <c r="D90" s="569">
        <v>961366</v>
      </c>
      <c r="E90" s="569">
        <v>1051564</v>
      </c>
      <c r="F90" s="569">
        <v>871154</v>
      </c>
      <c r="G90" s="569">
        <v>654337</v>
      </c>
      <c r="H90" s="569">
        <v>534823</v>
      </c>
      <c r="I90" s="569">
        <v>386341</v>
      </c>
      <c r="J90" s="569">
        <v>328454</v>
      </c>
      <c r="K90" s="569">
        <v>185598</v>
      </c>
      <c r="L90" s="569">
        <v>165650</v>
      </c>
      <c r="M90" s="569">
        <v>223316</v>
      </c>
      <c r="N90" s="569">
        <v>509058</v>
      </c>
      <c r="O90" s="204"/>
      <c r="P90" s="465">
        <v>1012072</v>
      </c>
      <c r="Q90" s="465">
        <v>1096038</v>
      </c>
      <c r="R90" s="99"/>
      <c r="T90" s="437" t="s">
        <v>239</v>
      </c>
      <c r="U90" s="335">
        <v>822505.93</v>
      </c>
      <c r="V90" s="336">
        <f>U90/V86</f>
        <v>0.64812779490784045</v>
      </c>
      <c r="W90" s="336">
        <f>U90/V86</f>
        <v>0.64812779490784045</v>
      </c>
      <c r="X90" s="338">
        <f>+X37</f>
        <v>0.64839000000000002</v>
      </c>
      <c r="Y90" s="330"/>
      <c r="Z90" s="492">
        <f>X90-W90</f>
        <v>2.6220509215957311E-4</v>
      </c>
      <c r="AA90" s="330"/>
    </row>
    <row r="91" spans="1:27" ht="15.75" x14ac:dyDescent="0.25">
      <c r="A91" s="313"/>
      <c r="B91" s="295"/>
      <c r="C91" s="366" t="s">
        <v>277</v>
      </c>
      <c r="D91" s="570">
        <v>0.13550999999999999</v>
      </c>
      <c r="E91" s="570">
        <v>0.13550999999999999</v>
      </c>
      <c r="F91" s="570">
        <v>0.13550999999999999</v>
      </c>
      <c r="G91" s="570">
        <v>0.13550999999999999</v>
      </c>
      <c r="H91" s="570">
        <v>0.13550999999999999</v>
      </c>
      <c r="I91" s="570">
        <v>0.13550999999999999</v>
      </c>
      <c r="J91" s="570">
        <v>0.13550999999999999</v>
      </c>
      <c r="K91" s="570">
        <v>0.13550999999999999</v>
      </c>
      <c r="L91" s="570">
        <v>0.13550999999999999</v>
      </c>
      <c r="M91" s="570">
        <v>0.13550999999999999</v>
      </c>
      <c r="N91" s="570">
        <v>0.13550999999999999</v>
      </c>
      <c r="O91" s="204"/>
      <c r="P91" s="570">
        <v>0.13550999999999999</v>
      </c>
      <c r="Q91" s="570">
        <v>0.13550999999999999</v>
      </c>
      <c r="R91" s="99"/>
      <c r="T91" s="437" t="s">
        <v>92</v>
      </c>
      <c r="U91" s="332">
        <v>1269049</v>
      </c>
      <c r="V91" s="337">
        <f>ROUND(U88/X88,0)</f>
        <v>919049</v>
      </c>
      <c r="W91" s="336"/>
      <c r="X91" s="330"/>
      <c r="Y91" s="330"/>
      <c r="Z91" s="336"/>
      <c r="AA91" s="330"/>
    </row>
    <row r="92" spans="1:27" ht="15.75" x14ac:dyDescent="0.25">
      <c r="A92" s="313"/>
      <c r="B92" s="376" t="s">
        <v>72</v>
      </c>
      <c r="C92" s="366" t="s">
        <v>224</v>
      </c>
      <c r="D92" s="604">
        <v>130274.71</v>
      </c>
      <c r="E92" s="310">
        <f t="shared" ref="E92:N92" si="40">ROUND(E90*E91,2)</f>
        <v>142497.44</v>
      </c>
      <c r="F92" s="310">
        <f t="shared" si="40"/>
        <v>118050.08</v>
      </c>
      <c r="G92" s="310">
        <f t="shared" si="40"/>
        <v>88669.21</v>
      </c>
      <c r="H92" s="310">
        <f t="shared" si="40"/>
        <v>72473.86</v>
      </c>
      <c r="I92" s="310">
        <f t="shared" si="40"/>
        <v>52353.07</v>
      </c>
      <c r="J92" s="310">
        <f t="shared" si="40"/>
        <v>44508.800000000003</v>
      </c>
      <c r="K92" s="310">
        <f t="shared" si="40"/>
        <v>25150.38</v>
      </c>
      <c r="L92" s="310">
        <f t="shared" si="40"/>
        <v>22447.23</v>
      </c>
      <c r="M92" s="310">
        <f t="shared" si="40"/>
        <v>30261.55</v>
      </c>
      <c r="N92" s="310">
        <f t="shared" si="40"/>
        <v>68982.45</v>
      </c>
      <c r="O92" s="204"/>
      <c r="P92" s="310">
        <f>ROUND(P90*P91,2)</f>
        <v>137145.88</v>
      </c>
      <c r="Q92" s="310">
        <f>ROUND(Q90*Q91,2)</f>
        <v>148524.10999999999</v>
      </c>
      <c r="R92" s="99"/>
      <c r="T92" s="652"/>
      <c r="U92" s="330"/>
      <c r="V92" s="337">
        <f>ROUND(U89/X89,0)</f>
        <v>1302743</v>
      </c>
      <c r="W92" s="330"/>
      <c r="X92" s="330"/>
      <c r="Y92" s="330"/>
      <c r="Z92" s="330"/>
      <c r="AA92" s="330"/>
    </row>
    <row r="93" spans="1:27" ht="15.75" x14ac:dyDescent="0.25">
      <c r="A93" s="313"/>
      <c r="B93" s="295" t="s">
        <v>72</v>
      </c>
      <c r="C93" s="366" t="s">
        <v>184</v>
      </c>
      <c r="D93" s="189">
        <v>-139925.59</v>
      </c>
      <c r="E93" s="88">
        <f t="shared" ref="E93:G93" si="41">-D92</f>
        <v>-130274.71</v>
      </c>
      <c r="F93" s="189">
        <f t="shared" si="41"/>
        <v>-142497.44</v>
      </c>
      <c r="G93" s="189">
        <f t="shared" si="41"/>
        <v>-118050.08</v>
      </c>
      <c r="H93" s="189">
        <f>-G92</f>
        <v>-88669.21</v>
      </c>
      <c r="I93" s="189">
        <f>-H92</f>
        <v>-72473.86</v>
      </c>
      <c r="J93" s="189">
        <f>-I92</f>
        <v>-52353.07</v>
      </c>
      <c r="K93" s="189">
        <f>-J92</f>
        <v>-44508.800000000003</v>
      </c>
      <c r="L93" s="189">
        <f t="shared" ref="L93:N93" si="42">-K92</f>
        <v>-25150.38</v>
      </c>
      <c r="M93" s="189">
        <f t="shared" si="42"/>
        <v>-22447.23</v>
      </c>
      <c r="N93" s="189">
        <f t="shared" si="42"/>
        <v>-30261.55</v>
      </c>
      <c r="O93" s="209"/>
      <c r="P93" s="189">
        <f>-N92</f>
        <v>-68982.45</v>
      </c>
      <c r="Q93" s="189">
        <f>-P92</f>
        <v>-137145.88</v>
      </c>
      <c r="R93" s="99"/>
      <c r="T93" s="652"/>
      <c r="U93" s="330"/>
      <c r="V93" s="330"/>
      <c r="W93" s="330"/>
      <c r="X93" s="330"/>
      <c r="Y93" s="330"/>
      <c r="Z93" s="330"/>
      <c r="AA93" s="330"/>
    </row>
    <row r="94" spans="1:27" ht="15.75" x14ac:dyDescent="0.25">
      <c r="A94" s="313"/>
      <c r="B94" s="295"/>
      <c r="C94" s="311" t="s">
        <v>74</v>
      </c>
      <c r="D94" s="187">
        <v>173098.80000000002</v>
      </c>
      <c r="E94" s="108">
        <f t="shared" ref="E94:N94" si="43">+E87+E88+E89+E92+E93</f>
        <v>228579.81</v>
      </c>
      <c r="F94" s="187">
        <f t="shared" si="43"/>
        <v>182085.78999999998</v>
      </c>
      <c r="G94" s="187">
        <f t="shared" si="43"/>
        <v>143300.28999999998</v>
      </c>
      <c r="H94" s="187">
        <f t="shared" si="43"/>
        <v>123900.45999999998</v>
      </c>
      <c r="I94" s="187">
        <f t="shared" si="43"/>
        <v>88213.37999999999</v>
      </c>
      <c r="J94" s="187">
        <f t="shared" si="43"/>
        <v>70009.73000000001</v>
      </c>
      <c r="K94" s="187">
        <f t="shared" si="43"/>
        <v>41373.729999999996</v>
      </c>
      <c r="L94" s="187">
        <f t="shared" si="43"/>
        <v>55346.659999999989</v>
      </c>
      <c r="M94" s="187">
        <f t="shared" si="43"/>
        <v>68381.900000000009</v>
      </c>
      <c r="N94" s="187">
        <f t="shared" si="43"/>
        <v>124743.79</v>
      </c>
      <c r="O94" s="208"/>
      <c r="P94" s="187">
        <f>+P87+P88+P89+P92+P93</f>
        <v>190236.05</v>
      </c>
      <c r="Q94" s="187">
        <f>+Q87+Q88+Q89+Q92+Q93</f>
        <v>197120.01</v>
      </c>
      <c r="R94" s="362"/>
      <c r="T94" s="652"/>
      <c r="U94" s="330"/>
      <c r="V94" s="330"/>
      <c r="W94" s="330"/>
      <c r="X94" s="330"/>
      <c r="Y94" s="330"/>
      <c r="Z94" s="330"/>
      <c r="AA94" s="330"/>
    </row>
    <row r="95" spans="1:27" ht="15.75" x14ac:dyDescent="0.25">
      <c r="A95" s="313"/>
      <c r="B95" s="295"/>
      <c r="C95" s="655" t="s">
        <v>309</v>
      </c>
      <c r="D95" s="571">
        <f>+'[1]Margins 2023'!Q13</f>
        <v>2867.06</v>
      </c>
      <c r="E95" s="572">
        <f>+'[1]Margins 2023'!E13</f>
        <v>3761.29</v>
      </c>
      <c r="F95" s="572">
        <f>+'[1]Margins 2023'!F13</f>
        <v>3442.57</v>
      </c>
      <c r="G95" s="572">
        <f>+'[1]Margins 2023'!G13</f>
        <v>3346.34</v>
      </c>
      <c r="H95" s="572">
        <f>+'[1]Margins 2023'!H13</f>
        <v>3193.43</v>
      </c>
      <c r="I95" s="572">
        <f>+'[1]Margins 2023'!I13</f>
        <v>1909.68</v>
      </c>
      <c r="J95" s="572">
        <f>+'[1]Margins 2023'!J13</f>
        <v>1855.34</v>
      </c>
      <c r="K95" s="572">
        <f>+'[1]Margins 2023'!K13</f>
        <v>1599.54</v>
      </c>
      <c r="L95" s="572">
        <f>+'[1]Margins 2023'!L13</f>
        <v>1297.22</v>
      </c>
      <c r="M95" s="572">
        <f>+'[1]Margins 2023'!M13</f>
        <v>1295.93</v>
      </c>
      <c r="N95" s="572">
        <f>+'[1]Margins 2023'!N13</f>
        <v>1549.68</v>
      </c>
      <c r="O95" s="206"/>
      <c r="P95" s="572">
        <f>+'[1]Margins 2023'!P13</f>
        <v>1802.95</v>
      </c>
      <c r="Q95" s="572">
        <f>+'[1]Margins 2023'!Q13</f>
        <v>2867.06</v>
      </c>
      <c r="R95" s="362"/>
      <c r="T95" s="652"/>
      <c r="U95" s="330"/>
      <c r="V95" s="330"/>
      <c r="W95" s="330"/>
      <c r="X95" s="330"/>
      <c r="Y95" s="330"/>
      <c r="Z95" s="330"/>
      <c r="AA95" s="330"/>
    </row>
    <row r="96" spans="1:27" ht="15.75" x14ac:dyDescent="0.25">
      <c r="A96" s="313"/>
      <c r="B96" s="295"/>
      <c r="C96" s="487" t="s">
        <v>73</v>
      </c>
      <c r="D96" s="571">
        <v>-197827.14</v>
      </c>
      <c r="E96" s="572">
        <f>ROUND(-E95*'WA CAP 2024'!E86,2)</f>
        <v>-259529.01</v>
      </c>
      <c r="F96" s="572">
        <f>ROUND(-F95*'WA CAP 2024'!F86,2)</f>
        <v>-237537.33</v>
      </c>
      <c r="G96" s="572">
        <f>ROUND(-G95*'WA CAP 2024'!G86,2)</f>
        <v>-230897.46</v>
      </c>
      <c r="H96" s="572">
        <f>ROUND(-H95*'WA CAP 2024'!H86,2)</f>
        <v>-220346.67</v>
      </c>
      <c r="I96" s="572">
        <f>ROUND(-I95*'WA CAP 2024'!I86,2)</f>
        <v>-131767.92000000001</v>
      </c>
      <c r="J96" s="572">
        <f>ROUND(-J95*'WA CAP 2024'!J86,2)</f>
        <v>-128018.46</v>
      </c>
      <c r="K96" s="572">
        <f>ROUND(-K95*'WA CAP 2024'!K86,2)</f>
        <v>-111967.8</v>
      </c>
      <c r="L96" s="572">
        <f>ROUND(-L95*'WA CAP 2024'!L86,2)</f>
        <v>-90805.4</v>
      </c>
      <c r="M96" s="572">
        <f>ROUND(-M95*'WA CAP 2024'!M86,2)</f>
        <v>-90715.1</v>
      </c>
      <c r="N96" s="572">
        <f>ROUND(-N95*'WA CAP 2024'!N86,2)</f>
        <v>-108477.6</v>
      </c>
      <c r="O96" s="206"/>
      <c r="P96" s="572">
        <f>ROUND(-P95*'WA CAP 2024'!P86,2)</f>
        <v>-126206.5</v>
      </c>
      <c r="Q96" s="572">
        <f>ROUND(-Q95*'WA CAP 2024'!Q86,2)</f>
        <v>-200694.2</v>
      </c>
      <c r="R96" s="362"/>
      <c r="T96" s="652"/>
      <c r="U96" s="330"/>
      <c r="V96" s="330"/>
      <c r="W96" s="330"/>
      <c r="X96" s="330"/>
      <c r="Y96" s="330"/>
      <c r="Z96" s="330"/>
      <c r="AA96" s="330"/>
    </row>
    <row r="97" spans="1:27" ht="15.75" x14ac:dyDescent="0.25">
      <c r="A97" s="313"/>
      <c r="B97" s="295"/>
      <c r="C97" s="364" t="s">
        <v>201</v>
      </c>
      <c r="D97" s="187">
        <v>-24728.339999999997</v>
      </c>
      <c r="E97" s="108">
        <f>+E94+E96</f>
        <v>-30949.200000000012</v>
      </c>
      <c r="F97" s="108">
        <f t="shared" ref="F97:Q97" si="44">+F94+F96</f>
        <v>-55451.540000000008</v>
      </c>
      <c r="G97" s="108">
        <f t="shared" si="44"/>
        <v>-87597.170000000013</v>
      </c>
      <c r="H97" s="108">
        <f t="shared" si="44"/>
        <v>-96446.210000000036</v>
      </c>
      <c r="I97" s="108">
        <f t="shared" si="44"/>
        <v>-43554.540000000023</v>
      </c>
      <c r="J97" s="108">
        <f t="shared" si="44"/>
        <v>-58008.729999999996</v>
      </c>
      <c r="K97" s="108">
        <f t="shared" si="44"/>
        <v>-70594.070000000007</v>
      </c>
      <c r="L97" s="108">
        <f t="shared" si="44"/>
        <v>-35458.740000000005</v>
      </c>
      <c r="M97" s="108">
        <f t="shared" si="44"/>
        <v>-22333.199999999997</v>
      </c>
      <c r="N97" s="108">
        <f t="shared" si="44"/>
        <v>16266.189999999988</v>
      </c>
      <c r="O97" s="302">
        <f>-ROUND('[1]2023'!Q93,2)</f>
        <v>499657.7</v>
      </c>
      <c r="P97" s="108">
        <f t="shared" si="44"/>
        <v>64029.549999999988</v>
      </c>
      <c r="Q97" s="108">
        <f t="shared" si="44"/>
        <v>-3574.1900000000023</v>
      </c>
      <c r="R97" s="99">
        <f>SUM(E97:Q97)-O97</f>
        <v>-423671.85000000009</v>
      </c>
      <c r="T97" s="652"/>
      <c r="U97" s="330"/>
      <c r="V97" s="330"/>
      <c r="W97" s="330"/>
      <c r="X97" s="330"/>
      <c r="Y97" s="330"/>
      <c r="Z97" s="330"/>
      <c r="AA97" s="330"/>
    </row>
    <row r="98" spans="1:27" ht="15.75" x14ac:dyDescent="0.25">
      <c r="A98" s="313"/>
      <c r="B98" s="295"/>
      <c r="C98" s="574" t="s">
        <v>137</v>
      </c>
      <c r="D98" s="187">
        <v>-3344.38</v>
      </c>
      <c r="E98" s="108">
        <f>ROUND(ROUND(D100*E$7,2)/365*E$8,2)</f>
        <v>-3607.12</v>
      </c>
      <c r="F98" s="187">
        <f>ROUND(ROUND(E100*F$7,2)/365*F$8,2)</f>
        <v>-3607.77</v>
      </c>
      <c r="G98" s="187">
        <f t="shared" ref="G98:Q98" si="45">ROUND(ROUND(F100*G$7,2)/365*G$8,2)</f>
        <v>-4282.95</v>
      </c>
      <c r="H98" s="187">
        <f t="shared" si="45"/>
        <v>-4786.6899999999996</v>
      </c>
      <c r="I98" s="187">
        <f t="shared" si="45"/>
        <v>-5677.06</v>
      </c>
      <c r="J98" s="187">
        <f t="shared" si="45"/>
        <v>-5837.88</v>
      </c>
      <c r="K98" s="187">
        <f t="shared" si="45"/>
        <v>-6493.4</v>
      </c>
      <c r="L98" s="187">
        <f t="shared" si="45"/>
        <v>-7049.9</v>
      </c>
      <c r="M98" s="187">
        <f t="shared" si="45"/>
        <v>-7119.47</v>
      </c>
      <c r="N98" s="187">
        <f t="shared" si="45"/>
        <v>-7569.4</v>
      </c>
      <c r="O98" s="208">
        <f>'[1]Ammort Split 2024'!N96</f>
        <v>36645.399999999994</v>
      </c>
      <c r="P98" s="187">
        <f>ROUND(ROUND(O100*P$7,2)/365*P$8,2)</f>
        <v>-3517.7</v>
      </c>
      <c r="Q98" s="187">
        <f t="shared" si="45"/>
        <v>-3198.11</v>
      </c>
      <c r="R98" s="100">
        <f>SUM(E98:Q98)</f>
        <v>-26102.050000000014</v>
      </c>
      <c r="T98" s="652"/>
      <c r="U98" s="330"/>
      <c r="V98" s="330"/>
      <c r="W98" s="330"/>
      <c r="X98" s="330"/>
      <c r="Y98" s="330"/>
      <c r="Z98" s="330"/>
      <c r="AA98" s="330"/>
    </row>
    <row r="99" spans="1:27" ht="15.75" x14ac:dyDescent="0.25">
      <c r="A99" s="313"/>
      <c r="B99" s="295"/>
      <c r="C99" s="364" t="s">
        <v>138</v>
      </c>
      <c r="D99" s="346">
        <v>-28072.719999999998</v>
      </c>
      <c r="E99" s="88">
        <f t="shared" ref="E99:Q99" si="46">SUM(E97:E98)</f>
        <v>-34556.320000000014</v>
      </c>
      <c r="F99" s="189">
        <f t="shared" si="46"/>
        <v>-59059.310000000005</v>
      </c>
      <c r="G99" s="189">
        <f t="shared" si="46"/>
        <v>-91880.12000000001</v>
      </c>
      <c r="H99" s="189">
        <f t="shared" si="46"/>
        <v>-101232.90000000004</v>
      </c>
      <c r="I99" s="189">
        <f t="shared" si="46"/>
        <v>-49231.60000000002</v>
      </c>
      <c r="J99" s="189">
        <f t="shared" si="46"/>
        <v>-63846.609999999993</v>
      </c>
      <c r="K99" s="189">
        <f t="shared" si="46"/>
        <v>-77087.47</v>
      </c>
      <c r="L99" s="189">
        <f t="shared" si="46"/>
        <v>-42508.640000000007</v>
      </c>
      <c r="M99" s="189">
        <f t="shared" si="46"/>
        <v>-29452.67</v>
      </c>
      <c r="N99" s="189">
        <f t="shared" si="46"/>
        <v>8696.7899999999881</v>
      </c>
      <c r="O99" s="209">
        <f>SUM(O97:O98)</f>
        <v>536303.1</v>
      </c>
      <c r="P99" s="189">
        <f t="shared" si="46"/>
        <v>60511.849999999991</v>
      </c>
      <c r="Q99" s="595">
        <f t="shared" si="46"/>
        <v>-6772.3000000000029</v>
      </c>
      <c r="R99" s="453">
        <f>SUM(R97:R98)</f>
        <v>-449773.90000000008</v>
      </c>
      <c r="T99" s="652"/>
      <c r="U99" s="330"/>
      <c r="V99" s="330"/>
      <c r="W99" s="330"/>
      <c r="X99" s="330"/>
      <c r="Y99" s="330"/>
      <c r="Z99" s="330"/>
      <c r="AA99" s="330"/>
    </row>
    <row r="100" spans="1:27" s="584" customFormat="1" ht="21" customHeight="1" x14ac:dyDescent="0.25">
      <c r="A100" s="575"/>
      <c r="B100" s="576"/>
      <c r="C100" s="577" t="s">
        <v>139</v>
      </c>
      <c r="D100" s="587">
        <v>-499657.6999999999</v>
      </c>
      <c r="E100" s="588">
        <f t="shared" ref="E100:Q100" si="47">D100+E99</f>
        <v>-534214.0199999999</v>
      </c>
      <c r="F100" s="587">
        <f t="shared" si="47"/>
        <v>-593273.32999999996</v>
      </c>
      <c r="G100" s="587">
        <f t="shared" si="47"/>
        <v>-685153.45</v>
      </c>
      <c r="H100" s="587">
        <f t="shared" si="47"/>
        <v>-786386.35</v>
      </c>
      <c r="I100" s="587">
        <f t="shared" si="47"/>
        <v>-835617.95</v>
      </c>
      <c r="J100" s="587">
        <f t="shared" si="47"/>
        <v>-899464.55999999994</v>
      </c>
      <c r="K100" s="587">
        <f t="shared" si="47"/>
        <v>-976552.02999999991</v>
      </c>
      <c r="L100" s="587">
        <f t="shared" si="47"/>
        <v>-1019060.6699999999</v>
      </c>
      <c r="M100" s="587">
        <f t="shared" si="47"/>
        <v>-1048513.34</v>
      </c>
      <c r="N100" s="587">
        <f t="shared" si="47"/>
        <v>-1039816.5499999999</v>
      </c>
      <c r="O100" s="589">
        <f t="shared" si="47"/>
        <v>-503513.44999999995</v>
      </c>
      <c r="P100" s="587">
        <f t="shared" si="47"/>
        <v>-443001.59999999998</v>
      </c>
      <c r="Q100" s="611">
        <f t="shared" si="47"/>
        <v>-449773.89999999997</v>
      </c>
      <c r="R100" s="583"/>
      <c r="T100" s="656"/>
      <c r="U100" s="585"/>
      <c r="V100" s="585"/>
      <c r="W100" s="585"/>
      <c r="X100" s="585"/>
      <c r="Y100" s="585"/>
      <c r="Z100" s="585"/>
      <c r="AA100" s="585"/>
    </row>
    <row r="101" spans="1:27" ht="15.75" x14ac:dyDescent="0.25">
      <c r="A101" s="313"/>
      <c r="B101" s="295" t="s">
        <v>64</v>
      </c>
      <c r="C101" s="362" t="s">
        <v>279</v>
      </c>
      <c r="D101" s="250"/>
      <c r="E101" s="105"/>
      <c r="F101" s="250"/>
      <c r="G101" s="250"/>
      <c r="H101" s="250"/>
      <c r="I101" s="250"/>
      <c r="J101" s="250"/>
      <c r="K101" s="250"/>
      <c r="L101" s="250"/>
      <c r="M101" s="250"/>
      <c r="N101" s="250"/>
      <c r="O101" s="274"/>
      <c r="P101" s="250"/>
      <c r="Q101" s="250"/>
      <c r="R101" s="452"/>
      <c r="T101" s="652"/>
      <c r="U101" s="461"/>
      <c r="V101" s="444"/>
      <c r="W101" s="330"/>
      <c r="X101" s="330"/>
      <c r="Y101" s="330"/>
      <c r="Z101" s="330"/>
      <c r="AA101" s="330"/>
    </row>
    <row r="102" spans="1:27" ht="15.75" hidden="1" x14ac:dyDescent="0.25">
      <c r="A102" s="313"/>
      <c r="B102" s="295" t="s">
        <v>71</v>
      </c>
      <c r="C102" s="314" t="s">
        <v>180</v>
      </c>
      <c r="D102" s="116"/>
      <c r="E102" s="116"/>
      <c r="F102" s="251"/>
      <c r="G102" s="251"/>
      <c r="H102" s="251"/>
      <c r="I102" s="251"/>
      <c r="J102" s="251"/>
      <c r="K102" s="251"/>
      <c r="L102" s="251"/>
      <c r="M102" s="251"/>
      <c r="N102" s="251"/>
      <c r="O102" s="480"/>
      <c r="P102" s="251"/>
      <c r="Q102" s="251"/>
      <c r="R102" s="99"/>
      <c r="T102" s="437"/>
      <c r="U102" s="461">
        <v>505</v>
      </c>
      <c r="V102" s="330"/>
      <c r="W102" s="333"/>
      <c r="X102" s="444" t="s">
        <v>90</v>
      </c>
      <c r="Y102" s="330"/>
      <c r="Z102" s="444" t="s">
        <v>214</v>
      </c>
      <c r="AA102" s="330"/>
    </row>
    <row r="103" spans="1:27" ht="15.75" hidden="1" x14ac:dyDescent="0.25">
      <c r="A103" s="313"/>
      <c r="B103" s="295" t="s">
        <v>71</v>
      </c>
      <c r="C103" s="314" t="s">
        <v>181</v>
      </c>
      <c r="D103" s="251"/>
      <c r="E103" s="116"/>
      <c r="F103" s="251"/>
      <c r="G103" s="251"/>
      <c r="H103" s="251"/>
      <c r="I103" s="251"/>
      <c r="J103" s="251"/>
      <c r="K103" s="251"/>
      <c r="L103" s="251"/>
      <c r="M103" s="251"/>
      <c r="N103" s="251"/>
      <c r="O103" s="480"/>
      <c r="P103" s="251"/>
      <c r="Q103" s="251"/>
      <c r="R103" s="99"/>
      <c r="T103" s="437" t="s">
        <v>90</v>
      </c>
      <c r="U103" s="460">
        <v>0</v>
      </c>
      <c r="V103" s="336" t="e">
        <f>U103/V108</f>
        <v>#DIV/0!</v>
      </c>
      <c r="W103" s="336" t="e">
        <f>U103/V108</f>
        <v>#DIV/0!</v>
      </c>
      <c r="X103" s="330">
        <f>+X23</f>
        <v>0.22363</v>
      </c>
      <c r="Y103" s="330"/>
      <c r="Z103" s="336" t="e">
        <f>X103-W103</f>
        <v>#DIV/0!</v>
      </c>
      <c r="AA103" s="330"/>
    </row>
    <row r="104" spans="1:27" ht="15.75" hidden="1" x14ac:dyDescent="0.25">
      <c r="A104" s="313"/>
      <c r="B104" s="295" t="s">
        <v>72</v>
      </c>
      <c r="C104" s="318" t="s">
        <v>280</v>
      </c>
      <c r="D104" s="277"/>
      <c r="E104" s="277"/>
      <c r="F104" s="276"/>
      <c r="G104" s="276"/>
      <c r="H104" s="276"/>
      <c r="I104" s="276"/>
      <c r="J104" s="276"/>
      <c r="K104" s="276"/>
      <c r="L104" s="276"/>
      <c r="M104" s="276"/>
      <c r="N104" s="276"/>
      <c r="O104" s="207"/>
      <c r="P104" s="276"/>
      <c r="Q104" s="276"/>
      <c r="R104" s="99"/>
      <c r="T104" s="437" t="s">
        <v>90</v>
      </c>
      <c r="U104" s="460">
        <v>0</v>
      </c>
      <c r="V104" s="336" t="e">
        <f>U104/#REF!</f>
        <v>#REF!</v>
      </c>
      <c r="W104" s="336" t="e">
        <f>U104/#REF!</f>
        <v>#REF!</v>
      </c>
      <c r="X104" s="330">
        <f>+X24</f>
        <v>0.18354999999999999</v>
      </c>
      <c r="Y104" s="330"/>
      <c r="Z104" s="336" t="e">
        <f>X104-W104</f>
        <v>#REF!</v>
      </c>
      <c r="AA104" s="330"/>
    </row>
    <row r="105" spans="1:27" ht="15.75" hidden="1" x14ac:dyDescent="0.25">
      <c r="A105" s="313"/>
      <c r="B105" s="376" t="s">
        <v>72</v>
      </c>
      <c r="C105" s="318" t="s">
        <v>281</v>
      </c>
      <c r="D105" s="350"/>
      <c r="E105" s="488"/>
      <c r="F105" s="351"/>
      <c r="G105" s="276"/>
      <c r="H105" s="351"/>
      <c r="I105" s="351"/>
      <c r="J105" s="351"/>
      <c r="K105" s="351"/>
      <c r="L105" s="351"/>
      <c r="M105" s="351"/>
      <c r="N105" s="351"/>
      <c r="O105" s="207"/>
      <c r="P105" s="351"/>
      <c r="Q105" s="351"/>
      <c r="R105" s="99"/>
      <c r="T105" s="437" t="s">
        <v>90</v>
      </c>
      <c r="U105" s="460">
        <v>0</v>
      </c>
      <c r="V105" s="336" t="e">
        <f>U105/V107</f>
        <v>#DIV/0!</v>
      </c>
      <c r="W105" s="336" t="e">
        <f>U105/V107</f>
        <v>#DIV/0!</v>
      </c>
      <c r="X105" s="330">
        <f>+X25</f>
        <v>0.17749000000000001</v>
      </c>
      <c r="Y105" s="330"/>
      <c r="Z105" s="336" t="e">
        <f>X105-W105</f>
        <v>#DIV/0!</v>
      </c>
      <c r="AA105" s="330"/>
    </row>
    <row r="106" spans="1:27" ht="15.75" hidden="1" x14ac:dyDescent="0.25">
      <c r="A106" s="313"/>
      <c r="B106" s="295" t="s">
        <v>72</v>
      </c>
      <c r="C106" s="612" t="s">
        <v>185</v>
      </c>
      <c r="D106" s="187">
        <v>0</v>
      </c>
      <c r="E106" s="108">
        <f>-D104</f>
        <v>0</v>
      </c>
      <c r="F106" s="187">
        <f>-E104</f>
        <v>0</v>
      </c>
      <c r="G106" s="397">
        <f t="shared" ref="E106:Q107" si="48">-F104</f>
        <v>0</v>
      </c>
      <c r="H106" s="187">
        <f t="shared" si="48"/>
        <v>0</v>
      </c>
      <c r="I106" s="187">
        <f t="shared" si="48"/>
        <v>0</v>
      </c>
      <c r="J106" s="187">
        <f t="shared" si="48"/>
        <v>0</v>
      </c>
      <c r="K106" s="187">
        <f t="shared" si="48"/>
        <v>0</v>
      </c>
      <c r="L106" s="187">
        <f>-K104</f>
        <v>0</v>
      </c>
      <c r="M106" s="187">
        <f>-L104</f>
        <v>0</v>
      </c>
      <c r="N106" s="187">
        <f t="shared" si="48"/>
        <v>0</v>
      </c>
      <c r="O106" s="208"/>
      <c r="P106" s="187">
        <f>-N104</f>
        <v>0</v>
      </c>
      <c r="Q106" s="187">
        <f t="shared" si="48"/>
        <v>0</v>
      </c>
      <c r="R106" s="99"/>
      <c r="T106" s="437" t="s">
        <v>239</v>
      </c>
      <c r="U106" s="460">
        <v>0</v>
      </c>
      <c r="V106" s="336" t="e">
        <f>U106/V108</f>
        <v>#DIV/0!</v>
      </c>
      <c r="W106" s="336" t="e">
        <f>U106/V108</f>
        <v>#DIV/0!</v>
      </c>
      <c r="X106" s="338">
        <f>+X26</f>
        <v>0.64839000000000002</v>
      </c>
      <c r="Y106" s="330"/>
      <c r="Z106" s="336" t="e">
        <f>X106-W106</f>
        <v>#DIV/0!</v>
      </c>
      <c r="AA106" s="330"/>
    </row>
    <row r="107" spans="1:27" ht="15.75" hidden="1" x14ac:dyDescent="0.25">
      <c r="A107" s="313"/>
      <c r="B107" s="295" t="s">
        <v>72</v>
      </c>
      <c r="C107" s="612" t="s">
        <v>186</v>
      </c>
      <c r="D107" s="605">
        <v>0</v>
      </c>
      <c r="E107" s="108">
        <f t="shared" si="48"/>
        <v>0</v>
      </c>
      <c r="F107" s="187">
        <f t="shared" si="48"/>
        <v>0</v>
      </c>
      <c r="G107" s="187">
        <f t="shared" si="48"/>
        <v>0</v>
      </c>
      <c r="H107" s="187">
        <f t="shared" si="48"/>
        <v>0</v>
      </c>
      <c r="I107" s="187">
        <f t="shared" si="48"/>
        <v>0</v>
      </c>
      <c r="J107" s="187">
        <f t="shared" si="48"/>
        <v>0</v>
      </c>
      <c r="K107" s="187">
        <f t="shared" si="48"/>
        <v>0</v>
      </c>
      <c r="L107" s="187">
        <f t="shared" si="48"/>
        <v>0</v>
      </c>
      <c r="M107" s="187">
        <f>-L105</f>
        <v>0</v>
      </c>
      <c r="N107" s="187">
        <f t="shared" si="48"/>
        <v>0</v>
      </c>
      <c r="O107" s="208"/>
      <c r="P107" s="187">
        <f>-N105</f>
        <v>0</v>
      </c>
      <c r="Q107" s="606">
        <f t="shared" si="48"/>
        <v>0</v>
      </c>
      <c r="R107" s="99"/>
      <c r="T107" s="652"/>
      <c r="U107" s="330"/>
      <c r="V107" s="337">
        <f>ROUND(U105/X105,0)</f>
        <v>0</v>
      </c>
      <c r="W107" s="330"/>
      <c r="X107" s="330"/>
      <c r="Y107" s="330"/>
      <c r="Z107" s="330"/>
      <c r="AA107" s="330"/>
    </row>
    <row r="108" spans="1:27" ht="15.75" hidden="1" x14ac:dyDescent="0.25">
      <c r="A108" s="313"/>
      <c r="B108" s="271"/>
      <c r="C108" s="311" t="s">
        <v>74</v>
      </c>
      <c r="D108" s="187">
        <v>0</v>
      </c>
      <c r="E108" s="108">
        <f t="shared" ref="E108:Q108" si="49">SUM(E102:E107)</f>
        <v>0</v>
      </c>
      <c r="F108" s="187">
        <f t="shared" si="49"/>
        <v>0</v>
      </c>
      <c r="G108" s="187">
        <f t="shared" si="49"/>
        <v>0</v>
      </c>
      <c r="H108" s="187">
        <f t="shared" si="49"/>
        <v>0</v>
      </c>
      <c r="I108" s="187">
        <f t="shared" si="49"/>
        <v>0</v>
      </c>
      <c r="J108" s="187">
        <f t="shared" si="49"/>
        <v>0</v>
      </c>
      <c r="K108" s="187">
        <f t="shared" si="49"/>
        <v>0</v>
      </c>
      <c r="L108" s="187">
        <f t="shared" si="49"/>
        <v>0</v>
      </c>
      <c r="M108" s="187">
        <f t="shared" si="49"/>
        <v>0</v>
      </c>
      <c r="N108" s="187">
        <f t="shared" si="49"/>
        <v>0</v>
      </c>
      <c r="O108" s="208"/>
      <c r="P108" s="187">
        <f t="shared" si="49"/>
        <v>0</v>
      </c>
      <c r="Q108" s="187">
        <f t="shared" si="49"/>
        <v>0</v>
      </c>
      <c r="R108" s="362"/>
      <c r="T108" s="652"/>
      <c r="U108" s="330"/>
      <c r="V108" s="535">
        <v>0</v>
      </c>
      <c r="W108" s="330"/>
      <c r="X108" s="330"/>
      <c r="Y108" s="330"/>
      <c r="Z108" s="330"/>
      <c r="AA108" s="330"/>
    </row>
    <row r="109" spans="1:27" ht="15.75" hidden="1" x14ac:dyDescent="0.25">
      <c r="A109" s="313"/>
      <c r="B109" s="271"/>
      <c r="C109" s="487" t="s">
        <v>73</v>
      </c>
      <c r="D109" s="571">
        <v>0</v>
      </c>
      <c r="E109" s="572">
        <f>ROUND(-'[1]Margins 2022'!D11*'WA CAP 2024'!E101,2)</f>
        <v>0</v>
      </c>
      <c r="F109" s="572">
        <f>ROUND(-'[1]Margins 2022'!E11*'WA CAP 2024'!F101,2)</f>
        <v>0</v>
      </c>
      <c r="G109" s="572">
        <f>ROUND(-'[1]Margins 2023'!G11*'WA CAP 2024'!G101,2)</f>
        <v>0</v>
      </c>
      <c r="H109" s="572">
        <f>ROUND(-'[1]Margins 2023'!H11*'WA CAP 2024'!H101,2)</f>
        <v>0</v>
      </c>
      <c r="I109" s="572">
        <f>ROUND(-'[1]Margins 2023'!I11*'WA CAP 2024'!I101,2)</f>
        <v>0</v>
      </c>
      <c r="J109" s="572">
        <f>ROUND(-'[1]Margins 2023'!J11*'WA CAP 2024'!J101,2)</f>
        <v>0</v>
      </c>
      <c r="K109" s="572">
        <f>ROUND(-'[1]Margins 2023'!K11*'WA CAP 2024'!K101,2)</f>
        <v>0</v>
      </c>
      <c r="L109" s="572">
        <f>ROUND(-'[1]Margins 2023'!L11*'WA CAP 2024'!L101,2)</f>
        <v>0</v>
      </c>
      <c r="M109" s="572">
        <f>ROUND(-'[1]Margins 2023'!M11*'WA CAP 2024'!M101,2)</f>
        <v>0</v>
      </c>
      <c r="N109" s="572">
        <f>ROUND(-'[1]Margins 2023'!N11*'WA CAP 2024'!N101,2)</f>
        <v>0</v>
      </c>
      <c r="O109" s="208"/>
      <c r="P109" s="572">
        <f>ROUND(-'[1]Margins 2023'!P11*'WA CAP 2024'!P101,2)</f>
        <v>0</v>
      </c>
      <c r="Q109" s="573">
        <f>ROUND(-'[1]Margins 2023'!Q11*'WA CAP 2024'!Q101,2)</f>
        <v>0</v>
      </c>
      <c r="R109" s="362"/>
      <c r="T109" s="652"/>
      <c r="U109" s="330"/>
      <c r="V109" s="330"/>
      <c r="W109" s="330"/>
      <c r="X109" s="330"/>
      <c r="Y109" s="330"/>
      <c r="Z109" s="330"/>
      <c r="AA109" s="330"/>
    </row>
    <row r="110" spans="1:27" ht="15.75" x14ac:dyDescent="0.25">
      <c r="A110" s="313"/>
      <c r="B110" s="271"/>
      <c r="C110" s="364" t="s">
        <v>201</v>
      </c>
      <c r="D110" s="187">
        <v>0</v>
      </c>
      <c r="E110" s="108">
        <f t="shared" ref="E110:Q110" si="50">SUM(E108:E109)</f>
        <v>0</v>
      </c>
      <c r="F110" s="187">
        <f t="shared" si="50"/>
        <v>0</v>
      </c>
      <c r="G110" s="187">
        <f t="shared" si="50"/>
        <v>0</v>
      </c>
      <c r="H110" s="187">
        <f t="shared" si="50"/>
        <v>0</v>
      </c>
      <c r="I110" s="187">
        <f t="shared" si="50"/>
        <v>0</v>
      </c>
      <c r="J110" s="187">
        <f t="shared" si="50"/>
        <v>0</v>
      </c>
      <c r="K110" s="187">
        <f t="shared" si="50"/>
        <v>0</v>
      </c>
      <c r="L110" s="187">
        <f t="shared" si="50"/>
        <v>0</v>
      </c>
      <c r="M110" s="187">
        <f t="shared" si="50"/>
        <v>0</v>
      </c>
      <c r="N110" s="187">
        <f t="shared" si="50"/>
        <v>0</v>
      </c>
      <c r="O110" s="302">
        <v>0</v>
      </c>
      <c r="P110" s="187">
        <f t="shared" si="50"/>
        <v>0</v>
      </c>
      <c r="Q110" s="187">
        <f t="shared" si="50"/>
        <v>0</v>
      </c>
      <c r="R110" s="99">
        <f>SUM(E110:Q110)-O110</f>
        <v>0</v>
      </c>
      <c r="T110" s="652"/>
      <c r="U110" s="330"/>
      <c r="V110" s="330"/>
      <c r="W110" s="330"/>
      <c r="X110" s="330"/>
      <c r="Y110" s="330"/>
      <c r="Z110" s="330"/>
      <c r="AA110" s="330"/>
    </row>
    <row r="111" spans="1:27" ht="15.75" x14ac:dyDescent="0.25">
      <c r="A111" s="313"/>
      <c r="B111" s="295"/>
      <c r="C111" s="574" t="s">
        <v>137</v>
      </c>
      <c r="D111" s="187">
        <v>0</v>
      </c>
      <c r="E111" s="108">
        <f>ROUND(ROUND(D113*E$7,2)/365*E$8,2)</f>
        <v>0</v>
      </c>
      <c r="F111" s="187">
        <f>ROUND(ROUND(E113*F$7,2)/365*F$8,2)</f>
        <v>0</v>
      </c>
      <c r="G111" s="187">
        <f t="shared" ref="G111:Q111" si="51">ROUND(ROUND(F113*G$7,2)/365*G$8,2)</f>
        <v>0</v>
      </c>
      <c r="H111" s="187">
        <f t="shared" si="51"/>
        <v>0</v>
      </c>
      <c r="I111" s="187">
        <f t="shared" si="51"/>
        <v>0</v>
      </c>
      <c r="J111" s="187">
        <f t="shared" si="51"/>
        <v>0</v>
      </c>
      <c r="K111" s="187">
        <f t="shared" si="51"/>
        <v>0</v>
      </c>
      <c r="L111" s="187">
        <f t="shared" si="51"/>
        <v>0</v>
      </c>
      <c r="M111" s="187">
        <f t="shared" si="51"/>
        <v>0</v>
      </c>
      <c r="N111" s="187">
        <f t="shared" si="51"/>
        <v>0</v>
      </c>
      <c r="O111" s="208">
        <v>0</v>
      </c>
      <c r="P111" s="187">
        <f>ROUND(ROUND(O113*P$7,2)/365*P$8,2)</f>
        <v>0</v>
      </c>
      <c r="Q111" s="187">
        <f t="shared" si="51"/>
        <v>0</v>
      </c>
      <c r="R111" s="100">
        <f>SUM(E111:Q111)</f>
        <v>0</v>
      </c>
      <c r="T111" s="652"/>
      <c r="U111" s="330"/>
      <c r="V111" s="330"/>
      <c r="W111" s="330"/>
      <c r="X111" s="330"/>
      <c r="Y111" s="330"/>
      <c r="Z111" s="330"/>
      <c r="AA111" s="330"/>
    </row>
    <row r="112" spans="1:27" ht="15.75" x14ac:dyDescent="0.25">
      <c r="A112" s="313"/>
      <c r="B112" s="295"/>
      <c r="C112" s="364" t="s">
        <v>138</v>
      </c>
      <c r="D112" s="189">
        <v>0</v>
      </c>
      <c r="E112" s="88">
        <f>SUM(E110:E111)</f>
        <v>0</v>
      </c>
      <c r="F112" s="189">
        <f t="shared" ref="F112:Q112" si="52">SUM(F110:F111)</f>
        <v>0</v>
      </c>
      <c r="G112" s="189">
        <f t="shared" si="52"/>
        <v>0</v>
      </c>
      <c r="H112" s="189">
        <f t="shared" si="52"/>
        <v>0</v>
      </c>
      <c r="I112" s="189">
        <f t="shared" si="52"/>
        <v>0</v>
      </c>
      <c r="J112" s="189">
        <f t="shared" si="52"/>
        <v>0</v>
      </c>
      <c r="K112" s="189">
        <f t="shared" si="52"/>
        <v>0</v>
      </c>
      <c r="L112" s="189">
        <f t="shared" si="52"/>
        <v>0</v>
      </c>
      <c r="M112" s="189">
        <f t="shared" si="52"/>
        <v>0</v>
      </c>
      <c r="N112" s="189">
        <f t="shared" si="52"/>
        <v>0</v>
      </c>
      <c r="O112" s="209">
        <v>0</v>
      </c>
      <c r="P112" s="189">
        <f t="shared" si="52"/>
        <v>0</v>
      </c>
      <c r="Q112" s="189">
        <f t="shared" si="52"/>
        <v>0</v>
      </c>
      <c r="R112" s="453">
        <f>SUM(R110:R111)</f>
        <v>0</v>
      </c>
      <c r="T112" s="652"/>
      <c r="U112" s="330"/>
      <c r="V112" s="330"/>
      <c r="W112" s="330"/>
      <c r="X112" s="330"/>
      <c r="Y112" s="330"/>
      <c r="Z112" s="330"/>
      <c r="AA112" s="330"/>
    </row>
    <row r="113" spans="1:27" s="584" customFormat="1" ht="20.25" customHeight="1" x14ac:dyDescent="0.25">
      <c r="A113" s="575"/>
      <c r="B113" s="576"/>
      <c r="C113" s="613" t="s">
        <v>139</v>
      </c>
      <c r="D113" s="614">
        <v>0</v>
      </c>
      <c r="E113" s="579">
        <f t="shared" ref="E113:Q113" si="53">D113+E112</f>
        <v>0</v>
      </c>
      <c r="F113" s="580">
        <f t="shared" si="53"/>
        <v>0</v>
      </c>
      <c r="G113" s="580">
        <f t="shared" si="53"/>
        <v>0</v>
      </c>
      <c r="H113" s="580">
        <f t="shared" si="53"/>
        <v>0</v>
      </c>
      <c r="I113" s="580">
        <f t="shared" si="53"/>
        <v>0</v>
      </c>
      <c r="J113" s="580">
        <f t="shared" si="53"/>
        <v>0</v>
      </c>
      <c r="K113" s="580">
        <f t="shared" si="53"/>
        <v>0</v>
      </c>
      <c r="L113" s="580">
        <f t="shared" si="53"/>
        <v>0</v>
      </c>
      <c r="M113" s="580">
        <f t="shared" si="53"/>
        <v>0</v>
      </c>
      <c r="N113" s="580">
        <f t="shared" si="53"/>
        <v>0</v>
      </c>
      <c r="O113" s="589">
        <f t="shared" si="53"/>
        <v>0</v>
      </c>
      <c r="P113" s="580">
        <f t="shared" si="53"/>
        <v>0</v>
      </c>
      <c r="Q113" s="582">
        <f t="shared" si="53"/>
        <v>0</v>
      </c>
      <c r="R113" s="583"/>
      <c r="T113" s="656"/>
      <c r="U113" s="585"/>
      <c r="V113" s="585"/>
      <c r="W113" s="585"/>
      <c r="X113" s="585"/>
      <c r="Y113" s="585"/>
      <c r="Z113" s="585"/>
      <c r="AA113" s="585"/>
    </row>
    <row r="114" spans="1:27" ht="15.75" x14ac:dyDescent="0.25">
      <c r="A114" s="313"/>
      <c r="B114" s="295" t="s">
        <v>64</v>
      </c>
      <c r="C114" s="449" t="s">
        <v>282</v>
      </c>
      <c r="D114" s="250">
        <v>7</v>
      </c>
      <c r="E114" s="250">
        <v>7</v>
      </c>
      <c r="F114" s="250">
        <v>7</v>
      </c>
      <c r="G114" s="250">
        <v>7</v>
      </c>
      <c r="H114" s="250">
        <v>7</v>
      </c>
      <c r="I114" s="250">
        <v>7</v>
      </c>
      <c r="J114" s="250">
        <v>7</v>
      </c>
      <c r="K114" s="250">
        <v>6</v>
      </c>
      <c r="L114" s="250">
        <v>6</v>
      </c>
      <c r="M114" s="250">
        <v>6</v>
      </c>
      <c r="N114" s="250">
        <v>6</v>
      </c>
      <c r="O114" s="274"/>
      <c r="P114" s="250">
        <v>6</v>
      </c>
      <c r="Q114" s="250">
        <v>6</v>
      </c>
      <c r="R114" s="452"/>
      <c r="T114" s="652">
        <v>4811</v>
      </c>
      <c r="U114" s="461">
        <v>570</v>
      </c>
      <c r="V114" s="535">
        <f>+U118</f>
        <v>84258</v>
      </c>
      <c r="W114" s="333"/>
      <c r="X114" s="444" t="s">
        <v>90</v>
      </c>
      <c r="Y114" s="444"/>
      <c r="Z114" s="444" t="s">
        <v>214</v>
      </c>
      <c r="AA114" s="330"/>
    </row>
    <row r="115" spans="1:27" ht="15.75" x14ac:dyDescent="0.25">
      <c r="A115" s="313"/>
      <c r="B115" s="295" t="s">
        <v>71</v>
      </c>
      <c r="C115" s="314" t="s">
        <v>318</v>
      </c>
      <c r="D115" s="251">
        <v>9882.67</v>
      </c>
      <c r="E115" s="251">
        <v>4784.4399999999996</v>
      </c>
      <c r="F115" s="251">
        <v>5028.8999999999996</v>
      </c>
      <c r="G115" s="251">
        <v>4502.03</v>
      </c>
      <c r="H115" s="251">
        <v>4257.01</v>
      </c>
      <c r="I115" s="251">
        <v>3309.68</v>
      </c>
      <c r="J115" s="251">
        <v>2442.08</v>
      </c>
      <c r="K115" s="251">
        <v>1348.89</v>
      </c>
      <c r="L115" s="251"/>
      <c r="M115" s="251"/>
      <c r="N115" s="251"/>
      <c r="O115" s="274"/>
      <c r="P115" s="251">
        <v>85.2</v>
      </c>
      <c r="Q115" s="251">
        <v>477.09</v>
      </c>
      <c r="R115" s="99"/>
      <c r="T115" s="437" t="s">
        <v>233</v>
      </c>
      <c r="U115" s="335">
        <v>477.09</v>
      </c>
      <c r="V115" s="336">
        <f>U115/V118</f>
        <v>0.10033438485804416</v>
      </c>
      <c r="W115" s="336">
        <f>U115/V118</f>
        <v>0.10033438485804416</v>
      </c>
      <c r="X115" s="330">
        <v>0.10033</v>
      </c>
      <c r="Y115" s="330"/>
      <c r="Z115" s="492">
        <f>X115-W115</f>
        <v>-4.3848580441596674E-6</v>
      </c>
      <c r="AA115" s="330"/>
    </row>
    <row r="116" spans="1:27" ht="15.75" x14ac:dyDescent="0.25">
      <c r="A116" s="313"/>
      <c r="B116" s="295" t="s">
        <v>71</v>
      </c>
      <c r="C116" s="314" t="s">
        <v>187</v>
      </c>
      <c r="D116" s="251">
        <v>4503.99</v>
      </c>
      <c r="E116" s="251">
        <v>10289.36</v>
      </c>
      <c r="F116" s="251">
        <v>11081.52</v>
      </c>
      <c r="G116" s="251">
        <v>10025.32</v>
      </c>
      <c r="H116" s="251">
        <v>9812.1299999999992</v>
      </c>
      <c r="I116" s="251">
        <v>9343.84</v>
      </c>
      <c r="J116" s="251">
        <v>8783.76</v>
      </c>
      <c r="K116" s="251">
        <v>7178.99</v>
      </c>
      <c r="L116" s="251">
        <v>3517.19</v>
      </c>
      <c r="M116" s="251">
        <v>3698.99</v>
      </c>
      <c r="N116" s="251">
        <v>4163.7299999999996</v>
      </c>
      <c r="O116" s="274"/>
      <c r="P116" s="251">
        <v>6210.73</v>
      </c>
      <c r="Q116" s="251">
        <v>6867.41</v>
      </c>
      <c r="R116" s="99"/>
      <c r="T116" s="437" t="s">
        <v>283</v>
      </c>
      <c r="U116" s="335">
        <v>6867.41</v>
      </c>
      <c r="V116" s="336">
        <f>U116/V119</f>
        <v>3.365997951211383E-2</v>
      </c>
      <c r="W116" s="336">
        <f>U116/V119</f>
        <v>3.365997951211383E-2</v>
      </c>
      <c r="X116" s="330">
        <v>3.3660000000000002E-2</v>
      </c>
      <c r="Y116" s="330"/>
      <c r="Z116" s="492">
        <f>X116-W116</f>
        <v>2.0487886172315672E-8</v>
      </c>
      <c r="AA116" s="330"/>
    </row>
    <row r="117" spans="1:27" ht="15.75" x14ac:dyDescent="0.25">
      <c r="A117" s="313"/>
      <c r="B117" s="295" t="s">
        <v>72</v>
      </c>
      <c r="C117" s="316" t="s">
        <v>319</v>
      </c>
      <c r="D117" s="593">
        <v>4784.4399999999996</v>
      </c>
      <c r="E117" s="276">
        <v>5028.8999999999996</v>
      </c>
      <c r="F117" s="276">
        <v>4502.03</v>
      </c>
      <c r="G117" s="276">
        <v>4257.01</v>
      </c>
      <c r="H117" s="276">
        <v>3309.68</v>
      </c>
      <c r="I117" s="276">
        <v>2442.08</v>
      </c>
      <c r="J117" s="276">
        <v>1348.89</v>
      </c>
      <c r="K117" s="276"/>
      <c r="L117" s="276"/>
      <c r="M117" s="276"/>
      <c r="N117" s="276">
        <v>85.2</v>
      </c>
      <c r="O117" s="207"/>
      <c r="P117" s="276">
        <v>477.09</v>
      </c>
      <c r="Q117" s="276">
        <v>710.01</v>
      </c>
      <c r="R117" s="99"/>
      <c r="T117" s="437" t="s">
        <v>239</v>
      </c>
      <c r="U117" s="335">
        <v>53564.49</v>
      </c>
      <c r="V117" s="336">
        <f>U117/V114</f>
        <v>0.63571993163853879</v>
      </c>
      <c r="W117" s="336">
        <f>U117/V114</f>
        <v>0.63571993163853879</v>
      </c>
      <c r="X117" s="338">
        <v>0.63571999999999995</v>
      </c>
      <c r="Y117" s="330"/>
      <c r="Z117" s="492">
        <f>X117-W117</f>
        <v>6.8361461158517045E-8</v>
      </c>
      <c r="AA117" s="330"/>
    </row>
    <row r="118" spans="1:27" ht="15.75" x14ac:dyDescent="0.25">
      <c r="A118" s="313"/>
      <c r="B118" s="376" t="s">
        <v>72</v>
      </c>
      <c r="C118" s="316" t="s">
        <v>320</v>
      </c>
      <c r="D118" s="276">
        <v>10289.36</v>
      </c>
      <c r="E118" s="276">
        <v>11081.52</v>
      </c>
      <c r="F118" s="276">
        <v>10025.32</v>
      </c>
      <c r="G118" s="276">
        <v>9812.1299999999992</v>
      </c>
      <c r="H118" s="276">
        <v>9343.84</v>
      </c>
      <c r="I118" s="276">
        <v>8783.76</v>
      </c>
      <c r="J118" s="276">
        <v>7178.99</v>
      </c>
      <c r="K118" s="276">
        <v>3517.19</v>
      </c>
      <c r="L118" s="276">
        <v>3698.99</v>
      </c>
      <c r="M118" s="276">
        <v>4163.7299999999996</v>
      </c>
      <c r="N118" s="276">
        <v>6210.73</v>
      </c>
      <c r="O118" s="207"/>
      <c r="P118" s="276">
        <v>6867.41</v>
      </c>
      <c r="Q118" s="594">
        <v>7485.54</v>
      </c>
      <c r="R118" s="99"/>
      <c r="T118" s="437" t="s">
        <v>92</v>
      </c>
      <c r="U118" s="332">
        <v>84258</v>
      </c>
      <c r="V118" s="337">
        <f>ROUND(U115/X115,0)</f>
        <v>4755</v>
      </c>
      <c r="W118" s="330"/>
      <c r="X118" s="330"/>
      <c r="Y118" s="330"/>
      <c r="Z118" s="336"/>
      <c r="AA118" s="330"/>
    </row>
    <row r="119" spans="1:27" ht="15.75" x14ac:dyDescent="0.25">
      <c r="A119" s="313"/>
      <c r="B119" s="295" t="s">
        <v>72</v>
      </c>
      <c r="C119" s="314" t="s">
        <v>317</v>
      </c>
      <c r="D119" s="187">
        <f>-9882.67-4503.99</f>
        <v>-14386.66</v>
      </c>
      <c r="E119" s="108">
        <f>-D117-D118</f>
        <v>-15073.8</v>
      </c>
      <c r="F119" s="108">
        <f t="shared" ref="F119:Q119" si="54">-E117-E118</f>
        <v>-16110.42</v>
      </c>
      <c r="G119" s="108">
        <f t="shared" si="54"/>
        <v>-14527.349999999999</v>
      </c>
      <c r="H119" s="108">
        <f t="shared" si="54"/>
        <v>-14069.14</v>
      </c>
      <c r="I119" s="108">
        <f t="shared" si="54"/>
        <v>-12653.52</v>
      </c>
      <c r="J119" s="108">
        <f t="shared" si="54"/>
        <v>-11225.84</v>
      </c>
      <c r="K119" s="108">
        <f t="shared" si="54"/>
        <v>-8527.8799999999992</v>
      </c>
      <c r="L119" s="108">
        <f t="shared" si="54"/>
        <v>-3517.19</v>
      </c>
      <c r="M119" s="108">
        <f t="shared" si="54"/>
        <v>-3698.99</v>
      </c>
      <c r="N119" s="108">
        <f t="shared" si="54"/>
        <v>-4163.7299999999996</v>
      </c>
      <c r="O119" s="208"/>
      <c r="P119" s="108">
        <f>-N117-N118</f>
        <v>-6295.9299999999994</v>
      </c>
      <c r="Q119" s="108">
        <f t="shared" si="54"/>
        <v>-7344.5</v>
      </c>
      <c r="R119" s="99"/>
      <c r="T119" s="334"/>
      <c r="U119" s="460"/>
      <c r="V119" s="337">
        <f>ROUND(U116/X116,0)</f>
        <v>204023</v>
      </c>
      <c r="W119" s="330"/>
      <c r="X119" s="330"/>
      <c r="Y119" s="330"/>
      <c r="Z119" s="330"/>
      <c r="AA119" s="330"/>
    </row>
    <row r="120" spans="1:27" x14ac:dyDescent="0.25">
      <c r="A120" s="313"/>
      <c r="B120" s="295"/>
      <c r="C120" s="311" t="s">
        <v>74</v>
      </c>
      <c r="D120" s="187">
        <v>15073.800000000001</v>
      </c>
      <c r="E120" s="108">
        <f t="shared" ref="E120:N120" si="55">SUM(E115:E119)</f>
        <v>16110.419999999998</v>
      </c>
      <c r="F120" s="187">
        <f t="shared" si="55"/>
        <v>14527.35</v>
      </c>
      <c r="G120" s="187">
        <f t="shared" si="55"/>
        <v>14069.14</v>
      </c>
      <c r="H120" s="187">
        <f t="shared" si="55"/>
        <v>12653.52</v>
      </c>
      <c r="I120" s="187">
        <f t="shared" si="55"/>
        <v>11225.84</v>
      </c>
      <c r="J120" s="187">
        <f t="shared" si="55"/>
        <v>8527.880000000001</v>
      </c>
      <c r="K120" s="187">
        <f t="shared" si="55"/>
        <v>3517.1900000000005</v>
      </c>
      <c r="L120" s="187">
        <f t="shared" si="55"/>
        <v>3698.9900000000002</v>
      </c>
      <c r="M120" s="187">
        <f t="shared" si="55"/>
        <v>4163.7299999999996</v>
      </c>
      <c r="N120" s="187">
        <f t="shared" si="55"/>
        <v>6295.93</v>
      </c>
      <c r="O120" s="208"/>
      <c r="P120" s="187">
        <f>SUM(P115:P119)</f>
        <v>7344.5000000000009</v>
      </c>
      <c r="Q120" s="187">
        <f>SUM(Q115:Q119)</f>
        <v>8195.5499999999993</v>
      </c>
      <c r="R120" s="362"/>
      <c r="T120" s="330"/>
      <c r="U120" s="330"/>
      <c r="V120" s="330"/>
      <c r="W120" s="330"/>
      <c r="X120" s="330"/>
      <c r="Y120" s="330"/>
      <c r="Z120" s="330"/>
      <c r="AA120" s="330"/>
    </row>
    <row r="121" spans="1:27" x14ac:dyDescent="0.25">
      <c r="A121" s="313"/>
      <c r="B121" s="295"/>
      <c r="C121" s="655" t="s">
        <v>321</v>
      </c>
      <c r="D121" s="571">
        <f>+'[1]Margins 2023'!Q15</f>
        <v>2186.1799999999998</v>
      </c>
      <c r="E121" s="572">
        <f>+'[1]Margins 2023'!E15</f>
        <v>2205.48</v>
      </c>
      <c r="F121" s="572">
        <f>+'[1]Margins 2023'!F15</f>
        <v>2224.48</v>
      </c>
      <c r="G121" s="572">
        <f>+'[1]Margins 2023'!G15</f>
        <v>1988.22</v>
      </c>
      <c r="H121" s="572">
        <f>+'[1]Margins 2023'!H15</f>
        <v>1990.59</v>
      </c>
      <c r="I121" s="572">
        <f>+'[1]Margins 2023'!I15</f>
        <v>1645.52</v>
      </c>
      <c r="J121" s="572">
        <f>+'[1]Margins 2023'!J15</f>
        <v>1273.76</v>
      </c>
      <c r="K121" s="572">
        <f>+'[1]Margins 2023'!K15</f>
        <v>1085.46</v>
      </c>
      <c r="L121" s="572">
        <f>+'[1]Margins 2023'!L15</f>
        <v>1055.6300000000001</v>
      </c>
      <c r="M121" s="572">
        <f>+'[1]Margins 2023'!M15</f>
        <v>997.25</v>
      </c>
      <c r="N121" s="572">
        <f>+'[1]Margins 2023'!N15</f>
        <v>938.29</v>
      </c>
      <c r="O121" s="206"/>
      <c r="P121" s="572">
        <f>+'[1]Margins 2023'!P15</f>
        <v>1774.6</v>
      </c>
      <c r="Q121" s="572">
        <f>+'[1]Margins 2023'!Q15</f>
        <v>2186.1799999999998</v>
      </c>
      <c r="R121" s="362"/>
      <c r="T121" s="330"/>
      <c r="U121" s="330"/>
      <c r="V121" s="330"/>
      <c r="W121" s="330"/>
      <c r="X121" s="330"/>
      <c r="Y121" s="330"/>
      <c r="Z121" s="330"/>
      <c r="AA121" s="330"/>
    </row>
    <row r="122" spans="1:27" ht="15.75" x14ac:dyDescent="0.25">
      <c r="A122" s="313"/>
      <c r="B122" s="295"/>
      <c r="C122" s="487" t="s">
        <v>73</v>
      </c>
      <c r="D122" s="571">
        <v>-15303.26</v>
      </c>
      <c r="E122" s="572">
        <f>ROUND(-E121*'WA CAP 2024'!E114,2)</f>
        <v>-15438.36</v>
      </c>
      <c r="F122" s="572">
        <f>ROUND(-F121*'WA CAP 2024'!F114,2)</f>
        <v>-15571.36</v>
      </c>
      <c r="G122" s="572">
        <f>ROUND(-G121*'WA CAP 2024'!G114,2)</f>
        <v>-13917.54</v>
      </c>
      <c r="H122" s="572">
        <f>ROUND(-H121*'WA CAP 2024'!H114,2)</f>
        <v>-13934.13</v>
      </c>
      <c r="I122" s="572">
        <f>ROUND(-I121*'WA CAP 2024'!I114,2)</f>
        <v>-11518.64</v>
      </c>
      <c r="J122" s="572">
        <f>ROUND(-J121*'WA CAP 2024'!J114,2)</f>
        <v>-8916.32</v>
      </c>
      <c r="K122" s="572">
        <f>ROUND(-K121*'WA CAP 2024'!K114,2)</f>
        <v>-6512.76</v>
      </c>
      <c r="L122" s="572">
        <f>ROUND(-L121*'WA CAP 2024'!L114,2)</f>
        <v>-6333.78</v>
      </c>
      <c r="M122" s="572">
        <f>ROUND(-M121*'WA CAP 2024'!M114,2)</f>
        <v>-5983.5</v>
      </c>
      <c r="N122" s="572">
        <f>ROUND(-N121*'WA CAP 2024'!N114,2)</f>
        <v>-5629.74</v>
      </c>
      <c r="O122" s="206"/>
      <c r="P122" s="572">
        <f>ROUND(-P121*'WA CAP 2024'!P114,2)</f>
        <v>-10647.6</v>
      </c>
      <c r="Q122" s="572">
        <f>ROUND(-Q121*'WA CAP 2024'!Q114,2)</f>
        <v>-13117.08</v>
      </c>
      <c r="R122" s="362"/>
      <c r="T122" s="330"/>
      <c r="U122" s="330"/>
      <c r="V122" s="330"/>
      <c r="W122" s="330"/>
      <c r="X122" s="330"/>
      <c r="Y122" s="330"/>
      <c r="Z122" s="330"/>
      <c r="AA122" s="330"/>
    </row>
    <row r="123" spans="1:27" x14ac:dyDescent="0.25">
      <c r="A123" s="313"/>
      <c r="B123" s="295"/>
      <c r="C123" s="364" t="s">
        <v>75</v>
      </c>
      <c r="D123" s="187">
        <v>-229.45999999999913</v>
      </c>
      <c r="E123" s="108">
        <f>+E120+E122</f>
        <v>672.05999999999767</v>
      </c>
      <c r="F123" s="108">
        <f t="shared" ref="F123:Q123" si="56">+F120+F122</f>
        <v>-1044.0100000000002</v>
      </c>
      <c r="G123" s="108">
        <f t="shared" si="56"/>
        <v>151.59999999999854</v>
      </c>
      <c r="H123" s="108">
        <f t="shared" si="56"/>
        <v>-1280.6099999999988</v>
      </c>
      <c r="I123" s="108">
        <f t="shared" si="56"/>
        <v>-292.79999999999927</v>
      </c>
      <c r="J123" s="108">
        <f t="shared" si="56"/>
        <v>-388.43999999999869</v>
      </c>
      <c r="K123" s="108">
        <f t="shared" si="56"/>
        <v>-2995.5699999999997</v>
      </c>
      <c r="L123" s="108">
        <f t="shared" si="56"/>
        <v>-2634.7899999999995</v>
      </c>
      <c r="M123" s="108">
        <f t="shared" si="56"/>
        <v>-1819.7700000000004</v>
      </c>
      <c r="N123" s="108">
        <f t="shared" si="56"/>
        <v>666.19000000000051</v>
      </c>
      <c r="O123" s="302">
        <f>-ROUND('[1]2023'!Q119,2)</f>
        <v>-4636.03</v>
      </c>
      <c r="P123" s="108">
        <f t="shared" si="56"/>
        <v>-3303.0999999999995</v>
      </c>
      <c r="Q123" s="108">
        <f t="shared" si="56"/>
        <v>-4921.5300000000007</v>
      </c>
      <c r="R123" s="99">
        <f>SUM(E123:Q123)-O123</f>
        <v>-17190.769999999997</v>
      </c>
      <c r="T123" s="330"/>
      <c r="U123" s="330"/>
      <c r="V123" s="330"/>
      <c r="W123" s="330"/>
      <c r="X123" s="330"/>
      <c r="Y123" s="330"/>
      <c r="Z123" s="330"/>
      <c r="AA123" s="330"/>
    </row>
    <row r="124" spans="1:27" ht="15.75" x14ac:dyDescent="0.25">
      <c r="A124" s="313"/>
      <c r="B124" s="295"/>
      <c r="C124" s="574" t="s">
        <v>137</v>
      </c>
      <c r="D124" s="187">
        <v>34.26</v>
      </c>
      <c r="E124" s="108">
        <f>ROUND(ROUND(D126*E$7,2)/365*E$8,2)</f>
        <v>33.47</v>
      </c>
      <c r="F124" s="187">
        <f>ROUND(ROUND(E126*F$7,2)/365*F$8,2)</f>
        <v>36.07</v>
      </c>
      <c r="G124" s="187">
        <f t="shared" ref="G124:Q124" si="57">ROUND(ROUND(F126*G$7,2)/365*G$8,2)</f>
        <v>31.29</v>
      </c>
      <c r="H124" s="187">
        <f t="shared" si="57"/>
        <v>31.55</v>
      </c>
      <c r="I124" s="187">
        <f t="shared" si="57"/>
        <v>23.59</v>
      </c>
      <c r="J124" s="187">
        <f t="shared" si="57"/>
        <v>20.95</v>
      </c>
      <c r="K124" s="187">
        <f t="shared" si="57"/>
        <v>18.989999999999998</v>
      </c>
      <c r="L124" s="187">
        <f t="shared" si="57"/>
        <v>-2.5</v>
      </c>
      <c r="M124" s="187">
        <f t="shared" si="57"/>
        <v>-20.84</v>
      </c>
      <c r="N124" s="187">
        <f t="shared" si="57"/>
        <v>-34.82</v>
      </c>
      <c r="O124" s="208">
        <f>'[1]Ammort Split 2024'!N126</f>
        <v>-340.02000000000004</v>
      </c>
      <c r="P124" s="187">
        <f>ROUND(ROUND(O126*P$7,2)/365*P$8,2)</f>
        <v>-64.05</v>
      </c>
      <c r="Q124" s="187">
        <f t="shared" si="57"/>
        <v>-90.5</v>
      </c>
      <c r="R124" s="100">
        <f>SUM(E124:Q124)</f>
        <v>-356.82000000000005</v>
      </c>
      <c r="T124" s="330"/>
      <c r="U124" s="330"/>
      <c r="V124" s="330"/>
      <c r="W124" s="330"/>
      <c r="X124" s="330"/>
      <c r="Y124" s="330"/>
      <c r="Z124" s="330"/>
      <c r="AA124" s="330"/>
    </row>
    <row r="125" spans="1:27" x14ac:dyDescent="0.25">
      <c r="A125" s="313"/>
      <c r="B125" s="295"/>
      <c r="C125" s="364" t="s">
        <v>138</v>
      </c>
      <c r="D125" s="189">
        <v>-195.19999999999914</v>
      </c>
      <c r="E125" s="88">
        <f>SUM(E123:E124)</f>
        <v>705.5299999999977</v>
      </c>
      <c r="F125" s="189">
        <f t="shared" ref="F125:Q125" si="58">SUM(F123:F124)</f>
        <v>-1007.9400000000002</v>
      </c>
      <c r="G125" s="189">
        <f t="shared" si="58"/>
        <v>182.88999999999854</v>
      </c>
      <c r="H125" s="189">
        <f t="shared" si="58"/>
        <v>-1249.0599999999988</v>
      </c>
      <c r="I125" s="189">
        <f t="shared" si="58"/>
        <v>-269.2099999999993</v>
      </c>
      <c r="J125" s="189">
        <f t="shared" si="58"/>
        <v>-367.4899999999987</v>
      </c>
      <c r="K125" s="189">
        <f t="shared" si="58"/>
        <v>-2976.58</v>
      </c>
      <c r="L125" s="189">
        <f t="shared" si="58"/>
        <v>-2637.2899999999995</v>
      </c>
      <c r="M125" s="189">
        <f t="shared" si="58"/>
        <v>-1840.6100000000004</v>
      </c>
      <c r="N125" s="189">
        <f t="shared" si="58"/>
        <v>631.37000000000046</v>
      </c>
      <c r="O125" s="209">
        <f>SUM(O123:O124)</f>
        <v>-4976.05</v>
      </c>
      <c r="P125" s="189">
        <f t="shared" si="58"/>
        <v>-3367.1499999999996</v>
      </c>
      <c r="Q125" s="189">
        <f t="shared" si="58"/>
        <v>-5012.0300000000007</v>
      </c>
      <c r="R125" s="453">
        <f>SUM(R123:R124)</f>
        <v>-17547.589999999997</v>
      </c>
      <c r="T125" s="330"/>
      <c r="U125" s="330"/>
      <c r="V125" s="330"/>
      <c r="W125" s="330"/>
      <c r="X125" s="330"/>
      <c r="Y125" s="330"/>
      <c r="Z125" s="330"/>
      <c r="AA125" s="330"/>
    </row>
    <row r="126" spans="1:27" ht="15.75" x14ac:dyDescent="0.25">
      <c r="A126" s="313"/>
      <c r="B126" s="295"/>
      <c r="C126" s="615" t="s">
        <v>139</v>
      </c>
      <c r="D126" s="375">
        <v>4636.0299999999861</v>
      </c>
      <c r="E126" s="616">
        <f t="shared" ref="E126:Q126" si="59">D126+E125</f>
        <v>5341.559999999984</v>
      </c>
      <c r="F126" s="375">
        <f t="shared" si="59"/>
        <v>4333.6199999999835</v>
      </c>
      <c r="G126" s="375">
        <f t="shared" si="59"/>
        <v>4516.509999999982</v>
      </c>
      <c r="H126" s="375">
        <f t="shared" si="59"/>
        <v>3267.4499999999834</v>
      </c>
      <c r="I126" s="375">
        <f t="shared" si="59"/>
        <v>2998.2399999999843</v>
      </c>
      <c r="J126" s="375">
        <f t="shared" si="59"/>
        <v>2630.7499999999854</v>
      </c>
      <c r="K126" s="375">
        <f t="shared" si="59"/>
        <v>-345.83000000001448</v>
      </c>
      <c r="L126" s="375">
        <f t="shared" si="59"/>
        <v>-2983.120000000014</v>
      </c>
      <c r="M126" s="375">
        <f t="shared" si="59"/>
        <v>-4823.7300000000141</v>
      </c>
      <c r="N126" s="375">
        <f t="shared" si="59"/>
        <v>-4192.3600000000133</v>
      </c>
      <c r="O126" s="386">
        <f>N126+O125</f>
        <v>-9168.4100000000144</v>
      </c>
      <c r="P126" s="375">
        <f t="shared" si="59"/>
        <v>-12535.560000000014</v>
      </c>
      <c r="Q126" s="617">
        <f t="shared" si="59"/>
        <v>-17547.590000000015</v>
      </c>
      <c r="R126" s="458"/>
      <c r="T126" s="330"/>
      <c r="U126" s="330"/>
      <c r="V126" s="330"/>
      <c r="W126" s="330"/>
      <c r="X126" s="330"/>
      <c r="Y126" s="330"/>
      <c r="Z126" s="330"/>
      <c r="AA126" s="330"/>
    </row>
    <row r="127" spans="1:27" ht="15.75" thickBot="1" x14ac:dyDescent="0.3">
      <c r="A127" s="313"/>
      <c r="B127" s="271"/>
      <c r="D127" s="618"/>
      <c r="E127" s="113"/>
      <c r="F127" s="192"/>
      <c r="G127" s="187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  <c r="R127" s="459"/>
      <c r="S127" s="358"/>
      <c r="T127" s="334"/>
      <c r="U127" s="337"/>
      <c r="V127" s="337"/>
      <c r="W127" s="330"/>
      <c r="X127" s="330"/>
      <c r="Y127" s="330"/>
      <c r="Z127" s="330"/>
      <c r="AA127" s="330"/>
    </row>
    <row r="128" spans="1:27" ht="15.75" x14ac:dyDescent="0.25">
      <c r="B128" s="240"/>
      <c r="C128" s="619"/>
      <c r="D128" s="620">
        <f t="shared" ref="D128:N128" si="60">+D6</f>
        <v>45291</v>
      </c>
      <c r="E128" s="620">
        <f t="shared" si="60"/>
        <v>45322</v>
      </c>
      <c r="F128" s="620">
        <f t="shared" si="60"/>
        <v>45351</v>
      </c>
      <c r="G128" s="620">
        <f t="shared" si="60"/>
        <v>45382</v>
      </c>
      <c r="H128" s="620">
        <f t="shared" si="60"/>
        <v>45412</v>
      </c>
      <c r="I128" s="620">
        <f t="shared" si="60"/>
        <v>45443</v>
      </c>
      <c r="J128" s="620">
        <f t="shared" si="60"/>
        <v>45473</v>
      </c>
      <c r="K128" s="620">
        <f t="shared" si="60"/>
        <v>45504</v>
      </c>
      <c r="L128" s="620">
        <f t="shared" si="60"/>
        <v>45535</v>
      </c>
      <c r="M128" s="620">
        <f t="shared" si="60"/>
        <v>45565</v>
      </c>
      <c r="N128" s="620">
        <f t="shared" si="60"/>
        <v>45596</v>
      </c>
      <c r="O128" s="620" t="s">
        <v>234</v>
      </c>
      <c r="P128" s="620">
        <f>+P6</f>
        <v>45626</v>
      </c>
      <c r="Q128" s="620">
        <f>+Q6</f>
        <v>45657</v>
      </c>
      <c r="R128" s="623"/>
      <c r="S128" s="358"/>
      <c r="T128" s="330"/>
      <c r="U128" s="330"/>
      <c r="V128" s="330"/>
      <c r="W128" s="330"/>
      <c r="X128" s="330"/>
      <c r="Y128" s="330"/>
      <c r="Z128" s="330"/>
      <c r="AA128" s="330"/>
    </row>
    <row r="129" spans="1:27" x14ac:dyDescent="0.25">
      <c r="C129" s="364" t="s">
        <v>89</v>
      </c>
      <c r="D129" s="187">
        <f t="shared" ref="D129:K130" si="61">+D18+D51+D82+D29+D110+D40+D97+D123+D67</f>
        <v>-1829040.0600000012</v>
      </c>
      <c r="E129" s="108">
        <f>+E18+E51+E82+E29+E110+E40+E97+E123+E67</f>
        <v>721754.16000000061</v>
      </c>
      <c r="F129" s="187">
        <f t="shared" si="61"/>
        <v>-479032.10999999987</v>
      </c>
      <c r="G129" s="187">
        <f t="shared" si="61"/>
        <v>-277396.41000000108</v>
      </c>
      <c r="H129" s="187">
        <f t="shared" si="61"/>
        <v>-298135.25000000012</v>
      </c>
      <c r="I129" s="187">
        <f t="shared" si="61"/>
        <v>131678.97999999975</v>
      </c>
      <c r="J129" s="187">
        <f t="shared" si="61"/>
        <v>-376122.87999999989</v>
      </c>
      <c r="K129" s="187">
        <f t="shared" si="61"/>
        <v>-430341.11999999994</v>
      </c>
      <c r="L129" s="187">
        <f>ROUND(L18+L51+L82+L29+L110+L40+L97+L123+L67,2)</f>
        <v>-593166.87</v>
      </c>
      <c r="M129" s="187">
        <f>+M18+M51+M82+M29+M110+M40+M97+M123+M67</f>
        <v>-466863.63000000006</v>
      </c>
      <c r="N129" s="187">
        <f>+N18+N51+N82+N29+N110+N40+N97+N123+N67</f>
        <v>-552297.80000000028</v>
      </c>
      <c r="O129" s="208">
        <f>+O18+O51+O82+O29+O110+O40+O97+O123+O67</f>
        <v>1653483.1399999997</v>
      </c>
      <c r="P129" s="187">
        <f>+P18+P51+P82+P29+P110+P40+P97+P123+P67</f>
        <v>-167079.29000000065</v>
      </c>
      <c r="Q129" s="187">
        <f>+Q18+Q51+Q82+Q29+Q110+Q40+Q97+Q123+Q67</f>
        <v>-885879.46999999834</v>
      </c>
      <c r="R129" s="624">
        <f>+R18+R82+R67+R29+R110+R40+R97+R123+R51</f>
        <v>-3672881.6299999994</v>
      </c>
      <c r="T129" s="337"/>
      <c r="U129" s="330"/>
      <c r="V129" s="330"/>
      <c r="W129" s="330"/>
      <c r="X129" s="330"/>
      <c r="Y129" s="330"/>
      <c r="Z129" s="330"/>
      <c r="AA129" s="330"/>
    </row>
    <row r="130" spans="1:27" x14ac:dyDescent="0.25">
      <c r="C130" s="364" t="s">
        <v>170</v>
      </c>
      <c r="D130" s="216">
        <f>+D19+D52+D83+D30+D111+D41+D98+D124+D68</f>
        <v>1236.2399999999998</v>
      </c>
      <c r="E130" s="199">
        <f>+E19+E52+E83+E30+E111+E41+E98+E124+E68+0.01</f>
        <v>3816.05</v>
      </c>
      <c r="F130" s="199">
        <f>+F19+F52+F83+F30+F111+F41+F98+F124+F68-0.01</f>
        <v>8469.9299999999985</v>
      </c>
      <c r="G130" s="216">
        <f t="shared" si="61"/>
        <v>5656.9900000000007</v>
      </c>
      <c r="H130" s="199">
        <f>+H19+H52+H83+H30+H111+H41+H98+H124+H68+0.01</f>
        <v>3576.0600000000013</v>
      </c>
      <c r="I130" s="199">
        <f>+I19+I52+I83+I30+I111+I41+I98+I124+I68-0.01</f>
        <v>1568.7799999999988</v>
      </c>
      <c r="J130" s="199">
        <f>+J19+J52+J83+J30+J111+J41+J98+J124+J68+0.01</f>
        <v>2449.0899999999997</v>
      </c>
      <c r="K130" s="199">
        <f>+K19+K52+K83+K30+K111+K41+K98+K124+K68+0.01</f>
        <v>-166.89999999999952</v>
      </c>
      <c r="L130" s="199">
        <f>ROUND(L19+L52+L83+L30+L111+L41+L98+L124+L68,2)+0.01</f>
        <v>-3274.7999999999997</v>
      </c>
      <c r="M130" s="199">
        <f>+M19+M52+M83+M30+M111+M41+M98+M124+M68+0.02</f>
        <v>-7336.08</v>
      </c>
      <c r="N130" s="216">
        <f>+N19+N52+N83+N30+N111+N41+N98+N124+N68</f>
        <v>-11003.959999999997</v>
      </c>
      <c r="O130" s="208">
        <f>+O19+O52+O83+O30+O111+O41+O98+O124+O68</f>
        <v>121268.12</v>
      </c>
      <c r="P130" s="216">
        <f>+P19+P52+P83+P30+P111+P41+P98+P124+P68</f>
        <v>-2185.4399999999996</v>
      </c>
      <c r="Q130" s="625">
        <f>+Q19+Q52+Q83+Q30+Q111+Q41+Q98+Q124+Q68+0.01</f>
        <v>-3480.24</v>
      </c>
      <c r="R130" s="626">
        <f>+R19+R83+R68+R30+R111+R41+R98+R124+R52</f>
        <v>119357.53999999998</v>
      </c>
      <c r="T130" s="337"/>
      <c r="U130" s="337"/>
      <c r="V130" s="330"/>
      <c r="W130" s="330"/>
      <c r="X130" s="330"/>
      <c r="Y130" s="330"/>
      <c r="Z130" s="330"/>
      <c r="AA130" s="330"/>
    </row>
    <row r="131" spans="1:27" x14ac:dyDescent="0.25">
      <c r="C131" s="627" t="s">
        <v>139</v>
      </c>
      <c r="D131" s="189">
        <f>SUM(D129:D130)+'[1]2023'!P124</f>
        <v>-1653483.1400000036</v>
      </c>
      <c r="E131" s="88">
        <f>SUM(E129:E130)+D131</f>
        <v>-927912.93000000296</v>
      </c>
      <c r="F131" s="189">
        <f>SUM(F129:F130)+E131</f>
        <v>-1398475.1100000029</v>
      </c>
      <c r="G131" s="189">
        <f t="shared" ref="G131:Q131" si="62">SUM(G129:G130)+F131</f>
        <v>-1670214.530000004</v>
      </c>
      <c r="H131" s="189">
        <f t="shared" si="62"/>
        <v>-1964773.7200000042</v>
      </c>
      <c r="I131" s="189">
        <f t="shared" si="62"/>
        <v>-1831525.9600000044</v>
      </c>
      <c r="J131" s="189">
        <f t="shared" si="62"/>
        <v>-2205199.7500000042</v>
      </c>
      <c r="K131" s="189">
        <f>SUM(K129:K130)+J131</f>
        <v>-2635707.7700000042</v>
      </c>
      <c r="L131" s="189">
        <f t="shared" si="62"/>
        <v>-3232149.4400000041</v>
      </c>
      <c r="M131" s="189">
        <f t="shared" si="62"/>
        <v>-3706349.1500000041</v>
      </c>
      <c r="N131" s="189">
        <f t="shared" si="62"/>
        <v>-4269650.9100000039</v>
      </c>
      <c r="O131" s="209">
        <f>SUM(O129:O130)+N131</f>
        <v>-2494899.6500000041</v>
      </c>
      <c r="P131" s="189">
        <f t="shared" si="62"/>
        <v>-2664164.3800000045</v>
      </c>
      <c r="Q131" s="595">
        <f t="shared" si="62"/>
        <v>-3553524.0900000026</v>
      </c>
      <c r="R131" s="100">
        <f>SUM(R129:R130)</f>
        <v>-3553524.0899999994</v>
      </c>
      <c r="T131" s="337"/>
      <c r="U131" s="337"/>
      <c r="V131" s="330"/>
      <c r="W131" s="330"/>
      <c r="X131" s="330"/>
      <c r="Y131" s="330"/>
      <c r="Z131" s="330"/>
      <c r="AA131" s="330"/>
    </row>
    <row r="132" spans="1:27" ht="13.5" customHeight="1" x14ac:dyDescent="0.25">
      <c r="C132" s="628"/>
      <c r="D132" s="628"/>
      <c r="E132" s="616"/>
      <c r="F132" s="629"/>
      <c r="G132" s="629"/>
      <c r="H132" s="629"/>
      <c r="I132" s="629"/>
      <c r="J132" s="629"/>
      <c r="K132" s="629"/>
      <c r="L132" s="629"/>
      <c r="M132" s="629"/>
      <c r="N132" s="629"/>
      <c r="O132" s="629">
        <f>O130+O129</f>
        <v>1774751.2599999998</v>
      </c>
      <c r="P132" s="629"/>
      <c r="Q132" s="629"/>
      <c r="T132" s="330"/>
      <c r="U132" s="330"/>
      <c r="V132" s="330"/>
      <c r="W132" s="330"/>
      <c r="X132" s="330"/>
      <c r="Y132" s="330"/>
      <c r="Z132" s="330"/>
      <c r="AA132" s="330"/>
    </row>
    <row r="133" spans="1:27" ht="15.75" x14ac:dyDescent="0.25">
      <c r="A133" s="313"/>
      <c r="B133" s="305"/>
      <c r="C133" s="630" t="s">
        <v>167</v>
      </c>
      <c r="D133" s="631" t="s">
        <v>173</v>
      </c>
      <c r="E133" s="632" t="s">
        <v>155</v>
      </c>
      <c r="F133" s="477" t="s">
        <v>156</v>
      </c>
      <c r="G133" s="477" t="s">
        <v>157</v>
      </c>
      <c r="H133" s="477" t="s">
        <v>158</v>
      </c>
      <c r="I133" s="477" t="s">
        <v>23</v>
      </c>
      <c r="J133" s="477" t="s">
        <v>159</v>
      </c>
      <c r="K133" s="477" t="s">
        <v>160</v>
      </c>
      <c r="L133" s="477" t="s">
        <v>161</v>
      </c>
      <c r="M133" s="477" t="s">
        <v>162</v>
      </c>
      <c r="N133" s="477" t="s">
        <v>168</v>
      </c>
      <c r="O133" s="477" t="s">
        <v>234</v>
      </c>
      <c r="P133" s="477" t="s">
        <v>171</v>
      </c>
      <c r="Q133" s="477" t="s">
        <v>173</v>
      </c>
      <c r="R133" s="358"/>
      <c r="T133" s="330"/>
      <c r="U133" s="330"/>
      <c r="V133" s="330"/>
      <c r="W133" s="330"/>
      <c r="X133" s="330"/>
      <c r="Y133" s="330"/>
      <c r="Z133" s="330"/>
      <c r="AA133" s="330"/>
    </row>
    <row r="134" spans="1:27" ht="15.75" x14ac:dyDescent="0.25">
      <c r="A134" s="313"/>
      <c r="B134" s="258" t="s">
        <v>127</v>
      </c>
      <c r="C134" s="634" t="s">
        <v>284</v>
      </c>
      <c r="D134" s="454">
        <f t="shared" ref="D134:Q134" si="63">-D129</f>
        <v>1829040.0600000012</v>
      </c>
      <c r="E134" s="454">
        <f t="shared" si="63"/>
        <v>-721754.16000000061</v>
      </c>
      <c r="F134" s="466">
        <f t="shared" si="63"/>
        <v>479032.10999999987</v>
      </c>
      <c r="G134" s="325">
        <f t="shared" si="63"/>
        <v>277396.41000000108</v>
      </c>
      <c r="H134" s="260">
        <f t="shared" si="63"/>
        <v>298135.25000000012</v>
      </c>
      <c r="I134" s="454">
        <f t="shared" si="63"/>
        <v>-131678.97999999975</v>
      </c>
      <c r="J134" s="325">
        <f t="shared" si="63"/>
        <v>376122.87999999989</v>
      </c>
      <c r="K134" s="260">
        <f t="shared" si="63"/>
        <v>430341.11999999994</v>
      </c>
      <c r="L134" s="260">
        <f t="shared" si="63"/>
        <v>593166.87</v>
      </c>
      <c r="M134" s="260">
        <f t="shared" si="63"/>
        <v>466863.63000000006</v>
      </c>
      <c r="N134" s="260">
        <f t="shared" si="63"/>
        <v>552297.80000000028</v>
      </c>
      <c r="O134" s="213">
        <f>-O129-O130</f>
        <v>-1774751.2599999998</v>
      </c>
      <c r="P134" s="260">
        <f>-P129</f>
        <v>167079.29000000065</v>
      </c>
      <c r="Q134" s="454">
        <f t="shared" si="63"/>
        <v>885879.46999999834</v>
      </c>
      <c r="S134" s="108">
        <f t="shared" ref="S134:S139" si="64">SUM(E134:M134)</f>
        <v>2067625.1300000006</v>
      </c>
      <c r="T134" s="330"/>
      <c r="U134" s="330"/>
      <c r="V134" s="330"/>
      <c r="W134" s="330"/>
      <c r="X134" s="330"/>
      <c r="Y134" s="330"/>
      <c r="Z134" s="330"/>
      <c r="AA134" s="330"/>
    </row>
    <row r="135" spans="1:27" ht="15.75" x14ac:dyDescent="0.25">
      <c r="A135" s="313"/>
      <c r="B135" s="323" t="s">
        <v>128</v>
      </c>
      <c r="C135" s="636" t="s">
        <v>285</v>
      </c>
      <c r="D135" s="260">
        <f t="shared" ref="D135:N135" si="65">D18</f>
        <v>-1449753.3600000013</v>
      </c>
      <c r="E135" s="260">
        <f t="shared" si="65"/>
        <v>369221.35000000056</v>
      </c>
      <c r="F135" s="325">
        <f t="shared" si="65"/>
        <v>-577614.61000000034</v>
      </c>
      <c r="G135" s="325">
        <f t="shared" si="65"/>
        <v>-197568.31000000052</v>
      </c>
      <c r="H135" s="260">
        <f t="shared" si="65"/>
        <v>-341721.65999999968</v>
      </c>
      <c r="I135" s="260">
        <f t="shared" si="65"/>
        <v>14171.719999999739</v>
      </c>
      <c r="J135" s="325">
        <f t="shared" si="65"/>
        <v>-513792.65999999992</v>
      </c>
      <c r="K135" s="260">
        <f t="shared" si="65"/>
        <v>-39748.59999999986</v>
      </c>
      <c r="L135" s="260">
        <f>L18</f>
        <v>-361398.43999999994</v>
      </c>
      <c r="M135" s="260">
        <f t="shared" si="65"/>
        <v>-209805.66999999993</v>
      </c>
      <c r="N135" s="260">
        <f t="shared" si="65"/>
        <v>-355595.20000000019</v>
      </c>
      <c r="O135" s="213">
        <f>+O20</f>
        <v>2342117.6599999997</v>
      </c>
      <c r="P135" s="260">
        <f>P18</f>
        <v>-285548.06000000052</v>
      </c>
      <c r="Q135" s="260">
        <f>Q18</f>
        <v>-805867.26999999862</v>
      </c>
      <c r="S135" s="108">
        <f t="shared" si="64"/>
        <v>-1858256.88</v>
      </c>
      <c r="T135" s="330"/>
      <c r="U135" s="330"/>
      <c r="V135" s="330"/>
      <c r="W135" s="330"/>
      <c r="X135" s="330"/>
      <c r="Y135" s="330"/>
      <c r="Z135" s="330"/>
      <c r="AA135" s="330"/>
    </row>
    <row r="136" spans="1:27" ht="15.75" x14ac:dyDescent="0.25">
      <c r="A136" s="313"/>
      <c r="B136" s="261" t="s">
        <v>129</v>
      </c>
      <c r="C136" s="636" t="s">
        <v>286</v>
      </c>
      <c r="D136" s="260">
        <f t="shared" ref="D136:N136" si="66">D29+D40</f>
        <v>-18883.090000000026</v>
      </c>
      <c r="E136" s="260">
        <f t="shared" si="66"/>
        <v>5517.1200000000244</v>
      </c>
      <c r="F136" s="325">
        <f t="shared" si="66"/>
        <v>951.45000000002619</v>
      </c>
      <c r="G136" s="325">
        <f t="shared" si="66"/>
        <v>-29564.609999999986</v>
      </c>
      <c r="H136" s="260">
        <f>H29+H40</f>
        <v>-50523.049999999988</v>
      </c>
      <c r="I136" s="260">
        <f t="shared" si="66"/>
        <v>30716.019999999982</v>
      </c>
      <c r="J136" s="325">
        <f t="shared" si="66"/>
        <v>-5999.0199999999895</v>
      </c>
      <c r="K136" s="260">
        <f t="shared" si="66"/>
        <v>-11876.48000000001</v>
      </c>
      <c r="L136" s="260">
        <f t="shared" si="66"/>
        <v>-1352.760000000002</v>
      </c>
      <c r="M136" s="260">
        <f t="shared" si="66"/>
        <v>-16168.900000000001</v>
      </c>
      <c r="N136" s="260">
        <f t="shared" si="66"/>
        <v>6447.8000000000102</v>
      </c>
      <c r="O136" s="213">
        <f>O31+O42</f>
        <v>-45440.419999999991</v>
      </c>
      <c r="P136" s="260">
        <f>P29+P40</f>
        <v>12854.87999999999</v>
      </c>
      <c r="Q136" s="260">
        <f>Q29+Q40</f>
        <v>9521.8100000000268</v>
      </c>
      <c r="S136" s="108">
        <f t="shared" si="64"/>
        <v>-78300.229999999952</v>
      </c>
      <c r="T136" s="330"/>
      <c r="U136" s="330"/>
      <c r="V136" s="330"/>
      <c r="W136" s="330"/>
      <c r="X136" s="330"/>
      <c r="Y136" s="330"/>
      <c r="Z136" s="330"/>
      <c r="AA136" s="330"/>
    </row>
    <row r="137" spans="1:27" ht="15.75" x14ac:dyDescent="0.25">
      <c r="A137" s="313"/>
      <c r="B137" s="261" t="s">
        <v>130</v>
      </c>
      <c r="C137" s="636" t="s">
        <v>287</v>
      </c>
      <c r="D137" s="260">
        <f t="shared" ref="D137:N137" si="67">D51+D82+D67+D97</f>
        <v>-360174.14999999991</v>
      </c>
      <c r="E137" s="260">
        <f t="shared" si="67"/>
        <v>346343.63</v>
      </c>
      <c r="F137" s="325">
        <f t="shared" si="67"/>
        <v>98675.060000000376</v>
      </c>
      <c r="G137" s="325">
        <f t="shared" si="67"/>
        <v>-50415.090000000535</v>
      </c>
      <c r="H137" s="260">
        <f t="shared" si="67"/>
        <v>95390.069999999556</v>
      </c>
      <c r="I137" s="260">
        <f t="shared" si="67"/>
        <v>87084.04</v>
      </c>
      <c r="J137" s="325">
        <f t="shared" si="67"/>
        <v>144057.24</v>
      </c>
      <c r="K137" s="260">
        <f t="shared" si="67"/>
        <v>-375720.47000000009</v>
      </c>
      <c r="L137" s="260">
        <f>L51+L82+L67+L97</f>
        <v>-227780.87999999995</v>
      </c>
      <c r="M137" s="260">
        <f t="shared" si="67"/>
        <v>-239069.29000000015</v>
      </c>
      <c r="N137" s="260">
        <f t="shared" si="67"/>
        <v>-203816.59000000008</v>
      </c>
      <c r="O137" s="213">
        <f>O53+O84+O69+O99</f>
        <v>-516949.93000000005</v>
      </c>
      <c r="P137" s="260">
        <f>P51+P82+P67+P97</f>
        <v>108916.98999999987</v>
      </c>
      <c r="Q137" s="260">
        <f>Q51+Q82+Q67+Q97</f>
        <v>-84612.479999999865</v>
      </c>
      <c r="S137" s="108">
        <f t="shared" si="64"/>
        <v>-121435.69000000082</v>
      </c>
      <c r="T137" s="330"/>
      <c r="U137" s="330"/>
      <c r="V137" s="330"/>
      <c r="W137" s="330"/>
      <c r="X137" s="330"/>
      <c r="Y137" s="330"/>
      <c r="Z137" s="330"/>
      <c r="AA137" s="330"/>
    </row>
    <row r="138" spans="1:27" ht="15.75" x14ac:dyDescent="0.25">
      <c r="A138" s="313"/>
      <c r="B138" s="261" t="s">
        <v>131</v>
      </c>
      <c r="C138" s="636" t="s">
        <v>288</v>
      </c>
      <c r="D138" s="260">
        <f t="shared" ref="D138:N138" si="68">D110</f>
        <v>0</v>
      </c>
      <c r="E138" s="260">
        <f t="shared" si="68"/>
        <v>0</v>
      </c>
      <c r="F138" s="325">
        <f t="shared" si="68"/>
        <v>0</v>
      </c>
      <c r="G138" s="325">
        <f t="shared" si="68"/>
        <v>0</v>
      </c>
      <c r="H138" s="260">
        <f t="shared" si="68"/>
        <v>0</v>
      </c>
      <c r="I138" s="260">
        <f t="shared" si="68"/>
        <v>0</v>
      </c>
      <c r="J138" s="325">
        <f t="shared" si="68"/>
        <v>0</v>
      </c>
      <c r="K138" s="260">
        <f t="shared" si="68"/>
        <v>0</v>
      </c>
      <c r="L138" s="260">
        <f t="shared" si="68"/>
        <v>0</v>
      </c>
      <c r="M138" s="260">
        <f t="shared" si="68"/>
        <v>0</v>
      </c>
      <c r="N138" s="260">
        <f t="shared" si="68"/>
        <v>0</v>
      </c>
      <c r="O138" s="213">
        <f>O112</f>
        <v>0</v>
      </c>
      <c r="P138" s="260">
        <f>P110</f>
        <v>0</v>
      </c>
      <c r="Q138" s="260">
        <f>Q110</f>
        <v>0</v>
      </c>
      <c r="S138" s="108">
        <f t="shared" si="64"/>
        <v>0</v>
      </c>
      <c r="T138" s="330"/>
      <c r="U138" s="330"/>
      <c r="V138" s="330"/>
      <c r="W138" s="330"/>
      <c r="X138" s="330"/>
      <c r="Y138" s="330"/>
      <c r="Z138" s="330"/>
      <c r="AA138" s="330"/>
    </row>
    <row r="139" spans="1:27" ht="15.75" x14ac:dyDescent="0.25">
      <c r="A139" s="313"/>
      <c r="B139" s="263" t="s">
        <v>132</v>
      </c>
      <c r="C139" s="638" t="s">
        <v>289</v>
      </c>
      <c r="D139" s="265">
        <f t="shared" ref="D139:Q139" si="69">D123</f>
        <v>-229.45999999999913</v>
      </c>
      <c r="E139" s="265">
        <f t="shared" si="69"/>
        <v>672.05999999999767</v>
      </c>
      <c r="F139" s="326">
        <f t="shared" si="69"/>
        <v>-1044.0100000000002</v>
      </c>
      <c r="G139" s="326">
        <f t="shared" si="69"/>
        <v>151.59999999999854</v>
      </c>
      <c r="H139" s="326">
        <f t="shared" si="69"/>
        <v>-1280.6099999999988</v>
      </c>
      <c r="I139" s="326">
        <f t="shared" si="69"/>
        <v>-292.79999999999927</v>
      </c>
      <c r="J139" s="326">
        <f t="shared" si="69"/>
        <v>-388.43999999999869</v>
      </c>
      <c r="K139" s="326">
        <f t="shared" si="69"/>
        <v>-2995.5699999999997</v>
      </c>
      <c r="L139" s="326">
        <f t="shared" si="69"/>
        <v>-2634.7899999999995</v>
      </c>
      <c r="M139" s="326">
        <f t="shared" si="69"/>
        <v>-1819.7700000000004</v>
      </c>
      <c r="N139" s="326">
        <f t="shared" si="69"/>
        <v>666.19000000000051</v>
      </c>
      <c r="O139" s="667">
        <f>O125</f>
        <v>-4976.05</v>
      </c>
      <c r="P139" s="265">
        <f t="shared" si="69"/>
        <v>-3303.0999999999995</v>
      </c>
      <c r="Q139" s="265">
        <f t="shared" si="69"/>
        <v>-4921.5300000000007</v>
      </c>
      <c r="S139" s="108">
        <f t="shared" si="64"/>
        <v>-9632.33</v>
      </c>
      <c r="T139" s="330"/>
      <c r="U139" s="330"/>
      <c r="V139" s="330"/>
      <c r="W139" s="330"/>
      <c r="X139" s="330"/>
      <c r="Y139" s="330"/>
      <c r="Z139" s="330"/>
      <c r="AA139" s="330"/>
    </row>
    <row r="140" spans="1:27" ht="13.5" customHeight="1" x14ac:dyDescent="0.25">
      <c r="B140" s="262"/>
      <c r="F140" s="385"/>
      <c r="G140" s="385"/>
      <c r="H140" s="385"/>
      <c r="I140" s="385"/>
      <c r="S140" s="108"/>
      <c r="T140" s="330"/>
      <c r="U140" s="330"/>
      <c r="V140" s="330"/>
      <c r="W140" s="330"/>
      <c r="X140" s="330"/>
      <c r="Y140" s="330"/>
      <c r="Z140" s="330"/>
      <c r="AA140" s="330"/>
    </row>
    <row r="141" spans="1:27" x14ac:dyDescent="0.25">
      <c r="E141" s="108"/>
      <c r="U141" s="337"/>
      <c r="V141" s="330"/>
    </row>
    <row r="142" spans="1:27" x14ac:dyDescent="0.25">
      <c r="N142" s="496" t="s">
        <v>322</v>
      </c>
      <c r="O142" s="496"/>
      <c r="P142" s="496"/>
      <c r="Q142" s="658" t="s">
        <v>237</v>
      </c>
      <c r="U142" s="337"/>
    </row>
    <row r="143" spans="1:27" x14ac:dyDescent="0.25">
      <c r="N143" t="s">
        <v>284</v>
      </c>
      <c r="Q143" s="531">
        <v>-30179.270000000586</v>
      </c>
    </row>
    <row r="144" spans="1:27" x14ac:dyDescent="0.25">
      <c r="N144" t="s">
        <v>285</v>
      </c>
      <c r="Q144" s="531">
        <v>-234913.97999999952</v>
      </c>
    </row>
    <row r="145" spans="5:17" x14ac:dyDescent="0.25">
      <c r="E145" s="502"/>
      <c r="N145" t="s">
        <v>286</v>
      </c>
      <c r="Q145" s="531">
        <v>9521.8100000000268</v>
      </c>
    </row>
    <row r="146" spans="5:17" x14ac:dyDescent="0.25">
      <c r="N146" t="s">
        <v>287</v>
      </c>
      <c r="Q146" s="531">
        <v>260492.97000000009</v>
      </c>
    </row>
    <row r="147" spans="5:17" x14ac:dyDescent="0.25">
      <c r="N147" t="s">
        <v>288</v>
      </c>
      <c r="Q147" s="531">
        <v>0</v>
      </c>
    </row>
    <row r="148" spans="5:17" x14ac:dyDescent="0.25">
      <c r="N148" t="s">
        <v>289</v>
      </c>
      <c r="Q148" s="531">
        <v>-4921.5300000000007</v>
      </c>
    </row>
    <row r="150" spans="5:17" x14ac:dyDescent="0.25">
      <c r="N150" s="496" t="s">
        <v>240</v>
      </c>
      <c r="O150" s="496"/>
      <c r="P150" s="496"/>
      <c r="Q150" s="658" t="s">
        <v>291</v>
      </c>
    </row>
    <row r="151" spans="5:17" x14ac:dyDescent="0.25">
      <c r="N151" t="s">
        <v>284</v>
      </c>
      <c r="Q151" s="108">
        <f>+Q134-Q143</f>
        <v>916058.73999999894</v>
      </c>
    </row>
    <row r="152" spans="5:17" x14ac:dyDescent="0.25">
      <c r="N152" t="s">
        <v>285</v>
      </c>
      <c r="Q152" s="108">
        <f t="shared" ref="Q152:Q156" si="70">+Q135-Q144</f>
        <v>-570953.28999999911</v>
      </c>
    </row>
    <row r="153" spans="5:17" x14ac:dyDescent="0.25">
      <c r="E153" s="502"/>
      <c r="N153" t="s">
        <v>286</v>
      </c>
      <c r="Q153" s="108">
        <f t="shared" si="70"/>
        <v>0</v>
      </c>
    </row>
    <row r="154" spans="5:17" x14ac:dyDescent="0.25">
      <c r="E154" s="502"/>
      <c r="N154" t="s">
        <v>287</v>
      </c>
      <c r="Q154" s="108">
        <f t="shared" si="70"/>
        <v>-345105.44999999995</v>
      </c>
    </row>
    <row r="155" spans="5:17" x14ac:dyDescent="0.25">
      <c r="E155" s="502"/>
      <c r="N155" t="s">
        <v>288</v>
      </c>
      <c r="Q155" s="108">
        <f t="shared" si="70"/>
        <v>0</v>
      </c>
    </row>
    <row r="156" spans="5:17" x14ac:dyDescent="0.25">
      <c r="E156" s="502"/>
      <c r="N156" t="s">
        <v>289</v>
      </c>
      <c r="Q156" s="108">
        <f t="shared" si="70"/>
        <v>0</v>
      </c>
    </row>
    <row r="157" spans="5:17" x14ac:dyDescent="0.25">
      <c r="Q157" s="108"/>
    </row>
  </sheetData>
  <mergeCells count="6">
    <mergeCell ref="V71:V72"/>
    <mergeCell ref="B1:Q1"/>
    <mergeCell ref="C2:R2"/>
    <mergeCell ref="T2:Z2"/>
    <mergeCell ref="C3:R3"/>
    <mergeCell ref="C4:R4"/>
  </mergeCells>
  <hyperlinks>
    <hyperlink ref="T2" r:id="rId1" xr:uid="{1322D4B8-D3AD-4801-A5C2-34619CF617BD}"/>
  </hyperlinks>
  <pageMargins left="0.25" right="0.25" top="0.2" bottom="0.15" header="0.3" footer="0.3"/>
  <pageSetup paperSize="5" scale="50" fitToHeight="2" orientation="landscape" r:id="rId2"/>
  <rowBreaks count="1" manualBreakCount="1">
    <brk id="71" max="1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C15D2-215E-489B-8B24-55558FB0F9CB}">
  <sheetPr>
    <pageSetUpPr fitToPage="1"/>
  </sheetPr>
  <dimension ref="A2:AC15"/>
  <sheetViews>
    <sheetView workbookViewId="0"/>
  </sheetViews>
  <sheetFormatPr defaultColWidth="9.140625" defaultRowHeight="15" x14ac:dyDescent="0.25"/>
  <cols>
    <col min="1" max="2" width="2.85546875" customWidth="1"/>
    <col min="3" max="3" width="40.7109375" bestFit="1" customWidth="1"/>
    <col min="4" max="13" width="10.85546875" customWidth="1"/>
    <col min="14" max="14" width="1.5703125" hidden="1" customWidth="1"/>
    <col min="15" max="15" width="10.85546875" customWidth="1"/>
    <col min="16" max="16" width="11.140625" bestFit="1" customWidth="1"/>
    <col min="17" max="17" width="10.28515625" bestFit="1" customWidth="1"/>
  </cols>
  <sheetData>
    <row r="2" spans="1:29" ht="15" customHeight="1" x14ac:dyDescent="0.25">
      <c r="C2" s="691" t="s">
        <v>125</v>
      </c>
      <c r="D2" s="691"/>
      <c r="E2" s="691"/>
      <c r="F2" s="691"/>
      <c r="G2" s="691"/>
      <c r="H2" s="691"/>
      <c r="I2" s="691"/>
      <c r="J2" s="691"/>
      <c r="K2" s="691"/>
      <c r="L2" s="691"/>
      <c r="M2" s="691"/>
      <c r="N2" s="691"/>
      <c r="O2" s="691"/>
      <c r="P2" s="691"/>
    </row>
    <row r="3" spans="1:29" ht="15" customHeight="1" x14ac:dyDescent="0.25">
      <c r="C3" s="691"/>
      <c r="D3" s="691"/>
      <c r="E3" s="691"/>
      <c r="F3" s="691"/>
      <c r="G3" s="691"/>
      <c r="H3" s="691"/>
      <c r="I3" s="691"/>
      <c r="J3" s="691"/>
      <c r="K3" s="691"/>
      <c r="L3" s="691"/>
      <c r="M3" s="691"/>
      <c r="N3" s="691"/>
      <c r="O3" s="691"/>
      <c r="P3" s="691"/>
    </row>
    <row r="4" spans="1:29" ht="15" customHeight="1" x14ac:dyDescent="0.25">
      <c r="C4" s="691"/>
      <c r="D4" s="691"/>
      <c r="E4" s="691"/>
      <c r="F4" s="691"/>
      <c r="G4" s="691"/>
      <c r="H4" s="691"/>
      <c r="I4" s="691"/>
      <c r="J4" s="691"/>
      <c r="K4" s="691"/>
      <c r="L4" s="691"/>
      <c r="M4" s="691"/>
      <c r="N4" s="691"/>
      <c r="O4" s="691"/>
      <c r="P4" s="691"/>
    </row>
    <row r="5" spans="1:29" ht="22.5" customHeight="1" x14ac:dyDescent="0.3">
      <c r="C5" s="692" t="s">
        <v>62</v>
      </c>
      <c r="D5" s="692"/>
      <c r="E5" s="692"/>
      <c r="F5" s="692"/>
      <c r="G5" s="692"/>
      <c r="H5" s="692"/>
      <c r="I5" s="692"/>
      <c r="J5" s="692"/>
      <c r="K5" s="692"/>
      <c r="L5" s="692"/>
      <c r="M5" s="692"/>
      <c r="N5" s="692"/>
      <c r="O5" s="692"/>
      <c r="P5" s="692"/>
    </row>
    <row r="6" spans="1:29" ht="18" x14ac:dyDescent="0.25">
      <c r="C6" s="513" t="s">
        <v>246</v>
      </c>
      <c r="D6" s="514" t="s">
        <v>155</v>
      </c>
      <c r="E6" s="514" t="s">
        <v>156</v>
      </c>
      <c r="F6" s="514" t="s">
        <v>157</v>
      </c>
      <c r="G6" s="514" t="s">
        <v>158</v>
      </c>
      <c r="H6" s="514" t="s">
        <v>23</v>
      </c>
      <c r="I6" s="514" t="s">
        <v>159</v>
      </c>
      <c r="J6" s="514" t="s">
        <v>160</v>
      </c>
      <c r="K6" s="514" t="s">
        <v>211</v>
      </c>
      <c r="L6" s="514" t="s">
        <v>162</v>
      </c>
      <c r="M6" s="514" t="s">
        <v>168</v>
      </c>
      <c r="N6" s="514"/>
      <c r="O6" s="514" t="s">
        <v>171</v>
      </c>
      <c r="P6" s="515" t="s">
        <v>173</v>
      </c>
    </row>
    <row r="7" spans="1:29" s="51" customFormat="1" ht="17.25" customHeight="1" x14ac:dyDescent="0.25">
      <c r="A7"/>
      <c r="B7" s="313"/>
      <c r="C7" s="512" t="s">
        <v>31</v>
      </c>
      <c r="D7" s="403">
        <v>35.9</v>
      </c>
      <c r="E7" s="403">
        <v>29.21</v>
      </c>
      <c r="F7" s="403">
        <v>24.77</v>
      </c>
      <c r="G7" s="403">
        <v>16.149999999999999</v>
      </c>
      <c r="H7" s="403">
        <v>10.35</v>
      </c>
      <c r="I7" s="403">
        <v>6.62</v>
      </c>
      <c r="J7" s="403">
        <v>5.42</v>
      </c>
      <c r="K7" s="403">
        <v>5.43</v>
      </c>
      <c r="L7" s="403">
        <v>6.58</v>
      </c>
      <c r="M7" s="403">
        <v>15.02</v>
      </c>
      <c r="N7" s="403"/>
      <c r="O7" s="403">
        <v>28.32</v>
      </c>
      <c r="P7" s="413">
        <v>36.729999999999997</v>
      </c>
      <c r="Q7" s="419">
        <f>SUM(D7:P7)</f>
        <v>220.5</v>
      </c>
      <c r="R7"/>
      <c r="S7"/>
      <c r="T7"/>
      <c r="U7"/>
      <c r="V7"/>
      <c r="W7"/>
      <c r="X7"/>
      <c r="Y7"/>
      <c r="Z7"/>
      <c r="AA7"/>
      <c r="AB7"/>
      <c r="AC7"/>
    </row>
    <row r="8" spans="1:29" s="51" customFormat="1" hidden="1" x14ac:dyDescent="0.25">
      <c r="A8"/>
      <c r="B8" s="313"/>
      <c r="C8" s="527"/>
      <c r="D8" s="505"/>
      <c r="E8" s="505"/>
      <c r="F8" s="505"/>
      <c r="G8" s="505"/>
      <c r="H8" s="505"/>
      <c r="I8" s="505"/>
      <c r="J8" s="505"/>
      <c r="K8" s="505"/>
      <c r="L8" s="505"/>
      <c r="M8" s="505"/>
      <c r="N8" s="505"/>
      <c r="O8" s="505"/>
      <c r="P8" s="506"/>
      <c r="Q8"/>
      <c r="R8"/>
      <c r="S8"/>
      <c r="T8"/>
      <c r="U8"/>
      <c r="V8"/>
      <c r="W8"/>
      <c r="X8"/>
      <c r="Y8"/>
      <c r="Z8"/>
      <c r="AA8"/>
      <c r="AB8"/>
      <c r="AC8"/>
    </row>
    <row r="9" spans="1:29" s="51" customFormat="1" ht="17.25" customHeight="1" x14ac:dyDescent="0.25">
      <c r="A9"/>
      <c r="B9" s="313"/>
      <c r="C9" s="528" t="s">
        <v>34</v>
      </c>
      <c r="D9" s="407">
        <v>149.31</v>
      </c>
      <c r="E9" s="407">
        <v>122.98</v>
      </c>
      <c r="F9" s="407">
        <v>97.52</v>
      </c>
      <c r="G9" s="407">
        <v>62.32</v>
      </c>
      <c r="H9" s="407">
        <v>43.36</v>
      </c>
      <c r="I9" s="407">
        <v>29.75</v>
      </c>
      <c r="J9" s="407">
        <v>30.78</v>
      </c>
      <c r="K9" s="407">
        <v>30.83</v>
      </c>
      <c r="L9" s="407">
        <v>39.96</v>
      </c>
      <c r="M9" s="407">
        <v>73.069999999999993</v>
      </c>
      <c r="N9" s="407"/>
      <c r="O9" s="407">
        <v>110.78</v>
      </c>
      <c r="P9" s="415">
        <v>142.26</v>
      </c>
      <c r="Q9" s="419">
        <f>SUM(D9:P9)</f>
        <v>932.92000000000007</v>
      </c>
      <c r="R9"/>
      <c r="S9"/>
      <c r="T9"/>
      <c r="U9"/>
      <c r="V9"/>
      <c r="W9"/>
      <c r="X9"/>
      <c r="Y9"/>
      <c r="Z9"/>
      <c r="AA9"/>
      <c r="AB9"/>
      <c r="AC9"/>
    </row>
    <row r="10" spans="1:29" hidden="1" x14ac:dyDescent="0.25">
      <c r="B10" s="313"/>
      <c r="C10" s="527"/>
      <c r="D10" s="507"/>
      <c r="E10" s="507"/>
      <c r="F10" s="507"/>
      <c r="G10" s="507"/>
      <c r="H10" s="507"/>
      <c r="I10" s="507"/>
      <c r="J10" s="507"/>
      <c r="K10" s="507"/>
      <c r="L10" s="507"/>
      <c r="M10" s="507"/>
      <c r="N10" s="507"/>
      <c r="O10" s="507"/>
      <c r="P10" s="508"/>
    </row>
    <row r="11" spans="1:29" ht="17.25" customHeight="1" x14ac:dyDescent="0.25">
      <c r="B11" s="313"/>
      <c r="C11" s="529" t="s">
        <v>35</v>
      </c>
      <c r="D11" s="509">
        <v>581.46</v>
      </c>
      <c r="E11" s="509">
        <v>505.98</v>
      </c>
      <c r="F11" s="509">
        <v>505.34</v>
      </c>
      <c r="G11" s="509">
        <v>435.38</v>
      </c>
      <c r="H11" s="509">
        <v>273.5</v>
      </c>
      <c r="I11" s="509">
        <v>244.29</v>
      </c>
      <c r="J11" s="509">
        <v>215.63</v>
      </c>
      <c r="K11" s="509">
        <v>190.27</v>
      </c>
      <c r="L11" s="509">
        <v>237.01</v>
      </c>
      <c r="M11" s="509">
        <v>380.49</v>
      </c>
      <c r="N11" s="509"/>
      <c r="O11" s="509">
        <v>328.18</v>
      </c>
      <c r="P11" s="510">
        <v>511.46</v>
      </c>
      <c r="Q11" s="419">
        <f>SUM(D11:P11)</f>
        <v>4408.9899999999989</v>
      </c>
    </row>
    <row r="12" spans="1:29" hidden="1" x14ac:dyDescent="0.25">
      <c r="B12" s="313"/>
      <c r="C12" s="527"/>
      <c r="D12" s="507"/>
      <c r="E12" s="507"/>
      <c r="F12" s="507"/>
      <c r="G12" s="507"/>
      <c r="H12" s="507"/>
      <c r="I12" s="507"/>
      <c r="J12" s="507"/>
      <c r="K12" s="507"/>
      <c r="L12" s="507"/>
      <c r="M12" s="507"/>
      <c r="N12" s="507"/>
      <c r="O12" s="507"/>
      <c r="P12" s="508"/>
    </row>
    <row r="13" spans="1:29" ht="17.25" customHeight="1" x14ac:dyDescent="0.25">
      <c r="B13" s="313"/>
      <c r="C13" s="529" t="s">
        <v>46</v>
      </c>
      <c r="D13" s="403">
        <v>3794.37</v>
      </c>
      <c r="E13" s="403">
        <v>3472.85</v>
      </c>
      <c r="F13" s="403">
        <v>3375.77</v>
      </c>
      <c r="G13" s="403">
        <v>3221.52</v>
      </c>
      <c r="H13" s="403">
        <v>1926.48</v>
      </c>
      <c r="I13" s="403">
        <v>1871.66</v>
      </c>
      <c r="J13" s="403">
        <v>1613.61</v>
      </c>
      <c r="K13" s="403">
        <v>1308.6300000000001</v>
      </c>
      <c r="L13" s="403">
        <v>1307.33</v>
      </c>
      <c r="M13" s="403">
        <v>1563.31</v>
      </c>
      <c r="N13" s="403"/>
      <c r="O13" s="403">
        <v>1818.81</v>
      </c>
      <c r="P13" s="413">
        <v>2892.27</v>
      </c>
      <c r="Q13" s="419">
        <f>SUM(D13:P13)</f>
        <v>28166.610000000004</v>
      </c>
    </row>
    <row r="14" spans="1:29" hidden="1" x14ac:dyDescent="0.25">
      <c r="B14" s="313"/>
      <c r="C14" s="527"/>
      <c r="D14" s="511"/>
      <c r="E14" s="511"/>
      <c r="F14" s="511"/>
      <c r="G14" s="511"/>
      <c r="H14" s="511"/>
      <c r="I14" s="511"/>
      <c r="J14" s="511"/>
      <c r="K14" s="511"/>
      <c r="L14" s="511"/>
      <c r="M14" s="511"/>
      <c r="N14" s="511"/>
      <c r="O14" s="511"/>
      <c r="P14" s="512"/>
    </row>
    <row r="15" spans="1:29" ht="17.25" customHeight="1" x14ac:dyDescent="0.25">
      <c r="B15" s="313"/>
      <c r="C15" s="530" t="s">
        <v>54</v>
      </c>
      <c r="D15" s="407">
        <v>2191.83</v>
      </c>
      <c r="E15" s="407">
        <v>2210.71</v>
      </c>
      <c r="F15" s="407">
        <v>1975.91</v>
      </c>
      <c r="G15" s="407">
        <v>1978.27</v>
      </c>
      <c r="H15" s="407">
        <v>1635.33</v>
      </c>
      <c r="I15" s="407">
        <v>1265.8800000000001</v>
      </c>
      <c r="J15" s="407">
        <v>1078.74</v>
      </c>
      <c r="K15" s="407">
        <v>1049.0899999999999</v>
      </c>
      <c r="L15" s="407">
        <v>991.07</v>
      </c>
      <c r="M15" s="407">
        <v>932.49</v>
      </c>
      <c r="N15" s="407"/>
      <c r="O15" s="407">
        <v>1763.62</v>
      </c>
      <c r="P15" s="415">
        <v>2172.65</v>
      </c>
      <c r="Q15" s="419">
        <f>SUM(D15:P15)</f>
        <v>19245.59</v>
      </c>
    </row>
  </sheetData>
  <mergeCells count="2">
    <mergeCell ref="C5:P5"/>
    <mergeCell ref="C2:P4"/>
  </mergeCells>
  <pageMargins left="0.3" right="0.25" top="0.42" bottom="0.43" header="0.3" footer="0.2"/>
  <pageSetup scale="7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6F322-F80F-4A17-8B5C-CE2DE03890AE}">
  <dimension ref="A1:Z166"/>
  <sheetViews>
    <sheetView workbookViewId="0"/>
  </sheetViews>
  <sheetFormatPr defaultColWidth="9.140625" defaultRowHeight="15" x14ac:dyDescent="0.25"/>
  <cols>
    <col min="1" max="1" width="1.85546875" customWidth="1"/>
    <col min="2" max="2" width="2.85546875" hidden="1" customWidth="1"/>
    <col min="3" max="3" width="49.42578125" customWidth="1"/>
    <col min="4" max="4" width="14.7109375" bestFit="1" customWidth="1"/>
    <col min="5" max="5" width="15.85546875" customWidth="1"/>
    <col min="6" max="6" width="15.28515625" customWidth="1"/>
    <col min="7" max="7" width="15.28515625" bestFit="1" customWidth="1"/>
    <col min="8" max="12" width="14.7109375" customWidth="1"/>
    <col min="13" max="13" width="15" bestFit="1" customWidth="1"/>
    <col min="14" max="14" width="15.5703125" bestFit="1" customWidth="1"/>
    <col min="15" max="15" width="15" bestFit="1" customWidth="1"/>
    <col min="16" max="16" width="15" customWidth="1"/>
    <col min="17" max="17" width="15" bestFit="1" customWidth="1"/>
    <col min="18" max="18" width="2" customWidth="1"/>
    <col min="19" max="19" width="18.28515625" customWidth="1"/>
    <col min="20" max="20" width="14.5703125" customWidth="1"/>
    <col min="21" max="21" width="14" bestFit="1" customWidth="1"/>
    <col min="22" max="22" width="9.28515625" bestFit="1" customWidth="1"/>
    <col min="23" max="23" width="9.140625" customWidth="1"/>
    <col min="24" max="24" width="0.7109375" customWidth="1"/>
    <col min="25" max="25" width="10.140625" bestFit="1" customWidth="1"/>
    <col min="26" max="26" width="9.140625" customWidth="1"/>
  </cols>
  <sheetData>
    <row r="1" spans="1:26" ht="10.5" customHeight="1" x14ac:dyDescent="0.3"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676"/>
      <c r="N1" s="676"/>
      <c r="O1" s="676"/>
      <c r="P1" s="676"/>
    </row>
    <row r="2" spans="1:26" ht="21" x14ac:dyDescent="0.35">
      <c r="C2" s="681" t="s">
        <v>69</v>
      </c>
      <c r="D2" s="681"/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 s="681"/>
      <c r="Q2" s="681"/>
      <c r="S2" s="678" t="s">
        <v>213</v>
      </c>
      <c r="T2" s="679"/>
      <c r="U2" s="679"/>
      <c r="V2" s="679"/>
      <c r="W2" s="679"/>
      <c r="X2" s="679"/>
      <c r="Y2" s="679"/>
      <c r="Z2" s="330"/>
    </row>
    <row r="3" spans="1:26" ht="17.25" x14ac:dyDescent="0.3">
      <c r="C3" s="693" t="s">
        <v>221</v>
      </c>
      <c r="D3" s="693"/>
      <c r="E3" s="693"/>
      <c r="F3" s="693"/>
      <c r="G3" s="693"/>
      <c r="H3" s="693"/>
      <c r="I3" s="693"/>
      <c r="J3" s="693"/>
      <c r="K3" s="693"/>
      <c r="L3" s="693"/>
      <c r="M3" s="693"/>
      <c r="N3" s="693"/>
      <c r="O3" s="693"/>
      <c r="P3" s="693"/>
      <c r="Q3" s="693"/>
      <c r="S3" s="330">
        <v>1501</v>
      </c>
      <c r="T3" s="330" t="s">
        <v>216</v>
      </c>
      <c r="U3" s="330"/>
      <c r="V3" s="330"/>
      <c r="W3" s="330"/>
      <c r="X3" s="330"/>
      <c r="Y3" s="330"/>
      <c r="Z3" s="330"/>
    </row>
    <row r="4" spans="1:26" ht="17.25" hidden="1" x14ac:dyDescent="0.3">
      <c r="B4" s="293"/>
      <c r="C4" s="293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6" t="s">
        <v>218</v>
      </c>
      <c r="S4" s="330"/>
      <c r="T4" s="330"/>
      <c r="U4" s="330"/>
      <c r="V4" s="330"/>
      <c r="W4" s="330"/>
      <c r="X4" s="330"/>
      <c r="Y4" s="330"/>
      <c r="Z4" s="330"/>
    </row>
    <row r="5" spans="1:26" ht="18" thickBot="1" x14ac:dyDescent="0.35">
      <c r="B5" s="293"/>
      <c r="C5" s="293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55"/>
      <c r="P5" s="355"/>
      <c r="Q5" s="356"/>
      <c r="S5" s="334" t="s">
        <v>215</v>
      </c>
      <c r="T5" s="330" t="s">
        <v>217</v>
      </c>
      <c r="U5" s="330"/>
      <c r="V5" s="330"/>
      <c r="W5" s="330"/>
      <c r="X5" s="330"/>
      <c r="Y5" s="330"/>
      <c r="Z5" s="330"/>
    </row>
    <row r="6" spans="1:26" ht="15.75" x14ac:dyDescent="0.25">
      <c r="A6" s="313"/>
      <c r="B6" s="470" t="s">
        <v>66</v>
      </c>
      <c r="C6" s="471"/>
      <c r="D6" s="472">
        <v>44227</v>
      </c>
      <c r="E6" s="472">
        <f>+D6+28</f>
        <v>44255</v>
      </c>
      <c r="F6" s="472">
        <f t="shared" ref="F6:M6" si="0">+E6+29</f>
        <v>44284</v>
      </c>
      <c r="G6" s="472">
        <f t="shared" si="0"/>
        <v>44313</v>
      </c>
      <c r="H6" s="472">
        <f t="shared" si="0"/>
        <v>44342</v>
      </c>
      <c r="I6" s="472">
        <f t="shared" si="0"/>
        <v>44371</v>
      </c>
      <c r="J6" s="472">
        <f t="shared" si="0"/>
        <v>44400</v>
      </c>
      <c r="K6" s="472">
        <f t="shared" si="0"/>
        <v>44429</v>
      </c>
      <c r="L6" s="472">
        <f t="shared" si="0"/>
        <v>44458</v>
      </c>
      <c r="M6" s="472">
        <f t="shared" si="0"/>
        <v>44487</v>
      </c>
      <c r="N6" s="473" t="s">
        <v>147</v>
      </c>
      <c r="O6" s="472">
        <f>+M6+29</f>
        <v>44516</v>
      </c>
      <c r="P6" s="472">
        <f>+O6+29</f>
        <v>44545</v>
      </c>
      <c r="Q6" s="474" t="s">
        <v>135</v>
      </c>
      <c r="R6" s="358"/>
      <c r="U6" s="330"/>
      <c r="V6" s="330"/>
      <c r="W6" s="330"/>
      <c r="X6" s="330"/>
      <c r="Y6" s="330"/>
      <c r="Z6" s="330"/>
    </row>
    <row r="7" spans="1:26" x14ac:dyDescent="0.25">
      <c r="A7" s="313"/>
      <c r="B7" s="360"/>
      <c r="C7" s="364" t="s">
        <v>136</v>
      </c>
      <c r="D7" s="469">
        <v>3.2500000000000001E-2</v>
      </c>
      <c r="E7" s="469">
        <v>3.2500000000000001E-2</v>
      </c>
      <c r="F7" s="469">
        <v>3.2500000000000001E-2</v>
      </c>
      <c r="G7" s="469">
        <v>3.2500000000000001E-2</v>
      </c>
      <c r="H7" s="469">
        <v>3.2500000000000001E-2</v>
      </c>
      <c r="I7" s="469">
        <v>3.2500000000000001E-2</v>
      </c>
      <c r="J7" s="469">
        <v>3.2500000000000001E-2</v>
      </c>
      <c r="K7" s="469">
        <v>3.2500000000000001E-2</v>
      </c>
      <c r="L7" s="469">
        <v>3.2500000000000001E-2</v>
      </c>
      <c r="M7" s="469">
        <v>3.2500000000000001E-2</v>
      </c>
      <c r="N7" s="469"/>
      <c r="O7" s="469">
        <v>3.2500000000000001E-2</v>
      </c>
      <c r="P7" s="469">
        <v>3.2500000000000001E-2</v>
      </c>
      <c r="Q7" s="451"/>
      <c r="R7" s="358"/>
      <c r="T7" s="330"/>
      <c r="U7" s="330"/>
      <c r="V7" s="330"/>
      <c r="W7" s="330"/>
      <c r="X7" s="330"/>
      <c r="Y7" s="330"/>
      <c r="Z7" s="331"/>
    </row>
    <row r="8" spans="1:26" ht="15.75" x14ac:dyDescent="0.25">
      <c r="A8" s="313"/>
      <c r="B8" s="361"/>
      <c r="C8" s="364" t="s">
        <v>140</v>
      </c>
      <c r="D8" s="341">
        <v>31</v>
      </c>
      <c r="E8" s="396">
        <v>28</v>
      </c>
      <c r="F8" s="341">
        <v>31</v>
      </c>
      <c r="G8" s="341">
        <v>30</v>
      </c>
      <c r="H8" s="341">
        <v>31</v>
      </c>
      <c r="I8" s="341">
        <v>30</v>
      </c>
      <c r="J8" s="341">
        <v>31</v>
      </c>
      <c r="K8" s="341">
        <v>31</v>
      </c>
      <c r="L8" s="341">
        <v>30</v>
      </c>
      <c r="M8" s="341">
        <v>31</v>
      </c>
      <c r="N8" s="341"/>
      <c r="O8" s="341">
        <v>30</v>
      </c>
      <c r="P8" s="396">
        <v>31</v>
      </c>
      <c r="Q8" s="451"/>
    </row>
    <row r="9" spans="1:26" x14ac:dyDescent="0.25">
      <c r="A9" s="313"/>
      <c r="B9" t="s">
        <v>84</v>
      </c>
      <c r="C9" s="365" t="s">
        <v>200</v>
      </c>
      <c r="D9" s="113"/>
      <c r="E9" s="113"/>
      <c r="F9" s="108"/>
      <c r="G9" s="108"/>
      <c r="H9" s="113"/>
      <c r="I9" s="113"/>
      <c r="J9" s="113"/>
      <c r="K9" s="113"/>
      <c r="L9" s="113"/>
      <c r="M9" s="113"/>
      <c r="N9" s="113"/>
      <c r="O9" s="113"/>
      <c r="P9" s="113"/>
      <c r="Q9" s="452"/>
      <c r="S9" s="330"/>
      <c r="T9" s="330"/>
      <c r="U9" s="444" t="s">
        <v>92</v>
      </c>
      <c r="V9" s="330"/>
      <c r="W9" s="330"/>
      <c r="X9" s="330"/>
      <c r="Y9" s="330"/>
      <c r="Z9" s="330"/>
    </row>
    <row r="10" spans="1:26" ht="15.75" x14ac:dyDescent="0.25">
      <c r="A10" s="313"/>
      <c r="B10" s="295" t="s">
        <v>64</v>
      </c>
      <c r="C10" s="362" t="s">
        <v>172</v>
      </c>
      <c r="D10" s="250">
        <v>197747</v>
      </c>
      <c r="E10" s="250">
        <v>198046</v>
      </c>
      <c r="F10" s="250">
        <v>198280</v>
      </c>
      <c r="G10" s="250">
        <v>198337</v>
      </c>
      <c r="H10" s="250">
        <v>198399</v>
      </c>
      <c r="I10" s="250">
        <v>198332</v>
      </c>
      <c r="J10" s="250">
        <v>198308</v>
      </c>
      <c r="K10" s="250">
        <v>198481</v>
      </c>
      <c r="L10" s="250">
        <v>198865</v>
      </c>
      <c r="M10" s="250">
        <v>199652</v>
      </c>
      <c r="N10" s="479"/>
      <c r="O10" s="250">
        <v>200087</v>
      </c>
      <c r="P10" s="250">
        <v>200510</v>
      </c>
      <c r="Q10" s="99"/>
      <c r="S10" s="330">
        <v>4800</v>
      </c>
      <c r="T10" s="430">
        <v>503</v>
      </c>
      <c r="U10" s="332">
        <v>16399782</v>
      </c>
      <c r="V10" s="333"/>
      <c r="W10" s="425" t="s">
        <v>90</v>
      </c>
      <c r="X10" s="330"/>
      <c r="Y10" s="425" t="s">
        <v>214</v>
      </c>
      <c r="Z10" s="330"/>
    </row>
    <row r="11" spans="1:26" ht="15.75" x14ac:dyDescent="0.25">
      <c r="A11" s="313"/>
      <c r="B11" s="295" t="s">
        <v>71</v>
      </c>
      <c r="C11" s="366" t="s">
        <v>210</v>
      </c>
      <c r="D11" s="251">
        <v>6116850.1600000001</v>
      </c>
      <c r="E11" s="251">
        <v>5779432.96</v>
      </c>
      <c r="F11" s="251">
        <v>6114169.4800000004</v>
      </c>
      <c r="G11" s="251">
        <v>4215959.9800000004</v>
      </c>
      <c r="H11" s="251">
        <v>2058083.45</v>
      </c>
      <c r="I11" s="251">
        <v>1605402.25</v>
      </c>
      <c r="J11" s="251">
        <v>947784.4</v>
      </c>
      <c r="K11" s="251">
        <v>831332.58</v>
      </c>
      <c r="L11" s="251">
        <v>945885.53</v>
      </c>
      <c r="M11" s="251">
        <v>1658362.91</v>
      </c>
      <c r="N11" s="480"/>
      <c r="O11" s="251">
        <v>3105684.32</v>
      </c>
      <c r="P11" s="251">
        <v>5128862.79</v>
      </c>
      <c r="Q11" s="362"/>
      <c r="S11" s="334" t="s">
        <v>90</v>
      </c>
      <c r="T11" s="335">
        <v>5128862.79</v>
      </c>
      <c r="U11" s="336">
        <f>T11/U10</f>
        <v>0.31273969312518912</v>
      </c>
      <c r="V11" s="336">
        <f>T11/U10</f>
        <v>0.31273969312518912</v>
      </c>
      <c r="W11" s="330">
        <v>0.31274000000000002</v>
      </c>
      <c r="X11" s="330"/>
      <c r="Y11" s="336">
        <f>W11-V11</f>
        <v>3.0687481089586299E-7</v>
      </c>
      <c r="Z11" s="330"/>
    </row>
    <row r="12" spans="1:26" ht="15.75" x14ac:dyDescent="0.25">
      <c r="A12" s="313"/>
      <c r="B12" s="295" t="s">
        <v>72</v>
      </c>
      <c r="C12" s="367" t="s">
        <v>223</v>
      </c>
      <c r="D12" s="465">
        <v>12651421</v>
      </c>
      <c r="E12" s="465">
        <v>13677184</v>
      </c>
      <c r="F12" s="465">
        <v>8870023</v>
      </c>
      <c r="G12" s="465">
        <v>3671024</v>
      </c>
      <c r="H12" s="465">
        <v>2344541</v>
      </c>
      <c r="I12" s="465">
        <v>339559</v>
      </c>
      <c r="J12" s="465">
        <v>1242836</v>
      </c>
      <c r="K12" s="465">
        <v>1319541</v>
      </c>
      <c r="L12" s="465">
        <v>2292851</v>
      </c>
      <c r="M12" s="465">
        <v>6025339</v>
      </c>
      <c r="N12" s="480"/>
      <c r="O12" s="465">
        <f>11107830</f>
        <v>11107830</v>
      </c>
      <c r="P12" s="465">
        <v>18737908</v>
      </c>
      <c r="Q12" s="99"/>
      <c r="S12" s="334" t="s">
        <v>91</v>
      </c>
      <c r="T12" s="335">
        <v>8431269.9299999997</v>
      </c>
      <c r="U12" s="336">
        <f>T12/U10</f>
        <v>0.51410865888339241</v>
      </c>
      <c r="V12" s="336">
        <f>T12/U10</f>
        <v>0.51410865888339241</v>
      </c>
      <c r="W12" s="330">
        <v>0.51615999999999995</v>
      </c>
      <c r="X12" s="330"/>
      <c r="Y12" s="336">
        <f>W12-V12</f>
        <v>2.0513411166075413E-3</v>
      </c>
      <c r="Z12" s="330"/>
    </row>
    <row r="13" spans="1:26" ht="15.75" x14ac:dyDescent="0.25">
      <c r="A13" s="313"/>
      <c r="B13" s="295"/>
      <c r="C13" s="367" t="s">
        <v>224</v>
      </c>
      <c r="D13" s="347">
        <f>ROUND(D12*0.31073,2)</f>
        <v>3931176.05</v>
      </c>
      <c r="E13" s="347">
        <f>ROUND(E12*0.31073,2)</f>
        <v>4249911.38</v>
      </c>
      <c r="F13" s="347">
        <f>ROUND(F12*0.31073,2)</f>
        <v>2756182.25</v>
      </c>
      <c r="G13" s="347">
        <f>ROUND(G12*0.31073,2)</f>
        <v>1140697.29</v>
      </c>
      <c r="H13" s="347">
        <f>ROUND(H12*0.31073,2)</f>
        <v>728519.22</v>
      </c>
      <c r="I13" s="347">
        <f t="shared" ref="I13:M13" si="1">ROUND(I12*0.31274,2)</f>
        <v>106193.68</v>
      </c>
      <c r="J13" s="347">
        <f t="shared" si="1"/>
        <v>388684.53</v>
      </c>
      <c r="K13" s="347">
        <f t="shared" si="1"/>
        <v>412673.25</v>
      </c>
      <c r="L13" s="347">
        <f t="shared" si="1"/>
        <v>717066.22</v>
      </c>
      <c r="M13" s="347">
        <f t="shared" si="1"/>
        <v>1884364.52</v>
      </c>
      <c r="N13" s="480"/>
      <c r="O13" s="347">
        <f>ROUND(O12*0.31274,2)</f>
        <v>3473862.75</v>
      </c>
      <c r="P13" s="347">
        <f>ROUND(P12*0.31274,2)</f>
        <v>5860093.3499999996</v>
      </c>
      <c r="Q13" s="99"/>
      <c r="S13" s="445"/>
      <c r="T13" s="335"/>
      <c r="U13" s="336"/>
      <c r="V13" s="336"/>
      <c r="W13" s="330"/>
      <c r="X13" s="330"/>
      <c r="Y13" s="336"/>
      <c r="Z13" s="330"/>
    </row>
    <row r="14" spans="1:26" x14ac:dyDescent="0.25">
      <c r="A14" s="313"/>
      <c r="B14" s="295" t="s">
        <v>72</v>
      </c>
      <c r="C14" s="366" t="s">
        <v>184</v>
      </c>
      <c r="D14" s="88">
        <f>-'WACAP 2020'!P11</f>
        <v>-4103145.22</v>
      </c>
      <c r="E14" s="88">
        <f t="shared" ref="E14:M14" si="2">-D13</f>
        <v>-3931176.05</v>
      </c>
      <c r="F14" s="88">
        <f t="shared" si="2"/>
        <v>-4249911.38</v>
      </c>
      <c r="G14" s="88">
        <f t="shared" si="2"/>
        <v>-2756182.25</v>
      </c>
      <c r="H14" s="88">
        <f t="shared" si="2"/>
        <v>-1140697.29</v>
      </c>
      <c r="I14" s="88">
        <f t="shared" si="2"/>
        <v>-728519.22</v>
      </c>
      <c r="J14" s="88">
        <f t="shared" si="2"/>
        <v>-106193.68</v>
      </c>
      <c r="K14" s="88">
        <f t="shared" si="2"/>
        <v>-388684.53</v>
      </c>
      <c r="L14" s="88">
        <f t="shared" si="2"/>
        <v>-412673.25</v>
      </c>
      <c r="M14" s="88">
        <f t="shared" si="2"/>
        <v>-717066.22</v>
      </c>
      <c r="N14" s="205"/>
      <c r="O14" s="88">
        <f>-M13</f>
        <v>-1884364.52</v>
      </c>
      <c r="P14" s="88">
        <f>-O13</f>
        <v>-3473862.75</v>
      </c>
      <c r="Q14" s="99"/>
      <c r="S14" s="333"/>
      <c r="T14" s="330"/>
      <c r="U14" s="333"/>
      <c r="V14" s="333"/>
      <c r="W14" s="330"/>
      <c r="X14" s="330"/>
      <c r="Y14" s="330"/>
      <c r="Z14" s="330"/>
    </row>
    <row r="15" spans="1:26" x14ac:dyDescent="0.25">
      <c r="A15" s="313"/>
      <c r="B15" s="295"/>
      <c r="C15" s="364" t="s">
        <v>74</v>
      </c>
      <c r="D15" s="108">
        <f t="shared" ref="D15:M15" si="3">D13+D11+D14</f>
        <v>5944880.9900000002</v>
      </c>
      <c r="E15" s="108">
        <f t="shared" si="3"/>
        <v>6098168.29</v>
      </c>
      <c r="F15" s="108">
        <f t="shared" si="3"/>
        <v>4620440.3500000006</v>
      </c>
      <c r="G15" s="108">
        <f t="shared" si="3"/>
        <v>2600475.0200000005</v>
      </c>
      <c r="H15" s="108">
        <f t="shared" si="3"/>
        <v>1645905.38</v>
      </c>
      <c r="I15" s="108">
        <f t="shared" si="3"/>
        <v>983076.71</v>
      </c>
      <c r="J15" s="108">
        <f t="shared" si="3"/>
        <v>1230275.2500000002</v>
      </c>
      <c r="K15" s="108">
        <f t="shared" si="3"/>
        <v>855321.3</v>
      </c>
      <c r="L15" s="108">
        <f t="shared" si="3"/>
        <v>1250278.5</v>
      </c>
      <c r="M15" s="108">
        <f t="shared" si="3"/>
        <v>2825661.21</v>
      </c>
      <c r="N15" s="206"/>
      <c r="O15" s="108">
        <f>O13+O11+O14</f>
        <v>4695182.5500000007</v>
      </c>
      <c r="P15" s="108">
        <f>P13+P11+P14</f>
        <v>7515093.3900000006</v>
      </c>
      <c r="Q15" s="362"/>
      <c r="S15" s="464"/>
      <c r="T15" s="462"/>
      <c r="U15" s="336"/>
      <c r="V15" s="336"/>
      <c r="W15" s="330"/>
      <c r="X15" s="330"/>
      <c r="Y15" s="336"/>
      <c r="Z15" s="330"/>
    </row>
    <row r="16" spans="1:26" x14ac:dyDescent="0.25">
      <c r="A16" s="313"/>
      <c r="B16" s="295"/>
      <c r="C16" s="364" t="s">
        <v>73</v>
      </c>
      <c r="D16" s="309">
        <f>ROUND(-'Authorized Margins 2020'!D7*'WACAP 2021'!D10,2)</f>
        <v>-7233585.2599999998</v>
      </c>
      <c r="E16" s="88">
        <f>ROUND(-'Authorized Margins 2020'!E7*'WACAP 2021'!E10,2)</f>
        <v>-5674017.9000000004</v>
      </c>
      <c r="F16" s="88">
        <f>ROUND(-'Authorized Margins 2020'!F7*'WACAP 2021'!F10,2)</f>
        <v>-4623889.5999999996</v>
      </c>
      <c r="G16" s="88">
        <f>ROUND(-'Authorized Margins 2020'!G7*'WACAP 2021'!G10,2)</f>
        <v>-3179342.11</v>
      </c>
      <c r="H16" s="88">
        <f>ROUND(-'Authorized Margins 2020'!H7*'WACAP 2021'!H10,2)</f>
        <v>-1904630.4</v>
      </c>
      <c r="I16" s="88">
        <f>ROUND(-'Authorized Margins 2020'!I7*'WACAP 2021'!I10,2)</f>
        <v>-1213791.8400000001</v>
      </c>
      <c r="J16" s="88">
        <f>ROUND(-'Authorized Margins 2021'!J7*'WACAP 2021'!J10,2)</f>
        <v>-975675.36</v>
      </c>
      <c r="K16" s="88">
        <f>ROUND(-'Authorized Margins 2021'!K7*'WACAP 2021'!K10,2)</f>
        <v>-978511.33</v>
      </c>
      <c r="L16" s="88">
        <f>ROUND(-'Authorized Margins 2021'!L7*'WACAP 2021'!L10,2)</f>
        <v>-1250860.8500000001</v>
      </c>
      <c r="M16" s="88">
        <f>ROUND(-'Authorized Margins 2021'!M7*'WACAP 2021'!M10,2)</f>
        <v>-2876985.32</v>
      </c>
      <c r="N16" s="209"/>
      <c r="O16" s="88">
        <f>ROUND(-'Authorized Margins 2021'!O7*'WACAP 2021'!O10,2)</f>
        <v>-5386342.04</v>
      </c>
      <c r="P16" s="88">
        <f>ROUND(-'Authorized Margins 2021'!P7*'WACAP 2021'!P10,2)</f>
        <v>-7240416.0999999996</v>
      </c>
      <c r="Q16" s="362"/>
      <c r="S16" s="330"/>
      <c r="T16" s="330"/>
      <c r="U16" s="330"/>
      <c r="V16" s="330"/>
      <c r="W16" s="330"/>
      <c r="X16" s="330"/>
      <c r="Y16" s="330"/>
      <c r="Z16" s="330"/>
    </row>
    <row r="17" spans="1:26" x14ac:dyDescent="0.25">
      <c r="A17" s="313"/>
      <c r="B17" s="295"/>
      <c r="C17" s="364" t="s">
        <v>201</v>
      </c>
      <c r="D17" s="187">
        <f t="shared" ref="D17:P17" si="4">SUM(D15:D16)</f>
        <v>-1288704.2699999996</v>
      </c>
      <c r="E17" s="187">
        <f t="shared" si="4"/>
        <v>424150.38999999966</v>
      </c>
      <c r="F17" s="199">
        <f>SUM(F15:F16)-37500</f>
        <v>-40949.249999999069</v>
      </c>
      <c r="G17" s="216">
        <f>SUM(G15:G16)</f>
        <v>-578867.08999999939</v>
      </c>
      <c r="H17" s="187">
        <f t="shared" si="4"/>
        <v>-258725.02000000002</v>
      </c>
      <c r="I17" s="187">
        <f t="shared" si="4"/>
        <v>-230715.13000000012</v>
      </c>
      <c r="J17" s="187">
        <f t="shared" si="4"/>
        <v>254599.89000000025</v>
      </c>
      <c r="K17" s="187">
        <f t="shared" si="4"/>
        <v>-123190.02999999991</v>
      </c>
      <c r="L17" s="216">
        <f>SUM(L15:L16)</f>
        <v>-582.35000000009313</v>
      </c>
      <c r="M17" s="199">
        <f>SUM(M15:M16)-11068.75</f>
        <v>-62392.85999999987</v>
      </c>
      <c r="N17" s="302">
        <f>-'WACAP 2020'!Q17</f>
        <v>1420894.4199999983</v>
      </c>
      <c r="O17" s="90">
        <f t="shared" si="4"/>
        <v>-691159.48999999929</v>
      </c>
      <c r="P17" s="90">
        <f t="shared" si="4"/>
        <v>274677.29000000097</v>
      </c>
      <c r="Q17" s="99">
        <f>SUM(D17:P17)-N17</f>
        <v>-2321857.9199999962</v>
      </c>
      <c r="S17" s="330"/>
      <c r="T17" s="330"/>
      <c r="U17" s="330"/>
      <c r="V17" s="330"/>
      <c r="W17" s="330"/>
      <c r="X17" s="330"/>
      <c r="Y17" s="330"/>
      <c r="Z17" s="330"/>
    </row>
    <row r="18" spans="1:26" x14ac:dyDescent="0.25">
      <c r="A18" s="313"/>
      <c r="B18" s="295"/>
      <c r="C18" s="364" t="s">
        <v>137</v>
      </c>
      <c r="D18" s="308">
        <f>ROUND(ROUND('WACAP 2020'!P18*D$7,2)/365*D$8,2)</f>
        <v>-3922.06</v>
      </c>
      <c r="E18" s="187">
        <f>ROUND(ROUND(D20*E$7,2)/365*E$8,2)</f>
        <v>-6765.22</v>
      </c>
      <c r="F18" s="187">
        <f t="shared" ref="F18:M18" si="5">ROUND(ROUND(E20*F$7,2)/365*F$8,2)</f>
        <v>-6337.96</v>
      </c>
      <c r="G18" s="187">
        <f t="shared" si="5"/>
        <v>-6259.83</v>
      </c>
      <c r="H18" s="187">
        <f t="shared" si="5"/>
        <v>-8083.6</v>
      </c>
      <c r="I18" s="187">
        <f t="shared" si="5"/>
        <v>-8535.5499999999993</v>
      </c>
      <c r="J18" s="187">
        <f t="shared" si="5"/>
        <v>-9480.4599999999991</v>
      </c>
      <c r="K18" s="187">
        <f t="shared" si="5"/>
        <v>-8803.86</v>
      </c>
      <c r="L18" s="187">
        <f t="shared" si="5"/>
        <v>-8872.4599999999991</v>
      </c>
      <c r="M18" s="187">
        <f t="shared" si="5"/>
        <v>-9194.2999999999993</v>
      </c>
      <c r="N18" s="231">
        <f>'Ammort Split 2021'!N15</f>
        <v>38933.39</v>
      </c>
      <c r="O18" s="187">
        <f>ROUND(ROUND(N20*O$7,2)/365*O$8,2)</f>
        <v>-5189.3999999999996</v>
      </c>
      <c r="P18" s="187">
        <f t="shared" ref="P18" si="6">ROUND(ROUND(O20*P$7,2)/365*P$8,2)</f>
        <v>-7284.49</v>
      </c>
      <c r="Q18" s="100">
        <f>SUM(D18:P18)</f>
        <v>-49795.8</v>
      </c>
      <c r="S18" s="330"/>
      <c r="T18" s="330"/>
      <c r="U18" s="330"/>
      <c r="V18" s="330"/>
      <c r="W18" s="330"/>
      <c r="X18" s="330"/>
      <c r="Y18" s="330"/>
      <c r="Z18" s="330"/>
    </row>
    <row r="19" spans="1:26" x14ac:dyDescent="0.25">
      <c r="A19" s="313"/>
      <c r="B19" s="295"/>
      <c r="C19" s="364" t="s">
        <v>138</v>
      </c>
      <c r="D19" s="189">
        <f t="shared" ref="D19:P19" si="7">SUM(D17:D18)</f>
        <v>-1292626.3299999996</v>
      </c>
      <c r="E19" s="189">
        <f t="shared" si="7"/>
        <v>417385.16999999969</v>
      </c>
      <c r="F19" s="189">
        <f t="shared" si="7"/>
        <v>-47287.209999999068</v>
      </c>
      <c r="G19" s="189">
        <f t="shared" si="7"/>
        <v>-585126.91999999934</v>
      </c>
      <c r="H19" s="189">
        <f t="shared" si="7"/>
        <v>-266808.62</v>
      </c>
      <c r="I19" s="189">
        <f t="shared" si="7"/>
        <v>-239250.68000000011</v>
      </c>
      <c r="J19" s="189">
        <f t="shared" si="7"/>
        <v>245119.43000000025</v>
      </c>
      <c r="K19" s="189">
        <f t="shared" si="7"/>
        <v>-131993.8899999999</v>
      </c>
      <c r="L19" s="189">
        <f t="shared" si="7"/>
        <v>-9454.8100000000923</v>
      </c>
      <c r="M19" s="189">
        <f t="shared" si="7"/>
        <v>-71587.159999999873</v>
      </c>
      <c r="N19" s="209">
        <f>SUM(N17:N18)</f>
        <v>1459827.8099999982</v>
      </c>
      <c r="O19" s="189">
        <f t="shared" si="7"/>
        <v>-696348.88999999932</v>
      </c>
      <c r="P19" s="189">
        <f t="shared" si="7"/>
        <v>267392.80000000098</v>
      </c>
      <c r="Q19" s="453">
        <f>SUM(Q17:Q18)</f>
        <v>-2371653.719999996</v>
      </c>
      <c r="S19" s="330"/>
      <c r="T19" s="330"/>
      <c r="V19" s="330"/>
      <c r="W19" s="330"/>
      <c r="X19" s="330"/>
      <c r="Y19" s="330"/>
      <c r="Z19" s="330"/>
    </row>
    <row r="20" spans="1:26" x14ac:dyDescent="0.25">
      <c r="A20" s="313"/>
      <c r="B20" s="295"/>
      <c r="C20" s="364" t="s">
        <v>139</v>
      </c>
      <c r="D20" s="308">
        <f>'WACAP 2020'!P18+'WACAP 2021'!D19</f>
        <v>-2713520.7499999972</v>
      </c>
      <c r="E20" s="187">
        <f t="shared" ref="E20:P20" si="8">D20+E19</f>
        <v>-2296135.5799999973</v>
      </c>
      <c r="F20" s="187">
        <f t="shared" si="8"/>
        <v>-2343422.7899999963</v>
      </c>
      <c r="G20" s="187">
        <f t="shared" si="8"/>
        <v>-2928549.7099999958</v>
      </c>
      <c r="H20" s="187">
        <f t="shared" si="8"/>
        <v>-3195358.3299999959</v>
      </c>
      <c r="I20" s="187">
        <f t="shared" si="8"/>
        <v>-3434609.0099999961</v>
      </c>
      <c r="J20" s="187">
        <f t="shared" si="8"/>
        <v>-3189489.5799999959</v>
      </c>
      <c r="K20" s="187">
        <f t="shared" si="8"/>
        <v>-3321483.469999996</v>
      </c>
      <c r="L20" s="187">
        <f t="shared" si="8"/>
        <v>-3330938.2799999961</v>
      </c>
      <c r="M20" s="187">
        <f t="shared" si="8"/>
        <v>-3402525.4399999958</v>
      </c>
      <c r="N20" s="208">
        <f t="shared" si="8"/>
        <v>-1942697.6299999976</v>
      </c>
      <c r="O20" s="187">
        <f t="shared" si="8"/>
        <v>-2639046.5199999968</v>
      </c>
      <c r="P20" s="397">
        <f t="shared" si="8"/>
        <v>-2371653.719999996</v>
      </c>
      <c r="Q20" s="362"/>
      <c r="S20" s="334"/>
      <c r="T20" s="330"/>
      <c r="V20" s="330"/>
      <c r="W20" s="330"/>
      <c r="X20" s="330"/>
      <c r="Y20" s="330"/>
      <c r="Z20" s="330"/>
    </row>
    <row r="21" spans="1:26" x14ac:dyDescent="0.25">
      <c r="A21" s="313"/>
      <c r="B21" s="295"/>
      <c r="C21" s="368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207"/>
      <c r="O21" s="90"/>
      <c r="P21" s="90"/>
      <c r="Q21" s="362"/>
      <c r="T21" s="462"/>
      <c r="V21" s="330"/>
      <c r="W21" s="330"/>
      <c r="X21" s="330"/>
      <c r="Y21" s="330"/>
      <c r="Z21" s="330"/>
    </row>
    <row r="22" spans="1:26" x14ac:dyDescent="0.25">
      <c r="A22" s="313"/>
      <c r="B22" t="s">
        <v>85</v>
      </c>
      <c r="C22" s="365" t="s">
        <v>198</v>
      </c>
      <c r="D22" s="113"/>
      <c r="E22" s="113"/>
      <c r="F22" s="108"/>
      <c r="G22" s="113"/>
      <c r="H22" s="113"/>
      <c r="I22" s="113"/>
      <c r="J22" s="113"/>
      <c r="K22" s="113"/>
      <c r="L22" s="113"/>
      <c r="M22" s="113"/>
      <c r="N22" s="204"/>
      <c r="O22" s="113"/>
      <c r="P22" s="113"/>
      <c r="Q22" s="362"/>
      <c r="S22" s="330"/>
      <c r="T22" s="330"/>
      <c r="U22" s="444" t="s">
        <v>92</v>
      </c>
      <c r="V22" s="330"/>
      <c r="W22" s="330"/>
      <c r="X22" s="330"/>
      <c r="Y22" s="330"/>
      <c r="Z22" s="330"/>
    </row>
    <row r="23" spans="1:26" ht="15.75" x14ac:dyDescent="0.25">
      <c r="A23" s="313"/>
      <c r="B23" s="295" t="s">
        <v>64</v>
      </c>
      <c r="C23" s="362" t="s">
        <v>172</v>
      </c>
      <c r="D23" s="250">
        <v>487</v>
      </c>
      <c r="E23" s="250">
        <v>485</v>
      </c>
      <c r="F23" s="250">
        <v>484</v>
      </c>
      <c r="G23" s="250">
        <v>483</v>
      </c>
      <c r="H23" s="250">
        <v>481</v>
      </c>
      <c r="I23" s="250">
        <v>480</v>
      </c>
      <c r="J23" s="250">
        <v>480</v>
      </c>
      <c r="K23" s="250">
        <v>480</v>
      </c>
      <c r="L23" s="250">
        <v>480</v>
      </c>
      <c r="M23" s="250">
        <v>483</v>
      </c>
      <c r="N23" s="479"/>
      <c r="O23" s="250">
        <v>484</v>
      </c>
      <c r="P23" s="250">
        <v>489</v>
      </c>
      <c r="Q23" s="99"/>
      <c r="S23" s="330">
        <v>4809</v>
      </c>
      <c r="T23" s="430">
        <v>505</v>
      </c>
      <c r="U23" s="332">
        <v>1371971</v>
      </c>
      <c r="V23" s="333"/>
      <c r="W23" s="425" t="s">
        <v>90</v>
      </c>
      <c r="X23" s="330"/>
      <c r="Y23" s="425" t="s">
        <v>214</v>
      </c>
      <c r="Z23" s="330"/>
    </row>
    <row r="24" spans="1:26" ht="15.75" x14ac:dyDescent="0.25">
      <c r="A24" s="313"/>
      <c r="B24" s="295" t="s">
        <v>71</v>
      </c>
      <c r="C24" s="366" t="s">
        <v>180</v>
      </c>
      <c r="D24" s="251">
        <v>38050.74</v>
      </c>
      <c r="E24" s="251">
        <v>37388.18</v>
      </c>
      <c r="F24" s="251">
        <v>38860.65</v>
      </c>
      <c r="G24" s="251">
        <v>34424.03</v>
      </c>
      <c r="H24" s="251">
        <v>25179.63</v>
      </c>
      <c r="I24" s="251">
        <v>22084.3</v>
      </c>
      <c r="J24" s="251">
        <v>17723.11</v>
      </c>
      <c r="K24" s="251">
        <v>16117.49</v>
      </c>
      <c r="L24" s="251">
        <v>18716.28</v>
      </c>
      <c r="M24" s="251">
        <v>23617.06</v>
      </c>
      <c r="N24" s="480"/>
      <c r="O24" s="251">
        <v>31068.639999999999</v>
      </c>
      <c r="P24" s="251">
        <v>36970.57</v>
      </c>
      <c r="Q24" s="99"/>
      <c r="S24" s="334" t="s">
        <v>90</v>
      </c>
      <c r="T24" s="335">
        <v>36970.57</v>
      </c>
      <c r="U24" s="336">
        <f>T24/U28</f>
        <v>0.20176036891508403</v>
      </c>
      <c r="V24" s="336">
        <f>T24/U28</f>
        <v>0.20176036891508403</v>
      </c>
      <c r="W24" s="330">
        <v>0.20175999999999999</v>
      </c>
      <c r="X24" s="330"/>
      <c r="Y24" s="336">
        <f>W24-V24</f>
        <v>-3.6891508403691375E-7</v>
      </c>
      <c r="Z24" s="330"/>
    </row>
    <row r="25" spans="1:26" ht="15.75" x14ac:dyDescent="0.25">
      <c r="A25" s="313"/>
      <c r="B25" s="295" t="s">
        <v>71</v>
      </c>
      <c r="C25" s="366" t="s">
        <v>181</v>
      </c>
      <c r="D25" s="251">
        <v>109209.9</v>
      </c>
      <c r="E25" s="251">
        <v>105193.07</v>
      </c>
      <c r="F25" s="251">
        <v>114092.06</v>
      </c>
      <c r="G25" s="251">
        <v>88630.55</v>
      </c>
      <c r="H25" s="251">
        <v>60574.43</v>
      </c>
      <c r="I25" s="251">
        <v>51299.68</v>
      </c>
      <c r="J25" s="251">
        <v>42848.42</v>
      </c>
      <c r="K25" s="251">
        <v>38395.58</v>
      </c>
      <c r="L25" s="251">
        <v>45843.79</v>
      </c>
      <c r="M25" s="251">
        <v>57135.11</v>
      </c>
      <c r="N25" s="480"/>
      <c r="O25" s="251">
        <v>74385.460000000006</v>
      </c>
      <c r="P25" s="251">
        <v>101879.38</v>
      </c>
      <c r="Q25" s="99"/>
      <c r="S25" s="334" t="s">
        <v>90</v>
      </c>
      <c r="T25" s="335">
        <v>101879.38</v>
      </c>
      <c r="U25" s="336">
        <f>T25/U29</f>
        <v>0.1648098964189057</v>
      </c>
      <c r="V25" s="336">
        <f>T25/U29</f>
        <v>0.1648098964189057</v>
      </c>
      <c r="W25" s="330">
        <v>0.16481000000000001</v>
      </c>
      <c r="X25" s="330"/>
      <c r="Y25" s="336">
        <f>W25-V25</f>
        <v>1.0358109431285456E-7</v>
      </c>
      <c r="Z25" s="330"/>
    </row>
    <row r="26" spans="1:26" ht="15.75" x14ac:dyDescent="0.25">
      <c r="A26" s="313"/>
      <c r="B26" s="295" t="s">
        <v>71</v>
      </c>
      <c r="C26" s="366" t="s">
        <v>182</v>
      </c>
      <c r="D26" s="252">
        <v>65801.440000000002</v>
      </c>
      <c r="E26" s="252">
        <v>64135.76</v>
      </c>
      <c r="F26" s="252">
        <v>76141.53</v>
      </c>
      <c r="G26" s="252">
        <v>57126.84</v>
      </c>
      <c r="H26" s="252">
        <v>30008.639999999999</v>
      </c>
      <c r="I26" s="252">
        <v>26177.1</v>
      </c>
      <c r="J26" s="252">
        <v>23789.98</v>
      </c>
      <c r="K26" s="252">
        <v>24792.09</v>
      </c>
      <c r="L26" s="252">
        <v>34748.730000000003</v>
      </c>
      <c r="M26" s="252">
        <v>121666.18</v>
      </c>
      <c r="N26" s="481"/>
      <c r="O26" s="252">
        <v>52494.12</v>
      </c>
      <c r="P26" s="251">
        <v>92321.76</v>
      </c>
      <c r="Q26" s="99"/>
      <c r="S26" s="334" t="s">
        <v>90</v>
      </c>
      <c r="T26" s="335">
        <v>92321.76</v>
      </c>
      <c r="U26" s="336">
        <f>T26/U30</f>
        <v>0.15923008066560768</v>
      </c>
      <c r="V26" s="336">
        <f>T26/U30</f>
        <v>0.15923008066560768</v>
      </c>
      <c r="W26" s="330">
        <v>0.15923000000000001</v>
      </c>
      <c r="X26" s="330"/>
      <c r="Y26" s="336">
        <f>W26-V26</f>
        <v>-8.0665607665730832E-8</v>
      </c>
      <c r="Z26" s="330"/>
    </row>
    <row r="27" spans="1:26" ht="15.75" x14ac:dyDescent="0.25">
      <c r="A27" s="313"/>
      <c r="B27" s="271"/>
      <c r="C27" s="364" t="s">
        <v>74</v>
      </c>
      <c r="D27" s="108">
        <f t="shared" ref="D27:M27" si="9">SUM(D24:D26)</f>
        <v>213062.08</v>
      </c>
      <c r="E27" s="108">
        <f t="shared" si="9"/>
        <v>206717.01</v>
      </c>
      <c r="F27" s="108">
        <f t="shared" si="9"/>
        <v>229094.24</v>
      </c>
      <c r="G27" s="108">
        <f t="shared" si="9"/>
        <v>180181.41999999998</v>
      </c>
      <c r="H27" s="108">
        <f t="shared" si="9"/>
        <v>115762.7</v>
      </c>
      <c r="I27" s="108">
        <f t="shared" si="9"/>
        <v>99561.079999999987</v>
      </c>
      <c r="J27" s="108">
        <f t="shared" si="9"/>
        <v>84361.51</v>
      </c>
      <c r="K27" s="108">
        <f t="shared" si="9"/>
        <v>79305.16</v>
      </c>
      <c r="L27" s="108">
        <f t="shared" si="9"/>
        <v>99308.800000000003</v>
      </c>
      <c r="M27" s="108">
        <f t="shared" si="9"/>
        <v>202418.34999999998</v>
      </c>
      <c r="N27" s="206"/>
      <c r="O27" s="108">
        <f>SUM(O24:O26)</f>
        <v>157948.22</v>
      </c>
      <c r="P27" s="423">
        <f>SUM(P24:P26)</f>
        <v>231171.71000000002</v>
      </c>
      <c r="Q27" s="362"/>
      <c r="S27" s="334" t="s">
        <v>91</v>
      </c>
      <c r="T27" s="335">
        <v>680022.73</v>
      </c>
      <c r="U27" s="336">
        <f>T27/U23</f>
        <v>0.49565386586159621</v>
      </c>
      <c r="V27" s="336">
        <f>T27/U23</f>
        <v>0.49565386586159621</v>
      </c>
      <c r="W27" s="463">
        <v>0.49941999999999998</v>
      </c>
      <c r="X27" s="330"/>
      <c r="Y27" s="336">
        <f>W27-V27</f>
        <v>3.766134138403765E-3</v>
      </c>
      <c r="Z27" s="330"/>
    </row>
    <row r="28" spans="1:26" x14ac:dyDescent="0.25">
      <c r="A28" s="313"/>
      <c r="B28" s="271"/>
      <c r="C28" s="364" t="s">
        <v>73</v>
      </c>
      <c r="D28" s="309">
        <f>ROUND(-'Authorized Margins 2020'!D11*'WACAP 2021'!D23,2)</f>
        <v>-275442.33</v>
      </c>
      <c r="E28" s="88">
        <f>ROUND(-'Authorized Margins 2020'!E11*'WACAP 2021'!E23,2)</f>
        <v>-218832</v>
      </c>
      <c r="F28" s="88">
        <f>ROUND(-'Authorized Margins 2020'!F11*'WACAP 2021'!F23,2)</f>
        <v>-242135.52</v>
      </c>
      <c r="G28" s="88">
        <f>ROUND(-'Authorized Margins 2020'!G11*'WACAP 2021'!G23,2)</f>
        <v>-189746.55</v>
      </c>
      <c r="H28" s="88">
        <f>ROUND(-'Authorized Margins 2020'!H11*'WACAP 2021'!H23,2)</f>
        <v>-137137.91</v>
      </c>
      <c r="I28" s="88">
        <f>ROUND(-'Authorized Margins 2020'!I11*'WACAP 2021'!I23,2)</f>
        <v>-101659.2</v>
      </c>
      <c r="J28" s="88">
        <f>ROUND(-'Authorized Margins 2021'!J11*'WACAP 2021'!J23,2)</f>
        <v>-89908.800000000003</v>
      </c>
      <c r="K28" s="88">
        <f>ROUND(-'Authorized Margins 2021'!K11*'WACAP 2021'!K23,2)</f>
        <v>-92371.199999999997</v>
      </c>
      <c r="L28" s="88">
        <f>ROUND(-'Authorized Margins 2021'!L11*'WACAP 2021'!L23,2)</f>
        <v>-108672</v>
      </c>
      <c r="M28" s="88">
        <f>ROUND(-'Authorized Margins 2021'!M11*'WACAP 2021'!M23,2)</f>
        <v>-215147.51999999999</v>
      </c>
      <c r="N28" s="209"/>
      <c r="O28" s="88">
        <f>ROUND(-'Authorized Margins 2021'!O11*'WACAP 2021'!O23,2)</f>
        <v>-193570.96</v>
      </c>
      <c r="P28" s="88">
        <f>ROUND(-'Authorized Margins 2021'!P11*'WACAP 2021'!P23,2)</f>
        <v>-237688.23</v>
      </c>
      <c r="Q28" s="362"/>
      <c r="S28" s="330"/>
      <c r="T28" s="330"/>
      <c r="U28" s="337">
        <f>ROUND(T24/W24,0)</f>
        <v>183240</v>
      </c>
      <c r="V28" s="330"/>
      <c r="W28" s="330"/>
      <c r="X28" s="330"/>
      <c r="Y28" s="330"/>
      <c r="Z28" s="330"/>
    </row>
    <row r="29" spans="1:26" x14ac:dyDescent="0.25">
      <c r="A29" s="313"/>
      <c r="B29" s="271"/>
      <c r="C29" s="364" t="s">
        <v>201</v>
      </c>
      <c r="D29" s="187">
        <f t="shared" ref="D29:P29" si="10">SUM(D27:D28)</f>
        <v>-62380.250000000029</v>
      </c>
      <c r="E29" s="187">
        <f t="shared" si="10"/>
        <v>-12114.989999999991</v>
      </c>
      <c r="F29" s="187">
        <f t="shared" si="10"/>
        <v>-13041.279999999999</v>
      </c>
      <c r="G29" s="187">
        <f t="shared" si="10"/>
        <v>-9565.1300000000047</v>
      </c>
      <c r="H29" s="187">
        <f t="shared" si="10"/>
        <v>-21375.210000000006</v>
      </c>
      <c r="I29" s="187">
        <f t="shared" si="10"/>
        <v>-2098.1200000000099</v>
      </c>
      <c r="J29" s="187">
        <f t="shared" si="10"/>
        <v>-5547.2900000000081</v>
      </c>
      <c r="K29" s="187">
        <f t="shared" si="10"/>
        <v>-13066.039999999994</v>
      </c>
      <c r="L29" s="187">
        <f t="shared" si="10"/>
        <v>-9363.1999999999971</v>
      </c>
      <c r="M29" s="187">
        <f t="shared" si="10"/>
        <v>-12729.170000000013</v>
      </c>
      <c r="N29" s="302">
        <f>-'WACAP 2020'!Q29</f>
        <v>128396.87999999996</v>
      </c>
      <c r="O29" s="187">
        <f t="shared" si="10"/>
        <v>-35622.739999999991</v>
      </c>
      <c r="P29" s="187">
        <f t="shared" si="10"/>
        <v>-6516.5199999999895</v>
      </c>
      <c r="Q29" s="99">
        <f>SUM(D29:P29)-N29</f>
        <v>-203419.94000000006</v>
      </c>
      <c r="S29" s="330"/>
      <c r="T29" s="330"/>
      <c r="U29" s="337">
        <f>ROUND(T25/W25,0)</f>
        <v>618163</v>
      </c>
      <c r="V29" s="330"/>
      <c r="W29" s="330"/>
      <c r="X29" s="330"/>
      <c r="Y29" s="330"/>
      <c r="Z29" s="330"/>
    </row>
    <row r="30" spans="1:26" x14ac:dyDescent="0.25">
      <c r="A30" s="313"/>
      <c r="B30" s="295"/>
      <c r="C30" s="364" t="s">
        <v>137</v>
      </c>
      <c r="D30" s="308">
        <f>ROUND(ROUND('WACAP 2020'!P30*D$7,2)/365*D$8,2)</f>
        <v>-354.41</v>
      </c>
      <c r="E30" s="187">
        <f>ROUND(ROUND(D32*E$7,2)/365*E$8,2)</f>
        <v>-476.52</v>
      </c>
      <c r="F30" s="187">
        <f t="shared" ref="F30:P30" si="11">ROUND(ROUND(E32*F$7,2)/365*F$8,2)</f>
        <v>-562.33000000000004</v>
      </c>
      <c r="G30" s="187">
        <f t="shared" si="11"/>
        <v>-580.53</v>
      </c>
      <c r="H30" s="187">
        <f t="shared" si="11"/>
        <v>-627.89</v>
      </c>
      <c r="I30" s="187">
        <f t="shared" si="11"/>
        <v>-666.41</v>
      </c>
      <c r="J30" s="187">
        <f t="shared" si="11"/>
        <v>-696.25</v>
      </c>
      <c r="K30" s="187">
        <f t="shared" si="11"/>
        <v>-713.48</v>
      </c>
      <c r="L30" s="187">
        <f t="shared" si="11"/>
        <v>-727.28</v>
      </c>
      <c r="M30" s="187">
        <f t="shared" si="11"/>
        <v>-779.37</v>
      </c>
      <c r="N30" s="231">
        <f>'Ammort Split 2021'!N28</f>
        <v>3518.1399999999994</v>
      </c>
      <c r="O30" s="187">
        <f>ROUND(ROUND(N32*O$7,2)/365*O$8,2)</f>
        <v>-437.94</v>
      </c>
      <c r="P30" s="187">
        <f t="shared" si="11"/>
        <v>-552.08000000000004</v>
      </c>
      <c r="Q30" s="100">
        <f>SUM(D30:P30)</f>
        <v>-3656.35</v>
      </c>
      <c r="S30" s="330"/>
      <c r="T30" s="330"/>
      <c r="U30" s="337">
        <f>ROUND(T26/W26,0)</f>
        <v>579801</v>
      </c>
      <c r="V30" s="330"/>
      <c r="W30" s="330"/>
      <c r="X30" s="330"/>
      <c r="Y30" s="330"/>
      <c r="Z30" s="330"/>
    </row>
    <row r="31" spans="1:26" x14ac:dyDescent="0.25">
      <c r="A31" s="313"/>
      <c r="B31" s="295"/>
      <c r="C31" s="364" t="s">
        <v>138</v>
      </c>
      <c r="D31" s="189">
        <f t="shared" ref="D31:P31" si="12">SUM(D29:D30)</f>
        <v>-62734.660000000033</v>
      </c>
      <c r="E31" s="189">
        <f t="shared" si="12"/>
        <v>-12591.509999999991</v>
      </c>
      <c r="F31" s="189">
        <f t="shared" si="12"/>
        <v>-13603.609999999999</v>
      </c>
      <c r="G31" s="189">
        <f t="shared" si="12"/>
        <v>-10145.660000000005</v>
      </c>
      <c r="H31" s="189">
        <f t="shared" si="12"/>
        <v>-22003.100000000006</v>
      </c>
      <c r="I31" s="189">
        <f t="shared" si="12"/>
        <v>-2764.5300000000097</v>
      </c>
      <c r="J31" s="189">
        <f t="shared" si="12"/>
        <v>-6243.5400000000081</v>
      </c>
      <c r="K31" s="189">
        <f t="shared" si="12"/>
        <v>-13779.519999999993</v>
      </c>
      <c r="L31" s="189">
        <f t="shared" si="12"/>
        <v>-10090.479999999998</v>
      </c>
      <c r="M31" s="189">
        <f t="shared" si="12"/>
        <v>-13508.540000000014</v>
      </c>
      <c r="N31" s="209">
        <f>SUM(N29:N30)</f>
        <v>131915.01999999996</v>
      </c>
      <c r="O31" s="189">
        <f t="shared" si="12"/>
        <v>-36060.679999999993</v>
      </c>
      <c r="P31" s="189">
        <f t="shared" si="12"/>
        <v>-7068.5999999999894</v>
      </c>
      <c r="Q31" s="453">
        <f>SUM(Q29:Q30)</f>
        <v>-207076.29000000007</v>
      </c>
      <c r="S31" s="330"/>
      <c r="T31" s="330"/>
      <c r="V31" s="330"/>
      <c r="W31" s="330"/>
      <c r="X31" s="330"/>
      <c r="Y31" s="330"/>
      <c r="Z31" s="330"/>
    </row>
    <row r="32" spans="1:26" x14ac:dyDescent="0.25">
      <c r="A32" s="313"/>
      <c r="B32" s="295"/>
      <c r="C32" s="364" t="s">
        <v>139</v>
      </c>
      <c r="D32" s="308">
        <f>'WACAP 2020'!P30+'WACAP 2021'!D31</f>
        <v>-191131.54000000004</v>
      </c>
      <c r="E32" s="187">
        <f t="shared" ref="E32:P32" si="13">D32+E31</f>
        <v>-203723.05000000002</v>
      </c>
      <c r="F32" s="187">
        <f t="shared" si="13"/>
        <v>-217326.66</v>
      </c>
      <c r="G32" s="187">
        <f t="shared" si="13"/>
        <v>-227472.32</v>
      </c>
      <c r="H32" s="187">
        <f t="shared" si="13"/>
        <v>-249475.42</v>
      </c>
      <c r="I32" s="187">
        <f t="shared" si="13"/>
        <v>-252239.95</v>
      </c>
      <c r="J32" s="187">
        <f t="shared" si="13"/>
        <v>-258483.49000000002</v>
      </c>
      <c r="K32" s="187">
        <f t="shared" si="13"/>
        <v>-272263.01</v>
      </c>
      <c r="L32" s="187">
        <f t="shared" si="13"/>
        <v>-282353.49</v>
      </c>
      <c r="M32" s="187">
        <f t="shared" si="13"/>
        <v>-295862.03000000003</v>
      </c>
      <c r="N32" s="208">
        <f>M32+N31</f>
        <v>-163947.01000000007</v>
      </c>
      <c r="O32" s="187">
        <f t="shared" si="13"/>
        <v>-200007.69000000006</v>
      </c>
      <c r="P32" s="397">
        <f t="shared" si="13"/>
        <v>-207076.29000000004</v>
      </c>
      <c r="Q32" s="362"/>
      <c r="S32" s="330"/>
      <c r="T32" s="330"/>
      <c r="V32" s="330"/>
      <c r="W32" s="330"/>
      <c r="X32" s="330"/>
      <c r="Y32" s="330"/>
      <c r="Z32" s="330"/>
    </row>
    <row r="33" spans="1:26" x14ac:dyDescent="0.25">
      <c r="A33" s="313"/>
      <c r="B33" s="271"/>
      <c r="C33" s="368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208"/>
      <c r="O33" s="187"/>
      <c r="P33" s="187"/>
      <c r="Q33" s="362"/>
      <c r="S33" s="334"/>
      <c r="T33" s="462"/>
      <c r="V33" s="330"/>
      <c r="W33" s="330"/>
      <c r="X33" s="330"/>
      <c r="Y33" s="330"/>
      <c r="Z33" s="330"/>
    </row>
    <row r="34" spans="1:26" x14ac:dyDescent="0.25">
      <c r="A34" s="313"/>
      <c r="B34" t="s">
        <v>85</v>
      </c>
      <c r="C34" s="365" t="s">
        <v>197</v>
      </c>
      <c r="D34" s="192"/>
      <c r="E34" s="192"/>
      <c r="F34" s="187"/>
      <c r="G34" s="192"/>
      <c r="H34" s="192"/>
      <c r="I34" s="192"/>
      <c r="J34" s="192"/>
      <c r="K34" s="192"/>
      <c r="L34" s="192"/>
      <c r="M34" s="192"/>
      <c r="N34" s="202"/>
      <c r="O34" s="192"/>
      <c r="P34" s="192"/>
      <c r="Q34" s="362"/>
      <c r="S34" s="330"/>
      <c r="T34" s="330"/>
      <c r="U34" s="444" t="s">
        <v>92</v>
      </c>
      <c r="V34" s="330"/>
      <c r="W34" s="330"/>
      <c r="X34" s="330"/>
      <c r="Y34" s="330"/>
      <c r="Z34" s="330"/>
    </row>
    <row r="35" spans="1:26" ht="15.75" x14ac:dyDescent="0.25">
      <c r="A35" s="313"/>
      <c r="B35" s="295" t="s">
        <v>64</v>
      </c>
      <c r="C35" s="362" t="s">
        <v>172</v>
      </c>
      <c r="D35" s="250">
        <v>20</v>
      </c>
      <c r="E35" s="250">
        <v>21</v>
      </c>
      <c r="F35" s="250">
        <v>21</v>
      </c>
      <c r="G35" s="250">
        <v>20</v>
      </c>
      <c r="H35" s="250">
        <v>20</v>
      </c>
      <c r="I35" s="250">
        <v>20</v>
      </c>
      <c r="J35" s="250">
        <v>21</v>
      </c>
      <c r="K35" s="250">
        <v>22</v>
      </c>
      <c r="L35" s="250">
        <v>23</v>
      </c>
      <c r="M35" s="250">
        <v>23</v>
      </c>
      <c r="N35" s="479"/>
      <c r="O35" s="250">
        <v>24</v>
      </c>
      <c r="P35" s="250">
        <v>23</v>
      </c>
      <c r="Q35" s="99"/>
      <c r="S35" s="330">
        <v>4809</v>
      </c>
      <c r="T35" s="430">
        <v>511</v>
      </c>
      <c r="U35" s="332">
        <f>461411-4573</f>
        <v>456838</v>
      </c>
      <c r="V35" s="333"/>
      <c r="W35" s="425" t="s">
        <v>90</v>
      </c>
      <c r="X35" s="330"/>
      <c r="Y35" s="425" t="s">
        <v>214</v>
      </c>
      <c r="Z35" s="330"/>
    </row>
    <row r="36" spans="1:26" ht="15.75" x14ac:dyDescent="0.25">
      <c r="A36" s="313"/>
      <c r="B36" s="295" t="s">
        <v>71</v>
      </c>
      <c r="C36" s="366" t="s">
        <v>175</v>
      </c>
      <c r="D36" s="251">
        <v>38185.56</v>
      </c>
      <c r="E36" s="251">
        <v>38415.480000000003</v>
      </c>
      <c r="F36" s="251">
        <v>38646.53</v>
      </c>
      <c r="G36" s="251">
        <v>35281.67</v>
      </c>
      <c r="H36" s="251">
        <v>22070.94</v>
      </c>
      <c r="I36" s="251">
        <v>23657.27</v>
      </c>
      <c r="J36" s="251">
        <v>22962.59</v>
      </c>
      <c r="K36" s="251">
        <v>24621.07</v>
      </c>
      <c r="L36" s="251">
        <v>24243.53</v>
      </c>
      <c r="M36" s="251">
        <v>28094.04</v>
      </c>
      <c r="N36" s="480"/>
      <c r="O36" s="251">
        <v>33239.69</v>
      </c>
      <c r="P36" s="251">
        <v>41568.959999999999</v>
      </c>
      <c r="Q36" s="99"/>
      <c r="S36" s="334" t="s">
        <v>90</v>
      </c>
      <c r="T36" s="335">
        <v>41568.959999999999</v>
      </c>
      <c r="U36" s="336">
        <f>T36/U40</f>
        <v>0.16112999255767799</v>
      </c>
      <c r="V36" s="336">
        <f>T36/U40</f>
        <v>0.16112999255767799</v>
      </c>
      <c r="W36" s="338">
        <v>0.16113</v>
      </c>
      <c r="X36" s="330"/>
      <c r="Y36" s="336">
        <f>W36-V36</f>
        <v>7.4423220086661246E-9</v>
      </c>
      <c r="Z36" s="330"/>
    </row>
    <row r="37" spans="1:26" ht="15.75" x14ac:dyDescent="0.25">
      <c r="B37" s="87" t="s">
        <v>71</v>
      </c>
      <c r="C37" s="366" t="s">
        <v>176</v>
      </c>
      <c r="D37" s="251">
        <v>23820.73</v>
      </c>
      <c r="E37" s="251">
        <v>16914.68</v>
      </c>
      <c r="F37" s="251">
        <v>24284.65</v>
      </c>
      <c r="G37" s="251">
        <v>24103.71</v>
      </c>
      <c r="H37" s="251">
        <v>17514.03</v>
      </c>
      <c r="I37" s="251">
        <v>31084.97</v>
      </c>
      <c r="J37" s="251">
        <v>15605.59</v>
      </c>
      <c r="K37" s="251">
        <v>22154.37</v>
      </c>
      <c r="L37" s="251">
        <v>18999.09</v>
      </c>
      <c r="M37" s="251">
        <v>20143.91</v>
      </c>
      <c r="N37" s="480"/>
      <c r="O37" s="251">
        <v>20504.52</v>
      </c>
      <c r="P37" s="251">
        <v>25422.83</v>
      </c>
      <c r="Q37" s="99"/>
      <c r="S37" s="334" t="s">
        <v>90</v>
      </c>
      <c r="T37" s="335">
        <v>25422.83</v>
      </c>
      <c r="U37" s="336">
        <f>T37/U41</f>
        <v>0.12470974609528296</v>
      </c>
      <c r="V37" s="336">
        <f>T37/U41</f>
        <v>0.12470974609528296</v>
      </c>
      <c r="W37" s="330">
        <v>0.12471</v>
      </c>
      <c r="X37" s="330"/>
      <c r="Y37" s="336">
        <f>W37-V37</f>
        <v>2.5390471704300754E-7</v>
      </c>
      <c r="Z37" s="330"/>
    </row>
    <row r="38" spans="1:26" ht="15.75" x14ac:dyDescent="0.25">
      <c r="A38" s="313"/>
      <c r="B38" s="295" t="s">
        <v>71</v>
      </c>
      <c r="C38" s="366" t="s">
        <v>177</v>
      </c>
      <c r="D38" s="252">
        <v>116.84</v>
      </c>
      <c r="E38" s="252"/>
      <c r="F38" s="252">
        <v>995.41</v>
      </c>
      <c r="G38" s="252">
        <v>738.59</v>
      </c>
      <c r="H38" s="252">
        <v>305.01</v>
      </c>
      <c r="I38" s="252">
        <v>1894.36</v>
      </c>
      <c r="J38" s="252">
        <v>119.85</v>
      </c>
      <c r="K38" s="252">
        <v>1209.94</v>
      </c>
      <c r="L38" s="252"/>
      <c r="M38" s="252">
        <v>9.11</v>
      </c>
      <c r="N38" s="481"/>
      <c r="O38" s="252">
        <v>730.37800000000004</v>
      </c>
      <c r="P38" s="252">
        <v>52.72</v>
      </c>
      <c r="Q38" s="99"/>
      <c r="S38" s="334" t="s">
        <v>90</v>
      </c>
      <c r="T38" s="335">
        <v>52.72</v>
      </c>
      <c r="U38" s="336">
        <f>T38/U42</f>
        <v>3.4638633377135346E-2</v>
      </c>
      <c r="V38" s="336">
        <f>T38/U42</f>
        <v>3.4638633377135346E-2</v>
      </c>
      <c r="W38" s="330">
        <v>3.4639999999999997E-2</v>
      </c>
      <c r="X38" s="330"/>
      <c r="Y38" s="336">
        <f>W38-V38</f>
        <v>1.36662286465139E-6</v>
      </c>
      <c r="Z38" s="330"/>
    </row>
    <row r="39" spans="1:26" ht="15.75" x14ac:dyDescent="0.25">
      <c r="A39" s="313"/>
      <c r="B39" s="295"/>
      <c r="C39" s="364" t="s">
        <v>74</v>
      </c>
      <c r="D39" s="108">
        <f t="shared" ref="D39:M39" si="14">SUM(D36:D38)</f>
        <v>62123.12999999999</v>
      </c>
      <c r="E39" s="108">
        <f t="shared" si="14"/>
        <v>55330.16</v>
      </c>
      <c r="F39" s="108">
        <f t="shared" si="14"/>
        <v>63926.590000000004</v>
      </c>
      <c r="G39" s="108">
        <f t="shared" si="14"/>
        <v>60123.969999999994</v>
      </c>
      <c r="H39" s="108">
        <f t="shared" si="14"/>
        <v>39889.980000000003</v>
      </c>
      <c r="I39" s="108">
        <f t="shared" si="14"/>
        <v>56636.600000000006</v>
      </c>
      <c r="J39" s="108">
        <f t="shared" si="14"/>
        <v>38688.03</v>
      </c>
      <c r="K39" s="108">
        <f t="shared" si="14"/>
        <v>47985.380000000005</v>
      </c>
      <c r="L39" s="108">
        <f t="shared" si="14"/>
        <v>43242.619999999995</v>
      </c>
      <c r="M39" s="108">
        <f t="shared" si="14"/>
        <v>48247.06</v>
      </c>
      <c r="N39" s="206"/>
      <c r="O39" s="108">
        <f>SUM(O36:O38)</f>
        <v>54474.588000000003</v>
      </c>
      <c r="P39" s="423">
        <f>SUM(P36:P38)</f>
        <v>67044.510000000009</v>
      </c>
      <c r="Q39" s="362"/>
      <c r="S39" s="334" t="s">
        <v>91</v>
      </c>
      <c r="T39" s="335">
        <v>228251.54</v>
      </c>
      <c r="U39" s="336">
        <f>T39/U35</f>
        <v>0.4996334367981648</v>
      </c>
      <c r="V39" s="336">
        <f>T39/U35</f>
        <v>0.4996334367981648</v>
      </c>
      <c r="W39" s="463">
        <f>+W27</f>
        <v>0.49941999999999998</v>
      </c>
      <c r="X39" s="330"/>
      <c r="Y39" s="336">
        <f>W39-V39</f>
        <v>-2.134367981648233E-4</v>
      </c>
      <c r="Z39" s="330"/>
    </row>
    <row r="40" spans="1:26" x14ac:dyDescent="0.25">
      <c r="A40" s="313"/>
      <c r="B40" s="295"/>
      <c r="C40" s="364" t="s">
        <v>73</v>
      </c>
      <c r="D40" s="309">
        <f>ROUND(-'Authorized Margins 2020'!D13*'WACAP 2021'!D35,2)</f>
        <v>-67647.199999999997</v>
      </c>
      <c r="E40" s="309">
        <f>ROUND(-'Authorized Margins 2020'!E13*'WACAP 2021'!E35,2)</f>
        <v>-49093.38</v>
      </c>
      <c r="F40" s="88">
        <f>ROUND(-'Authorized Margins 2020'!F13*'WACAP 2021'!F35,2)</f>
        <v>-57722.49</v>
      </c>
      <c r="G40" s="88">
        <f>ROUND(-'Authorized Margins 2020'!G13*'WACAP 2021'!G35,2)</f>
        <v>-46279.6</v>
      </c>
      <c r="H40" s="88">
        <f>ROUND(-'Authorized Margins 2020'!H13*'WACAP 2021'!H35,2)</f>
        <v>-35322</v>
      </c>
      <c r="I40" s="88">
        <f>ROUND(-'Authorized Margins 2020'!I13*'WACAP 2021'!I35,2)</f>
        <v>-25204.400000000001</v>
      </c>
      <c r="J40" s="88">
        <f>ROUND(-'Authorized Margins 2021'!J13*'WACAP 2021'!J35,2)</f>
        <v>-24793.23</v>
      </c>
      <c r="K40" s="88">
        <f>ROUND(-'Authorized Margins 2021'!K13*'WACAP 2021'!K35,2)</f>
        <v>-25881.46</v>
      </c>
      <c r="L40" s="88">
        <f>ROUND(-'Authorized Margins 2021'!L13*'WACAP 2021'!L35,2)</f>
        <v>-24005.79</v>
      </c>
      <c r="M40" s="88">
        <f>ROUND(-'Authorized Margins 2021'!M13*'WACAP 2021'!M35,2)</f>
        <v>-40071.75</v>
      </c>
      <c r="N40" s="209"/>
      <c r="O40" s="88">
        <f>ROUND(-'Authorized Margins 2021'!O13*'WACAP 2021'!O35,2)</f>
        <v>-55922.879999999997</v>
      </c>
      <c r="P40" s="88">
        <f>ROUND(-'Authorized Margins 2021'!P13*'WACAP 2021'!P35,2)</f>
        <v>-58487.16</v>
      </c>
      <c r="Q40" s="362"/>
      <c r="S40" s="330"/>
      <c r="T40" s="330"/>
      <c r="U40" s="337">
        <f>ROUND(T36/W36,0)</f>
        <v>257984</v>
      </c>
      <c r="V40" s="330"/>
      <c r="W40" s="330"/>
      <c r="X40" s="330"/>
      <c r="Y40" s="330"/>
      <c r="Z40" s="330"/>
    </row>
    <row r="41" spans="1:26" x14ac:dyDescent="0.25">
      <c r="A41" s="313"/>
      <c r="B41" s="295"/>
      <c r="C41" s="364" t="s">
        <v>201</v>
      </c>
      <c r="D41" s="187">
        <f t="shared" ref="D41:P41" si="15">SUM(D39:D40)</f>
        <v>-5524.070000000007</v>
      </c>
      <c r="E41" s="187">
        <f t="shared" si="15"/>
        <v>6236.7800000000061</v>
      </c>
      <c r="F41" s="187">
        <f t="shared" si="15"/>
        <v>6204.1000000000058</v>
      </c>
      <c r="G41" s="187">
        <f t="shared" si="15"/>
        <v>13844.369999999995</v>
      </c>
      <c r="H41" s="187">
        <f t="shared" si="15"/>
        <v>4567.9800000000032</v>
      </c>
      <c r="I41" s="187">
        <f t="shared" si="15"/>
        <v>31432.200000000004</v>
      </c>
      <c r="J41" s="187">
        <f t="shared" si="15"/>
        <v>13894.8</v>
      </c>
      <c r="K41" s="187">
        <f t="shared" si="15"/>
        <v>22103.920000000006</v>
      </c>
      <c r="L41" s="187">
        <f t="shared" si="15"/>
        <v>19236.829999999994</v>
      </c>
      <c r="M41" s="187">
        <f t="shared" si="15"/>
        <v>8175.3099999999977</v>
      </c>
      <c r="N41" s="302">
        <f>-'WACAP 2020'!Q41</f>
        <v>-246215.44</v>
      </c>
      <c r="O41" s="187">
        <f t="shared" si="15"/>
        <v>-1448.291999999994</v>
      </c>
      <c r="P41" s="397">
        <f t="shared" si="15"/>
        <v>8557.3500000000058</v>
      </c>
      <c r="Q41" s="99">
        <f>SUM(D41:P41)-N41</f>
        <v>127281.27800000002</v>
      </c>
      <c r="S41" s="330"/>
      <c r="T41" s="330"/>
      <c r="U41" s="337">
        <f>ROUND(T37/W37,0)</f>
        <v>203856</v>
      </c>
      <c r="V41" s="330"/>
      <c r="W41" s="330"/>
      <c r="X41" s="330"/>
      <c r="Y41" s="330"/>
      <c r="Z41" s="330"/>
    </row>
    <row r="42" spans="1:26" x14ac:dyDescent="0.25">
      <c r="A42" s="313"/>
      <c r="B42" s="295"/>
      <c r="C42" s="364" t="s">
        <v>137</v>
      </c>
      <c r="D42" s="308">
        <f>ROUND(ROUND('WACAP 2020'!P42*D$7,2)/365*D$8,2)</f>
        <v>679.62</v>
      </c>
      <c r="E42" s="187">
        <f>ROUND(ROUND(D44*E$7,2)/365*E$8,2)</f>
        <v>601.77</v>
      </c>
      <c r="F42" s="187">
        <f t="shared" ref="F42:P42" si="16">ROUND(ROUND(E44*F$7,2)/365*F$8,2)</f>
        <v>685.13</v>
      </c>
      <c r="G42" s="187">
        <f t="shared" si="16"/>
        <v>681.43</v>
      </c>
      <c r="H42" s="187">
        <f t="shared" si="16"/>
        <v>744.24</v>
      </c>
      <c r="I42" s="187">
        <f t="shared" si="16"/>
        <v>734.42</v>
      </c>
      <c r="J42" s="187">
        <f t="shared" si="16"/>
        <v>847.69</v>
      </c>
      <c r="K42" s="187">
        <f t="shared" si="16"/>
        <v>888.38</v>
      </c>
      <c r="L42" s="187">
        <f t="shared" si="16"/>
        <v>921.14</v>
      </c>
      <c r="M42" s="187">
        <f t="shared" si="16"/>
        <v>1007.49</v>
      </c>
      <c r="N42" s="231">
        <f>'Ammort Split 2021'!N41</f>
        <v>-6746.4399999999987</v>
      </c>
      <c r="O42" s="187">
        <f>ROUND(ROUND(N44*O$7,2)/365*O$8,2)</f>
        <v>323.8</v>
      </c>
      <c r="P42" s="187">
        <f t="shared" si="16"/>
        <v>331.49</v>
      </c>
      <c r="Q42" s="100">
        <f>SUM(D42:P42)</f>
        <v>1700.1600000000008</v>
      </c>
      <c r="S42" s="330"/>
      <c r="T42" s="330"/>
      <c r="U42" s="337">
        <f>ROUND(T38/W38,0)</f>
        <v>1522</v>
      </c>
      <c r="V42" s="330"/>
      <c r="W42" s="330"/>
      <c r="X42" s="330"/>
      <c r="Y42" s="330"/>
      <c r="Z42" s="330"/>
    </row>
    <row r="43" spans="1:26" x14ac:dyDescent="0.25">
      <c r="A43" s="313"/>
      <c r="B43" s="295"/>
      <c r="C43" s="364" t="s">
        <v>138</v>
      </c>
      <c r="D43" s="189">
        <f t="shared" ref="D43:P43" si="17">SUM(D41:D42)</f>
        <v>-4844.4500000000071</v>
      </c>
      <c r="E43" s="189">
        <f t="shared" si="17"/>
        <v>6838.5500000000065</v>
      </c>
      <c r="F43" s="189">
        <f t="shared" si="17"/>
        <v>6889.2300000000059</v>
      </c>
      <c r="G43" s="189">
        <f t="shared" si="17"/>
        <v>14525.799999999996</v>
      </c>
      <c r="H43" s="189">
        <f t="shared" si="17"/>
        <v>5312.220000000003</v>
      </c>
      <c r="I43" s="189">
        <f t="shared" si="17"/>
        <v>32166.620000000003</v>
      </c>
      <c r="J43" s="189">
        <f t="shared" si="17"/>
        <v>14742.49</v>
      </c>
      <c r="K43" s="189">
        <f t="shared" si="17"/>
        <v>22992.300000000007</v>
      </c>
      <c r="L43" s="189">
        <f t="shared" si="17"/>
        <v>20157.969999999994</v>
      </c>
      <c r="M43" s="189">
        <f t="shared" si="17"/>
        <v>9182.7999999999975</v>
      </c>
      <c r="N43" s="209">
        <f>SUM(N41:N42)</f>
        <v>-252961.88</v>
      </c>
      <c r="O43" s="189">
        <f t="shared" si="17"/>
        <v>-1124.4919999999941</v>
      </c>
      <c r="P43" s="189">
        <f t="shared" si="17"/>
        <v>8888.8400000000056</v>
      </c>
      <c r="Q43" s="453">
        <f>SUM(Q41:Q42)</f>
        <v>128981.43800000002</v>
      </c>
      <c r="S43" s="330"/>
      <c r="T43" s="330"/>
      <c r="U43" s="330"/>
      <c r="V43" s="330"/>
      <c r="W43" s="330"/>
      <c r="X43" s="330"/>
      <c r="Y43" s="330"/>
      <c r="Z43" s="330"/>
    </row>
    <row r="44" spans="1:26" x14ac:dyDescent="0.25">
      <c r="A44" s="313"/>
      <c r="B44" s="295"/>
      <c r="C44" s="364" t="s">
        <v>139</v>
      </c>
      <c r="D44" s="308">
        <f>'WACAP 2020'!P42+'WACAP 2021'!D43</f>
        <v>241370.98999999996</v>
      </c>
      <c r="E44" s="187">
        <f t="shared" ref="E44:P44" si="18">D44+E43</f>
        <v>248209.53999999998</v>
      </c>
      <c r="F44" s="187">
        <f t="shared" si="18"/>
        <v>255098.77</v>
      </c>
      <c r="G44" s="187">
        <f t="shared" si="18"/>
        <v>269624.57</v>
      </c>
      <c r="H44" s="187">
        <f t="shared" si="18"/>
        <v>274936.79000000004</v>
      </c>
      <c r="I44" s="187">
        <f t="shared" si="18"/>
        <v>307103.41000000003</v>
      </c>
      <c r="J44" s="187">
        <f t="shared" si="18"/>
        <v>321845.90000000002</v>
      </c>
      <c r="K44" s="187">
        <f t="shared" si="18"/>
        <v>344838.2</v>
      </c>
      <c r="L44" s="187">
        <f t="shared" si="18"/>
        <v>364996.17</v>
      </c>
      <c r="M44" s="187">
        <f t="shared" si="18"/>
        <v>374178.97</v>
      </c>
      <c r="N44" s="208">
        <f t="shared" si="18"/>
        <v>121217.08999999997</v>
      </c>
      <c r="O44" s="187">
        <f t="shared" si="18"/>
        <v>120092.59799999997</v>
      </c>
      <c r="P44" s="187">
        <f t="shared" si="18"/>
        <v>128981.43799999998</v>
      </c>
      <c r="Q44" s="362"/>
      <c r="S44" s="330"/>
      <c r="T44" s="330"/>
      <c r="U44" s="330"/>
      <c r="V44" s="330"/>
      <c r="W44" s="330"/>
      <c r="X44" s="330"/>
      <c r="Y44" s="330"/>
      <c r="Z44" s="330"/>
    </row>
    <row r="45" spans="1:26" ht="17.25" x14ac:dyDescent="0.3">
      <c r="A45" s="313"/>
      <c r="B45" s="295"/>
      <c r="C45" s="441"/>
      <c r="D45" s="113"/>
      <c r="E45" s="187"/>
      <c r="F45" s="187"/>
      <c r="G45" s="187"/>
      <c r="H45" s="187"/>
      <c r="I45" s="187"/>
      <c r="J45" s="187"/>
      <c r="K45" s="187"/>
      <c r="L45" s="187"/>
      <c r="M45" s="187"/>
      <c r="N45" s="208"/>
      <c r="O45" s="187"/>
      <c r="P45" s="187"/>
      <c r="Q45" s="362"/>
      <c r="S45" s="330"/>
      <c r="T45" s="330"/>
      <c r="U45" s="330"/>
      <c r="V45" s="330"/>
      <c r="W45" s="330"/>
      <c r="X45" s="330"/>
      <c r="Y45" s="330"/>
      <c r="Z45" s="330"/>
    </row>
    <row r="46" spans="1:26" x14ac:dyDescent="0.25">
      <c r="A46" s="313"/>
      <c r="B46" t="s">
        <v>86</v>
      </c>
      <c r="C46" s="365" t="s">
        <v>196</v>
      </c>
      <c r="D46" s="113"/>
      <c r="E46" s="113"/>
      <c r="F46" s="108"/>
      <c r="G46" s="113"/>
      <c r="H46" s="113"/>
      <c r="I46" s="113"/>
      <c r="J46" s="113"/>
      <c r="K46" s="113"/>
      <c r="L46" s="113"/>
      <c r="M46" s="113"/>
      <c r="N46" s="274"/>
      <c r="O46" s="113"/>
      <c r="P46" s="113"/>
      <c r="Q46" s="362"/>
      <c r="S46" s="330"/>
      <c r="T46" s="330"/>
      <c r="U46" s="444" t="s">
        <v>92</v>
      </c>
      <c r="V46" s="330"/>
      <c r="W46" s="330"/>
      <c r="X46" s="330"/>
      <c r="Y46" s="330"/>
      <c r="Z46" s="330"/>
    </row>
    <row r="47" spans="1:26" ht="15.75" x14ac:dyDescent="0.25">
      <c r="A47" s="313"/>
      <c r="B47" s="295" t="s">
        <v>64</v>
      </c>
      <c r="C47" s="362" t="s">
        <v>172</v>
      </c>
      <c r="D47" s="250">
        <v>1</v>
      </c>
      <c r="E47" s="250">
        <v>1</v>
      </c>
      <c r="F47" s="250">
        <v>1</v>
      </c>
      <c r="G47" s="250">
        <v>1</v>
      </c>
      <c r="H47" s="250">
        <v>1</v>
      </c>
      <c r="I47" s="250">
        <v>1</v>
      </c>
      <c r="J47" s="250">
        <v>1</v>
      </c>
      <c r="K47" s="250">
        <v>1</v>
      </c>
      <c r="L47" s="250">
        <v>1</v>
      </c>
      <c r="M47" s="250">
        <v>1</v>
      </c>
      <c r="N47" s="480"/>
      <c r="O47" s="250">
        <v>1</v>
      </c>
      <c r="P47" s="250">
        <v>1</v>
      </c>
      <c r="Q47" s="452"/>
      <c r="S47" s="437">
        <v>4810</v>
      </c>
      <c r="T47" s="461" t="s">
        <v>154</v>
      </c>
      <c r="U47" s="332">
        <v>5052</v>
      </c>
      <c r="V47" s="333">
        <f>U47</f>
        <v>5052</v>
      </c>
      <c r="W47" s="425" t="s">
        <v>90</v>
      </c>
      <c r="X47" s="330"/>
      <c r="Y47" s="425" t="s">
        <v>214</v>
      </c>
      <c r="Z47" s="330"/>
    </row>
    <row r="48" spans="1:26" ht="15.75" x14ac:dyDescent="0.25">
      <c r="A48" s="313"/>
      <c r="B48" s="295" t="s">
        <v>71</v>
      </c>
      <c r="C48" s="366" t="s">
        <v>199</v>
      </c>
      <c r="D48" s="251">
        <v>1972.66</v>
      </c>
      <c r="E48" s="251">
        <v>3323.29</v>
      </c>
      <c r="F48" s="251">
        <v>1977.38</v>
      </c>
      <c r="G48" s="251">
        <v>1046.68</v>
      </c>
      <c r="H48" s="251">
        <v>575.96</v>
      </c>
      <c r="I48" s="251">
        <v>943</v>
      </c>
      <c r="J48" s="251">
        <v>395.84</v>
      </c>
      <c r="K48" s="251">
        <v>316.18</v>
      </c>
      <c r="L48" s="251">
        <v>482.03</v>
      </c>
      <c r="M48" s="251">
        <v>582.16999999999996</v>
      </c>
      <c r="N48" s="480"/>
      <c r="O48" s="251">
        <v>805.84</v>
      </c>
      <c r="P48" s="251">
        <v>1327.82</v>
      </c>
      <c r="Q48" s="99"/>
      <c r="S48" s="334" t="s">
        <v>90</v>
      </c>
      <c r="T48" s="335">
        <v>1327.82</v>
      </c>
      <c r="U48" s="336">
        <f>T48/U47</f>
        <v>0.26283056215360251</v>
      </c>
      <c r="V48" s="336">
        <f>T48/V47</f>
        <v>0.26283056215360251</v>
      </c>
      <c r="W48" s="330">
        <v>0.26179999999999998</v>
      </c>
      <c r="X48" s="330"/>
      <c r="Y48" s="336">
        <f>W48-V48</f>
        <v>-1.0305621536025322E-3</v>
      </c>
      <c r="Z48" s="330"/>
    </row>
    <row r="49" spans="1:26" ht="15.75" x14ac:dyDescent="0.25">
      <c r="A49" s="313"/>
      <c r="B49" s="295" t="s">
        <v>72</v>
      </c>
      <c r="C49" s="377" t="s">
        <v>209</v>
      </c>
      <c r="D49" s="276">
        <v>3323.29</v>
      </c>
      <c r="E49" s="276">
        <v>1977.38</v>
      </c>
      <c r="F49" s="276">
        <v>1046.68</v>
      </c>
      <c r="G49" s="276">
        <v>575.96</v>
      </c>
      <c r="H49" s="276">
        <v>943</v>
      </c>
      <c r="I49" s="276">
        <v>395.84</v>
      </c>
      <c r="J49" s="276">
        <v>316.18</v>
      </c>
      <c r="K49" s="276">
        <v>482.03</v>
      </c>
      <c r="L49" s="276">
        <v>582.16999999999996</v>
      </c>
      <c r="M49" s="276">
        <v>805.84</v>
      </c>
      <c r="N49" s="480"/>
      <c r="O49" s="276">
        <v>1327.82</v>
      </c>
      <c r="P49" s="276">
        <v>3688.03</v>
      </c>
      <c r="Q49" s="99"/>
      <c r="S49" s="334" t="s">
        <v>91</v>
      </c>
      <c r="T49" s="335">
        <v>2593.39</v>
      </c>
      <c r="U49" s="336">
        <f>T49/U47</f>
        <v>0.51333927157561354</v>
      </c>
      <c r="V49" s="336">
        <f>T49/V47</f>
        <v>0.51333927157561354</v>
      </c>
      <c r="W49" s="433">
        <v>0.51334000000000002</v>
      </c>
      <c r="X49" s="330"/>
      <c r="Y49" s="336">
        <f>W49-V49</f>
        <v>7.284243864758011E-7</v>
      </c>
      <c r="Z49" s="330"/>
    </row>
    <row r="50" spans="1:26" x14ac:dyDescent="0.25">
      <c r="A50" s="313"/>
      <c r="B50" s="295" t="s">
        <v>72</v>
      </c>
      <c r="C50" s="366" t="s">
        <v>179</v>
      </c>
      <c r="D50" s="189">
        <f>+'WACAP 2020'!P47</f>
        <v>1972.66</v>
      </c>
      <c r="E50" s="189">
        <f t="shared" ref="E50:M50" si="19">-D49</f>
        <v>-3323.29</v>
      </c>
      <c r="F50" s="189">
        <f t="shared" si="19"/>
        <v>-1977.38</v>
      </c>
      <c r="G50" s="189">
        <f t="shared" si="19"/>
        <v>-1046.68</v>
      </c>
      <c r="H50" s="189">
        <f t="shared" si="19"/>
        <v>-575.96</v>
      </c>
      <c r="I50" s="189">
        <f t="shared" si="19"/>
        <v>-943</v>
      </c>
      <c r="J50" s="189">
        <f t="shared" si="19"/>
        <v>-395.84</v>
      </c>
      <c r="K50" s="189">
        <f t="shared" si="19"/>
        <v>-316.18</v>
      </c>
      <c r="L50" s="189">
        <f>-K49</f>
        <v>-482.03</v>
      </c>
      <c r="M50" s="189">
        <f t="shared" si="19"/>
        <v>-582.16999999999996</v>
      </c>
      <c r="N50" s="482"/>
      <c r="O50" s="189">
        <f>-M49</f>
        <v>-805.84</v>
      </c>
      <c r="P50" s="189">
        <f>-O49</f>
        <v>-1327.82</v>
      </c>
      <c r="Q50" s="99"/>
      <c r="S50" s="334"/>
      <c r="T50" s="462"/>
      <c r="U50" s="336"/>
      <c r="V50" s="336"/>
      <c r="W50" s="330"/>
      <c r="X50" s="330"/>
      <c r="Y50" s="336"/>
      <c r="Z50" s="330"/>
    </row>
    <row r="51" spans="1:26" x14ac:dyDescent="0.25">
      <c r="A51" s="313"/>
      <c r="C51" s="364" t="s">
        <v>74</v>
      </c>
      <c r="D51" s="187">
        <f t="shared" ref="D51:F51" si="20">SUM(D48:D50)</f>
        <v>7268.61</v>
      </c>
      <c r="E51" s="187">
        <f t="shared" si="20"/>
        <v>1977.38</v>
      </c>
      <c r="F51" s="187">
        <f t="shared" si="20"/>
        <v>1046.6800000000003</v>
      </c>
      <c r="G51" s="187">
        <f>SUM(G48:G50)</f>
        <v>575.96</v>
      </c>
      <c r="H51" s="187">
        <f t="shared" ref="H51:P51" si="21">SUM(H48:H50)</f>
        <v>943</v>
      </c>
      <c r="I51" s="187">
        <f t="shared" si="21"/>
        <v>395.83999999999992</v>
      </c>
      <c r="J51" s="187">
        <f t="shared" si="21"/>
        <v>316.18</v>
      </c>
      <c r="K51" s="187">
        <f t="shared" si="21"/>
        <v>482.03000000000003</v>
      </c>
      <c r="L51" s="187">
        <f t="shared" si="21"/>
        <v>582.16999999999985</v>
      </c>
      <c r="M51" s="187">
        <f t="shared" si="21"/>
        <v>805.84</v>
      </c>
      <c r="N51" s="208"/>
      <c r="O51" s="187">
        <f t="shared" si="21"/>
        <v>1327.8199999999997</v>
      </c>
      <c r="P51" s="397">
        <f t="shared" si="21"/>
        <v>3688.0300000000007</v>
      </c>
      <c r="Q51" s="362"/>
      <c r="S51" s="330"/>
      <c r="T51" s="330"/>
      <c r="U51" s="330"/>
      <c r="V51" s="330"/>
      <c r="W51" s="330"/>
      <c r="X51" s="330"/>
      <c r="Y51" s="330"/>
      <c r="Z51" s="330"/>
    </row>
    <row r="52" spans="1:26" x14ac:dyDescent="0.25">
      <c r="A52" s="313"/>
      <c r="B52" s="295"/>
      <c r="C52" s="364" t="s">
        <v>73</v>
      </c>
      <c r="D52" s="307">
        <f>ROUND(-'Authorized Margins 2020'!D9*'WACAP 2021'!D47,2)</f>
        <v>-148.36000000000001</v>
      </c>
      <c r="E52" s="189">
        <f>ROUND(-'Authorized Margins 2020'!E9*'WACAP 2021'!E47,2)</f>
        <v>-123.57</v>
      </c>
      <c r="F52" s="189">
        <f>ROUND(-'Authorized Margins 2020'!F9*'WACAP 2021'!F47,2)</f>
        <v>-89.98</v>
      </c>
      <c r="G52" s="189">
        <f>ROUND(-'Authorized Margins 2020'!G9*'WACAP 2021'!G47,2)</f>
        <v>-67.790000000000006</v>
      </c>
      <c r="H52" s="189">
        <f>ROUND(-'Authorized Margins 2020'!H9*'WACAP 2021'!H47,2)</f>
        <v>-38.590000000000003</v>
      </c>
      <c r="I52" s="189">
        <f>ROUND(-'Authorized Margins 2020'!I9*'WACAP 2021'!I47,2)</f>
        <v>-34</v>
      </c>
      <c r="J52" s="88">
        <f>ROUND(-'Authorized Margins 2021'!J9*'WACAP 2021'!J47,2)</f>
        <v>-30.62</v>
      </c>
      <c r="K52" s="88">
        <f>ROUND(-'Authorized Margins 2021'!K9*'WACAP 2021'!K47,2)</f>
        <v>-30.8</v>
      </c>
      <c r="L52" s="88">
        <f>ROUND(-'Authorized Margins 2021'!L9*'WACAP 2021'!L47,2)</f>
        <v>-37.36</v>
      </c>
      <c r="M52" s="88">
        <f>ROUND(-'Authorized Margins 2021'!M9*'WACAP 2021'!M47,2)</f>
        <v>-70.42</v>
      </c>
      <c r="N52" s="209"/>
      <c r="O52" s="88">
        <f>ROUND(-'Authorized Margins 2021'!O9*'WACAP 2021'!O47,2)</f>
        <v>-107.7</v>
      </c>
      <c r="P52" s="88">
        <f>ROUND(-'Authorized Margins 2021'!P9*'WACAP 2021'!P47,2)</f>
        <v>-140.5</v>
      </c>
      <c r="Q52" s="362"/>
      <c r="S52" s="330"/>
      <c r="T52" s="462"/>
      <c r="U52" s="330"/>
      <c r="V52" s="330"/>
      <c r="W52" s="330"/>
      <c r="X52" s="330"/>
      <c r="Y52" s="330"/>
      <c r="Z52" s="330"/>
    </row>
    <row r="53" spans="1:26" x14ac:dyDescent="0.25">
      <c r="A53" s="313"/>
      <c r="B53" s="295"/>
      <c r="C53" s="364" t="s">
        <v>201</v>
      </c>
      <c r="D53" s="187">
        <f t="shared" ref="D53:P53" si="22">SUM(D51:D52)</f>
        <v>7120.25</v>
      </c>
      <c r="E53" s="187">
        <f t="shared" si="22"/>
        <v>1853.8100000000002</v>
      </c>
      <c r="F53" s="187">
        <f t="shared" si="22"/>
        <v>956.70000000000027</v>
      </c>
      <c r="G53" s="187">
        <f t="shared" si="22"/>
        <v>508.17</v>
      </c>
      <c r="H53" s="187">
        <f t="shared" si="22"/>
        <v>904.41</v>
      </c>
      <c r="I53" s="187">
        <f t="shared" si="22"/>
        <v>361.83999999999992</v>
      </c>
      <c r="J53" s="187">
        <f t="shared" si="22"/>
        <v>285.56</v>
      </c>
      <c r="K53" s="187">
        <f t="shared" si="22"/>
        <v>451.23</v>
      </c>
      <c r="L53" s="187">
        <f t="shared" si="22"/>
        <v>544.80999999999983</v>
      </c>
      <c r="M53" s="187">
        <f t="shared" si="22"/>
        <v>735.42000000000007</v>
      </c>
      <c r="N53" s="302">
        <f>-'WACAP 2020'!Q53</f>
        <v>-12071.150000000001</v>
      </c>
      <c r="O53" s="187">
        <f t="shared" si="22"/>
        <v>1220.1199999999997</v>
      </c>
      <c r="P53" s="187">
        <f t="shared" si="22"/>
        <v>3547.5300000000007</v>
      </c>
      <c r="Q53" s="99">
        <f>SUM(D53:P53)-N53</f>
        <v>18489.849999999999</v>
      </c>
      <c r="S53" s="330"/>
      <c r="T53" s="462"/>
      <c r="U53" s="330"/>
      <c r="V53" s="330"/>
      <c r="W53" s="330"/>
      <c r="X53" s="330"/>
      <c r="Y53" s="330"/>
      <c r="Z53" s="330"/>
    </row>
    <row r="54" spans="1:26" x14ac:dyDescent="0.25">
      <c r="A54" s="313"/>
      <c r="B54" s="295"/>
      <c r="C54" s="364" t="s">
        <v>137</v>
      </c>
      <c r="D54" s="308">
        <f>ROUND(ROUND('WACAP 2020'!P54*D$7,2)/365*D$8,2)</f>
        <v>33.32</v>
      </c>
      <c r="E54" s="187">
        <f>ROUND(ROUND(D56*E$7,2)/365*E$8,2)</f>
        <v>47.93</v>
      </c>
      <c r="F54" s="187">
        <f t="shared" ref="F54:M54" si="23">ROUND(ROUND(E56*F$7,2)/365*F$8,2)</f>
        <v>58.31</v>
      </c>
      <c r="G54" s="187">
        <f t="shared" si="23"/>
        <v>59.15</v>
      </c>
      <c r="H54" s="187">
        <f t="shared" si="23"/>
        <v>62.68</v>
      </c>
      <c r="I54" s="187">
        <f t="shared" si="23"/>
        <v>63.24</v>
      </c>
      <c r="J54" s="187">
        <f t="shared" si="23"/>
        <v>66.53</v>
      </c>
      <c r="K54" s="187">
        <f t="shared" si="23"/>
        <v>67.5</v>
      </c>
      <c r="L54" s="187">
        <f t="shared" si="23"/>
        <v>66.709999999999994</v>
      </c>
      <c r="M54" s="187">
        <f t="shared" si="23"/>
        <v>70.62</v>
      </c>
      <c r="N54" s="231">
        <f>'Ammort Split 2021'!N53</f>
        <v>-330.76</v>
      </c>
      <c r="O54" s="187">
        <f>ROUND(ROUND(N56*O$7,2)/365*O$8,2)</f>
        <v>37.36</v>
      </c>
      <c r="P54" s="187">
        <f t="shared" ref="P54" si="24">ROUND(ROUND(O56*P$7,2)/365*P$8,2)</f>
        <v>42.08</v>
      </c>
      <c r="Q54" s="100">
        <f>SUM(D54:P54)</f>
        <v>344.67</v>
      </c>
      <c r="S54" s="330"/>
      <c r="T54" s="462"/>
      <c r="U54" s="330"/>
      <c r="V54" s="330"/>
      <c r="W54" s="330"/>
      <c r="X54" s="330"/>
      <c r="Y54" s="330"/>
      <c r="Z54" s="330"/>
    </row>
    <row r="55" spans="1:26" x14ac:dyDescent="0.25">
      <c r="A55" s="313"/>
      <c r="B55" s="295"/>
      <c r="C55" s="364" t="s">
        <v>138</v>
      </c>
      <c r="D55" s="189">
        <f t="shared" ref="D55:P55" si="25">SUM(D53:D54)</f>
        <v>7153.57</v>
      </c>
      <c r="E55" s="189">
        <f t="shared" si="25"/>
        <v>1901.7400000000002</v>
      </c>
      <c r="F55" s="189">
        <f t="shared" si="25"/>
        <v>1015.0100000000002</v>
      </c>
      <c r="G55" s="189">
        <f t="shared" si="25"/>
        <v>567.32000000000005</v>
      </c>
      <c r="H55" s="189">
        <f t="shared" si="25"/>
        <v>967.08999999999992</v>
      </c>
      <c r="I55" s="189">
        <f t="shared" si="25"/>
        <v>425.07999999999993</v>
      </c>
      <c r="J55" s="189">
        <f t="shared" si="25"/>
        <v>352.09000000000003</v>
      </c>
      <c r="K55" s="189">
        <f t="shared" si="25"/>
        <v>518.73</v>
      </c>
      <c r="L55" s="189">
        <f t="shared" si="25"/>
        <v>611.51999999999987</v>
      </c>
      <c r="M55" s="189">
        <f t="shared" si="25"/>
        <v>806.04000000000008</v>
      </c>
      <c r="N55" s="209">
        <f>SUM(N53:N54)</f>
        <v>-12401.910000000002</v>
      </c>
      <c r="O55" s="189">
        <f t="shared" si="25"/>
        <v>1257.4799999999996</v>
      </c>
      <c r="P55" s="189">
        <f t="shared" si="25"/>
        <v>3589.6100000000006</v>
      </c>
      <c r="Q55" s="453">
        <f>SUM(Q53:Q54)</f>
        <v>18834.519999999997</v>
      </c>
      <c r="S55" s="330"/>
      <c r="T55" s="462"/>
      <c r="U55" s="330"/>
      <c r="V55" s="330"/>
      <c r="W55" s="330"/>
      <c r="X55" s="330"/>
      <c r="Y55" s="330"/>
      <c r="Z55" s="330"/>
    </row>
    <row r="56" spans="1:26" x14ac:dyDescent="0.25">
      <c r="A56" s="313"/>
      <c r="B56" s="295"/>
      <c r="C56" s="364" t="s">
        <v>139</v>
      </c>
      <c r="D56" s="308">
        <f>'WACAP 2020'!P54+'WACAP 2021'!D55</f>
        <v>19224.72</v>
      </c>
      <c r="E56" s="187">
        <f t="shared" ref="E56:P56" si="26">D56+E55</f>
        <v>21126.460000000003</v>
      </c>
      <c r="F56" s="187">
        <f>E56+F55</f>
        <v>22141.47</v>
      </c>
      <c r="G56" s="187">
        <f t="shared" si="26"/>
        <v>22708.79</v>
      </c>
      <c r="H56" s="187">
        <f t="shared" si="26"/>
        <v>23675.88</v>
      </c>
      <c r="I56" s="187">
        <f t="shared" si="26"/>
        <v>24100.959999999999</v>
      </c>
      <c r="J56" s="187">
        <f t="shared" si="26"/>
        <v>24453.05</v>
      </c>
      <c r="K56" s="187">
        <f t="shared" si="26"/>
        <v>24971.78</v>
      </c>
      <c r="L56" s="187">
        <f t="shared" si="26"/>
        <v>25583.3</v>
      </c>
      <c r="M56" s="187">
        <f t="shared" si="26"/>
        <v>26389.34</v>
      </c>
      <c r="N56" s="208">
        <f t="shared" si="26"/>
        <v>13987.429999999998</v>
      </c>
      <c r="O56" s="187">
        <f t="shared" si="26"/>
        <v>15244.909999999998</v>
      </c>
      <c r="P56" s="397">
        <f t="shared" si="26"/>
        <v>18834.519999999997</v>
      </c>
      <c r="Q56" s="362"/>
      <c r="S56" s="330"/>
      <c r="T56" s="462"/>
      <c r="U56" s="337"/>
      <c r="V56" s="330"/>
      <c r="W56" s="330"/>
      <c r="X56" s="330"/>
      <c r="Y56" s="330"/>
      <c r="Z56" s="330"/>
    </row>
    <row r="57" spans="1:26" hidden="1" x14ac:dyDescent="0.25">
      <c r="A57" s="313"/>
      <c r="B57" s="295"/>
      <c r="C57" s="368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204"/>
      <c r="O57" s="90"/>
      <c r="P57" s="90"/>
      <c r="Q57" s="362"/>
      <c r="S57" s="334"/>
      <c r="T57" s="462"/>
      <c r="U57" s="337"/>
      <c r="V57" s="330"/>
      <c r="W57" s="330"/>
      <c r="X57" s="330"/>
      <c r="Y57" s="330"/>
      <c r="Z57" s="330"/>
    </row>
    <row r="58" spans="1:26" x14ac:dyDescent="0.25">
      <c r="A58" s="313"/>
      <c r="B58" s="295"/>
      <c r="C58" s="440"/>
      <c r="D58" s="378"/>
      <c r="E58" s="380"/>
      <c r="F58" s="90"/>
      <c r="G58" s="380"/>
      <c r="H58" s="380"/>
      <c r="I58" s="380"/>
      <c r="J58" s="380"/>
      <c r="K58" s="380"/>
      <c r="L58" s="380"/>
      <c r="M58" s="380"/>
      <c r="N58" s="274"/>
      <c r="O58" s="380"/>
      <c r="P58" s="380"/>
      <c r="Q58" s="457"/>
      <c r="R58" s="358"/>
      <c r="S58" s="334"/>
      <c r="T58" s="462"/>
      <c r="V58" s="330"/>
      <c r="W58" s="330"/>
      <c r="X58" s="330"/>
      <c r="Y58" s="330"/>
      <c r="Z58" s="330"/>
    </row>
    <row r="59" spans="1:26" x14ac:dyDescent="0.25">
      <c r="A59" s="313"/>
      <c r="B59" s="295"/>
      <c r="C59" s="381" t="s">
        <v>194</v>
      </c>
      <c r="D59" s="379"/>
      <c r="E59" s="113"/>
      <c r="F59" s="423"/>
      <c r="G59" s="113"/>
      <c r="H59" s="113"/>
      <c r="I59" s="113"/>
      <c r="J59" s="113"/>
      <c r="K59" s="113"/>
      <c r="L59" s="113"/>
      <c r="M59" s="113"/>
      <c r="N59" s="274"/>
      <c r="O59" s="113"/>
      <c r="P59" s="113"/>
      <c r="Q59" s="449"/>
      <c r="S59" s="330"/>
      <c r="T59" s="462"/>
      <c r="V59" s="330"/>
      <c r="W59" s="330"/>
      <c r="X59" s="330"/>
      <c r="Y59" s="330"/>
      <c r="Z59" s="330"/>
    </row>
    <row r="60" spans="1:26" x14ac:dyDescent="0.25">
      <c r="A60" s="313"/>
      <c r="B60" s="295"/>
      <c r="C60" s="362" t="s">
        <v>172</v>
      </c>
      <c r="D60" s="250">
        <v>2</v>
      </c>
      <c r="E60" s="250">
        <v>2</v>
      </c>
      <c r="F60" s="250">
        <v>2</v>
      </c>
      <c r="G60" s="250">
        <v>2</v>
      </c>
      <c r="H60" s="250">
        <v>2</v>
      </c>
      <c r="I60" s="250">
        <v>2</v>
      </c>
      <c r="J60" s="250">
        <v>2</v>
      </c>
      <c r="K60" s="250">
        <v>2</v>
      </c>
      <c r="L60" s="250">
        <v>2</v>
      </c>
      <c r="M60" s="250">
        <v>2</v>
      </c>
      <c r="N60" s="479"/>
      <c r="O60" s="250">
        <v>2</v>
      </c>
      <c r="P60" s="250">
        <v>3</v>
      </c>
      <c r="Q60" s="452"/>
      <c r="S60" s="432"/>
      <c r="T60" s="462"/>
      <c r="U60" s="444" t="s">
        <v>92</v>
      </c>
      <c r="V60" s="330"/>
      <c r="W60" s="330"/>
      <c r="X60" s="330"/>
      <c r="Y60" s="330"/>
      <c r="Z60" s="330"/>
    </row>
    <row r="61" spans="1:26" ht="15.75" x14ac:dyDescent="0.25">
      <c r="A61" s="313"/>
      <c r="B61" s="295"/>
      <c r="C61" s="366" t="s">
        <v>175</v>
      </c>
      <c r="D61" s="251">
        <v>6270.7</v>
      </c>
      <c r="E61" s="251">
        <v>6024.17</v>
      </c>
      <c r="F61" s="251">
        <v>6172.08</v>
      </c>
      <c r="G61" s="251">
        <v>5129.41</v>
      </c>
      <c r="H61" s="251">
        <v>4307.8100000000004</v>
      </c>
      <c r="I61" s="251">
        <v>3691.6970000000001</v>
      </c>
      <c r="J61" s="251">
        <v>576.69000000000005</v>
      </c>
      <c r="K61" s="251">
        <v>539.67999999999995</v>
      </c>
      <c r="L61" s="251">
        <v>578.15</v>
      </c>
      <c r="M61" s="251">
        <v>679.17</v>
      </c>
      <c r="N61" s="480"/>
      <c r="O61" s="251"/>
      <c r="P61" s="251"/>
      <c r="Q61" s="99"/>
      <c r="S61" s="437">
        <v>4810</v>
      </c>
      <c r="T61" s="461" t="s">
        <v>169</v>
      </c>
      <c r="U61" s="332">
        <f>51731+29085</f>
        <v>80816</v>
      </c>
      <c r="V61" s="333"/>
      <c r="W61" s="425" t="s">
        <v>90</v>
      </c>
      <c r="X61" s="330"/>
      <c r="Y61" s="425" t="s">
        <v>214</v>
      </c>
      <c r="Z61" s="330"/>
    </row>
    <row r="62" spans="1:26" ht="15.75" x14ac:dyDescent="0.25">
      <c r="A62" s="313"/>
      <c r="B62" s="295"/>
      <c r="C62" s="366" t="s">
        <v>176</v>
      </c>
      <c r="D62" s="251">
        <v>7164.96</v>
      </c>
      <c r="E62" s="251">
        <v>6222.78</v>
      </c>
      <c r="F62" s="251">
        <v>6123.26</v>
      </c>
      <c r="G62" s="251">
        <v>3286.86</v>
      </c>
      <c r="H62" s="251">
        <v>1121.27</v>
      </c>
      <c r="I62" s="251"/>
      <c r="J62" s="251"/>
      <c r="K62" s="251"/>
      <c r="L62" s="251"/>
      <c r="M62" s="251"/>
      <c r="N62" s="480"/>
      <c r="O62" s="251">
        <v>4412.01</v>
      </c>
      <c r="P62" s="251">
        <v>8361.2800000000007</v>
      </c>
      <c r="Q62" s="99"/>
      <c r="S62" s="334" t="s">
        <v>90</v>
      </c>
      <c r="T62" s="335">
        <v>8361.2800000000007</v>
      </c>
      <c r="U62" s="336">
        <f>T62/U61</f>
        <v>0.10346070085131658</v>
      </c>
      <c r="V62" s="336">
        <f>T62/U66</f>
        <v>0.14330019880715708</v>
      </c>
      <c r="W62" s="338">
        <v>0.14330000000000001</v>
      </c>
      <c r="X62" s="330"/>
      <c r="Y62" s="336">
        <f>W62-V62</f>
        <v>-1.9880715707021324E-7</v>
      </c>
      <c r="Z62" s="330"/>
    </row>
    <row r="63" spans="1:26" ht="15.75" x14ac:dyDescent="0.25">
      <c r="A63" s="313"/>
      <c r="B63" s="295"/>
      <c r="C63" s="366" t="s">
        <v>177</v>
      </c>
      <c r="D63" s="251">
        <v>0</v>
      </c>
      <c r="E63" s="251"/>
      <c r="F63" s="251"/>
      <c r="G63" s="251"/>
      <c r="H63" s="251"/>
      <c r="I63" s="251"/>
      <c r="J63" s="251"/>
      <c r="K63" s="251"/>
      <c r="L63" s="251"/>
      <c r="M63" s="251"/>
      <c r="N63" s="480"/>
      <c r="O63" s="251">
        <v>606.76</v>
      </c>
      <c r="P63" s="251">
        <v>3646.97</v>
      </c>
      <c r="Q63" s="99"/>
      <c r="S63" s="334" t="s">
        <v>90</v>
      </c>
      <c r="T63" s="335">
        <v>3646.97</v>
      </c>
      <c r="U63" s="336">
        <f>T63/U61</f>
        <v>4.5126831320530587E-2</v>
      </c>
      <c r="V63" s="336">
        <f>T63/U67</f>
        <v>0.10983856880402372</v>
      </c>
      <c r="W63" s="330">
        <v>0.10983999999999999</v>
      </c>
      <c r="X63" s="330"/>
      <c r="Y63" s="336">
        <f>W63-V63</f>
        <v>1.4311959762730586E-6</v>
      </c>
      <c r="Z63" s="330"/>
    </row>
    <row r="64" spans="1:26" ht="15.75" x14ac:dyDescent="0.25">
      <c r="A64" s="313"/>
      <c r="B64" s="295"/>
      <c r="C64" s="318" t="s">
        <v>206</v>
      </c>
      <c r="D64" s="276">
        <v>6024.17</v>
      </c>
      <c r="E64" s="276">
        <v>6172.08</v>
      </c>
      <c r="F64" s="276">
        <v>5129.41</v>
      </c>
      <c r="G64" s="276">
        <v>4307.8100000000004</v>
      </c>
      <c r="H64" s="276">
        <v>3691.97</v>
      </c>
      <c r="I64" s="276">
        <v>576.69000000000005</v>
      </c>
      <c r="J64" s="276">
        <v>539.67999999999995</v>
      </c>
      <c r="K64" s="276">
        <v>578.15</v>
      </c>
      <c r="L64" s="276">
        <v>679.17</v>
      </c>
      <c r="M64" s="276">
        <v>4412.01</v>
      </c>
      <c r="N64" s="207"/>
      <c r="O64" s="276">
        <v>8361.2800000000007</v>
      </c>
      <c r="P64" s="276">
        <v>6465.2</v>
      </c>
      <c r="Q64" s="99"/>
      <c r="S64" s="334" t="s">
        <v>90</v>
      </c>
      <c r="T64" s="335">
        <v>0</v>
      </c>
      <c r="U64" s="336">
        <f>T64/U62</f>
        <v>0</v>
      </c>
      <c r="V64" s="336" t="e">
        <f>T64/U68</f>
        <v>#DIV/0!</v>
      </c>
      <c r="W64" s="330">
        <v>2.7089999999999999E-2</v>
      </c>
      <c r="X64" s="330"/>
      <c r="Y64" s="336" t="e">
        <f>W64-V64</f>
        <v>#DIV/0!</v>
      </c>
      <c r="Z64" s="330"/>
    </row>
    <row r="65" spans="1:26" ht="15.75" x14ac:dyDescent="0.25">
      <c r="A65" s="313"/>
      <c r="B65" s="295"/>
      <c r="C65" s="318" t="s">
        <v>207</v>
      </c>
      <c r="D65" s="276">
        <v>6222.78</v>
      </c>
      <c r="E65" s="276">
        <v>6123.26</v>
      </c>
      <c r="F65" s="276">
        <v>3286.86</v>
      </c>
      <c r="G65" s="276">
        <v>1121.27</v>
      </c>
      <c r="H65" s="276">
        <v>0</v>
      </c>
      <c r="I65" s="276"/>
      <c r="J65" s="276"/>
      <c r="K65" s="276"/>
      <c r="L65" s="276"/>
      <c r="M65" s="276">
        <v>606.76</v>
      </c>
      <c r="N65" s="207"/>
      <c r="O65" s="276">
        <v>3646.97</v>
      </c>
      <c r="P65" s="276">
        <v>7723.03</v>
      </c>
      <c r="Q65" s="99"/>
      <c r="S65" s="334" t="s">
        <v>91</v>
      </c>
      <c r="T65" s="335">
        <v>40361.129999999997</v>
      </c>
      <c r="U65" s="336">
        <f>T65/U61</f>
        <v>0.49942004058602252</v>
      </c>
      <c r="V65" s="336">
        <f>T65/U61</f>
        <v>0.49942004058602252</v>
      </c>
      <c r="W65" s="463">
        <v>0.49941999999999998</v>
      </c>
      <c r="X65" s="330"/>
      <c r="Y65" s="336">
        <f>W65-V65</f>
        <v>-4.0586022542754563E-8</v>
      </c>
      <c r="Z65" s="330"/>
    </row>
    <row r="66" spans="1:26" x14ac:dyDescent="0.25">
      <c r="A66" s="313"/>
      <c r="B66" s="295"/>
      <c r="C66" s="319" t="s">
        <v>208</v>
      </c>
      <c r="D66" s="350">
        <v>0</v>
      </c>
      <c r="E66" s="351"/>
      <c r="F66" s="276"/>
      <c r="G66" s="276"/>
      <c r="H66" s="276"/>
      <c r="I66" s="276"/>
      <c r="J66" s="276"/>
      <c r="K66" s="276"/>
      <c r="L66" s="276"/>
      <c r="M66" s="276"/>
      <c r="N66" s="207"/>
      <c r="O66" s="276"/>
      <c r="P66" s="276"/>
      <c r="Q66" s="99"/>
      <c r="S66" s="334"/>
      <c r="T66" s="462"/>
      <c r="U66" s="337">
        <f>ROUND(T62/W62,0)</f>
        <v>58348</v>
      </c>
      <c r="V66" s="330"/>
      <c r="W66" s="330"/>
      <c r="X66" s="330"/>
      <c r="Y66" s="330"/>
      <c r="Z66" s="330"/>
    </row>
    <row r="67" spans="1:26" x14ac:dyDescent="0.25">
      <c r="A67" s="313"/>
      <c r="B67" s="295"/>
      <c r="C67" s="320" t="s">
        <v>179</v>
      </c>
      <c r="D67" s="189">
        <f>-'WACAP 2020'!P74-'WACAP 2020'!P75-'WACAP 2020'!P76</f>
        <v>-13435.66</v>
      </c>
      <c r="E67" s="189">
        <f t="shared" ref="E67:M67" si="27">-D64-D65-D66</f>
        <v>-12246.95</v>
      </c>
      <c r="F67" s="375">
        <f t="shared" si="27"/>
        <v>-12295.34</v>
      </c>
      <c r="G67" s="189">
        <f t="shared" si="27"/>
        <v>-8416.27</v>
      </c>
      <c r="H67" s="189">
        <f t="shared" si="27"/>
        <v>-5429.08</v>
      </c>
      <c r="I67" s="189">
        <f t="shared" si="27"/>
        <v>-3691.97</v>
      </c>
      <c r="J67" s="189">
        <f t="shared" si="27"/>
        <v>-576.69000000000005</v>
      </c>
      <c r="K67" s="189">
        <f t="shared" si="27"/>
        <v>-539.67999999999995</v>
      </c>
      <c r="L67" s="189">
        <f t="shared" si="27"/>
        <v>-578.15</v>
      </c>
      <c r="M67" s="189">
        <f t="shared" si="27"/>
        <v>-679.17</v>
      </c>
      <c r="N67" s="208"/>
      <c r="O67" s="189">
        <f>-M64-M65-M66</f>
        <v>-5018.7700000000004</v>
      </c>
      <c r="P67" s="189">
        <f>-O64-O65-O66</f>
        <v>-12008.25</v>
      </c>
      <c r="Q67" s="362"/>
      <c r="S67" s="334"/>
      <c r="T67" s="462"/>
      <c r="U67" s="337">
        <f>ROUND(T63/W63,0)</f>
        <v>33203</v>
      </c>
      <c r="V67" s="330"/>
      <c r="W67" s="330"/>
      <c r="X67" s="330"/>
      <c r="Y67" s="330"/>
      <c r="Z67" s="330"/>
    </row>
    <row r="68" spans="1:26" x14ac:dyDescent="0.25">
      <c r="A68" s="313"/>
      <c r="B68" s="295"/>
      <c r="C68" s="311" t="s">
        <v>74</v>
      </c>
      <c r="D68" s="108">
        <f t="shared" ref="D68:M68" si="28">SUM(D61:D67)</f>
        <v>12246.95</v>
      </c>
      <c r="E68" s="108">
        <f t="shared" si="28"/>
        <v>12295.34</v>
      </c>
      <c r="F68" s="108">
        <f t="shared" si="28"/>
        <v>8416.27</v>
      </c>
      <c r="G68" s="108">
        <f t="shared" si="28"/>
        <v>5429.0800000000017</v>
      </c>
      <c r="H68" s="108">
        <f t="shared" si="28"/>
        <v>3691.9699999999993</v>
      </c>
      <c r="I68" s="108">
        <f t="shared" si="28"/>
        <v>576.41700000000083</v>
      </c>
      <c r="J68" s="108">
        <f t="shared" si="28"/>
        <v>539.67999999999984</v>
      </c>
      <c r="K68" s="108">
        <f t="shared" si="28"/>
        <v>578.15</v>
      </c>
      <c r="L68" s="108">
        <f t="shared" si="28"/>
        <v>679.17</v>
      </c>
      <c r="M68" s="187">
        <f t="shared" si="28"/>
        <v>5018.7700000000004</v>
      </c>
      <c r="N68" s="304"/>
      <c r="O68" s="397">
        <f>SUM(O61:O67)</f>
        <v>12008.25</v>
      </c>
      <c r="P68" s="187">
        <f>SUM(P61:P67)</f>
        <v>14188.23</v>
      </c>
      <c r="Q68" s="362"/>
      <c r="R68" s="358"/>
      <c r="S68" s="334"/>
      <c r="T68" s="462"/>
      <c r="U68" s="337">
        <f>ROUND(T64/W64,0)</f>
        <v>0</v>
      </c>
      <c r="V68" s="330"/>
      <c r="W68" s="330"/>
      <c r="X68" s="330"/>
      <c r="Y68" s="330"/>
      <c r="Z68" s="330"/>
    </row>
    <row r="69" spans="1:26" x14ac:dyDescent="0.25">
      <c r="A69" s="313"/>
      <c r="B69" s="295"/>
      <c r="C69" s="364" t="s">
        <v>73</v>
      </c>
      <c r="D69" s="309">
        <f>ROUND(-'Authorized Margins 2020'!D13*'WACAP 2021'!D60,2)</f>
        <v>-6764.72</v>
      </c>
      <c r="E69" s="88">
        <f>ROUND(-'Authorized Margins 2020'!E13*'WACAP 2021'!E60,2)</f>
        <v>-4675.5600000000004</v>
      </c>
      <c r="F69" s="88">
        <f>ROUND(-'Authorized Margins 2020'!F13*'WACAP 2021'!F60,2)</f>
        <v>-5497.38</v>
      </c>
      <c r="G69" s="88">
        <f>ROUND(-'Authorized Margins 2020'!G13*'WACAP 2021'!G60,2)</f>
        <v>-4627.96</v>
      </c>
      <c r="H69" s="88">
        <f>ROUND(-'Authorized Margins 2020'!H13*'WACAP 2021'!H60,2)</f>
        <v>-3532.2</v>
      </c>
      <c r="I69" s="88">
        <f>ROUND(-'Authorized Margins 2020'!I13*'WACAP 2021'!I60,2)</f>
        <v>-2520.44</v>
      </c>
      <c r="J69" s="88">
        <f>ROUND(-'Authorized Margins 2021'!J13*'WACAP 2021'!J60,2)</f>
        <v>-2361.2600000000002</v>
      </c>
      <c r="K69" s="88">
        <f>ROUND(-'Authorized Margins 2021'!K13*'WACAP 2021'!K60,2)</f>
        <v>-2352.86</v>
      </c>
      <c r="L69" s="88">
        <f>ROUND(-'Authorized Margins 2021'!L13*'WACAP 2021'!L60,2)</f>
        <v>-2087.46</v>
      </c>
      <c r="M69" s="88">
        <f>ROUND(-'Authorized Margins 2021'!M13*'WACAP 2021'!M60,2)</f>
        <v>-3484.5</v>
      </c>
      <c r="N69" s="209"/>
      <c r="O69" s="88">
        <f>ROUND(-'Authorized Margins 2021'!O13*'WACAP 2021'!O60,2)</f>
        <v>-4660.24</v>
      </c>
      <c r="P69" s="88">
        <f>ROUND(-'Authorized Margins 2021'!P13*'WACAP 2021'!P60,2)</f>
        <v>-7628.76</v>
      </c>
      <c r="Q69" s="362"/>
      <c r="S69" s="334"/>
      <c r="T69" s="462"/>
      <c r="U69" s="337"/>
      <c r="V69" s="330"/>
      <c r="W69" s="330"/>
      <c r="X69" s="330"/>
      <c r="Y69" s="330"/>
      <c r="Z69" s="330"/>
    </row>
    <row r="70" spans="1:26" x14ac:dyDescent="0.25">
      <c r="A70" s="313"/>
      <c r="B70" s="295"/>
      <c r="C70" s="364" t="s">
        <v>201</v>
      </c>
      <c r="D70" s="187">
        <f t="shared" ref="D70:M70" si="29">SUM(D68:D69)</f>
        <v>5482.2300000000005</v>
      </c>
      <c r="E70" s="187">
        <f t="shared" si="29"/>
        <v>7619.78</v>
      </c>
      <c r="F70" s="187">
        <f t="shared" si="29"/>
        <v>2918.8900000000003</v>
      </c>
      <c r="G70" s="187">
        <f t="shared" si="29"/>
        <v>801.12000000000171</v>
      </c>
      <c r="H70" s="187">
        <f t="shared" si="29"/>
        <v>159.76999999999953</v>
      </c>
      <c r="I70" s="90">
        <f t="shared" si="29"/>
        <v>-1944.0229999999992</v>
      </c>
      <c r="J70" s="90">
        <f t="shared" si="29"/>
        <v>-1821.5800000000004</v>
      </c>
      <c r="K70" s="90">
        <f t="shared" si="29"/>
        <v>-1774.71</v>
      </c>
      <c r="L70" s="90">
        <f t="shared" si="29"/>
        <v>-1408.29</v>
      </c>
      <c r="M70" s="187">
        <f t="shared" si="29"/>
        <v>1534.2700000000004</v>
      </c>
      <c r="N70" s="302">
        <f>-'WACAP 2020'!Q82</f>
        <v>-595590.74</v>
      </c>
      <c r="O70" s="187">
        <f>SUM(O68:O69)</f>
        <v>7348.01</v>
      </c>
      <c r="P70" s="187">
        <f>SUM(P68:P69)</f>
        <v>6559.4699999999993</v>
      </c>
      <c r="Q70" s="99">
        <f>SUM(D70:P70)-N70</f>
        <v>25474.937000000034</v>
      </c>
      <c r="S70" s="334"/>
      <c r="T70" s="462"/>
      <c r="U70" s="337"/>
      <c r="V70" s="330"/>
      <c r="W70" s="330"/>
      <c r="X70" s="330"/>
      <c r="Y70" s="330"/>
      <c r="Z70" s="330"/>
    </row>
    <row r="71" spans="1:26" x14ac:dyDescent="0.25">
      <c r="A71" s="313"/>
      <c r="B71" s="295"/>
      <c r="C71" s="364" t="s">
        <v>137</v>
      </c>
      <c r="D71" s="308">
        <f>ROUND(ROUND('WACAP 2020'!P83*D$7,2)/365*D$8,2)</f>
        <v>1643.99</v>
      </c>
      <c r="E71" s="187">
        <f t="shared" ref="E71:M71" si="30">ROUND(ROUND(D73*E$7,2)/365*E$8,2)</f>
        <v>1502.66</v>
      </c>
      <c r="F71" s="187">
        <f t="shared" si="30"/>
        <v>1688.84</v>
      </c>
      <c r="G71" s="187">
        <f t="shared" si="30"/>
        <v>1646.67</v>
      </c>
      <c r="H71" s="187">
        <f t="shared" si="30"/>
        <v>1708.32</v>
      </c>
      <c r="I71" s="187">
        <f t="shared" si="30"/>
        <v>1658.2</v>
      </c>
      <c r="J71" s="187">
        <f t="shared" si="30"/>
        <v>1712.69</v>
      </c>
      <c r="K71" s="187">
        <f t="shared" si="30"/>
        <v>1712.39</v>
      </c>
      <c r="L71" s="187">
        <f t="shared" si="30"/>
        <v>1656.98</v>
      </c>
      <c r="M71" s="187">
        <f t="shared" si="30"/>
        <v>1712.9</v>
      </c>
      <c r="N71" s="231">
        <f>'Ammort Split 2021'!N81</f>
        <v>-16319.52</v>
      </c>
      <c r="O71" s="187">
        <f>ROUND(ROUND(N73*O$7,2)/365*O$8,2)</f>
        <v>31.77</v>
      </c>
      <c r="P71" s="187">
        <f>ROUND(ROUND(O73*P$7,2)/365*P$8,2)</f>
        <v>53.19</v>
      </c>
      <c r="Q71" s="100">
        <f>SUM(D71:P71)</f>
        <v>409.07999999999896</v>
      </c>
      <c r="S71" s="334"/>
      <c r="T71" s="462"/>
      <c r="U71" s="337"/>
      <c r="V71" s="330"/>
      <c r="W71" s="330"/>
      <c r="X71" s="330"/>
      <c r="Y71" s="330"/>
      <c r="Z71" s="330"/>
    </row>
    <row r="72" spans="1:26" x14ac:dyDescent="0.25">
      <c r="A72" s="313"/>
      <c r="B72" s="295"/>
      <c r="C72" s="364" t="s">
        <v>138</v>
      </c>
      <c r="D72" s="189">
        <f t="shared" ref="D72:Q72" si="31">SUM(D70:D71)</f>
        <v>7126.22</v>
      </c>
      <c r="E72" s="189">
        <f t="shared" si="31"/>
        <v>9122.44</v>
      </c>
      <c r="F72" s="189">
        <f t="shared" si="31"/>
        <v>4607.7300000000005</v>
      </c>
      <c r="G72" s="189">
        <f t="shared" si="31"/>
        <v>2447.7900000000018</v>
      </c>
      <c r="H72" s="189">
        <f t="shared" si="31"/>
        <v>1868.0899999999995</v>
      </c>
      <c r="I72" s="189">
        <f t="shared" si="31"/>
        <v>-285.82299999999918</v>
      </c>
      <c r="J72" s="189">
        <f t="shared" si="31"/>
        <v>-108.89000000000033</v>
      </c>
      <c r="K72" s="189">
        <f t="shared" si="31"/>
        <v>-62.319999999999936</v>
      </c>
      <c r="L72" s="189">
        <f t="shared" si="31"/>
        <v>248.69000000000005</v>
      </c>
      <c r="M72" s="189">
        <f t="shared" si="31"/>
        <v>3247.1700000000005</v>
      </c>
      <c r="N72" s="209">
        <f t="shared" si="31"/>
        <v>-611910.26</v>
      </c>
      <c r="O72" s="189">
        <f t="shared" si="31"/>
        <v>7379.7800000000007</v>
      </c>
      <c r="P72" s="189">
        <f t="shared" si="31"/>
        <v>6612.6599999999989</v>
      </c>
      <c r="Q72" s="453">
        <f t="shared" si="31"/>
        <v>25884.017000000033</v>
      </c>
      <c r="S72" s="334"/>
      <c r="T72" s="462"/>
      <c r="U72" s="337"/>
      <c r="V72" s="330"/>
      <c r="W72" s="330"/>
      <c r="X72" s="330"/>
      <c r="Y72" s="330"/>
      <c r="Z72" s="330"/>
    </row>
    <row r="73" spans="1:26" x14ac:dyDescent="0.25">
      <c r="A73" s="313"/>
      <c r="B73" s="295"/>
      <c r="C73" s="455" t="s">
        <v>139</v>
      </c>
      <c r="D73" s="308">
        <f>'WACAP 2020'!P83+'WACAP 2021'!D72</f>
        <v>602716.95999999985</v>
      </c>
      <c r="E73" s="187">
        <f t="shared" ref="E73:P73" si="32">D73+E72</f>
        <v>611839.39999999979</v>
      </c>
      <c r="F73" s="187">
        <f t="shared" si="32"/>
        <v>616447.12999999977</v>
      </c>
      <c r="G73" s="187">
        <f t="shared" si="32"/>
        <v>618894.91999999981</v>
      </c>
      <c r="H73" s="187">
        <f t="shared" si="32"/>
        <v>620763.00999999978</v>
      </c>
      <c r="I73" s="187">
        <f t="shared" si="32"/>
        <v>620477.1869999998</v>
      </c>
      <c r="J73" s="187">
        <f t="shared" si="32"/>
        <v>620368.29699999979</v>
      </c>
      <c r="K73" s="187">
        <f t="shared" si="32"/>
        <v>620305.97699999984</v>
      </c>
      <c r="L73" s="187">
        <f t="shared" si="32"/>
        <v>620554.66699999978</v>
      </c>
      <c r="M73" s="187">
        <f t="shared" si="32"/>
        <v>623801.83699999982</v>
      </c>
      <c r="N73" s="208">
        <f t="shared" si="32"/>
        <v>11891.576999999816</v>
      </c>
      <c r="O73" s="187">
        <f t="shared" si="32"/>
        <v>19271.356999999814</v>
      </c>
      <c r="P73" s="397">
        <f t="shared" si="32"/>
        <v>25884.016999999814</v>
      </c>
      <c r="Q73" s="362"/>
      <c r="S73" s="334"/>
      <c r="T73" s="462"/>
      <c r="V73" s="330"/>
      <c r="W73" s="330"/>
      <c r="X73" s="330"/>
      <c r="Y73" s="330"/>
      <c r="Z73" s="330"/>
    </row>
    <row r="74" spans="1:26" ht="6.75" customHeight="1" thickBot="1" x14ac:dyDescent="0.3">
      <c r="A74" s="313"/>
      <c r="B74" s="295"/>
      <c r="C74" s="438"/>
      <c r="D74" s="273"/>
      <c r="E74" s="439"/>
      <c r="F74" s="439"/>
      <c r="G74" s="439"/>
      <c r="H74" s="439"/>
      <c r="I74" s="439"/>
      <c r="J74" s="439"/>
      <c r="K74" s="439"/>
      <c r="L74" s="439"/>
      <c r="M74" s="439"/>
      <c r="N74" s="439"/>
      <c r="O74" s="439"/>
      <c r="P74" s="439"/>
      <c r="Q74" s="450"/>
      <c r="S74" s="334"/>
      <c r="T74" s="462"/>
      <c r="U74" s="675"/>
      <c r="V74" s="330"/>
      <c r="W74" s="330"/>
      <c r="X74" s="330"/>
      <c r="Y74" s="330"/>
      <c r="Z74" s="330"/>
    </row>
    <row r="75" spans="1:26" ht="4.5" customHeight="1" x14ac:dyDescent="0.25">
      <c r="B75" s="295"/>
      <c r="C75" s="442"/>
      <c r="D75" s="442"/>
      <c r="E75" s="443"/>
      <c r="F75" s="443"/>
      <c r="G75" s="443"/>
      <c r="H75" s="443"/>
      <c r="I75" s="443"/>
      <c r="J75" s="443"/>
      <c r="K75" s="443"/>
      <c r="L75" s="443"/>
      <c r="M75" s="443"/>
      <c r="N75" s="443"/>
      <c r="O75" s="187"/>
      <c r="P75" s="187"/>
      <c r="Q75" s="240"/>
      <c r="S75" s="334"/>
      <c r="T75" s="462"/>
      <c r="U75" s="675"/>
      <c r="V75" s="330"/>
      <c r="W75" s="330"/>
      <c r="X75" s="330"/>
      <c r="Y75" s="330"/>
      <c r="Z75" s="330"/>
    </row>
    <row r="76" spans="1:26" ht="4.5" customHeight="1" x14ac:dyDescent="0.25">
      <c r="B76" s="295"/>
      <c r="C76" s="446"/>
      <c r="D76" s="446"/>
      <c r="E76" s="189"/>
      <c r="F76" s="187"/>
      <c r="G76" s="189"/>
      <c r="H76" s="189"/>
      <c r="I76" s="189"/>
      <c r="J76" s="189"/>
      <c r="K76" s="189"/>
      <c r="L76" s="189"/>
      <c r="M76" s="189"/>
      <c r="N76" s="189"/>
      <c r="O76" s="189"/>
      <c r="P76" s="189"/>
      <c r="Q76" s="356"/>
      <c r="S76" s="334"/>
      <c r="T76" s="462"/>
      <c r="U76" s="675"/>
      <c r="V76" s="330"/>
      <c r="W76" s="330"/>
      <c r="X76" s="330"/>
      <c r="Y76" s="330"/>
      <c r="Z76" s="330"/>
    </row>
    <row r="77" spans="1:26" x14ac:dyDescent="0.25">
      <c r="A77" s="313"/>
      <c r="B77" t="s">
        <v>86</v>
      </c>
      <c r="C77" s="365" t="s">
        <v>195</v>
      </c>
      <c r="D77" s="447"/>
      <c r="E77" s="448"/>
      <c r="F77" s="423"/>
      <c r="G77" s="448"/>
      <c r="H77" s="113"/>
      <c r="I77" s="113"/>
      <c r="J77" s="113"/>
      <c r="K77" s="113"/>
      <c r="L77" s="113"/>
      <c r="M77" s="113"/>
      <c r="N77" s="113"/>
      <c r="O77" s="113"/>
      <c r="P77" s="448"/>
      <c r="Q77" s="449"/>
      <c r="S77" s="330"/>
      <c r="T77" s="462"/>
      <c r="U77" s="444" t="s">
        <v>92</v>
      </c>
      <c r="V77" s="330"/>
      <c r="W77" s="330"/>
      <c r="X77" s="330"/>
      <c r="Y77" s="330"/>
      <c r="Z77" s="330"/>
    </row>
    <row r="78" spans="1:26" ht="15.75" x14ac:dyDescent="0.25">
      <c r="A78" s="313"/>
      <c r="B78" s="295" t="s">
        <v>64</v>
      </c>
      <c r="C78" s="362" t="s">
        <v>172</v>
      </c>
      <c r="D78" s="250">
        <v>27039</v>
      </c>
      <c r="E78" s="250">
        <v>27077</v>
      </c>
      <c r="F78" s="250">
        <v>27056</v>
      </c>
      <c r="G78" s="250">
        <v>27039</v>
      </c>
      <c r="H78" s="250">
        <v>27040</v>
      </c>
      <c r="I78" s="250">
        <v>27039</v>
      </c>
      <c r="J78" s="250">
        <v>27032</v>
      </c>
      <c r="K78" s="250">
        <v>27025</v>
      </c>
      <c r="L78" s="250">
        <v>27020</v>
      </c>
      <c r="M78" s="250">
        <v>27131</v>
      </c>
      <c r="N78" s="479"/>
      <c r="O78" s="250">
        <v>27236</v>
      </c>
      <c r="P78" s="250">
        <v>27317</v>
      </c>
      <c r="Q78" s="452"/>
      <c r="S78" s="437">
        <v>4810</v>
      </c>
      <c r="T78" s="430">
        <v>504</v>
      </c>
      <c r="U78" s="332">
        <v>10801621</v>
      </c>
      <c r="V78" s="333"/>
      <c r="W78" s="425" t="s">
        <v>90</v>
      </c>
      <c r="X78" s="330"/>
      <c r="Y78" s="425" t="s">
        <v>214</v>
      </c>
      <c r="Z78" s="330"/>
    </row>
    <row r="79" spans="1:26" ht="15.75" x14ac:dyDescent="0.25">
      <c r="A79" s="313"/>
      <c r="B79" s="295" t="s">
        <v>71</v>
      </c>
      <c r="C79" s="366" t="s">
        <v>178</v>
      </c>
      <c r="D79" s="251">
        <v>3389674.65</v>
      </c>
      <c r="E79" s="251">
        <v>3164546.19</v>
      </c>
      <c r="F79" s="251">
        <v>3455936.3</v>
      </c>
      <c r="G79" s="251">
        <v>2405627.4900000002</v>
      </c>
      <c r="H79" s="251">
        <v>1296175.17</v>
      </c>
      <c r="I79" s="251">
        <v>1056344.3999999999</v>
      </c>
      <c r="J79" s="251">
        <v>719588.23</v>
      </c>
      <c r="K79" s="251">
        <v>679563.28</v>
      </c>
      <c r="L79" s="251">
        <v>734778.08</v>
      </c>
      <c r="M79" s="251">
        <v>1047148.69</v>
      </c>
      <c r="N79" s="480"/>
      <c r="O79" s="251">
        <v>1708911.63</v>
      </c>
      <c r="P79" s="251">
        <v>2838991.79</v>
      </c>
      <c r="Q79" s="99"/>
      <c r="S79" s="334" t="s">
        <v>90</v>
      </c>
      <c r="T79" s="335">
        <v>2838991.79</v>
      </c>
      <c r="U79" s="336">
        <f>T79/U78</f>
        <v>0.26283016132486042</v>
      </c>
      <c r="V79" s="336">
        <f>T79/U78</f>
        <v>0.26283016132486042</v>
      </c>
      <c r="W79" s="330">
        <v>0.26179999999999998</v>
      </c>
      <c r="X79" s="330"/>
      <c r="Y79" s="336">
        <f>W79-V79</f>
        <v>-1.0301613248604458E-3</v>
      </c>
      <c r="Z79" s="330"/>
    </row>
    <row r="80" spans="1:26" ht="15.75" x14ac:dyDescent="0.25">
      <c r="A80" s="313"/>
      <c r="B80" s="295"/>
      <c r="C80" s="367" t="s">
        <v>222</v>
      </c>
      <c r="D80" s="468">
        <v>9206386</v>
      </c>
      <c r="E80" s="465">
        <v>9876392</v>
      </c>
      <c r="F80" s="465">
        <v>6599492</v>
      </c>
      <c r="G80" s="465">
        <v>2779511</v>
      </c>
      <c r="H80" s="465">
        <v>1966052</v>
      </c>
      <c r="I80" s="465">
        <v>296580</v>
      </c>
      <c r="J80" s="465">
        <v>1248224</v>
      </c>
      <c r="K80" s="465">
        <v>1411426</v>
      </c>
      <c r="L80" s="465">
        <v>2330127</v>
      </c>
      <c r="M80" s="465">
        <v>5048872</v>
      </c>
      <c r="N80" s="479"/>
      <c r="O80" s="465">
        <v>8093139</v>
      </c>
      <c r="P80" s="465">
        <v>13620124</v>
      </c>
      <c r="Q80" s="99"/>
      <c r="S80" s="334" t="s">
        <v>91</v>
      </c>
      <c r="T80" s="335">
        <v>5512506.5099999998</v>
      </c>
      <c r="U80" s="336">
        <f>T80/U78</f>
        <v>0.51034067109001513</v>
      </c>
      <c r="V80" s="336">
        <f>T80/U78</f>
        <v>0.51034067109001513</v>
      </c>
      <c r="W80" s="330">
        <f>+W49</f>
        <v>0.51334000000000002</v>
      </c>
      <c r="X80" s="330"/>
      <c r="Y80" s="336">
        <f>W80-V80</f>
        <v>2.9993289099848885E-3</v>
      </c>
      <c r="Z80" s="330"/>
    </row>
    <row r="81" spans="1:26" x14ac:dyDescent="0.25">
      <c r="A81" s="313"/>
      <c r="B81" s="295"/>
      <c r="C81" s="367" t="s">
        <v>225</v>
      </c>
      <c r="D81" s="467">
        <v>0.90390000000000004</v>
      </c>
      <c r="E81" s="467">
        <v>0.90090000000000003</v>
      </c>
      <c r="F81" s="467">
        <v>0.9022</v>
      </c>
      <c r="G81" s="467">
        <v>0.89280000000000004</v>
      </c>
      <c r="H81" s="467">
        <v>0.88859999999999995</v>
      </c>
      <c r="I81" s="467">
        <v>0.88800000000000001</v>
      </c>
      <c r="J81" s="467">
        <v>0.89219999999999999</v>
      </c>
      <c r="K81" s="467">
        <v>0.89539999999999997</v>
      </c>
      <c r="L81" s="467">
        <v>0.8972</v>
      </c>
      <c r="M81" s="467">
        <v>0.88870000000000005</v>
      </c>
      <c r="N81" s="480"/>
      <c r="O81" s="467">
        <v>0.89170000000000005</v>
      </c>
      <c r="P81" s="467">
        <v>0.90369999999999995</v>
      </c>
      <c r="Q81" s="99"/>
      <c r="S81" s="334"/>
      <c r="T81" s="462"/>
      <c r="U81" s="337">
        <f>ROUND(T94/W94,0)</f>
        <v>878948</v>
      </c>
      <c r="V81" s="336"/>
      <c r="W81" s="330"/>
      <c r="X81" s="330"/>
      <c r="Y81" s="336"/>
      <c r="Z81" s="330"/>
    </row>
    <row r="82" spans="1:26" x14ac:dyDescent="0.25">
      <c r="A82" s="313"/>
      <c r="B82" s="376" t="s">
        <v>72</v>
      </c>
      <c r="C82" s="367" t="s">
        <v>224</v>
      </c>
      <c r="D82" s="349">
        <f>ROUND(ROUND(D80*D81,0)*0.2618,2)</f>
        <v>2178608.4900000002</v>
      </c>
      <c r="E82" s="349">
        <f>ROUND(ROUND(E80*E81,0)*0.2618,2)</f>
        <v>2329402.6800000002</v>
      </c>
      <c r="F82" s="349">
        <f>ROUND(ROUND(F80*F81,0)*0.2618,2)</f>
        <v>1558773.43</v>
      </c>
      <c r="G82" s="349">
        <f>ROUND(ROUND(G80*G81,0)*0.2618,2)</f>
        <v>649669</v>
      </c>
      <c r="H82" s="349">
        <f>ROUND(ROUND(H80*H81,0)*0.2618,2)</f>
        <v>457373.5</v>
      </c>
      <c r="I82" s="349">
        <f>ROUND(ROUND(I80*I81,0)*0.26283,2)</f>
        <v>69219.7</v>
      </c>
      <c r="J82" s="349">
        <f>ROUND(ROUND(J80*J81,0)*0.26283,2)</f>
        <v>292704.57</v>
      </c>
      <c r="K82" s="349">
        <f>ROUND(ROUND(K80*K81,0)*0.26283,2)</f>
        <v>332162.19</v>
      </c>
      <c r="L82" s="349">
        <f>ROUND(ROUND(L80*L81,0)*0.26283,2)</f>
        <v>549469.77</v>
      </c>
      <c r="M82" s="349">
        <f>ROUND(ROUND(M80*M81,0)*0.26283,2)</f>
        <v>1179300.6000000001</v>
      </c>
      <c r="N82" s="480"/>
      <c r="O82" s="349">
        <f>ROUND(ROUND(O80*O81,0)*0.26283,2)</f>
        <v>1896752.65</v>
      </c>
      <c r="P82" s="349">
        <f>ROUND(ROUND(P80*P81,0)*0.26283,2)</f>
        <v>3235044.63</v>
      </c>
      <c r="Q82" s="99"/>
      <c r="Z82" s="330"/>
    </row>
    <row r="83" spans="1:26" x14ac:dyDescent="0.25">
      <c r="A83" s="313"/>
      <c r="B83" s="295" t="s">
        <v>72</v>
      </c>
      <c r="C83" s="314" t="s">
        <v>184</v>
      </c>
      <c r="D83" s="189">
        <f>-'WACAP 2020'!P59</f>
        <v>-2257289.6100000003</v>
      </c>
      <c r="E83" s="189">
        <f t="shared" ref="E83:F83" si="33">-D82</f>
        <v>-2178608.4900000002</v>
      </c>
      <c r="F83" s="189">
        <f t="shared" si="33"/>
        <v>-2329402.6800000002</v>
      </c>
      <c r="G83" s="189">
        <f>-F82</f>
        <v>-1558773.43</v>
      </c>
      <c r="H83" s="189">
        <f>-G82</f>
        <v>-649669</v>
      </c>
      <c r="I83" s="189">
        <f>-H82</f>
        <v>-457373.5</v>
      </c>
      <c r="J83" s="189">
        <f>-I82</f>
        <v>-69219.7</v>
      </c>
      <c r="K83" s="189">
        <f t="shared" ref="K83:M83" si="34">-J82</f>
        <v>-292704.57</v>
      </c>
      <c r="L83" s="189">
        <f>-K82</f>
        <v>-332162.19</v>
      </c>
      <c r="M83" s="189">
        <f t="shared" si="34"/>
        <v>-549469.77</v>
      </c>
      <c r="N83" s="209"/>
      <c r="O83" s="189">
        <f>-M82</f>
        <v>-1179300.6000000001</v>
      </c>
      <c r="P83" s="189">
        <f>-O82</f>
        <v>-1896752.65</v>
      </c>
      <c r="Q83" s="99"/>
      <c r="Z83" s="330"/>
    </row>
    <row r="84" spans="1:26" x14ac:dyDescent="0.25">
      <c r="A84" s="313"/>
      <c r="B84" s="295"/>
      <c r="C84" s="311" t="s">
        <v>74</v>
      </c>
      <c r="D84" s="187">
        <f>+D83+D82+D79</f>
        <v>3310993.53</v>
      </c>
      <c r="E84" s="187">
        <f t="shared" ref="E84:P84" si="35">+E83+E82+E79</f>
        <v>3315340.38</v>
      </c>
      <c r="F84" s="187">
        <f t="shared" si="35"/>
        <v>2685307.05</v>
      </c>
      <c r="G84" s="187">
        <f t="shared" si="35"/>
        <v>1496523.0600000003</v>
      </c>
      <c r="H84" s="187">
        <f t="shared" si="35"/>
        <v>1103879.67</v>
      </c>
      <c r="I84" s="187">
        <f t="shared" si="35"/>
        <v>668190.59999999986</v>
      </c>
      <c r="J84" s="187">
        <f t="shared" si="35"/>
        <v>943073.1</v>
      </c>
      <c r="K84" s="187">
        <f t="shared" si="35"/>
        <v>719020.9</v>
      </c>
      <c r="L84" s="187">
        <f t="shared" si="35"/>
        <v>952085.65999999992</v>
      </c>
      <c r="M84" s="187">
        <f t="shared" si="35"/>
        <v>1676979.52</v>
      </c>
      <c r="N84" s="208"/>
      <c r="O84" s="187">
        <f t="shared" si="35"/>
        <v>2426363.6799999997</v>
      </c>
      <c r="P84" s="187">
        <f t="shared" si="35"/>
        <v>4177283.77</v>
      </c>
      <c r="Q84" s="362"/>
      <c r="S84" s="337"/>
      <c r="V84" s="330"/>
      <c r="W84" s="330"/>
      <c r="X84" s="330"/>
      <c r="Y84" s="330"/>
      <c r="Z84" s="330"/>
    </row>
    <row r="85" spans="1:26" x14ac:dyDescent="0.25">
      <c r="A85" s="313"/>
      <c r="B85" s="295"/>
      <c r="C85" s="364" t="s">
        <v>73</v>
      </c>
      <c r="D85" s="307">
        <f>ROUND(-'Authorized Margins 2020'!D9*'WACAP 2021'!D78,2)</f>
        <v>-4011506.04</v>
      </c>
      <c r="E85" s="189">
        <f>ROUND(-'Authorized Margins 2020'!E9*'WACAP 2021'!E78,2)</f>
        <v>-3345904.89</v>
      </c>
      <c r="F85" s="189">
        <f>ROUND(-'Authorized Margins 2020'!F9*'WACAP 2021'!F78,2)</f>
        <v>-2434498.88</v>
      </c>
      <c r="G85" s="189">
        <f>ROUND(-'Authorized Margins 2020'!G9*'WACAP 2021'!G78,2)</f>
        <v>-1832973.81</v>
      </c>
      <c r="H85" s="189">
        <f>ROUND(-'Authorized Margins 2020'!H9*'WACAP 2021'!H78,2)</f>
        <v>-1043473.6</v>
      </c>
      <c r="I85" s="189">
        <f>ROUND(-'Authorized Margins 2020'!I9*'WACAP 2021'!I78,2)</f>
        <v>-919326</v>
      </c>
      <c r="J85" s="88">
        <f>ROUND(-'Authorized Margins 2021'!J9*'WACAP 2021'!J78,2)</f>
        <v>-827719.84</v>
      </c>
      <c r="K85" s="88">
        <f>ROUND(-'Authorized Margins 2021'!K9*'WACAP 2021'!K78,2)</f>
        <v>-832370</v>
      </c>
      <c r="L85" s="88">
        <f>ROUND(-'Authorized Margins 2021'!L9*'WACAP 2021'!L78,2)</f>
        <v>-1009467.2</v>
      </c>
      <c r="M85" s="88">
        <f>ROUND(-'Authorized Margins 2021'!M9*'WACAP 2021'!M78,2)</f>
        <v>-1910565.02</v>
      </c>
      <c r="N85" s="209"/>
      <c r="O85" s="88">
        <f>ROUND(-'Authorized Margins 2021'!O9*'WACAP 2021'!O78,2)</f>
        <v>-2933317.2</v>
      </c>
      <c r="P85" s="88">
        <f>ROUND(-'Authorized Margins 2021'!P9*'WACAP 2021'!P78,2)</f>
        <v>-3838038.5</v>
      </c>
      <c r="Q85" s="362"/>
      <c r="S85" s="337"/>
      <c r="T85" s="462"/>
      <c r="U85" s="330"/>
      <c r="V85" s="330"/>
      <c r="W85" s="330"/>
      <c r="X85" s="330"/>
      <c r="Y85" s="330"/>
      <c r="Z85" s="330"/>
    </row>
    <row r="86" spans="1:26" x14ac:dyDescent="0.25">
      <c r="A86" s="313"/>
      <c r="B86" s="295"/>
      <c r="C86" s="364" t="s">
        <v>201</v>
      </c>
      <c r="D86" s="187">
        <f t="shared" ref="D86:P86" si="36">SUM(D84:D85)</f>
        <v>-700512.51000000024</v>
      </c>
      <c r="E86" s="187">
        <f t="shared" si="36"/>
        <v>-30564.510000000242</v>
      </c>
      <c r="F86" s="187">
        <f t="shared" si="36"/>
        <v>250808.16999999993</v>
      </c>
      <c r="G86" s="187">
        <f t="shared" si="36"/>
        <v>-336450.74999999977</v>
      </c>
      <c r="H86" s="187">
        <f t="shared" si="36"/>
        <v>60406.069999999949</v>
      </c>
      <c r="I86" s="187">
        <f t="shared" si="36"/>
        <v>-251135.40000000014</v>
      </c>
      <c r="J86" s="187">
        <f t="shared" si="36"/>
        <v>115353.26000000001</v>
      </c>
      <c r="K86" s="187">
        <f t="shared" si="36"/>
        <v>-113349.09999999998</v>
      </c>
      <c r="L86" s="187">
        <f t="shared" si="36"/>
        <v>-57381.540000000037</v>
      </c>
      <c r="M86" s="187">
        <f t="shared" si="36"/>
        <v>-233585.5</v>
      </c>
      <c r="N86" s="302">
        <f>-'WACAP 2020'!Q65</f>
        <v>2484120.0499999998</v>
      </c>
      <c r="O86" s="187">
        <f t="shared" si="36"/>
        <v>-506953.52000000048</v>
      </c>
      <c r="P86" s="187">
        <f t="shared" si="36"/>
        <v>339245.27</v>
      </c>
      <c r="Q86" s="99">
        <f>SUM(D86:P86)-N86</f>
        <v>-1464120.060000001</v>
      </c>
      <c r="S86" s="337"/>
      <c r="T86" s="462"/>
      <c r="U86" s="330"/>
      <c r="V86" s="330"/>
      <c r="W86" s="330"/>
      <c r="X86" s="330"/>
      <c r="Y86" s="330"/>
      <c r="Z86" s="330"/>
    </row>
    <row r="87" spans="1:26" x14ac:dyDescent="0.25">
      <c r="A87" s="313"/>
      <c r="B87" s="295"/>
      <c r="C87" s="364" t="s">
        <v>137</v>
      </c>
      <c r="D87" s="308">
        <f>ROUND(ROUND('WACAP 2020'!P66*D$7,2)/365*D$8,2)</f>
        <v>-6856.85</v>
      </c>
      <c r="E87" s="187">
        <f>ROUND(ROUND(D89*E$7,2)/365*E$8,2)</f>
        <v>-7956.86</v>
      </c>
      <c r="F87" s="187">
        <f>ROUND(ROUND(E89*F$7,2)/365*F$8,2)</f>
        <v>-8915.7099999999991</v>
      </c>
      <c r="G87" s="187">
        <f t="shared" ref="G87:P87" si="37">ROUND(ROUND(F89*G$7,2)/365*G$8,2)</f>
        <v>-7981.96</v>
      </c>
      <c r="H87" s="187">
        <f t="shared" si="37"/>
        <v>-9198.75</v>
      </c>
      <c r="I87" s="187">
        <f t="shared" si="37"/>
        <v>-8765.23</v>
      </c>
      <c r="J87" s="187">
        <f t="shared" si="37"/>
        <v>-9774.7999999999993</v>
      </c>
      <c r="K87" s="187">
        <f t="shared" si="37"/>
        <v>-9483.3799999999992</v>
      </c>
      <c r="L87" s="187">
        <f t="shared" si="37"/>
        <v>-9505.58</v>
      </c>
      <c r="M87" s="187">
        <f t="shared" si="37"/>
        <v>-10007.06</v>
      </c>
      <c r="N87" s="231">
        <f>'Ammort Split 2021'!N65</f>
        <v>68066.28</v>
      </c>
      <c r="O87" s="187">
        <f>ROUND(ROUND(N89*O$7,2)/365*O$8,2)</f>
        <v>-3517.46</v>
      </c>
      <c r="P87" s="187">
        <f t="shared" si="37"/>
        <v>-5043.75</v>
      </c>
      <c r="Q87" s="100">
        <f>SUM(D87:P87)</f>
        <v>-28941.110000000008</v>
      </c>
      <c r="S87" s="330"/>
      <c r="T87" s="330"/>
      <c r="U87" s="330"/>
      <c r="V87" s="330"/>
      <c r="W87" s="330"/>
      <c r="X87" s="330"/>
      <c r="Y87" s="330"/>
      <c r="Z87" s="330"/>
    </row>
    <row r="88" spans="1:26" x14ac:dyDescent="0.25">
      <c r="A88" s="313"/>
      <c r="B88" s="295"/>
      <c r="C88" s="364" t="s">
        <v>138</v>
      </c>
      <c r="D88" s="189">
        <f t="shared" ref="D88:P88" si="38">SUM(D86:D87)</f>
        <v>-707369.36000000022</v>
      </c>
      <c r="E88" s="189">
        <f t="shared" si="38"/>
        <v>-38521.370000000243</v>
      </c>
      <c r="F88" s="189">
        <f t="shared" si="38"/>
        <v>241892.45999999993</v>
      </c>
      <c r="G88" s="189">
        <f t="shared" si="38"/>
        <v>-344432.70999999979</v>
      </c>
      <c r="H88" s="189">
        <f t="shared" si="38"/>
        <v>51207.319999999949</v>
      </c>
      <c r="I88" s="189">
        <f t="shared" si="38"/>
        <v>-259900.63000000015</v>
      </c>
      <c r="J88" s="189">
        <f t="shared" si="38"/>
        <v>105578.46</v>
      </c>
      <c r="K88" s="189">
        <f t="shared" si="38"/>
        <v>-122832.47999999998</v>
      </c>
      <c r="L88" s="189">
        <f t="shared" si="38"/>
        <v>-66887.120000000039</v>
      </c>
      <c r="M88" s="189">
        <f t="shared" si="38"/>
        <v>-243592.56</v>
      </c>
      <c r="N88" s="209">
        <f>SUM(N86:N87)</f>
        <v>2552186.3299999996</v>
      </c>
      <c r="O88" s="189">
        <f t="shared" si="38"/>
        <v>-510470.98000000051</v>
      </c>
      <c r="P88" s="189">
        <f t="shared" si="38"/>
        <v>334201.52</v>
      </c>
      <c r="Q88" s="453">
        <f>SUM(Q86:Q87)</f>
        <v>-1493061.1700000011</v>
      </c>
      <c r="S88" s="330"/>
      <c r="T88" s="330"/>
      <c r="U88" s="330"/>
      <c r="V88" s="330"/>
      <c r="W88" s="330"/>
      <c r="X88" s="330"/>
      <c r="Y88" s="330"/>
      <c r="Z88" s="330"/>
    </row>
    <row r="89" spans="1:26" ht="15.75" thickBot="1" x14ac:dyDescent="0.3">
      <c r="A89" s="313"/>
      <c r="B89" s="283"/>
      <c r="C89" s="364" t="s">
        <v>139</v>
      </c>
      <c r="D89" s="307">
        <f>'WACAP 2020'!P66+'WACAP 2021'!D88</f>
        <v>-3191489.4100000006</v>
      </c>
      <c r="E89" s="375">
        <f t="shared" ref="E89:P89" si="39">D89+E88</f>
        <v>-3230010.7800000007</v>
      </c>
      <c r="F89" s="187">
        <f t="shared" si="39"/>
        <v>-2988118.3200000008</v>
      </c>
      <c r="G89" s="375">
        <f t="shared" si="39"/>
        <v>-3332551.0300000007</v>
      </c>
      <c r="H89" s="375">
        <f t="shared" si="39"/>
        <v>-3281343.7100000009</v>
      </c>
      <c r="I89" s="375">
        <f t="shared" si="39"/>
        <v>-3541244.3400000012</v>
      </c>
      <c r="J89" s="375">
        <f t="shared" si="39"/>
        <v>-3435665.8800000013</v>
      </c>
      <c r="K89" s="375">
        <f t="shared" si="39"/>
        <v>-3558498.3600000013</v>
      </c>
      <c r="L89" s="375">
        <f t="shared" si="39"/>
        <v>-3625385.4800000014</v>
      </c>
      <c r="M89" s="375">
        <f t="shared" si="39"/>
        <v>-3868978.0400000014</v>
      </c>
      <c r="N89" s="386">
        <f t="shared" si="39"/>
        <v>-1316791.7100000018</v>
      </c>
      <c r="O89" s="375">
        <f t="shared" si="39"/>
        <v>-1827262.6900000023</v>
      </c>
      <c r="P89" s="375">
        <f t="shared" si="39"/>
        <v>-1493061.1700000023</v>
      </c>
      <c r="Q89" s="458"/>
      <c r="S89" s="330"/>
      <c r="T89" s="330"/>
      <c r="U89" s="337"/>
      <c r="V89" s="330"/>
      <c r="W89" s="330"/>
      <c r="X89" s="330"/>
      <c r="Y89" s="330"/>
      <c r="Z89" s="330"/>
    </row>
    <row r="90" spans="1:26" ht="7.5" hidden="1" customHeight="1" x14ac:dyDescent="0.25">
      <c r="B90" s="295"/>
      <c r="C90" s="364"/>
      <c r="D90" s="233"/>
      <c r="E90" s="90"/>
      <c r="F90" s="233"/>
      <c r="G90" s="90"/>
      <c r="H90" s="90"/>
      <c r="I90" s="90"/>
      <c r="J90" s="90"/>
      <c r="K90" s="90"/>
      <c r="L90" s="90"/>
      <c r="M90" s="90"/>
      <c r="N90" s="90"/>
      <c r="O90" s="90"/>
      <c r="P90" s="233"/>
      <c r="Q90" s="459"/>
      <c r="R90" s="358"/>
      <c r="S90" s="330"/>
      <c r="T90" s="330"/>
      <c r="U90" s="337"/>
      <c r="V90" s="330"/>
      <c r="W90" s="330"/>
      <c r="X90" s="330"/>
      <c r="Y90" s="330"/>
      <c r="Z90" s="330"/>
    </row>
    <row r="91" spans="1:26" x14ac:dyDescent="0.25">
      <c r="A91" s="313"/>
      <c r="B91" s="295"/>
      <c r="C91" s="315"/>
      <c r="D91" s="90"/>
      <c r="E91" s="90"/>
      <c r="F91" s="233"/>
      <c r="G91" s="90"/>
      <c r="H91" s="90"/>
      <c r="I91" s="90"/>
      <c r="J91" s="90"/>
      <c r="K91" s="90"/>
      <c r="L91" s="90"/>
      <c r="M91" s="90"/>
      <c r="N91" s="204"/>
      <c r="O91" s="90"/>
      <c r="P91" s="90"/>
      <c r="Q91" s="362"/>
      <c r="S91" s="334"/>
      <c r="T91" s="462"/>
      <c r="V91" s="330"/>
      <c r="W91" s="330"/>
      <c r="X91" s="330"/>
      <c r="Y91" s="330"/>
      <c r="Z91" s="330"/>
    </row>
    <row r="92" spans="1:26" x14ac:dyDescent="0.25">
      <c r="A92" s="313"/>
      <c r="B92" t="s">
        <v>86</v>
      </c>
      <c r="C92" s="312" t="s">
        <v>193</v>
      </c>
      <c r="D92" s="113"/>
      <c r="E92" s="113"/>
      <c r="F92" s="108"/>
      <c r="G92" s="113"/>
      <c r="H92" s="113"/>
      <c r="I92" s="113"/>
      <c r="J92" s="113"/>
      <c r="K92" s="113"/>
      <c r="L92" s="113"/>
      <c r="M92" s="113"/>
      <c r="N92" s="204"/>
      <c r="O92" s="113"/>
      <c r="P92" s="113"/>
      <c r="Q92" s="362"/>
      <c r="S92" s="330"/>
      <c r="T92" s="462"/>
      <c r="U92" s="444" t="s">
        <v>92</v>
      </c>
      <c r="V92" s="330"/>
      <c r="W92" s="330"/>
      <c r="X92" s="330"/>
      <c r="Y92" s="330"/>
      <c r="Z92" s="330"/>
    </row>
    <row r="93" spans="1:26" ht="15.75" x14ac:dyDescent="0.25">
      <c r="A93" s="313"/>
      <c r="B93" s="295" t="s">
        <v>64</v>
      </c>
      <c r="C93" s="313" t="s">
        <v>172</v>
      </c>
      <c r="D93" s="250">
        <v>72</v>
      </c>
      <c r="E93" s="250">
        <v>72</v>
      </c>
      <c r="F93" s="250">
        <v>72</v>
      </c>
      <c r="G93" s="250">
        <v>72</v>
      </c>
      <c r="H93" s="250">
        <v>72</v>
      </c>
      <c r="I93" s="250">
        <v>72</v>
      </c>
      <c r="J93" s="250">
        <v>72</v>
      </c>
      <c r="K93" s="250">
        <v>72</v>
      </c>
      <c r="L93" s="250">
        <v>72</v>
      </c>
      <c r="M93" s="250">
        <v>72</v>
      </c>
      <c r="N93" s="479"/>
      <c r="O93" s="250">
        <v>72</v>
      </c>
      <c r="P93" s="250">
        <v>72</v>
      </c>
      <c r="Q93" s="452"/>
      <c r="S93" s="432">
        <v>4810</v>
      </c>
      <c r="T93" s="430">
        <v>511</v>
      </c>
      <c r="U93" s="332">
        <v>1147081</v>
      </c>
      <c r="V93" s="333"/>
      <c r="W93" s="425" t="s">
        <v>90</v>
      </c>
      <c r="X93" s="330"/>
      <c r="Y93" s="425" t="s">
        <v>214</v>
      </c>
      <c r="Z93" s="330"/>
    </row>
    <row r="94" spans="1:26" ht="15.75" x14ac:dyDescent="0.25">
      <c r="A94" s="313"/>
      <c r="B94" s="295" t="s">
        <v>71</v>
      </c>
      <c r="C94" s="314" t="s">
        <v>175</v>
      </c>
      <c r="D94" s="251">
        <v>146061.62</v>
      </c>
      <c r="E94" s="251">
        <v>142923.6</v>
      </c>
      <c r="F94" s="251">
        <v>150791.56</v>
      </c>
      <c r="G94" s="251">
        <v>118348.05</v>
      </c>
      <c r="H94" s="251">
        <v>77162.77</v>
      </c>
      <c r="I94" s="251">
        <v>63666.16</v>
      </c>
      <c r="J94" s="251">
        <v>42519.34</v>
      </c>
      <c r="K94" s="251">
        <v>38513.300000000003</v>
      </c>
      <c r="L94" s="251">
        <v>39807.870000000003</v>
      </c>
      <c r="M94" s="251">
        <v>60035.68</v>
      </c>
      <c r="N94" s="480"/>
      <c r="O94" s="251">
        <v>90167.24</v>
      </c>
      <c r="P94" s="251">
        <v>125953.28</v>
      </c>
      <c r="Q94" s="99"/>
      <c r="S94" s="334" t="s">
        <v>90</v>
      </c>
      <c r="T94" s="335">
        <v>125953.28</v>
      </c>
      <c r="U94" s="336">
        <f>T94/U81</f>
        <v>0.14330003595206997</v>
      </c>
      <c r="V94" s="336">
        <f>T94/U81</f>
        <v>0.14330003595206997</v>
      </c>
      <c r="W94" s="338">
        <v>0.14330000000000001</v>
      </c>
      <c r="X94" s="330"/>
      <c r="Y94" s="336">
        <f>W94-V94</f>
        <v>-3.5952069959988009E-8</v>
      </c>
      <c r="Z94" s="330"/>
    </row>
    <row r="95" spans="1:26" ht="15.75" x14ac:dyDescent="0.25">
      <c r="A95" s="313"/>
      <c r="B95" s="295" t="s">
        <v>71</v>
      </c>
      <c r="C95" s="314" t="s">
        <v>176</v>
      </c>
      <c r="D95" s="251">
        <v>40800.75</v>
      </c>
      <c r="E95" s="251">
        <v>38538.629999999997</v>
      </c>
      <c r="F95" s="251">
        <v>36690.93</v>
      </c>
      <c r="G95" s="251">
        <v>38524.54</v>
      </c>
      <c r="H95" s="251">
        <v>16916.16</v>
      </c>
      <c r="I95" s="251">
        <v>13904.92</v>
      </c>
      <c r="J95" s="251">
        <v>8295.48</v>
      </c>
      <c r="K95" s="251">
        <v>7817.18</v>
      </c>
      <c r="L95" s="251">
        <v>9126.26</v>
      </c>
      <c r="M95" s="251">
        <v>15776.44</v>
      </c>
      <c r="N95" s="480"/>
      <c r="O95" s="251">
        <v>25241.5</v>
      </c>
      <c r="P95" s="251">
        <v>34872.959999999999</v>
      </c>
      <c r="Q95" s="99"/>
      <c r="S95" s="334" t="s">
        <v>90</v>
      </c>
      <c r="T95" s="335">
        <v>34872.959999999999</v>
      </c>
      <c r="U95" s="336">
        <f>T95/U98</f>
        <v>0.10983989996503815</v>
      </c>
      <c r="V95" s="336">
        <f>T95/U98</f>
        <v>0.10983989996503815</v>
      </c>
      <c r="W95" s="330">
        <v>0.10983999999999999</v>
      </c>
      <c r="X95" s="330"/>
      <c r="Y95" s="336">
        <f>W95-V95</f>
        <v>1.0003496184185501E-7</v>
      </c>
      <c r="Z95" s="330"/>
    </row>
    <row r="96" spans="1:26" ht="15.75" x14ac:dyDescent="0.25">
      <c r="A96" s="313"/>
      <c r="B96" s="295" t="s">
        <v>71</v>
      </c>
      <c r="C96" s="314" t="s">
        <v>177</v>
      </c>
      <c r="D96" s="251">
        <v>4818.1499999999996</v>
      </c>
      <c r="E96" s="251">
        <v>4511.4399999999996</v>
      </c>
      <c r="F96" s="251">
        <v>6796.33</v>
      </c>
      <c r="G96" s="251">
        <v>1922.87</v>
      </c>
      <c r="H96" s="251">
        <v>136.34</v>
      </c>
      <c r="I96" s="251"/>
      <c r="J96" s="251"/>
      <c r="K96" s="251"/>
      <c r="L96" s="251"/>
      <c r="M96" s="251"/>
      <c r="N96" s="480"/>
      <c r="O96" s="251">
        <v>1014.41</v>
      </c>
      <c r="P96" s="251">
        <v>3205.74</v>
      </c>
      <c r="Q96" s="99"/>
      <c r="S96" s="334" t="s">
        <v>90</v>
      </c>
      <c r="T96" s="335">
        <v>3205.74</v>
      </c>
      <c r="U96" s="336">
        <f>T96/U99</f>
        <v>2.7089921157372587E-2</v>
      </c>
      <c r="V96" s="336">
        <f>T96/U99</f>
        <v>2.7089921157372587E-2</v>
      </c>
      <c r="W96" s="330">
        <v>2.7089999999999999E-2</v>
      </c>
      <c r="X96" s="330"/>
      <c r="Y96" s="336">
        <f>W96-V96</f>
        <v>7.8842627412867294E-8</v>
      </c>
      <c r="Z96" s="330"/>
    </row>
    <row r="97" spans="1:26" ht="15.75" x14ac:dyDescent="0.25">
      <c r="A97" s="313"/>
      <c r="B97" s="295"/>
      <c r="C97" s="367" t="s">
        <v>222</v>
      </c>
      <c r="D97" s="465">
        <f t="shared" ref="D97:M97" si="40">+D80</f>
        <v>9206386</v>
      </c>
      <c r="E97" s="465">
        <f t="shared" si="40"/>
        <v>9876392</v>
      </c>
      <c r="F97" s="465">
        <f t="shared" si="40"/>
        <v>6599492</v>
      </c>
      <c r="G97" s="465">
        <f t="shared" si="40"/>
        <v>2779511</v>
      </c>
      <c r="H97" s="465">
        <f t="shared" si="40"/>
        <v>1966052</v>
      </c>
      <c r="I97" s="465">
        <f t="shared" si="40"/>
        <v>296580</v>
      </c>
      <c r="J97" s="465">
        <f t="shared" si="40"/>
        <v>1248224</v>
      </c>
      <c r="K97" s="465">
        <f t="shared" si="40"/>
        <v>1411426</v>
      </c>
      <c r="L97" s="465">
        <f t="shared" si="40"/>
        <v>2330127</v>
      </c>
      <c r="M97" s="465">
        <f t="shared" si="40"/>
        <v>5048872</v>
      </c>
      <c r="N97" s="479"/>
      <c r="O97" s="465">
        <f>+O80</f>
        <v>8093139</v>
      </c>
      <c r="P97" s="465">
        <f>+P80</f>
        <v>13620124</v>
      </c>
      <c r="Q97" s="99"/>
      <c r="S97" s="334" t="s">
        <v>91</v>
      </c>
      <c r="T97" s="335">
        <v>570718.71999999997</v>
      </c>
      <c r="U97" s="336">
        <f>T97/U93</f>
        <v>0.49754003422600496</v>
      </c>
      <c r="V97" s="336">
        <f>T97/U93</f>
        <v>0.49754003422600496</v>
      </c>
      <c r="W97" s="338">
        <f>+W39</f>
        <v>0.49941999999999998</v>
      </c>
      <c r="X97" s="330"/>
      <c r="Y97" s="336">
        <f>W97-V97</f>
        <v>1.8799657739950182E-3</v>
      </c>
      <c r="Z97" s="330"/>
    </row>
    <row r="98" spans="1:26" x14ac:dyDescent="0.25">
      <c r="A98" s="313"/>
      <c r="B98" s="295"/>
      <c r="C98" s="367" t="s">
        <v>226</v>
      </c>
      <c r="D98" s="467">
        <v>9.6100000000000005E-2</v>
      </c>
      <c r="E98" s="467">
        <v>9.9099999999999994E-2</v>
      </c>
      <c r="F98" s="467">
        <v>9.7799999999999998E-2</v>
      </c>
      <c r="G98" s="467">
        <v>0.1072</v>
      </c>
      <c r="H98" s="467">
        <v>0.1114</v>
      </c>
      <c r="I98" s="467">
        <v>0.112</v>
      </c>
      <c r="J98" s="467">
        <v>0.10780000000000001</v>
      </c>
      <c r="K98" s="467">
        <v>0.1046</v>
      </c>
      <c r="L98" s="467">
        <v>0.1028</v>
      </c>
      <c r="M98" s="467">
        <v>0.1113</v>
      </c>
      <c r="N98" s="480"/>
      <c r="O98" s="467">
        <v>0.10829999999999999</v>
      </c>
      <c r="P98" s="467">
        <v>9.6299999999999997E-2</v>
      </c>
      <c r="Q98" s="99"/>
      <c r="S98" s="334"/>
      <c r="T98" s="330"/>
      <c r="U98" s="337">
        <f>ROUND(T95/W95,0)</f>
        <v>317489</v>
      </c>
      <c r="V98" s="336"/>
      <c r="W98" s="330"/>
      <c r="X98" s="330"/>
      <c r="Y98" s="336"/>
      <c r="Z98" s="330"/>
    </row>
    <row r="99" spans="1:26" x14ac:dyDescent="0.25">
      <c r="A99" s="313"/>
      <c r="B99" s="376" t="s">
        <v>72</v>
      </c>
      <c r="C99" s="367" t="s">
        <v>224</v>
      </c>
      <c r="D99" s="349">
        <f>ROUND(ROUND(D97*D98,0)*0.12471,2)</f>
        <v>110335.18</v>
      </c>
      <c r="E99" s="349">
        <f>ROUND(ROUND(E97*E98,0)*0.12471,2)</f>
        <v>122059.91</v>
      </c>
      <c r="F99" s="349">
        <f>ROUND(ROUND(F97*F98,0)*0.12471,2)</f>
        <v>80491.58</v>
      </c>
      <c r="G99" s="349">
        <f>ROUND(ROUND(G97*G98,0)*0.12471,2)</f>
        <v>37159.089999999997</v>
      </c>
      <c r="H99" s="349">
        <f>ROUND(ROUND(H97*H98,0)*0.12471,2)</f>
        <v>27313.73</v>
      </c>
      <c r="I99" s="349">
        <f>ROUND(ROUND(I97*I98,0)*0.12539,2)</f>
        <v>4165.08</v>
      </c>
      <c r="J99" s="349">
        <f t="shared" ref="J99:P99" si="41">ROUND(ROUND(J97*J98,0)*0.12539,2)</f>
        <v>16872.349999999999</v>
      </c>
      <c r="K99" s="349">
        <f t="shared" si="41"/>
        <v>18511.95</v>
      </c>
      <c r="L99" s="349">
        <f t="shared" si="41"/>
        <v>30035.54</v>
      </c>
      <c r="M99" s="349">
        <f t="shared" si="41"/>
        <v>70461.53</v>
      </c>
      <c r="N99" s="481"/>
      <c r="O99" s="349">
        <f t="shared" si="41"/>
        <v>109902.7</v>
      </c>
      <c r="P99" s="349">
        <f t="shared" si="41"/>
        <v>164463.78</v>
      </c>
      <c r="Q99" s="99"/>
      <c r="S99" s="330"/>
      <c r="U99" s="337">
        <f>ROUND(T96/W96,0)</f>
        <v>118337</v>
      </c>
      <c r="V99" s="330"/>
      <c r="W99" s="330"/>
      <c r="X99" s="330"/>
      <c r="Y99" s="330"/>
      <c r="Z99" s="330"/>
    </row>
    <row r="100" spans="1:26" x14ac:dyDescent="0.25">
      <c r="A100" s="313"/>
      <c r="B100" s="295" t="s">
        <v>72</v>
      </c>
      <c r="C100" s="320" t="s">
        <v>184</v>
      </c>
      <c r="D100" s="189">
        <f>-'WACAP 2020'!P90</f>
        <v>-125192.5</v>
      </c>
      <c r="E100" s="189">
        <f t="shared" ref="E100:F100" si="42">-D99</f>
        <v>-110335.18</v>
      </c>
      <c r="F100" s="189">
        <f t="shared" si="42"/>
        <v>-122059.91</v>
      </c>
      <c r="G100" s="189">
        <f>-F99</f>
        <v>-80491.58</v>
      </c>
      <c r="H100" s="375">
        <f>-G99</f>
        <v>-37159.089999999997</v>
      </c>
      <c r="I100" s="375">
        <f>-H99</f>
        <v>-27313.73</v>
      </c>
      <c r="J100" s="189">
        <f>-I99</f>
        <v>-4165.08</v>
      </c>
      <c r="K100" s="189">
        <f t="shared" ref="K100:M100" si="43">-J99</f>
        <v>-16872.349999999999</v>
      </c>
      <c r="L100" s="189">
        <f t="shared" si="43"/>
        <v>-18511.95</v>
      </c>
      <c r="M100" s="189">
        <f t="shared" si="43"/>
        <v>-30035.54</v>
      </c>
      <c r="N100" s="386"/>
      <c r="O100" s="189">
        <f>-M99</f>
        <v>-70461.53</v>
      </c>
      <c r="P100" s="189">
        <f>-O99</f>
        <v>-109902.7</v>
      </c>
      <c r="Q100" s="99"/>
      <c r="Z100" s="330"/>
    </row>
    <row r="101" spans="1:26" x14ac:dyDescent="0.25">
      <c r="A101" s="313"/>
      <c r="B101" s="295"/>
      <c r="C101" s="311" t="s">
        <v>74</v>
      </c>
      <c r="D101" s="187">
        <f>+D94+D95+D96+D99+D100</f>
        <v>176823.19999999995</v>
      </c>
      <c r="E101" s="187">
        <f t="shared" ref="E101:P101" si="44">+E94+E95+E96+E99+E100</f>
        <v>197698.40000000002</v>
      </c>
      <c r="F101" s="187">
        <f t="shared" si="44"/>
        <v>152710.48999999996</v>
      </c>
      <c r="G101" s="187">
        <f t="shared" si="44"/>
        <v>115462.96999999999</v>
      </c>
      <c r="H101" s="187">
        <f t="shared" si="44"/>
        <v>84369.91</v>
      </c>
      <c r="I101" s="187">
        <f t="shared" si="44"/>
        <v>54422.430000000008</v>
      </c>
      <c r="J101" s="187">
        <f t="shared" si="44"/>
        <v>63522.089999999982</v>
      </c>
      <c r="K101" s="187">
        <f t="shared" si="44"/>
        <v>47970.080000000009</v>
      </c>
      <c r="L101" s="187">
        <f t="shared" si="44"/>
        <v>60457.720000000016</v>
      </c>
      <c r="M101" s="187">
        <f t="shared" si="44"/>
        <v>116238.10999999999</v>
      </c>
      <c r="N101" s="208"/>
      <c r="O101" s="187">
        <f t="shared" si="44"/>
        <v>155864.32000000001</v>
      </c>
      <c r="P101" s="187">
        <f t="shared" si="44"/>
        <v>218593.06</v>
      </c>
      <c r="Q101" s="362"/>
      <c r="Z101" s="330"/>
    </row>
    <row r="102" spans="1:26" x14ac:dyDescent="0.25">
      <c r="A102" s="313"/>
      <c r="B102" s="295"/>
      <c r="C102" s="364" t="s">
        <v>73</v>
      </c>
      <c r="D102" s="307">
        <f>ROUND(-'Authorized Margins 2020'!D13*'WACAP 2021'!D93,2)</f>
        <v>-243529.92</v>
      </c>
      <c r="E102" s="189">
        <f>ROUND(-'Authorized Margins 2020'!E13*'WACAP 2021'!E93,2)</f>
        <v>-168320.16</v>
      </c>
      <c r="F102" s="189">
        <f>ROUND(-'Authorized Margins 2020'!F13*'WACAP 2021'!F93,2)</f>
        <v>-197905.68</v>
      </c>
      <c r="G102" s="189">
        <f>ROUND(-'Authorized Margins 2020'!G13*'WACAP 2021'!G93,2)</f>
        <v>-166606.56</v>
      </c>
      <c r="H102" s="189">
        <f>ROUND(-'Authorized Margins 2020'!H13*'WACAP 2021'!H93,2)</f>
        <v>-127159.2</v>
      </c>
      <c r="I102" s="189">
        <f>ROUND(-'Authorized Margins 2020'!I13*'WACAP 2021'!I93,2)</f>
        <v>-90735.84</v>
      </c>
      <c r="J102" s="88">
        <f>ROUND(-'Authorized Margins 2021'!J13*'WACAP 2021'!J93,2)</f>
        <v>-85005.36</v>
      </c>
      <c r="K102" s="88">
        <f>ROUND(-'Authorized Margins 2021'!K13*'WACAP 2021'!K93,2)</f>
        <v>-84702.96</v>
      </c>
      <c r="L102" s="88">
        <f>ROUND(-'Authorized Margins 2021'!L13*'WACAP 2021'!L93,2)</f>
        <v>-75148.56</v>
      </c>
      <c r="M102" s="88">
        <f>ROUND(-'Authorized Margins 2021'!M13*'WACAP 2021'!M93,2)</f>
        <v>-125442</v>
      </c>
      <c r="N102" s="209"/>
      <c r="O102" s="88">
        <f>ROUND(-'Authorized Margins 2021'!O13*'WACAP 2021'!O93,2)</f>
        <v>-167768.64000000001</v>
      </c>
      <c r="P102" s="88">
        <f>ROUND(-'Authorized Margins 2021'!P13*'WACAP 2021'!P93,2)</f>
        <v>-183090.24</v>
      </c>
      <c r="Q102" s="362"/>
      <c r="S102" s="330"/>
      <c r="T102" s="330"/>
      <c r="U102" s="330"/>
      <c r="V102" s="330"/>
      <c r="W102" s="330"/>
      <c r="X102" s="330"/>
      <c r="Y102" s="330"/>
      <c r="Z102" s="330"/>
    </row>
    <row r="103" spans="1:26" x14ac:dyDescent="0.25">
      <c r="A103" s="313"/>
      <c r="B103" s="295"/>
      <c r="C103" s="364" t="s">
        <v>201</v>
      </c>
      <c r="D103" s="187">
        <f t="shared" ref="D103:P103" si="45">SUM(D101:D102)</f>
        <v>-66706.720000000059</v>
      </c>
      <c r="E103" s="187">
        <f t="shared" si="45"/>
        <v>29378.24000000002</v>
      </c>
      <c r="F103" s="187">
        <f t="shared" si="45"/>
        <v>-45195.190000000031</v>
      </c>
      <c r="G103" s="187">
        <f t="shared" si="45"/>
        <v>-51143.590000000011</v>
      </c>
      <c r="H103" s="397">
        <f t="shared" si="45"/>
        <v>-42789.289999999994</v>
      </c>
      <c r="I103" s="187">
        <f t="shared" si="45"/>
        <v>-36313.409999999989</v>
      </c>
      <c r="J103" s="187">
        <f t="shared" si="45"/>
        <v>-21483.270000000019</v>
      </c>
      <c r="K103" s="187">
        <f t="shared" si="45"/>
        <v>-36732.879999999997</v>
      </c>
      <c r="L103" s="187">
        <f t="shared" si="45"/>
        <v>-14690.839999999982</v>
      </c>
      <c r="M103" s="187">
        <f t="shared" si="45"/>
        <v>-9203.890000000014</v>
      </c>
      <c r="N103" s="302">
        <f>-'WACAP 2020'!Q96</f>
        <v>133006.58999999997</v>
      </c>
      <c r="O103" s="187">
        <f t="shared" si="45"/>
        <v>-11904.320000000007</v>
      </c>
      <c r="P103" s="187">
        <f t="shared" si="45"/>
        <v>35502.820000000007</v>
      </c>
      <c r="Q103" s="99">
        <f>SUM(D103:P103)-N103</f>
        <v>-271282.34000000003</v>
      </c>
      <c r="S103" s="330"/>
      <c r="T103" s="330"/>
      <c r="U103" s="330"/>
      <c r="V103" s="330"/>
      <c r="W103" s="330"/>
      <c r="X103" s="330"/>
      <c r="Y103" s="330"/>
      <c r="Z103" s="330"/>
    </row>
    <row r="104" spans="1:26" x14ac:dyDescent="0.25">
      <c r="A104" s="313"/>
      <c r="B104" s="295"/>
      <c r="C104" s="364" t="s">
        <v>137</v>
      </c>
      <c r="D104" s="308">
        <f>ROUND(ROUND('WACAP 2020'!P97*D$7,2)/365*D$8,2)</f>
        <v>-367.13</v>
      </c>
      <c r="E104" s="187">
        <f>ROUND(ROUND(D106*E$7,2)/365*E$8,2)</f>
        <v>-498.83</v>
      </c>
      <c r="F104" s="187">
        <f t="shared" ref="F104:P104" si="46">ROUND(ROUND(E106*F$7,2)/365*F$8,2)</f>
        <v>-472.56</v>
      </c>
      <c r="G104" s="187">
        <f t="shared" si="46"/>
        <v>-579.30999999999995</v>
      </c>
      <c r="H104" s="187">
        <f t="shared" si="46"/>
        <v>-741.39</v>
      </c>
      <c r="I104" s="187">
        <f t="shared" si="46"/>
        <v>-833.75</v>
      </c>
      <c r="J104" s="187">
        <f t="shared" si="46"/>
        <v>-964.08</v>
      </c>
      <c r="K104" s="187">
        <f t="shared" si="46"/>
        <v>-1026.04</v>
      </c>
      <c r="L104" s="187">
        <f t="shared" si="46"/>
        <v>-1093.8</v>
      </c>
      <c r="M104" s="187">
        <f t="shared" si="46"/>
        <v>-1173.83</v>
      </c>
      <c r="N104" s="231">
        <f>'Ammort Split 2021'!N96</f>
        <v>3644.45</v>
      </c>
      <c r="O104" s="187">
        <f>ROUND(ROUND(N106*O$7,2)/365*O$8,2)</f>
        <v>-798.66</v>
      </c>
      <c r="P104" s="187">
        <f t="shared" si="46"/>
        <v>-860.35</v>
      </c>
      <c r="Q104" s="100">
        <f>SUM(D104:P104)</f>
        <v>-5765.2800000000007</v>
      </c>
      <c r="S104" s="330"/>
      <c r="T104" s="330"/>
      <c r="U104" s="330"/>
      <c r="W104" s="330"/>
      <c r="X104" s="330"/>
      <c r="Y104" s="330"/>
      <c r="Z104" s="330"/>
    </row>
    <row r="105" spans="1:26" x14ac:dyDescent="0.25">
      <c r="A105" s="313"/>
      <c r="B105" s="295"/>
      <c r="C105" s="364" t="s">
        <v>138</v>
      </c>
      <c r="D105" s="189">
        <f t="shared" ref="D105:P105" si="47">SUM(D103:D104)</f>
        <v>-67073.850000000064</v>
      </c>
      <c r="E105" s="189">
        <f t="shared" si="47"/>
        <v>28879.410000000018</v>
      </c>
      <c r="F105" s="189">
        <f t="shared" si="47"/>
        <v>-45667.750000000029</v>
      </c>
      <c r="G105" s="189">
        <f t="shared" si="47"/>
        <v>-51722.900000000009</v>
      </c>
      <c r="H105" s="189">
        <f t="shared" si="47"/>
        <v>-43530.679999999993</v>
      </c>
      <c r="I105" s="189">
        <f t="shared" si="47"/>
        <v>-37147.159999999989</v>
      </c>
      <c r="J105" s="189">
        <f t="shared" si="47"/>
        <v>-22447.35000000002</v>
      </c>
      <c r="K105" s="189">
        <f t="shared" si="47"/>
        <v>-37758.92</v>
      </c>
      <c r="L105" s="189">
        <f t="shared" si="47"/>
        <v>-15784.639999999981</v>
      </c>
      <c r="M105" s="189">
        <f t="shared" si="47"/>
        <v>-10377.720000000014</v>
      </c>
      <c r="N105" s="209">
        <f>SUM(N103:N104)</f>
        <v>136651.03999999998</v>
      </c>
      <c r="O105" s="189">
        <f t="shared" si="47"/>
        <v>-12702.980000000007</v>
      </c>
      <c r="P105" s="189">
        <f t="shared" si="47"/>
        <v>34642.470000000008</v>
      </c>
      <c r="Q105" s="453">
        <f>SUM(Q103:Q104)</f>
        <v>-277047.62000000005</v>
      </c>
      <c r="S105" s="330"/>
      <c r="T105" s="330"/>
      <c r="U105" s="330"/>
      <c r="V105" s="330"/>
      <c r="W105" s="330"/>
      <c r="X105" s="330"/>
      <c r="Y105" s="330"/>
      <c r="Z105" s="330"/>
    </row>
    <row r="106" spans="1:26" x14ac:dyDescent="0.25">
      <c r="A106" s="313"/>
      <c r="B106" s="295"/>
      <c r="C106" s="364" t="s">
        <v>139</v>
      </c>
      <c r="D106" s="308">
        <f>'WACAP 2020'!P97+'WACAP 2021'!D105</f>
        <v>-200080.43999999997</v>
      </c>
      <c r="E106" s="187">
        <f t="shared" ref="E106:P106" si="48">D106+E105</f>
        <v>-171201.02999999997</v>
      </c>
      <c r="F106" s="187">
        <f t="shared" si="48"/>
        <v>-216868.78</v>
      </c>
      <c r="G106" s="187">
        <f t="shared" si="48"/>
        <v>-268591.68</v>
      </c>
      <c r="H106" s="187">
        <f t="shared" si="48"/>
        <v>-312122.36</v>
      </c>
      <c r="I106" s="187">
        <f t="shared" si="48"/>
        <v>-349269.51999999996</v>
      </c>
      <c r="J106" s="187">
        <f t="shared" si="48"/>
        <v>-371716.87</v>
      </c>
      <c r="K106" s="187">
        <f t="shared" si="48"/>
        <v>-409475.79</v>
      </c>
      <c r="L106" s="187">
        <f t="shared" si="48"/>
        <v>-425260.42999999993</v>
      </c>
      <c r="M106" s="187">
        <f t="shared" si="48"/>
        <v>-435638.14999999997</v>
      </c>
      <c r="N106" s="208">
        <f t="shared" si="48"/>
        <v>-298987.11</v>
      </c>
      <c r="O106" s="187">
        <f t="shared" si="48"/>
        <v>-311690.08999999997</v>
      </c>
      <c r="P106" s="397">
        <f t="shared" si="48"/>
        <v>-277047.61999999994</v>
      </c>
      <c r="Q106" s="362"/>
      <c r="S106" s="330"/>
      <c r="T106" s="330"/>
      <c r="U106" s="330"/>
      <c r="V106" s="330"/>
      <c r="W106" s="330"/>
      <c r="X106" s="330"/>
      <c r="Y106" s="330"/>
      <c r="Z106" s="330"/>
    </row>
    <row r="107" spans="1:26" x14ac:dyDescent="0.25">
      <c r="A107" s="313"/>
      <c r="B107" s="271"/>
      <c r="C107" s="313"/>
      <c r="D107" s="192"/>
      <c r="E107" s="192"/>
      <c r="F107" s="187"/>
      <c r="G107" s="192"/>
      <c r="H107" s="192"/>
      <c r="I107" s="192"/>
      <c r="J107" s="192"/>
      <c r="K107" s="192"/>
      <c r="L107" s="192"/>
      <c r="M107" s="192"/>
      <c r="N107" s="202"/>
      <c r="O107" s="192"/>
      <c r="P107" s="192"/>
      <c r="Q107" s="362"/>
      <c r="S107" s="330"/>
      <c r="T107" s="333"/>
      <c r="U107" s="333"/>
      <c r="V107" s="330"/>
      <c r="W107" s="330"/>
      <c r="X107" s="330"/>
      <c r="Y107" s="330"/>
      <c r="Z107" s="330"/>
    </row>
    <row r="108" spans="1:26" x14ac:dyDescent="0.25">
      <c r="A108" s="313"/>
      <c r="B108" t="s">
        <v>87</v>
      </c>
      <c r="C108" s="312" t="s">
        <v>192</v>
      </c>
      <c r="D108" s="192"/>
      <c r="E108" s="192"/>
      <c r="F108" s="187"/>
      <c r="G108" s="192"/>
      <c r="H108" s="192"/>
      <c r="I108" s="192"/>
      <c r="J108" s="192"/>
      <c r="K108" s="192"/>
      <c r="L108" s="192"/>
      <c r="M108" s="192"/>
      <c r="N108" s="202"/>
      <c r="O108" s="192"/>
      <c r="P108" s="192"/>
      <c r="Q108" s="362"/>
      <c r="T108" s="337"/>
      <c r="U108" s="337"/>
      <c r="V108" s="330"/>
      <c r="W108" s="330"/>
      <c r="X108" s="330"/>
      <c r="Y108" s="330"/>
      <c r="Z108" s="330"/>
    </row>
    <row r="109" spans="1:26" ht="15.75" x14ac:dyDescent="0.25">
      <c r="A109" s="313"/>
      <c r="B109" s="295" t="s">
        <v>64</v>
      </c>
      <c r="C109" s="313" t="s">
        <v>172</v>
      </c>
      <c r="D109" s="250">
        <v>1</v>
      </c>
      <c r="E109" s="250">
        <v>1</v>
      </c>
      <c r="F109" s="250">
        <v>1</v>
      </c>
      <c r="G109" s="250">
        <v>1</v>
      </c>
      <c r="H109" s="250">
        <v>1</v>
      </c>
      <c r="I109" s="250">
        <v>1</v>
      </c>
      <c r="J109" s="250">
        <v>1</v>
      </c>
      <c r="K109" s="250">
        <v>1</v>
      </c>
      <c r="L109" s="250">
        <v>1</v>
      </c>
      <c r="M109" s="250">
        <v>1</v>
      </c>
      <c r="N109" s="479"/>
      <c r="O109" s="250">
        <v>1</v>
      </c>
      <c r="P109" s="250">
        <v>1</v>
      </c>
      <c r="Q109" s="452"/>
      <c r="S109" s="330"/>
      <c r="T109" s="461"/>
      <c r="U109" s="444" t="s">
        <v>92</v>
      </c>
      <c r="V109" s="330"/>
      <c r="W109" s="330"/>
      <c r="X109" s="330"/>
      <c r="Y109" s="330"/>
      <c r="Z109" s="330"/>
    </row>
    <row r="110" spans="1:26" ht="15.75" x14ac:dyDescent="0.25">
      <c r="A110" s="313"/>
      <c r="B110" s="295" t="s">
        <v>71</v>
      </c>
      <c r="C110" s="314" t="s">
        <v>180</v>
      </c>
      <c r="D110" s="251">
        <v>0</v>
      </c>
      <c r="E110" s="251"/>
      <c r="F110" s="251"/>
      <c r="G110" s="251"/>
      <c r="H110" s="251"/>
      <c r="I110" s="251"/>
      <c r="J110" s="251"/>
      <c r="K110" s="251"/>
      <c r="L110" s="251"/>
      <c r="M110" s="251"/>
      <c r="N110" s="480"/>
      <c r="O110" s="251"/>
      <c r="P110" s="251"/>
      <c r="Q110" s="99"/>
      <c r="S110" s="334"/>
      <c r="T110" s="461">
        <v>505</v>
      </c>
      <c r="V110" s="333"/>
      <c r="W110" s="444" t="s">
        <v>90</v>
      </c>
      <c r="X110" s="330"/>
      <c r="Y110" s="444" t="s">
        <v>214</v>
      </c>
      <c r="Z110" s="330"/>
    </row>
    <row r="111" spans="1:26" ht="15.75" x14ac:dyDescent="0.25">
      <c r="A111" s="313"/>
      <c r="B111" s="295" t="s">
        <v>71</v>
      </c>
      <c r="C111" s="314" t="s">
        <v>181</v>
      </c>
      <c r="D111" s="298"/>
      <c r="E111" s="298"/>
      <c r="F111" s="298"/>
      <c r="G111" s="251"/>
      <c r="H111" s="251"/>
      <c r="I111" s="251"/>
      <c r="J111" s="251"/>
      <c r="K111" s="251"/>
      <c r="L111" s="251"/>
      <c r="M111" s="251"/>
      <c r="N111" s="480"/>
      <c r="O111" s="251"/>
      <c r="P111" s="251"/>
      <c r="Q111" s="99"/>
      <c r="S111" s="334" t="s">
        <v>90</v>
      </c>
      <c r="T111" s="460">
        <v>0</v>
      </c>
      <c r="U111" s="336" t="e">
        <f>T111/U116</f>
        <v>#DIV/0!</v>
      </c>
      <c r="V111" s="336" t="e">
        <f>T111/U116</f>
        <v>#DIV/0!</v>
      </c>
      <c r="W111" s="330">
        <v>0.16113</v>
      </c>
      <c r="X111" s="330"/>
      <c r="Y111" s="336" t="e">
        <f>W111-V111</f>
        <v>#DIV/0!</v>
      </c>
      <c r="Z111" s="330"/>
    </row>
    <row r="112" spans="1:26" ht="15.75" x14ac:dyDescent="0.25">
      <c r="A112" s="313"/>
      <c r="B112" s="295" t="s">
        <v>72</v>
      </c>
      <c r="C112" s="318" t="s">
        <v>204</v>
      </c>
      <c r="D112" s="276"/>
      <c r="E112" s="276"/>
      <c r="F112" s="276"/>
      <c r="G112" s="276"/>
      <c r="H112" s="276"/>
      <c r="I112" s="276"/>
      <c r="J112" s="276"/>
      <c r="K112" s="276"/>
      <c r="L112" s="276"/>
      <c r="M112" s="276"/>
      <c r="N112" s="207"/>
      <c r="O112" s="276"/>
      <c r="P112" s="276"/>
      <c r="Q112" s="99"/>
      <c r="S112" s="334" t="s">
        <v>90</v>
      </c>
      <c r="T112" s="460">
        <v>0</v>
      </c>
      <c r="U112" s="336" t="e">
        <f>T112/T108</f>
        <v>#DIV/0!</v>
      </c>
      <c r="V112" s="336" t="e">
        <f>T112/T108</f>
        <v>#DIV/0!</v>
      </c>
      <c r="W112" s="330">
        <v>0.12471</v>
      </c>
      <c r="X112" s="330"/>
      <c r="Y112" s="336" t="e">
        <f>W112-V112</f>
        <v>#DIV/0!</v>
      </c>
      <c r="Z112" s="330"/>
    </row>
    <row r="113" spans="1:26" ht="15.75" x14ac:dyDescent="0.25">
      <c r="A113" s="313"/>
      <c r="B113" s="376" t="s">
        <v>72</v>
      </c>
      <c r="C113" s="319" t="s">
        <v>205</v>
      </c>
      <c r="D113" s="352"/>
      <c r="E113" s="353"/>
      <c r="F113" s="303"/>
      <c r="G113" s="351"/>
      <c r="H113" s="351"/>
      <c r="I113" s="351"/>
      <c r="J113" s="351"/>
      <c r="K113" s="351"/>
      <c r="L113" s="351"/>
      <c r="M113" s="351"/>
      <c r="N113" s="398"/>
      <c r="O113" s="351"/>
      <c r="P113" s="351"/>
      <c r="Q113" s="99"/>
      <c r="S113" s="334" t="s">
        <v>90</v>
      </c>
      <c r="T113" s="460">
        <v>0</v>
      </c>
      <c r="U113" s="336" t="e">
        <f>T113/U115</f>
        <v>#DIV/0!</v>
      </c>
      <c r="V113" s="336" t="e">
        <f>T113/U115</f>
        <v>#DIV/0!</v>
      </c>
      <c r="W113" s="330">
        <v>3.4639999999999997E-2</v>
      </c>
      <c r="X113" s="330"/>
      <c r="Y113" s="336" t="e">
        <f>W113-V113</f>
        <v>#DIV/0!</v>
      </c>
      <c r="Z113" s="330"/>
    </row>
    <row r="114" spans="1:26" ht="15.75" x14ac:dyDescent="0.25">
      <c r="A114" s="313"/>
      <c r="B114" s="295" t="s">
        <v>72</v>
      </c>
      <c r="C114" s="320" t="s">
        <v>185</v>
      </c>
      <c r="D114" s="187">
        <f>+-'WACAP 2020'!P103</f>
        <v>0</v>
      </c>
      <c r="E114" s="187">
        <f>-D112</f>
        <v>0</v>
      </c>
      <c r="F114" s="397">
        <f t="shared" ref="E114:P115" si="49">-E112</f>
        <v>0</v>
      </c>
      <c r="G114" s="187">
        <f t="shared" si="49"/>
        <v>0</v>
      </c>
      <c r="H114" s="187">
        <f t="shared" si="49"/>
        <v>0</v>
      </c>
      <c r="I114" s="187">
        <f t="shared" si="49"/>
        <v>0</v>
      </c>
      <c r="J114" s="187">
        <f t="shared" si="49"/>
        <v>0</v>
      </c>
      <c r="K114" s="187">
        <f>-J112</f>
        <v>0</v>
      </c>
      <c r="L114" s="187">
        <f>-K112</f>
        <v>0</v>
      </c>
      <c r="M114" s="187">
        <f t="shared" si="49"/>
        <v>0</v>
      </c>
      <c r="N114" s="208"/>
      <c r="O114" s="187">
        <f>-M112</f>
        <v>0</v>
      </c>
      <c r="P114" s="187">
        <f t="shared" si="49"/>
        <v>0</v>
      </c>
      <c r="Q114" s="99"/>
      <c r="S114" s="334" t="s">
        <v>91</v>
      </c>
      <c r="T114" s="460">
        <v>0</v>
      </c>
      <c r="U114" s="336" t="e">
        <f>T114/U116</f>
        <v>#DIV/0!</v>
      </c>
      <c r="V114" s="336" t="e">
        <f>T114/U116</f>
        <v>#DIV/0!</v>
      </c>
      <c r="W114" s="338">
        <f>+W27</f>
        <v>0.49941999999999998</v>
      </c>
      <c r="X114" s="330"/>
      <c r="Y114" s="336" t="e">
        <f>W114-V114</f>
        <v>#DIV/0!</v>
      </c>
      <c r="Z114" s="330"/>
    </row>
    <row r="115" spans="1:26" x14ac:dyDescent="0.25">
      <c r="A115" s="313"/>
      <c r="B115" s="295" t="s">
        <v>72</v>
      </c>
      <c r="C115" s="314" t="s">
        <v>186</v>
      </c>
      <c r="D115" s="189">
        <f>-'WACAP 2020'!P104</f>
        <v>0</v>
      </c>
      <c r="E115" s="189">
        <f t="shared" si="49"/>
        <v>0</v>
      </c>
      <c r="F115" s="189">
        <f t="shared" si="49"/>
        <v>0</v>
      </c>
      <c r="G115" s="189">
        <f t="shared" si="49"/>
        <v>0</v>
      </c>
      <c r="H115" s="189">
        <f t="shared" si="49"/>
        <v>0</v>
      </c>
      <c r="I115" s="189">
        <f t="shared" si="49"/>
        <v>0</v>
      </c>
      <c r="J115" s="189">
        <f t="shared" si="49"/>
        <v>0</v>
      </c>
      <c r="K115" s="189">
        <f t="shared" si="49"/>
        <v>0</v>
      </c>
      <c r="L115" s="189">
        <f>-K113</f>
        <v>0</v>
      </c>
      <c r="M115" s="189">
        <f t="shared" si="49"/>
        <v>0</v>
      </c>
      <c r="N115" s="209"/>
      <c r="O115" s="189">
        <f>-M113</f>
        <v>0</v>
      </c>
      <c r="P115" s="189">
        <f t="shared" si="49"/>
        <v>0</v>
      </c>
      <c r="Q115" s="99"/>
      <c r="S115" s="330"/>
      <c r="T115" s="330"/>
      <c r="U115" s="337">
        <f>ROUND(T113/W113,0)</f>
        <v>0</v>
      </c>
      <c r="V115" s="330"/>
      <c r="W115" s="330"/>
      <c r="X115" s="330"/>
      <c r="Y115" s="330"/>
      <c r="Z115" s="330"/>
    </row>
    <row r="116" spans="1:26" ht="15.75" x14ac:dyDescent="0.25">
      <c r="A116" s="313"/>
      <c r="B116" s="271"/>
      <c r="C116" s="311" t="s">
        <v>74</v>
      </c>
      <c r="D116" s="187">
        <f t="shared" ref="D116:P116" si="50">SUM(D110:D115)</f>
        <v>0</v>
      </c>
      <c r="E116" s="187">
        <f t="shared" si="50"/>
        <v>0</v>
      </c>
      <c r="F116" s="187">
        <f t="shared" si="50"/>
        <v>0</v>
      </c>
      <c r="G116" s="187">
        <f t="shared" si="50"/>
        <v>0</v>
      </c>
      <c r="H116" s="187">
        <f t="shared" si="50"/>
        <v>0</v>
      </c>
      <c r="I116" s="187">
        <f t="shared" si="50"/>
        <v>0</v>
      </c>
      <c r="J116" s="187">
        <f t="shared" si="50"/>
        <v>0</v>
      </c>
      <c r="K116" s="187">
        <f t="shared" si="50"/>
        <v>0</v>
      </c>
      <c r="L116" s="187">
        <f t="shared" si="50"/>
        <v>0</v>
      </c>
      <c r="M116" s="187">
        <f t="shared" si="50"/>
        <v>0</v>
      </c>
      <c r="N116" s="208"/>
      <c r="O116" s="187">
        <f t="shared" si="50"/>
        <v>0</v>
      </c>
      <c r="P116" s="187">
        <f t="shared" si="50"/>
        <v>0</v>
      </c>
      <c r="Q116" s="362"/>
      <c r="S116" s="330"/>
      <c r="T116" s="330"/>
      <c r="U116" s="332">
        <v>0</v>
      </c>
      <c r="V116" s="330"/>
      <c r="W116" s="330"/>
      <c r="X116" s="330"/>
      <c r="Y116" s="330"/>
      <c r="Z116" s="330"/>
    </row>
    <row r="117" spans="1:26" x14ac:dyDescent="0.25">
      <c r="A117" s="313"/>
      <c r="B117" s="271"/>
      <c r="C117" s="364" t="s">
        <v>73</v>
      </c>
      <c r="D117" s="307">
        <f>ROUND(-'Authorized Margins 2020'!D11*'WACAP 2021'!D109,2)</f>
        <v>-565.59</v>
      </c>
      <c r="E117" s="189">
        <f>ROUND(-'Authorized Margins 2020'!E11*'WACAP 2021'!E109,2)</f>
        <v>-451.2</v>
      </c>
      <c r="F117" s="189">
        <f>ROUND(-'Authorized Margins 2020'!F11*'WACAP 2021'!F109,2)</f>
        <v>-500.28</v>
      </c>
      <c r="G117" s="189">
        <f>ROUND(-'Authorized Margins 2020'!G11*'WACAP 2021'!G109,2)</f>
        <v>-392.85</v>
      </c>
      <c r="H117" s="189">
        <f>ROUND(-'Authorized Margins 2020'!H11*'WACAP 2021'!H109,2)</f>
        <v>-285.11</v>
      </c>
      <c r="I117" s="189">
        <f>ROUND(-'Authorized Margins 2020'!I11*'WACAP 2021'!I109,2)</f>
        <v>-211.79</v>
      </c>
      <c r="J117" s="88">
        <f>ROUND(-'Authorized Margins 2021'!J11*'WACAP 2021'!J109,2)</f>
        <v>-187.31</v>
      </c>
      <c r="K117" s="88">
        <f>ROUND(-'Authorized Margins 2021'!K11*'WACAP 2021'!K109,2)</f>
        <v>-192.44</v>
      </c>
      <c r="L117" s="88">
        <f>ROUND(-'Authorized Margins 2021'!L11*'WACAP 2021'!L109,2)</f>
        <v>-226.4</v>
      </c>
      <c r="M117" s="88">
        <f>ROUND(-'Authorized Margins 2021'!M11*'WACAP 2021'!M109,2)</f>
        <v>-445.44</v>
      </c>
      <c r="N117" s="209"/>
      <c r="O117" s="88">
        <f>ROUND(-'Authorized Margins 2021'!O11*'WACAP 2021'!O109,2)</f>
        <v>-399.94</v>
      </c>
      <c r="P117" s="88">
        <f>ROUND(-'Authorized Margins 2021'!P11*'WACAP 2021'!P109,2)</f>
        <v>-486.07</v>
      </c>
      <c r="Q117" s="362"/>
      <c r="S117" s="330"/>
      <c r="T117" s="330"/>
      <c r="U117" s="330"/>
      <c r="V117" s="330"/>
      <c r="W117" s="330"/>
      <c r="X117" s="330"/>
      <c r="Y117" s="330"/>
      <c r="Z117" s="330"/>
    </row>
    <row r="118" spans="1:26" x14ac:dyDescent="0.25">
      <c r="A118" s="313"/>
      <c r="B118" s="271"/>
      <c r="C118" s="364" t="s">
        <v>201</v>
      </c>
      <c r="D118" s="187">
        <f t="shared" ref="D118:P118" si="51">SUM(D116:D117)</f>
        <v>-565.59</v>
      </c>
      <c r="E118" s="187">
        <f t="shared" si="51"/>
        <v>-451.2</v>
      </c>
      <c r="F118" s="187">
        <f t="shared" si="51"/>
        <v>-500.28</v>
      </c>
      <c r="G118" s="187">
        <f t="shared" si="51"/>
        <v>-392.85</v>
      </c>
      <c r="H118" s="187">
        <f t="shared" si="51"/>
        <v>-285.11</v>
      </c>
      <c r="I118" s="187">
        <f t="shared" si="51"/>
        <v>-211.79</v>
      </c>
      <c r="J118" s="187">
        <f t="shared" si="51"/>
        <v>-187.31</v>
      </c>
      <c r="K118" s="187">
        <f t="shared" si="51"/>
        <v>-192.44</v>
      </c>
      <c r="L118" s="187">
        <f t="shared" si="51"/>
        <v>-226.4</v>
      </c>
      <c r="M118" s="187">
        <f t="shared" si="51"/>
        <v>-445.44</v>
      </c>
      <c r="N118" s="302">
        <f>-'WACAP 2020'!Q111</f>
        <v>4073.5099999999993</v>
      </c>
      <c r="O118" s="187">
        <f t="shared" si="51"/>
        <v>-399.94</v>
      </c>
      <c r="P118" s="187">
        <f t="shared" si="51"/>
        <v>-486.07</v>
      </c>
      <c r="Q118" s="99">
        <f>SUM(D118:P118)-N118</f>
        <v>-4344.42</v>
      </c>
      <c r="S118" s="330"/>
      <c r="T118" s="330"/>
      <c r="U118" s="330"/>
      <c r="V118" s="330"/>
      <c r="W118" s="330"/>
      <c r="X118" s="330"/>
      <c r="Y118" s="330"/>
      <c r="Z118" s="330"/>
    </row>
    <row r="119" spans="1:26" x14ac:dyDescent="0.25">
      <c r="A119" s="313"/>
      <c r="B119" s="295"/>
      <c r="C119" s="364" t="s">
        <v>137</v>
      </c>
      <c r="D119" s="308">
        <f>ROUND(ROUND('WACAP 2020'!P112*D$7,2)/365*D$8,2)</f>
        <v>-11.24</v>
      </c>
      <c r="E119" s="187">
        <f>ROUND(ROUND(D121*E$7,2)/365*E$8,2)</f>
        <v>-11.59</v>
      </c>
      <c r="F119" s="187">
        <f t="shared" ref="F119:P119" si="52">ROUND(ROUND(E121*F$7,2)/365*F$8,2)</f>
        <v>-14.11</v>
      </c>
      <c r="G119" s="187">
        <f t="shared" si="52"/>
        <v>-15.03</v>
      </c>
      <c r="H119" s="187">
        <f t="shared" si="52"/>
        <v>-16.66</v>
      </c>
      <c r="I119" s="187">
        <f t="shared" si="52"/>
        <v>-16.93</v>
      </c>
      <c r="J119" s="187">
        <f t="shared" si="52"/>
        <v>-18.12</v>
      </c>
      <c r="K119" s="187">
        <f t="shared" si="52"/>
        <v>-18.690000000000001</v>
      </c>
      <c r="L119" s="187">
        <f t="shared" si="52"/>
        <v>-18.649999999999999</v>
      </c>
      <c r="M119" s="187">
        <f t="shared" si="52"/>
        <v>-19.95</v>
      </c>
      <c r="N119" s="231">
        <f>'Ammort Split 2021'!N121</f>
        <v>111.61</v>
      </c>
      <c r="O119" s="187">
        <f>ROUND(ROUND(N121*O$7,2)/365*O$8,2)</f>
        <v>-9.3699999999999992</v>
      </c>
      <c r="P119" s="187">
        <f t="shared" si="52"/>
        <v>-10.81</v>
      </c>
      <c r="Q119" s="100">
        <f>SUM(D119:P119)</f>
        <v>-69.539999999999992</v>
      </c>
      <c r="S119" s="330"/>
      <c r="T119" s="330"/>
      <c r="U119" s="330"/>
      <c r="V119" s="330"/>
      <c r="W119" s="330"/>
      <c r="X119" s="330"/>
      <c r="Y119" s="330"/>
      <c r="Z119" s="330"/>
    </row>
    <row r="120" spans="1:26" x14ac:dyDescent="0.25">
      <c r="A120" s="313"/>
      <c r="B120" s="295"/>
      <c r="C120" s="364" t="s">
        <v>138</v>
      </c>
      <c r="D120" s="189">
        <f>SUM(D118:D119)</f>
        <v>-576.83000000000004</v>
      </c>
      <c r="E120" s="189">
        <f t="shared" ref="E120:P120" si="53">SUM(E118:E119)</f>
        <v>-462.78999999999996</v>
      </c>
      <c r="F120" s="189">
        <f t="shared" si="53"/>
        <v>-514.39</v>
      </c>
      <c r="G120" s="189">
        <f t="shared" si="53"/>
        <v>-407.88</v>
      </c>
      <c r="H120" s="189">
        <f t="shared" si="53"/>
        <v>-301.77000000000004</v>
      </c>
      <c r="I120" s="189">
        <f t="shared" si="53"/>
        <v>-228.72</v>
      </c>
      <c r="J120" s="189">
        <f t="shared" si="53"/>
        <v>-205.43</v>
      </c>
      <c r="K120" s="189">
        <f t="shared" si="53"/>
        <v>-211.13</v>
      </c>
      <c r="L120" s="189">
        <f t="shared" si="53"/>
        <v>-245.05</v>
      </c>
      <c r="M120" s="189">
        <f t="shared" si="53"/>
        <v>-465.39</v>
      </c>
      <c r="N120" s="209">
        <f>SUM(N118:N119)</f>
        <v>4185.119999999999</v>
      </c>
      <c r="O120" s="189">
        <f t="shared" si="53"/>
        <v>-409.31</v>
      </c>
      <c r="P120" s="189">
        <f t="shared" si="53"/>
        <v>-496.88</v>
      </c>
      <c r="Q120" s="453">
        <f>SUM(Q118:Q119)</f>
        <v>-4413.96</v>
      </c>
      <c r="S120" s="330"/>
      <c r="T120" s="330"/>
      <c r="U120" s="330"/>
      <c r="V120" s="330"/>
      <c r="W120" s="330"/>
      <c r="X120" s="330"/>
      <c r="Y120" s="330"/>
      <c r="Z120" s="330"/>
    </row>
    <row r="121" spans="1:26" x14ac:dyDescent="0.25">
      <c r="A121" s="313"/>
      <c r="B121" s="295"/>
      <c r="C121" s="364" t="s">
        <v>139</v>
      </c>
      <c r="D121" s="456">
        <f>'WACAP 2020'!P112+'WACAP 2021'!D120</f>
        <v>-4650.3399999999983</v>
      </c>
      <c r="E121" s="187">
        <f t="shared" ref="E121:P121" si="54">D121+E120</f>
        <v>-5113.1299999999983</v>
      </c>
      <c r="F121" s="187">
        <f t="shared" si="54"/>
        <v>-5627.5199999999986</v>
      </c>
      <c r="G121" s="187">
        <f t="shared" si="54"/>
        <v>-6035.3999999999987</v>
      </c>
      <c r="H121" s="187">
        <f t="shared" si="54"/>
        <v>-6337.1699999999992</v>
      </c>
      <c r="I121" s="187">
        <f t="shared" si="54"/>
        <v>-6565.8899999999994</v>
      </c>
      <c r="J121" s="187">
        <f t="shared" si="54"/>
        <v>-6771.32</v>
      </c>
      <c r="K121" s="187">
        <f t="shared" si="54"/>
        <v>-6982.45</v>
      </c>
      <c r="L121" s="187">
        <f t="shared" si="54"/>
        <v>-7227.5</v>
      </c>
      <c r="M121" s="187">
        <f t="shared" si="54"/>
        <v>-7692.89</v>
      </c>
      <c r="N121" s="208">
        <f t="shared" si="54"/>
        <v>-3507.7700000000013</v>
      </c>
      <c r="O121" s="187">
        <f t="shared" si="54"/>
        <v>-3917.0800000000013</v>
      </c>
      <c r="P121" s="397">
        <f t="shared" si="54"/>
        <v>-4413.9600000000009</v>
      </c>
      <c r="Q121" s="362"/>
      <c r="S121" s="330"/>
      <c r="T121" s="330"/>
      <c r="U121" s="330"/>
      <c r="V121" s="330"/>
      <c r="W121" s="330"/>
      <c r="X121" s="330"/>
      <c r="Y121" s="330"/>
      <c r="Z121" s="330"/>
    </row>
    <row r="122" spans="1:26" x14ac:dyDescent="0.25">
      <c r="A122" s="313"/>
      <c r="B122" s="271"/>
      <c r="C122" s="440"/>
      <c r="D122" s="189"/>
      <c r="E122" s="189"/>
      <c r="F122" s="189"/>
      <c r="G122" s="189"/>
      <c r="H122" s="189"/>
      <c r="I122" s="189"/>
      <c r="J122" s="189"/>
      <c r="K122" s="189"/>
      <c r="L122" s="189"/>
      <c r="M122" s="189"/>
      <c r="N122" s="209"/>
      <c r="O122" s="189"/>
      <c r="P122" s="189"/>
      <c r="Q122" s="458"/>
      <c r="S122" s="334"/>
      <c r="T122" s="462"/>
      <c r="V122" s="330"/>
      <c r="W122" s="330"/>
      <c r="X122" s="330"/>
      <c r="Y122" s="330"/>
      <c r="Z122" s="330"/>
    </row>
    <row r="123" spans="1:26" ht="15.75" x14ac:dyDescent="0.25">
      <c r="A123" s="313"/>
      <c r="B123" t="s">
        <v>88</v>
      </c>
      <c r="C123" s="321" t="s">
        <v>191</v>
      </c>
      <c r="D123" s="192"/>
      <c r="E123" s="192"/>
      <c r="F123" s="187"/>
      <c r="G123" s="192"/>
      <c r="H123" s="192"/>
      <c r="I123" s="192"/>
      <c r="J123" s="192"/>
      <c r="K123" s="192"/>
      <c r="L123" s="192"/>
      <c r="M123" s="192"/>
      <c r="N123" s="202"/>
      <c r="O123" s="192"/>
      <c r="P123" s="192"/>
      <c r="Q123" s="362"/>
      <c r="S123" s="330"/>
      <c r="T123" s="461"/>
      <c r="U123" s="444" t="s">
        <v>92</v>
      </c>
      <c r="V123" s="330"/>
      <c r="W123" s="330"/>
      <c r="X123" s="330"/>
      <c r="Y123" s="330"/>
      <c r="Z123" s="330"/>
    </row>
    <row r="124" spans="1:26" ht="15.75" x14ac:dyDescent="0.25">
      <c r="A124" s="313"/>
      <c r="B124" s="295" t="s">
        <v>64</v>
      </c>
      <c r="C124" s="313" t="s">
        <v>172</v>
      </c>
      <c r="D124" s="250">
        <v>7</v>
      </c>
      <c r="E124" s="250">
        <v>7</v>
      </c>
      <c r="F124" s="250">
        <v>7</v>
      </c>
      <c r="G124" s="250">
        <v>7</v>
      </c>
      <c r="H124" s="250">
        <v>7</v>
      </c>
      <c r="I124" s="250">
        <v>7</v>
      </c>
      <c r="J124" s="250">
        <v>7</v>
      </c>
      <c r="K124" s="250">
        <v>7</v>
      </c>
      <c r="L124" s="250">
        <v>7</v>
      </c>
      <c r="M124" s="250">
        <v>7</v>
      </c>
      <c r="N124" s="479"/>
      <c r="O124" s="250">
        <v>7</v>
      </c>
      <c r="P124" s="250">
        <v>7</v>
      </c>
      <c r="Q124" s="452"/>
      <c r="S124" s="433">
        <v>4811</v>
      </c>
      <c r="T124" s="430">
        <v>570</v>
      </c>
      <c r="U124" s="332">
        <f>113067+102302</f>
        <v>215369</v>
      </c>
      <c r="V124" s="333"/>
      <c r="W124" s="425" t="s">
        <v>90</v>
      </c>
      <c r="X124" s="425"/>
      <c r="Y124" s="425" t="s">
        <v>214</v>
      </c>
      <c r="Z124" s="330"/>
    </row>
    <row r="125" spans="1:26" ht="15.75" x14ac:dyDescent="0.25">
      <c r="A125" s="313"/>
      <c r="B125" s="295" t="s">
        <v>71</v>
      </c>
      <c r="C125" s="314" t="s">
        <v>187</v>
      </c>
      <c r="D125" s="251">
        <v>9501.48</v>
      </c>
      <c r="E125" s="251">
        <v>9348.5499999999993</v>
      </c>
      <c r="F125" s="251">
        <v>9464.82</v>
      </c>
      <c r="G125" s="251">
        <v>9121.76</v>
      </c>
      <c r="H125" s="251">
        <v>8320.74</v>
      </c>
      <c r="I125" s="251">
        <v>7666.38</v>
      </c>
      <c r="J125" s="251">
        <v>6376.17</v>
      </c>
      <c r="K125" s="251">
        <v>6226.99</v>
      </c>
      <c r="L125" s="251">
        <v>7208.75</v>
      </c>
      <c r="M125" s="251">
        <v>7729.06</v>
      </c>
      <c r="N125" s="480"/>
      <c r="O125" s="251">
        <v>8713</v>
      </c>
      <c r="P125" s="251">
        <v>9249.1299999999992</v>
      </c>
      <c r="Q125" s="99"/>
      <c r="S125" s="334" t="s">
        <v>90</v>
      </c>
      <c r="T125" s="335">
        <v>9249.1299999999992</v>
      </c>
      <c r="U125" s="336">
        <f>T125/U128</f>
        <v>8.9639856175070989E-2</v>
      </c>
      <c r="V125" s="336">
        <f>T125/U128</f>
        <v>8.9639856175070989E-2</v>
      </c>
      <c r="W125" s="330">
        <v>8.9639999999999997E-2</v>
      </c>
      <c r="X125" s="330"/>
      <c r="Y125" s="336">
        <f>W125-V125</f>
        <v>1.4382492900810728E-7</v>
      </c>
      <c r="Z125" s="330"/>
    </row>
    <row r="126" spans="1:26" ht="15.75" x14ac:dyDescent="0.25">
      <c r="A126" s="313"/>
      <c r="B126" s="295" t="s">
        <v>71</v>
      </c>
      <c r="C126" s="314" t="s">
        <v>188</v>
      </c>
      <c r="D126" s="251">
        <v>3900.78</v>
      </c>
      <c r="E126" s="251">
        <v>4066.56</v>
      </c>
      <c r="F126" s="251">
        <v>3755.23</v>
      </c>
      <c r="G126" s="251">
        <v>3768.73</v>
      </c>
      <c r="H126" s="251">
        <v>2471.98</v>
      </c>
      <c r="I126" s="251">
        <v>1641.33</v>
      </c>
      <c r="J126" s="251">
        <v>940.29</v>
      </c>
      <c r="K126" s="251">
        <v>582.73</v>
      </c>
      <c r="L126" s="251">
        <v>681.03</v>
      </c>
      <c r="M126" s="251">
        <v>1227.92</v>
      </c>
      <c r="N126" s="480"/>
      <c r="O126" s="251">
        <v>2686.53</v>
      </c>
      <c r="P126" s="251">
        <v>3304.95</v>
      </c>
      <c r="Q126" s="99"/>
      <c r="S126" s="334" t="s">
        <v>90</v>
      </c>
      <c r="T126" s="335">
        <v>3304.95</v>
      </c>
      <c r="U126" s="336">
        <f>T126/U129</f>
        <v>2.8169908457066874E-2</v>
      </c>
      <c r="V126" s="336">
        <f>T126/U129</f>
        <v>2.8169908457066874E-2</v>
      </c>
      <c r="W126" s="330">
        <v>2.8170000000000001E-2</v>
      </c>
      <c r="X126" s="330"/>
      <c r="Y126" s="336">
        <f>W126-V126</f>
        <v>9.1542933126215198E-8</v>
      </c>
      <c r="Z126" s="330"/>
    </row>
    <row r="127" spans="1:26" ht="15.75" x14ac:dyDescent="0.25">
      <c r="A127" s="313"/>
      <c r="B127" s="295" t="s">
        <v>72</v>
      </c>
      <c r="C127" s="316" t="s">
        <v>202</v>
      </c>
      <c r="D127" s="276">
        <v>9348.5499999999993</v>
      </c>
      <c r="E127" s="276">
        <v>9464.82</v>
      </c>
      <c r="F127" s="276">
        <v>9121.76</v>
      </c>
      <c r="G127" s="276">
        <v>8320.74</v>
      </c>
      <c r="H127" s="276">
        <v>7666.38</v>
      </c>
      <c r="I127" s="276">
        <v>6376.17</v>
      </c>
      <c r="J127" s="276">
        <v>6226.99</v>
      </c>
      <c r="K127" s="276">
        <v>7208.75</v>
      </c>
      <c r="L127" s="276">
        <v>7729.06</v>
      </c>
      <c r="M127" s="276">
        <v>8713</v>
      </c>
      <c r="N127" s="480"/>
      <c r="O127" s="276">
        <v>9249.1299999999992</v>
      </c>
      <c r="P127" s="276">
        <v>10145.36</v>
      </c>
      <c r="Q127" s="99"/>
      <c r="S127" s="334" t="s">
        <v>91</v>
      </c>
      <c r="T127" s="335">
        <v>104570.26</v>
      </c>
      <c r="U127" s="336">
        <f>T127/U124</f>
        <v>0.4855399802199945</v>
      </c>
      <c r="V127" s="336">
        <f>T127/U124</f>
        <v>0.4855399802199945</v>
      </c>
      <c r="W127" s="338">
        <v>0.48554000000000003</v>
      </c>
      <c r="X127" s="330"/>
      <c r="Y127" s="426">
        <f>W127-V127</f>
        <v>1.9780005522385125E-8</v>
      </c>
      <c r="Z127" s="330"/>
    </row>
    <row r="128" spans="1:26" x14ac:dyDescent="0.25">
      <c r="A128" s="313"/>
      <c r="B128" s="376" t="s">
        <v>72</v>
      </c>
      <c r="C128" s="322" t="s">
        <v>203</v>
      </c>
      <c r="D128" s="350">
        <v>4066.56</v>
      </c>
      <c r="E128" s="351">
        <v>3782.33</v>
      </c>
      <c r="F128" s="276">
        <v>3768.73</v>
      </c>
      <c r="G128" s="351">
        <v>2471.98</v>
      </c>
      <c r="H128" s="351">
        <v>1641.33</v>
      </c>
      <c r="I128" s="351">
        <v>940.29</v>
      </c>
      <c r="J128" s="351">
        <v>582.73</v>
      </c>
      <c r="K128" s="351">
        <v>681.03</v>
      </c>
      <c r="L128" s="351">
        <v>1227.92</v>
      </c>
      <c r="M128" s="351">
        <v>2686.53</v>
      </c>
      <c r="N128" s="481"/>
      <c r="O128" s="351">
        <v>3304.95</v>
      </c>
      <c r="P128" s="351">
        <v>4646.83</v>
      </c>
      <c r="Q128" s="99"/>
      <c r="S128" s="330"/>
      <c r="T128" s="339"/>
      <c r="U128" s="337">
        <f>ROUND(T125/W125,0)</f>
        <v>103181</v>
      </c>
      <c r="V128" s="330"/>
      <c r="W128" s="330"/>
      <c r="X128" s="330"/>
      <c r="Y128" s="336"/>
      <c r="Z128" s="330"/>
    </row>
    <row r="129" spans="1:26" ht="15.75" x14ac:dyDescent="0.25">
      <c r="A129" s="313"/>
      <c r="B129" s="295" t="s">
        <v>72</v>
      </c>
      <c r="C129" s="314" t="s">
        <v>189</v>
      </c>
      <c r="D129" s="308">
        <f>+-'WACAP 2020'!P119</f>
        <v>-9501.48</v>
      </c>
      <c r="E129" s="187">
        <f>-D127</f>
        <v>-9348.5499999999993</v>
      </c>
      <c r="F129" s="397">
        <f t="shared" ref="E129:M130" si="55">-E127</f>
        <v>-9464.82</v>
      </c>
      <c r="G129" s="187">
        <f t="shared" si="55"/>
        <v>-9121.76</v>
      </c>
      <c r="H129" s="187">
        <f t="shared" si="55"/>
        <v>-8320.74</v>
      </c>
      <c r="I129" s="187">
        <f>-H127</f>
        <v>-7666.38</v>
      </c>
      <c r="J129" s="187">
        <f t="shared" si="55"/>
        <v>-6376.17</v>
      </c>
      <c r="K129" s="187">
        <f t="shared" si="55"/>
        <v>-6226.99</v>
      </c>
      <c r="L129" s="187">
        <f>-K127</f>
        <v>-7208.75</v>
      </c>
      <c r="M129" s="187">
        <f t="shared" si="55"/>
        <v>-7729.06</v>
      </c>
      <c r="N129" s="208"/>
      <c r="O129" s="187">
        <f t="shared" ref="O129:O130" si="56">-M127</f>
        <v>-8713</v>
      </c>
      <c r="P129" s="397">
        <f>-O127</f>
        <v>-9249.1299999999992</v>
      </c>
      <c r="Q129" s="99"/>
      <c r="S129" s="330"/>
      <c r="T129" s="460"/>
      <c r="U129" s="337">
        <f>ROUND(T126/W126,0)</f>
        <v>117322</v>
      </c>
      <c r="V129" s="330"/>
      <c r="W129" s="330"/>
      <c r="X129" s="330"/>
      <c r="Y129" s="330"/>
      <c r="Z129" s="330"/>
    </row>
    <row r="130" spans="1:26" x14ac:dyDescent="0.25">
      <c r="A130" s="313"/>
      <c r="B130" s="295" t="s">
        <v>72</v>
      </c>
      <c r="C130" s="314" t="s">
        <v>190</v>
      </c>
      <c r="D130" s="307">
        <f>+-'WACAP 2020'!P120</f>
        <v>-3900.78</v>
      </c>
      <c r="E130" s="189">
        <f t="shared" si="55"/>
        <v>-4066.56</v>
      </c>
      <c r="F130" s="189">
        <f t="shared" si="55"/>
        <v>-3782.33</v>
      </c>
      <c r="G130" s="189">
        <f t="shared" si="55"/>
        <v>-3768.73</v>
      </c>
      <c r="H130" s="189">
        <f t="shared" si="55"/>
        <v>-2471.98</v>
      </c>
      <c r="I130" s="189">
        <f t="shared" si="55"/>
        <v>-1641.33</v>
      </c>
      <c r="J130" s="189">
        <f t="shared" si="55"/>
        <v>-940.29</v>
      </c>
      <c r="K130" s="189">
        <f t="shared" si="55"/>
        <v>-582.73</v>
      </c>
      <c r="L130" s="189">
        <f>-K128</f>
        <v>-681.03</v>
      </c>
      <c r="M130" s="189">
        <f t="shared" si="55"/>
        <v>-1227.92</v>
      </c>
      <c r="N130" s="209"/>
      <c r="O130" s="189">
        <f t="shared" si="56"/>
        <v>-2686.53</v>
      </c>
      <c r="P130" s="189">
        <f>-O128</f>
        <v>-3304.95</v>
      </c>
      <c r="Q130" s="99"/>
      <c r="S130" s="330"/>
      <c r="T130" s="330"/>
      <c r="U130" s="330"/>
      <c r="V130" s="330"/>
      <c r="W130" s="330"/>
      <c r="X130" s="330"/>
      <c r="Y130" s="330"/>
      <c r="Z130" s="330"/>
    </row>
    <row r="131" spans="1:26" x14ac:dyDescent="0.25">
      <c r="A131" s="313"/>
      <c r="B131" s="295"/>
      <c r="C131" s="311" t="s">
        <v>74</v>
      </c>
      <c r="D131" s="187">
        <f t="shared" ref="D131:F131" si="57">SUM(D125:D130)</f>
        <v>13415.109999999999</v>
      </c>
      <c r="E131" s="187">
        <f t="shared" si="57"/>
        <v>13247.150000000003</v>
      </c>
      <c r="F131" s="187">
        <f t="shared" si="57"/>
        <v>12863.389999999998</v>
      </c>
      <c r="G131" s="187">
        <f>SUM(G125:G130)</f>
        <v>10792.72</v>
      </c>
      <c r="H131" s="187">
        <f t="shared" ref="H131:P131" si="58">SUM(H125:H130)</f>
        <v>9307.7100000000009</v>
      </c>
      <c r="I131" s="187">
        <f t="shared" si="58"/>
        <v>7316.4599999999973</v>
      </c>
      <c r="J131" s="187">
        <f t="shared" si="58"/>
        <v>6809.72</v>
      </c>
      <c r="K131" s="187">
        <f t="shared" si="58"/>
        <v>7889.7800000000007</v>
      </c>
      <c r="L131" s="187">
        <f t="shared" si="58"/>
        <v>8956.9800000000014</v>
      </c>
      <c r="M131" s="187">
        <f t="shared" si="58"/>
        <v>11399.529999999997</v>
      </c>
      <c r="N131" s="208"/>
      <c r="O131" s="187">
        <f t="shared" si="58"/>
        <v>12554.08</v>
      </c>
      <c r="P131" s="187">
        <f t="shared" si="58"/>
        <v>14792.189999999999</v>
      </c>
      <c r="Q131" s="362"/>
      <c r="S131" s="330"/>
      <c r="T131" s="330"/>
      <c r="U131" s="330"/>
      <c r="V131" s="330"/>
      <c r="W131" s="330"/>
      <c r="X131" s="330"/>
      <c r="Y131" s="330"/>
      <c r="Z131" s="330"/>
    </row>
    <row r="132" spans="1:26" x14ac:dyDescent="0.25">
      <c r="A132" s="313"/>
      <c r="B132" s="295"/>
      <c r="C132" s="364" t="s">
        <v>73</v>
      </c>
      <c r="D132" s="307">
        <f>ROUND(-'Authorized Margins 2020'!D15*'WACAP 2021'!D124,2)</f>
        <v>-12716.27</v>
      </c>
      <c r="E132" s="189">
        <f>ROUND(-'Authorized Margins 2020'!E15*'WACAP 2021'!E124,2)</f>
        <v>-12262.81</v>
      </c>
      <c r="F132" s="189">
        <f>ROUND(-'Authorized Margins 2020'!F15*'WACAP 2021'!F124,2)</f>
        <v>-11932.48</v>
      </c>
      <c r="G132" s="189">
        <f>ROUND(-'Authorized Margins 2020'!G15*'WACAP 2021'!G124,2)</f>
        <v>-11839.94</v>
      </c>
      <c r="H132" s="189">
        <f>ROUND(-'Authorized Margins 2020'!H15*'WACAP 2021'!H124,2)</f>
        <v>-9864.19</v>
      </c>
      <c r="I132" s="189">
        <f>ROUND(-'Authorized Margins 2020'!I15*'WACAP 2021'!I124,2)</f>
        <v>-7121.59</v>
      </c>
      <c r="J132" s="88">
        <f>ROUND(-'Authorized Margins 2021'!J15*'WACAP 2021'!J124,2)</f>
        <v>-6898.29</v>
      </c>
      <c r="K132" s="88">
        <f>ROUND(-'Authorized Margins 2021'!K15*'WACAP 2021'!K124,2)</f>
        <v>-6527.71</v>
      </c>
      <c r="L132" s="88">
        <f>ROUND(-'Authorized Margins 2021'!L15*'WACAP 2021'!L124,2)</f>
        <v>-5091.87</v>
      </c>
      <c r="M132" s="88">
        <f>ROUND(-'Authorized Margins 2021'!M15*'WACAP 2021'!M124,2)</f>
        <v>-6060.74</v>
      </c>
      <c r="N132" s="209"/>
      <c r="O132" s="88">
        <f>ROUND(-'Authorized Margins 2021'!O15*'WACAP 2021'!O124,2)</f>
        <v>-12661.88</v>
      </c>
      <c r="P132" s="88">
        <f>ROUND(-'Authorized Margins 2021'!P15*'WACAP 2021'!P124,2)</f>
        <v>-12521.18</v>
      </c>
      <c r="Q132" s="362"/>
      <c r="S132" s="330"/>
      <c r="T132" s="330"/>
      <c r="U132" s="330"/>
      <c r="V132" s="330"/>
      <c r="W132" s="330"/>
      <c r="X132" s="330"/>
      <c r="Y132" s="330"/>
      <c r="Z132" s="330"/>
    </row>
    <row r="133" spans="1:26" x14ac:dyDescent="0.25">
      <c r="A133" s="313"/>
      <c r="B133" s="295"/>
      <c r="C133" s="364" t="s">
        <v>75</v>
      </c>
      <c r="D133" s="187">
        <f t="shared" ref="D133:P133" si="59">SUM(D131:D132)</f>
        <v>698.83999999999833</v>
      </c>
      <c r="E133" s="187">
        <f t="shared" si="59"/>
        <v>984.34000000000378</v>
      </c>
      <c r="F133" s="187">
        <f t="shared" si="59"/>
        <v>930.90999999999804</v>
      </c>
      <c r="G133" s="187">
        <f t="shared" si="59"/>
        <v>-1047.2200000000012</v>
      </c>
      <c r="H133" s="187">
        <f t="shared" si="59"/>
        <v>-556.47999999999956</v>
      </c>
      <c r="I133" s="187">
        <f t="shared" si="59"/>
        <v>194.86999999999716</v>
      </c>
      <c r="J133" s="187">
        <f t="shared" si="59"/>
        <v>-88.569999999999709</v>
      </c>
      <c r="K133" s="187">
        <f t="shared" si="59"/>
        <v>1362.0700000000006</v>
      </c>
      <c r="L133" s="187">
        <f t="shared" si="59"/>
        <v>3865.1100000000015</v>
      </c>
      <c r="M133" s="187">
        <f t="shared" si="59"/>
        <v>5338.7899999999972</v>
      </c>
      <c r="N133" s="302">
        <f>-'WACAP 2020'!Q127</f>
        <v>4603.1900000000005</v>
      </c>
      <c r="O133" s="187">
        <f t="shared" si="59"/>
        <v>-107.79999999999927</v>
      </c>
      <c r="P133" s="187">
        <f t="shared" si="59"/>
        <v>2271.0099999999984</v>
      </c>
      <c r="Q133" s="99">
        <f>SUM(D133:P133)-N133</f>
        <v>13845.869999999997</v>
      </c>
      <c r="S133" s="330"/>
      <c r="T133" s="330"/>
      <c r="U133" s="330"/>
      <c r="V133" s="330"/>
      <c r="W133" s="330"/>
      <c r="X133" s="330"/>
      <c r="Y133" s="330"/>
      <c r="Z133" s="330"/>
    </row>
    <row r="134" spans="1:26" x14ac:dyDescent="0.25">
      <c r="A134" s="313"/>
      <c r="B134" s="295"/>
      <c r="C134" s="364" t="s">
        <v>137</v>
      </c>
      <c r="D134" s="308">
        <f>ROUND(ROUND('WACAP 2020'!P128*D$7,2)/365*D$8,2)</f>
        <v>-12.71</v>
      </c>
      <c r="E134" s="187">
        <f>ROUND(ROUND(D136*E$7,2)/365*E$8,2)</f>
        <v>-9.77</v>
      </c>
      <c r="F134" s="187">
        <f t="shared" ref="F134:P134" si="60">ROUND(ROUND(E136*F$7,2)/365*F$8,2)</f>
        <v>-8.1199999999999992</v>
      </c>
      <c r="G134" s="187">
        <f t="shared" si="60"/>
        <v>-5.4</v>
      </c>
      <c r="H134" s="187">
        <f t="shared" si="60"/>
        <v>-8.48</v>
      </c>
      <c r="I134" s="187">
        <f t="shared" si="60"/>
        <v>-9.7200000000000006</v>
      </c>
      <c r="J134" s="187">
        <f t="shared" si="60"/>
        <v>-9.5299999999999994</v>
      </c>
      <c r="K134" s="187">
        <f t="shared" si="60"/>
        <v>-9.8000000000000007</v>
      </c>
      <c r="L134" s="187">
        <f t="shared" si="60"/>
        <v>-5.87</v>
      </c>
      <c r="M134" s="187">
        <f t="shared" si="60"/>
        <v>4.59</v>
      </c>
      <c r="N134" s="231">
        <f>'Ammort Split 2021'!N136</f>
        <v>126.13</v>
      </c>
      <c r="O134" s="187">
        <f>ROUND(ROUND(N136*O$7,2)/365*O$8,2)</f>
        <v>31.34</v>
      </c>
      <c r="P134" s="187">
        <f t="shared" si="60"/>
        <v>32.18</v>
      </c>
      <c r="Q134" s="100">
        <f>SUM(D134:P134)</f>
        <v>114.84</v>
      </c>
      <c r="S134" s="330"/>
      <c r="T134" s="330"/>
      <c r="U134" s="330"/>
      <c r="V134" s="330"/>
      <c r="W134" s="330"/>
      <c r="X134" s="330"/>
      <c r="Y134" s="330"/>
      <c r="Z134" s="330"/>
    </row>
    <row r="135" spans="1:26" x14ac:dyDescent="0.25">
      <c r="A135" s="313"/>
      <c r="B135" s="295"/>
      <c r="C135" s="364" t="s">
        <v>138</v>
      </c>
      <c r="D135" s="189">
        <f>SUM(D133:D134)</f>
        <v>686.12999999999829</v>
      </c>
      <c r="E135" s="189">
        <f t="shared" ref="E135:P135" si="61">SUM(E133:E134)</f>
        <v>974.5700000000038</v>
      </c>
      <c r="F135" s="189">
        <f t="shared" si="61"/>
        <v>922.78999999999803</v>
      </c>
      <c r="G135" s="189">
        <f t="shared" si="61"/>
        <v>-1052.6200000000013</v>
      </c>
      <c r="H135" s="189">
        <f t="shared" si="61"/>
        <v>-564.95999999999958</v>
      </c>
      <c r="I135" s="189">
        <f t="shared" si="61"/>
        <v>185.14999999999716</v>
      </c>
      <c r="J135" s="189">
        <f t="shared" si="61"/>
        <v>-98.09999999999971</v>
      </c>
      <c r="K135" s="189">
        <f t="shared" si="61"/>
        <v>1352.2700000000007</v>
      </c>
      <c r="L135" s="189">
        <f t="shared" si="61"/>
        <v>3859.2400000000016</v>
      </c>
      <c r="M135" s="189">
        <f t="shared" si="61"/>
        <v>5343.3799999999974</v>
      </c>
      <c r="N135" s="209">
        <f>SUM(N133:N134)</f>
        <v>4729.3200000000006</v>
      </c>
      <c r="O135" s="189">
        <f t="shared" si="61"/>
        <v>-76.459999999999269</v>
      </c>
      <c r="P135" s="189">
        <f t="shared" si="61"/>
        <v>2303.1899999999982</v>
      </c>
      <c r="Q135" s="453">
        <f>SUM(Q133:Q134)</f>
        <v>13960.709999999997</v>
      </c>
      <c r="S135" s="330"/>
      <c r="T135" s="330"/>
      <c r="U135" s="330"/>
      <c r="V135" s="330"/>
      <c r="W135" s="330"/>
      <c r="X135" s="330"/>
      <c r="Y135" s="330"/>
      <c r="Z135" s="330"/>
    </row>
    <row r="136" spans="1:26" ht="15.75" thickBot="1" x14ac:dyDescent="0.3">
      <c r="A136" s="313"/>
      <c r="B136" s="295"/>
      <c r="C136" s="364" t="s">
        <v>139</v>
      </c>
      <c r="D136" s="384">
        <f>'WACAP 2020'!P128+'WACAP 2021'!D135</f>
        <v>-3917.0599999999986</v>
      </c>
      <c r="E136" s="375">
        <f t="shared" ref="E136:P136" si="62">D136+E135</f>
        <v>-2942.4899999999948</v>
      </c>
      <c r="F136" s="375">
        <f t="shared" si="62"/>
        <v>-2019.6999999999966</v>
      </c>
      <c r="G136" s="375">
        <f t="shared" si="62"/>
        <v>-3072.3199999999979</v>
      </c>
      <c r="H136" s="375">
        <f t="shared" si="62"/>
        <v>-3637.2799999999975</v>
      </c>
      <c r="I136" s="375">
        <f t="shared" si="62"/>
        <v>-3452.13</v>
      </c>
      <c r="J136" s="375">
        <f t="shared" si="62"/>
        <v>-3550.23</v>
      </c>
      <c r="K136" s="375">
        <f t="shared" si="62"/>
        <v>-2197.9599999999991</v>
      </c>
      <c r="L136" s="375">
        <f t="shared" si="62"/>
        <v>1661.2800000000025</v>
      </c>
      <c r="M136" s="375">
        <f t="shared" si="62"/>
        <v>7004.66</v>
      </c>
      <c r="N136" s="386">
        <f>M136+N135</f>
        <v>11733.98</v>
      </c>
      <c r="O136" s="375">
        <f t="shared" si="62"/>
        <v>11657.52</v>
      </c>
      <c r="P136" s="375">
        <f t="shared" si="62"/>
        <v>13960.71</v>
      </c>
      <c r="Q136" s="458"/>
      <c r="S136" s="330"/>
      <c r="T136" s="330"/>
      <c r="U136" s="330"/>
      <c r="V136" s="330"/>
      <c r="W136" s="330"/>
      <c r="X136" s="330"/>
      <c r="Y136" s="330"/>
      <c r="Z136" s="330"/>
    </row>
    <row r="137" spans="1:26" ht="15.75" hidden="1" thickBot="1" x14ac:dyDescent="0.3">
      <c r="A137" s="313"/>
      <c r="B137" s="271"/>
      <c r="D137" s="192"/>
      <c r="E137" s="192"/>
      <c r="F137" s="187"/>
      <c r="G137" s="192"/>
      <c r="H137" s="192"/>
      <c r="I137" s="192"/>
      <c r="J137" s="192"/>
      <c r="K137" s="192"/>
      <c r="L137" s="192"/>
      <c r="M137" s="192"/>
      <c r="N137" s="192"/>
      <c r="O137" s="192"/>
      <c r="P137" s="195"/>
      <c r="Q137" s="178"/>
      <c r="S137" s="334"/>
      <c r="T137" s="462"/>
      <c r="U137" s="337"/>
      <c r="V137" s="330"/>
      <c r="W137" s="330"/>
      <c r="X137" s="330"/>
      <c r="Y137" s="330"/>
      <c r="Z137" s="330"/>
    </row>
    <row r="138" spans="1:26" ht="15.75" hidden="1" thickBot="1" x14ac:dyDescent="0.3">
      <c r="A138" s="313"/>
      <c r="B138" s="104" t="s">
        <v>88</v>
      </c>
      <c r="C138" s="271">
        <v>577</v>
      </c>
      <c r="D138" s="229" t="s">
        <v>149</v>
      </c>
      <c r="F138" s="187"/>
      <c r="G138" s="192"/>
      <c r="H138" s="192"/>
      <c r="I138" s="192"/>
      <c r="J138" s="192"/>
      <c r="L138" s="192"/>
      <c r="M138" s="192"/>
      <c r="N138" s="202"/>
      <c r="O138" s="192"/>
      <c r="P138" s="195"/>
      <c r="Q138" s="178"/>
      <c r="S138" s="330"/>
      <c r="T138" s="330"/>
      <c r="U138" s="337"/>
      <c r="V138" s="330"/>
      <c r="W138" s="330"/>
      <c r="X138" s="330"/>
      <c r="Y138" s="330"/>
      <c r="Z138" s="330"/>
    </row>
    <row r="139" spans="1:26" ht="15.75" hidden="1" thickBot="1" x14ac:dyDescent="0.3">
      <c r="A139" s="313"/>
      <c r="B139" s="295" t="s">
        <v>64</v>
      </c>
      <c r="C139" t="s">
        <v>172</v>
      </c>
      <c r="D139" s="296"/>
      <c r="E139" s="296"/>
      <c r="F139" s="296"/>
      <c r="G139" s="296"/>
      <c r="H139" s="296"/>
      <c r="I139" s="296"/>
      <c r="J139" s="296"/>
      <c r="K139" s="296"/>
      <c r="L139" s="296"/>
      <c r="M139" s="296"/>
      <c r="N139" s="202"/>
      <c r="O139" s="296"/>
      <c r="P139" s="297"/>
      <c r="Q139" s="179"/>
      <c r="S139" s="330"/>
      <c r="T139" s="330"/>
      <c r="U139" s="333"/>
      <c r="V139" s="333"/>
      <c r="W139" s="330"/>
      <c r="X139" s="330"/>
      <c r="Y139" s="330"/>
      <c r="Z139" s="330"/>
    </row>
    <row r="140" spans="1:26" ht="15.75" hidden="1" thickBot="1" x14ac:dyDescent="0.3">
      <c r="A140" s="313"/>
      <c r="B140" s="295" t="s">
        <v>71</v>
      </c>
      <c r="C140" t="s">
        <v>109</v>
      </c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08"/>
      <c r="O140" s="298"/>
      <c r="P140" s="299"/>
      <c r="Q140" s="180"/>
      <c r="S140" s="334"/>
      <c r="T140" s="462"/>
      <c r="U140" s="336"/>
      <c r="V140" s="336"/>
      <c r="W140" s="330"/>
      <c r="X140" s="330"/>
      <c r="Y140" s="336"/>
      <c r="Z140" s="330"/>
    </row>
    <row r="141" spans="1:26" ht="15.75" hidden="1" thickBot="1" x14ac:dyDescent="0.3">
      <c r="A141" s="313"/>
      <c r="B141" s="295" t="s">
        <v>71</v>
      </c>
      <c r="C141" t="s">
        <v>96</v>
      </c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08"/>
      <c r="O141" s="298"/>
      <c r="P141" s="299"/>
      <c r="Q141" s="180"/>
      <c r="S141" s="334"/>
      <c r="T141" s="462"/>
      <c r="U141" s="336"/>
      <c r="V141" s="336"/>
      <c r="W141" s="330"/>
      <c r="X141" s="330"/>
      <c r="Y141" s="336"/>
      <c r="Z141" s="330"/>
    </row>
    <row r="142" spans="1:26" ht="15.75" hidden="1" thickBot="1" x14ac:dyDescent="0.3">
      <c r="A142" s="313"/>
      <c r="B142" s="295" t="s">
        <v>72</v>
      </c>
      <c r="C142" t="s">
        <v>110</v>
      </c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08"/>
      <c r="O142" s="298"/>
      <c r="P142" s="299"/>
      <c r="Q142" s="180"/>
      <c r="S142" s="334"/>
      <c r="T142" s="462"/>
      <c r="U142" s="336"/>
      <c r="V142" s="336"/>
      <c r="W142" s="330"/>
      <c r="X142" s="330"/>
      <c r="Y142" s="336"/>
      <c r="Z142" s="330"/>
    </row>
    <row r="143" spans="1:26" ht="15.75" hidden="1" thickBot="1" x14ac:dyDescent="0.3">
      <c r="A143" s="313"/>
      <c r="B143" s="295" t="s">
        <v>72</v>
      </c>
      <c r="C143" t="s">
        <v>111</v>
      </c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08"/>
      <c r="O143" s="298"/>
      <c r="P143" s="299"/>
      <c r="Q143" s="180"/>
      <c r="S143" s="330"/>
      <c r="T143" s="330"/>
      <c r="U143" s="330"/>
      <c r="V143" s="330"/>
      <c r="W143" s="330"/>
      <c r="X143" s="330"/>
      <c r="Y143" s="336"/>
      <c r="Z143" s="330"/>
    </row>
    <row r="144" spans="1:26" ht="15.75" hidden="1" thickBot="1" x14ac:dyDescent="0.3">
      <c r="A144" s="313"/>
      <c r="B144" s="295" t="s">
        <v>72</v>
      </c>
      <c r="C144" t="s">
        <v>112</v>
      </c>
      <c r="D144" s="187">
        <f>-'WACAP 2018'!O138</f>
        <v>0</v>
      </c>
      <c r="E144" s="187">
        <f>-D142</f>
        <v>0</v>
      </c>
      <c r="F144" s="187">
        <f>-E142</f>
        <v>0</v>
      </c>
      <c r="G144" s="187">
        <f>-F142</f>
        <v>0</v>
      </c>
      <c r="H144" s="187">
        <f t="shared" ref="E144:M145" si="63">-G142</f>
        <v>0</v>
      </c>
      <c r="I144" s="187">
        <f t="shared" si="63"/>
        <v>0</v>
      </c>
      <c r="J144" s="187">
        <f t="shared" si="63"/>
        <v>0</v>
      </c>
      <c r="K144" s="187">
        <f t="shared" si="63"/>
        <v>0</v>
      </c>
      <c r="L144" s="187">
        <f t="shared" si="63"/>
        <v>0</v>
      </c>
      <c r="M144" s="187">
        <f t="shared" si="63"/>
        <v>0</v>
      </c>
      <c r="N144" s="208"/>
      <c r="O144" s="187">
        <f t="shared" ref="O144:O145" si="64">-M142</f>
        <v>0</v>
      </c>
      <c r="P144" s="188">
        <f>-O142</f>
        <v>0</v>
      </c>
      <c r="Q144" s="180"/>
      <c r="S144" s="330"/>
      <c r="T144" s="330"/>
      <c r="U144" s="330"/>
      <c r="V144" s="330"/>
      <c r="W144" s="330"/>
      <c r="X144" s="330"/>
      <c r="Y144" s="330"/>
      <c r="Z144" s="330"/>
    </row>
    <row r="145" spans="1:26" ht="15.75" hidden="1" thickBot="1" x14ac:dyDescent="0.3">
      <c r="A145" s="313"/>
      <c r="B145" s="295" t="s">
        <v>72</v>
      </c>
      <c r="C145" t="s">
        <v>113</v>
      </c>
      <c r="D145" s="189">
        <f>-'WACAP 2018'!O139</f>
        <v>0</v>
      </c>
      <c r="E145" s="189">
        <f t="shared" si="63"/>
        <v>0</v>
      </c>
      <c r="F145" s="189">
        <f t="shared" si="63"/>
        <v>0</v>
      </c>
      <c r="G145" s="189">
        <f t="shared" si="63"/>
        <v>0</v>
      </c>
      <c r="H145" s="189">
        <f t="shared" si="63"/>
        <v>0</v>
      </c>
      <c r="I145" s="189">
        <f t="shared" si="63"/>
        <v>0</v>
      </c>
      <c r="J145" s="189">
        <f t="shared" si="63"/>
        <v>0</v>
      </c>
      <c r="K145" s="189">
        <f t="shared" si="63"/>
        <v>0</v>
      </c>
      <c r="L145" s="189">
        <f t="shared" si="63"/>
        <v>0</v>
      </c>
      <c r="M145" s="189">
        <f t="shared" si="63"/>
        <v>0</v>
      </c>
      <c r="N145" s="209"/>
      <c r="O145" s="189">
        <f t="shared" si="64"/>
        <v>0</v>
      </c>
      <c r="P145" s="190">
        <f>-O143</f>
        <v>0</v>
      </c>
      <c r="Q145" s="180"/>
      <c r="S145" s="330"/>
      <c r="T145" s="330"/>
      <c r="U145" s="330"/>
      <c r="V145" s="330"/>
      <c r="W145" s="330"/>
      <c r="X145" s="330"/>
      <c r="Y145" s="330"/>
      <c r="Z145" s="330"/>
    </row>
    <row r="146" spans="1:26" ht="15.75" hidden="1" thickBot="1" x14ac:dyDescent="0.3">
      <c r="A146" s="313"/>
      <c r="B146" s="360"/>
      <c r="C146" s="122" t="s">
        <v>74</v>
      </c>
      <c r="D146" s="187">
        <f t="shared" ref="D146:F146" si="65">SUM(D140:D145)</f>
        <v>0</v>
      </c>
      <c r="E146" s="187">
        <f t="shared" si="65"/>
        <v>0</v>
      </c>
      <c r="F146" s="187">
        <f t="shared" si="65"/>
        <v>0</v>
      </c>
      <c r="G146" s="187">
        <f>SUM(G140:G145)</f>
        <v>0</v>
      </c>
      <c r="H146" s="187">
        <f t="shared" ref="H146:P146" si="66">SUM(H140:H145)</f>
        <v>0</v>
      </c>
      <c r="I146" s="187">
        <f t="shared" si="66"/>
        <v>0</v>
      </c>
      <c r="J146" s="187">
        <f t="shared" si="66"/>
        <v>0</v>
      </c>
      <c r="K146" s="187">
        <f t="shared" si="66"/>
        <v>0</v>
      </c>
      <c r="L146" s="187">
        <f t="shared" si="66"/>
        <v>0</v>
      </c>
      <c r="M146" s="187">
        <f t="shared" si="66"/>
        <v>0</v>
      </c>
      <c r="N146" s="208"/>
      <c r="O146" s="187">
        <f t="shared" si="66"/>
        <v>0</v>
      </c>
      <c r="P146" s="188">
        <f t="shared" si="66"/>
        <v>0</v>
      </c>
      <c r="Q146" s="178"/>
      <c r="S146" s="330"/>
      <c r="T146" s="330"/>
      <c r="U146" s="330"/>
      <c r="V146" s="330"/>
      <c r="W146" s="330"/>
      <c r="X146" s="330"/>
      <c r="Y146" s="330"/>
      <c r="Z146" s="330"/>
    </row>
    <row r="147" spans="1:26" ht="15.75" hidden="1" thickBot="1" x14ac:dyDescent="0.3">
      <c r="A147" s="313"/>
      <c r="B147" s="360"/>
      <c r="C147" s="122" t="s">
        <v>73</v>
      </c>
      <c r="D147" s="189">
        <v>0</v>
      </c>
      <c r="E147" s="189">
        <v>0</v>
      </c>
      <c r="F147" s="189">
        <v>0</v>
      </c>
      <c r="G147" s="189">
        <v>0</v>
      </c>
      <c r="H147" s="189">
        <v>0</v>
      </c>
      <c r="I147" s="189">
        <v>0</v>
      </c>
      <c r="J147" s="189">
        <v>0</v>
      </c>
      <c r="K147" s="189">
        <v>0</v>
      </c>
      <c r="L147" s="189">
        <v>0</v>
      </c>
      <c r="M147" s="189">
        <v>0</v>
      </c>
      <c r="N147" s="209"/>
      <c r="O147" s="189">
        <v>0</v>
      </c>
      <c r="P147" s="190">
        <v>0</v>
      </c>
      <c r="Q147" s="178"/>
      <c r="S147" s="330"/>
      <c r="T147" s="330"/>
      <c r="U147" s="330"/>
      <c r="V147" s="330"/>
      <c r="W147" s="330"/>
      <c r="X147" s="330"/>
      <c r="Y147" s="330"/>
      <c r="Z147" s="330"/>
    </row>
    <row r="148" spans="1:26" ht="15.75" hidden="1" thickBot="1" x14ac:dyDescent="0.3">
      <c r="A148" s="313"/>
      <c r="B148" s="360"/>
      <c r="C148" s="122" t="s">
        <v>75</v>
      </c>
      <c r="D148" s="187">
        <f t="shared" ref="D148:P148" si="67">SUM(D146:D147)</f>
        <v>0</v>
      </c>
      <c r="E148" s="187">
        <f t="shared" si="67"/>
        <v>0</v>
      </c>
      <c r="F148" s="187">
        <f t="shared" si="67"/>
        <v>0</v>
      </c>
      <c r="G148" s="187">
        <f t="shared" si="67"/>
        <v>0</v>
      </c>
      <c r="H148" s="187">
        <f t="shared" si="67"/>
        <v>0</v>
      </c>
      <c r="I148" s="187">
        <f t="shared" si="67"/>
        <v>0</v>
      </c>
      <c r="J148" s="187">
        <f t="shared" si="67"/>
        <v>0</v>
      </c>
      <c r="K148" s="187">
        <f t="shared" si="67"/>
        <v>0</v>
      </c>
      <c r="L148" s="187">
        <f t="shared" si="67"/>
        <v>0</v>
      </c>
      <c r="M148" s="187">
        <f t="shared" si="67"/>
        <v>0</v>
      </c>
      <c r="N148" s="302"/>
      <c r="O148" s="187">
        <f t="shared" si="67"/>
        <v>0</v>
      </c>
      <c r="P148" s="188">
        <f t="shared" si="67"/>
        <v>0</v>
      </c>
      <c r="Q148" s="180">
        <f>SUM(D148:P148)-N148</f>
        <v>0</v>
      </c>
      <c r="S148" s="330"/>
      <c r="T148" s="330"/>
      <c r="U148" s="330"/>
      <c r="V148" s="330"/>
      <c r="W148" s="330"/>
      <c r="X148" s="330"/>
      <c r="Y148" s="330"/>
      <c r="Z148" s="330"/>
    </row>
    <row r="149" spans="1:26" ht="15.75" hidden="1" thickBot="1" x14ac:dyDescent="0.3">
      <c r="A149" s="313"/>
      <c r="B149" s="295"/>
      <c r="C149" s="122" t="s">
        <v>137</v>
      </c>
      <c r="D149" s="300">
        <f>ROUND(ROUND('WACAP 2019'!P163*D$7,2)/365*D$8,2)</f>
        <v>0</v>
      </c>
      <c r="E149" s="187">
        <f>ROUND(ROUND(D151*E$7,2)/365*E$8,2)</f>
        <v>0</v>
      </c>
      <c r="F149" s="187">
        <f t="shared" ref="F149:P149" si="68">ROUND(ROUND(E151*F$7,2)/365*F$8,2)</f>
        <v>0</v>
      </c>
      <c r="G149" s="187">
        <f t="shared" si="68"/>
        <v>0</v>
      </c>
      <c r="H149" s="187">
        <f t="shared" si="68"/>
        <v>0</v>
      </c>
      <c r="I149" s="187">
        <f t="shared" si="68"/>
        <v>0</v>
      </c>
      <c r="J149" s="187">
        <f t="shared" si="68"/>
        <v>0</v>
      </c>
      <c r="K149" s="187">
        <f t="shared" si="68"/>
        <v>0</v>
      </c>
      <c r="L149" s="187">
        <f t="shared" si="68"/>
        <v>0</v>
      </c>
      <c r="M149" s="187">
        <f>ROUND(ROUND(L151*M$7,2)/365*M$8,2)</f>
        <v>0</v>
      </c>
      <c r="N149" s="231"/>
      <c r="O149" s="187">
        <f>ROUND(ROUND(N151*O$7,2)/365*O$8,2)</f>
        <v>0</v>
      </c>
      <c r="P149" s="188">
        <f t="shared" si="68"/>
        <v>0</v>
      </c>
      <c r="Q149" s="180">
        <f>SUM(D149:P149)</f>
        <v>0</v>
      </c>
      <c r="S149" s="330"/>
      <c r="T149" s="330"/>
      <c r="U149" s="330"/>
      <c r="V149" s="330"/>
      <c r="W149" s="330"/>
      <c r="X149" s="330"/>
      <c r="Y149" s="330"/>
      <c r="Z149" s="330"/>
    </row>
    <row r="150" spans="1:26" ht="15.75" hidden="1" thickBot="1" x14ac:dyDescent="0.3">
      <c r="A150" s="313"/>
      <c r="B150" s="295"/>
      <c r="C150" s="122" t="s">
        <v>138</v>
      </c>
      <c r="D150" s="189">
        <f t="shared" ref="D150:P150" si="69">SUM(D148:D149)</f>
        <v>0</v>
      </c>
      <c r="E150" s="189">
        <f t="shared" si="69"/>
        <v>0</v>
      </c>
      <c r="F150" s="189">
        <f t="shared" si="69"/>
        <v>0</v>
      </c>
      <c r="G150" s="189">
        <f t="shared" si="69"/>
        <v>0</v>
      </c>
      <c r="H150" s="189">
        <f t="shared" si="69"/>
        <v>0</v>
      </c>
      <c r="I150" s="189">
        <f t="shared" si="69"/>
        <v>0</v>
      </c>
      <c r="J150" s="189">
        <f t="shared" si="69"/>
        <v>0</v>
      </c>
      <c r="K150" s="189">
        <f t="shared" si="69"/>
        <v>0</v>
      </c>
      <c r="L150" s="189">
        <f t="shared" si="69"/>
        <v>0</v>
      </c>
      <c r="M150" s="189">
        <f t="shared" si="69"/>
        <v>0</v>
      </c>
      <c r="N150" s="209"/>
      <c r="O150" s="189">
        <f t="shared" si="69"/>
        <v>0</v>
      </c>
      <c r="P150" s="190">
        <f t="shared" si="69"/>
        <v>0</v>
      </c>
      <c r="Q150" s="306">
        <f>SUM(Q148:Q149)</f>
        <v>0</v>
      </c>
      <c r="S150" s="330"/>
      <c r="T150" s="330"/>
      <c r="U150" s="330"/>
      <c r="V150" s="330"/>
      <c r="W150" s="330"/>
      <c r="X150" s="330"/>
      <c r="Y150" s="330"/>
      <c r="Z150" s="330"/>
    </row>
    <row r="151" spans="1:26" ht="15.75" hidden="1" thickBot="1" x14ac:dyDescent="0.3">
      <c r="A151" s="313"/>
      <c r="B151" s="295"/>
      <c r="C151" s="122" t="s">
        <v>139</v>
      </c>
      <c r="D151" s="300">
        <f>'WACAP 2018'!P163+'WACAP 2021'!D150</f>
        <v>0</v>
      </c>
      <c r="E151" s="187">
        <f t="shared" ref="E151:P151" si="70">D151+E150</f>
        <v>0</v>
      </c>
      <c r="F151" s="187">
        <f t="shared" si="70"/>
        <v>0</v>
      </c>
      <c r="G151" s="187">
        <f t="shared" si="70"/>
        <v>0</v>
      </c>
      <c r="H151" s="187">
        <f t="shared" si="70"/>
        <v>0</v>
      </c>
      <c r="I151" s="187">
        <f t="shared" si="70"/>
        <v>0</v>
      </c>
      <c r="J151" s="187">
        <f t="shared" si="70"/>
        <v>0</v>
      </c>
      <c r="K151" s="187">
        <f t="shared" si="70"/>
        <v>0</v>
      </c>
      <c r="L151" s="187">
        <f t="shared" si="70"/>
        <v>0</v>
      </c>
      <c r="M151" s="187">
        <f t="shared" si="70"/>
        <v>0</v>
      </c>
      <c r="N151" s="208"/>
      <c r="O151" s="187">
        <f t="shared" si="70"/>
        <v>0</v>
      </c>
      <c r="P151" s="301">
        <f t="shared" si="70"/>
        <v>0</v>
      </c>
      <c r="Q151" s="178"/>
      <c r="S151" s="330"/>
      <c r="T151" s="330"/>
      <c r="U151" s="330"/>
      <c r="V151" s="330"/>
      <c r="W151" s="330"/>
      <c r="X151" s="330"/>
      <c r="Y151" s="330"/>
      <c r="Z151" s="330"/>
    </row>
    <row r="152" spans="1:26" ht="15.75" hidden="1" thickBot="1" x14ac:dyDescent="0.3">
      <c r="A152" s="313"/>
      <c r="B152" s="383"/>
      <c r="D152" s="119"/>
      <c r="F152" s="176"/>
      <c r="G152" s="119"/>
      <c r="H152" s="119"/>
      <c r="I152" s="119"/>
      <c r="J152" s="119"/>
      <c r="K152" s="119"/>
      <c r="L152" s="119"/>
      <c r="M152" s="119"/>
      <c r="N152" s="119"/>
      <c r="O152" s="119"/>
      <c r="P152" s="120"/>
      <c r="Q152" s="178"/>
      <c r="S152" s="330"/>
      <c r="T152" s="330"/>
      <c r="U152" s="330"/>
      <c r="V152" s="330"/>
      <c r="W152" s="330"/>
      <c r="X152" s="330"/>
      <c r="Y152" s="330"/>
      <c r="Z152" s="330"/>
    </row>
    <row r="153" spans="1:26" x14ac:dyDescent="0.25">
      <c r="B153" s="240"/>
      <c r="C153" s="385"/>
      <c r="E153" s="385"/>
      <c r="F153" s="108"/>
      <c r="Q153" s="385"/>
      <c r="S153" s="330"/>
      <c r="T153" s="330"/>
      <c r="U153" s="330"/>
      <c r="V153" s="330"/>
      <c r="W153" s="330"/>
      <c r="X153" s="330"/>
      <c r="Y153" s="330"/>
      <c r="Z153" s="330"/>
    </row>
    <row r="154" spans="1:26" x14ac:dyDescent="0.25">
      <c r="C154" s="122" t="s">
        <v>89</v>
      </c>
      <c r="D154" s="187">
        <f t="shared" ref="D154:P154" si="71">+D17+D53+D86+D29+D118+D41+D103+D133+D148+D70</f>
        <v>-2111092.0900000003</v>
      </c>
      <c r="E154" s="187">
        <f t="shared" si="71"/>
        <v>427092.63999999949</v>
      </c>
      <c r="F154" s="187">
        <f t="shared" si="71"/>
        <v>162132.77000000086</v>
      </c>
      <c r="G154" s="187">
        <f t="shared" si="71"/>
        <v>-962312.96999999904</v>
      </c>
      <c r="H154" s="187">
        <f t="shared" si="71"/>
        <v>-257692.88000000006</v>
      </c>
      <c r="I154" s="187">
        <f t="shared" si="71"/>
        <v>-490428.96300000022</v>
      </c>
      <c r="J154" s="187">
        <f t="shared" si="71"/>
        <v>355005.49000000022</v>
      </c>
      <c r="K154" s="187">
        <f>ROUND(K17+K53+K86+K29+K118+K41+K103+K133+K148+K70,2)</f>
        <v>-264387.98</v>
      </c>
      <c r="L154" s="187">
        <f t="shared" si="71"/>
        <v>-60005.870000000112</v>
      </c>
      <c r="M154" s="187">
        <f t="shared" si="71"/>
        <v>-302573.06999999989</v>
      </c>
      <c r="N154" s="208">
        <f t="shared" si="71"/>
        <v>3321217.3099999977</v>
      </c>
      <c r="O154" s="187">
        <f t="shared" si="71"/>
        <v>-1239027.9719999996</v>
      </c>
      <c r="P154" s="187">
        <f t="shared" si="71"/>
        <v>663358.15000000107</v>
      </c>
      <c r="Q154" s="187">
        <f>+Q17+Q86+Q70+Q29+Q118+Q41+Q103+Q133+Q148+Q53</f>
        <v>-4079932.7449999969</v>
      </c>
      <c r="S154" s="337"/>
      <c r="T154" s="330"/>
      <c r="U154" s="330"/>
      <c r="V154" s="330"/>
      <c r="W154" s="330"/>
      <c r="X154" s="330"/>
      <c r="Y154" s="330"/>
      <c r="Z154" s="330"/>
    </row>
    <row r="155" spans="1:26" x14ac:dyDescent="0.25">
      <c r="C155" s="122" t="s">
        <v>170</v>
      </c>
      <c r="D155" s="216">
        <f t="shared" ref="D155:N155" si="72">+D18+D54+D87+D30+D119+D42+D104+D134+D149+D71</f>
        <v>-9167.4699999999975</v>
      </c>
      <c r="E155" s="199">
        <f>+E18+E54+E87+E30+E119+E42+E104+E134+E149+E71+0.01</f>
        <v>-13566.42</v>
      </c>
      <c r="F155" s="199">
        <f>+F18+F54+F87+F30+F119+F42+F104+F134+F149+F71-0.01</f>
        <v>-13878.52</v>
      </c>
      <c r="G155" s="216">
        <f t="shared" si="72"/>
        <v>-13034.81</v>
      </c>
      <c r="H155" s="216">
        <f t="shared" si="72"/>
        <v>-16161.529999999995</v>
      </c>
      <c r="I155" s="199">
        <f>+I18+I54+I87+I30+I119+I42+I104+I134+I149+I71+0.01</f>
        <v>-16371.720000000003</v>
      </c>
      <c r="J155" s="199">
        <f>+J18+J54+J87+J30+J119+J42+J104+J134+J149+J71-0.02</f>
        <v>-18316.349999999999</v>
      </c>
      <c r="K155" s="199">
        <f>ROUND(K18+K54+K87+K30+K119+K42+K104+K134+K149+K71,2)-0.01</f>
        <v>-17386.989999999998</v>
      </c>
      <c r="L155" s="216">
        <f t="shared" si="72"/>
        <v>-17578.810000000001</v>
      </c>
      <c r="M155" s="199">
        <f>+M18+M54+M87+M30+M119+M42+M104+M134+M149+M71-0.01</f>
        <v>-18378.919999999991</v>
      </c>
      <c r="N155" s="208">
        <f t="shared" si="72"/>
        <v>91003.28</v>
      </c>
      <c r="O155" s="199">
        <f>+O18+O54+O87+O30+O119+O42+O104+O134+O149+O71+0.01</f>
        <v>-9528.5500000000011</v>
      </c>
      <c r="P155" s="199">
        <f>+P18+P54+P87+P30+P119+P42+P104+P134+P149+P71+0.01</f>
        <v>-13292.529999999999</v>
      </c>
      <c r="Q155" s="199">
        <f>+Q18+Q87+Q71+Q30+Q119+Q42+Q104+Q134+Q149+Q54-0.05</f>
        <v>-85659.38</v>
      </c>
      <c r="S155" s="337"/>
      <c r="T155" s="330"/>
      <c r="U155" s="330"/>
      <c r="V155" s="330"/>
      <c r="W155" s="330"/>
      <c r="X155" s="330"/>
      <c r="Y155" s="330"/>
      <c r="Z155" s="330"/>
    </row>
    <row r="156" spans="1:26" x14ac:dyDescent="0.25">
      <c r="C156" s="122" t="s">
        <v>139</v>
      </c>
      <c r="D156" s="187">
        <f>SUM(D154:D155)+'WACAP 2020'!P148</f>
        <v>-5441476.9100000001</v>
      </c>
      <c r="E156" s="187">
        <f>SUM(E154:E155)+D156</f>
        <v>-5027950.6900000004</v>
      </c>
      <c r="F156" s="187">
        <f t="shared" ref="F156:P156" si="73">SUM(F154:F155)+E156</f>
        <v>-4879696.4399999995</v>
      </c>
      <c r="G156" s="187">
        <f t="shared" si="73"/>
        <v>-5855044.2199999988</v>
      </c>
      <c r="H156" s="187">
        <f t="shared" si="73"/>
        <v>-6128898.629999999</v>
      </c>
      <c r="I156" s="187">
        <f t="shared" si="73"/>
        <v>-6635699.3129999992</v>
      </c>
      <c r="J156" s="187">
        <f t="shared" si="73"/>
        <v>-6299010.1729999986</v>
      </c>
      <c r="K156" s="187">
        <f t="shared" si="73"/>
        <v>-6580785.1429999983</v>
      </c>
      <c r="L156" s="187">
        <f t="shared" si="73"/>
        <v>-6658369.822999998</v>
      </c>
      <c r="M156" s="187">
        <f t="shared" si="73"/>
        <v>-6979321.8129999982</v>
      </c>
      <c r="N156" s="208">
        <f>SUM(N154:N155)+M156</f>
        <v>-3567101.2230000007</v>
      </c>
      <c r="O156" s="187">
        <f t="shared" si="73"/>
        <v>-4815657.7450000001</v>
      </c>
      <c r="P156" s="187">
        <f t="shared" si="73"/>
        <v>-4165592.1249999991</v>
      </c>
      <c r="Q156" s="347">
        <f>SUM(Q154:Q155)</f>
        <v>-4165592.1249999967</v>
      </c>
      <c r="S156" s="337"/>
      <c r="T156" s="330"/>
      <c r="U156" s="330"/>
      <c r="V156" s="330"/>
      <c r="W156" s="330"/>
      <c r="X156" s="330"/>
      <c r="Y156" s="330"/>
      <c r="Z156" s="330"/>
    </row>
    <row r="157" spans="1:26" ht="13.5" customHeight="1" x14ac:dyDescent="0.25">
      <c r="C157" s="89"/>
      <c r="E157" s="187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S157" s="330"/>
      <c r="T157" s="330"/>
      <c r="U157" s="330"/>
      <c r="V157" s="330"/>
      <c r="W157" s="330"/>
      <c r="X157" s="330"/>
      <c r="Y157" s="330"/>
      <c r="Z157" s="330"/>
    </row>
    <row r="158" spans="1:26" ht="13.5" customHeight="1" x14ac:dyDescent="0.25">
      <c r="B158" s="257"/>
      <c r="F158" s="108"/>
      <c r="K158" s="108"/>
      <c r="Q158" s="108"/>
      <c r="S158" s="330"/>
      <c r="T158" s="330"/>
      <c r="U158" s="330"/>
      <c r="V158" s="330"/>
      <c r="W158" s="330"/>
      <c r="X158" s="330"/>
      <c r="Y158" s="330"/>
      <c r="Z158" s="330"/>
    </row>
    <row r="159" spans="1:26" ht="15.75" x14ac:dyDescent="0.25">
      <c r="B159" s="305"/>
      <c r="C159" s="475" t="s">
        <v>167</v>
      </c>
      <c r="D159" s="476" t="s">
        <v>155</v>
      </c>
      <c r="E159" s="477" t="s">
        <v>156</v>
      </c>
      <c r="F159" s="477" t="s">
        <v>157</v>
      </c>
      <c r="G159" s="477" t="s">
        <v>158</v>
      </c>
      <c r="H159" s="477" t="s">
        <v>23</v>
      </c>
      <c r="I159" s="477" t="s">
        <v>159</v>
      </c>
      <c r="J159" s="477" t="s">
        <v>160</v>
      </c>
      <c r="K159" s="477" t="s">
        <v>161</v>
      </c>
      <c r="L159" s="477" t="s">
        <v>162</v>
      </c>
      <c r="M159" s="477" t="s">
        <v>168</v>
      </c>
      <c r="N159" s="478" t="s">
        <v>147</v>
      </c>
      <c r="O159" s="477" t="s">
        <v>171</v>
      </c>
      <c r="P159" s="477" t="s">
        <v>173</v>
      </c>
      <c r="S159" s="330"/>
      <c r="T159" s="330"/>
      <c r="U159" s="330"/>
      <c r="V159" s="330"/>
      <c r="W159" s="330"/>
      <c r="X159" s="330"/>
      <c r="Y159" s="330"/>
      <c r="Z159" s="330"/>
    </row>
    <row r="160" spans="1:26" ht="15.75" x14ac:dyDescent="0.25">
      <c r="B160" s="258" t="s">
        <v>127</v>
      </c>
      <c r="C160" s="259"/>
      <c r="D160" s="454">
        <f t="shared" ref="D160:N160" si="74">-D154</f>
        <v>2111092.0900000003</v>
      </c>
      <c r="E160" s="466">
        <f t="shared" si="74"/>
        <v>-427092.63999999949</v>
      </c>
      <c r="F160" s="325">
        <f t="shared" si="74"/>
        <v>-162132.77000000086</v>
      </c>
      <c r="G160" s="260">
        <f>-G154</f>
        <v>962312.96999999904</v>
      </c>
      <c r="H160" s="454">
        <f t="shared" si="74"/>
        <v>257692.88000000006</v>
      </c>
      <c r="I160" s="325">
        <f t="shared" si="74"/>
        <v>490428.96300000022</v>
      </c>
      <c r="J160" s="260">
        <f t="shared" si="74"/>
        <v>-355005.49000000022</v>
      </c>
      <c r="K160" s="260">
        <f>-K154</f>
        <v>264387.98</v>
      </c>
      <c r="L160" s="260">
        <f t="shared" si="74"/>
        <v>60005.870000000112</v>
      </c>
      <c r="M160" s="260">
        <f t="shared" si="74"/>
        <v>302573.06999999989</v>
      </c>
      <c r="N160" s="213">
        <f t="shared" si="74"/>
        <v>-3321217.3099999977</v>
      </c>
      <c r="O160" s="260">
        <f>-O154</f>
        <v>1239027.9719999996</v>
      </c>
      <c r="P160" s="328">
        <f>-P154</f>
        <v>-663358.15000000107</v>
      </c>
      <c r="R160" s="108">
        <f t="shared" ref="R160:R165" si="75">SUM(D160:L160)</f>
        <v>3201689.8529999987</v>
      </c>
      <c r="S160" s="330"/>
      <c r="T160" s="330"/>
      <c r="U160" s="330"/>
      <c r="V160" s="330"/>
      <c r="W160" s="330"/>
      <c r="X160" s="330"/>
      <c r="Y160" s="330"/>
      <c r="Z160" s="330"/>
    </row>
    <row r="161" spans="2:26" ht="15.75" x14ac:dyDescent="0.25">
      <c r="B161" s="323" t="s">
        <v>128</v>
      </c>
      <c r="C161" s="262"/>
      <c r="D161" s="260">
        <f t="shared" ref="D161:M161" si="76">D17</f>
        <v>-1288704.2699999996</v>
      </c>
      <c r="E161" s="325">
        <f t="shared" si="76"/>
        <v>424150.38999999966</v>
      </c>
      <c r="F161" s="325">
        <f t="shared" si="76"/>
        <v>-40949.249999999069</v>
      </c>
      <c r="G161" s="260">
        <f t="shared" si="76"/>
        <v>-578867.08999999939</v>
      </c>
      <c r="H161" s="260">
        <f t="shared" si="76"/>
        <v>-258725.02000000002</v>
      </c>
      <c r="I161" s="325">
        <f t="shared" si="76"/>
        <v>-230715.13000000012</v>
      </c>
      <c r="J161" s="260">
        <f t="shared" si="76"/>
        <v>254599.89000000025</v>
      </c>
      <c r="K161" s="260">
        <f t="shared" si="76"/>
        <v>-123190.02999999991</v>
      </c>
      <c r="L161" s="260">
        <f t="shared" si="76"/>
        <v>-582.35000000009313</v>
      </c>
      <c r="M161" s="260">
        <f t="shared" si="76"/>
        <v>-62392.85999999987</v>
      </c>
      <c r="N161" s="213">
        <f>+N17</f>
        <v>1420894.4199999983</v>
      </c>
      <c r="O161" s="260">
        <f>O17</f>
        <v>-691159.48999999929</v>
      </c>
      <c r="P161" s="328">
        <f>P17</f>
        <v>274677.29000000097</v>
      </c>
      <c r="R161" s="108">
        <f t="shared" si="75"/>
        <v>-1842982.859999998</v>
      </c>
      <c r="S161" s="330"/>
      <c r="T161" s="330"/>
      <c r="U161" s="330"/>
      <c r="V161" s="330"/>
      <c r="W161" s="330"/>
      <c r="X161" s="330"/>
      <c r="Y161" s="330"/>
      <c r="Z161" s="330"/>
    </row>
    <row r="162" spans="2:26" ht="15.75" x14ac:dyDescent="0.25">
      <c r="B162" s="261" t="s">
        <v>129</v>
      </c>
      <c r="C162" s="262"/>
      <c r="D162" s="260">
        <f t="shared" ref="D162:P162" si="77">D29+D41</f>
        <v>-67904.320000000036</v>
      </c>
      <c r="E162" s="325">
        <f t="shared" si="77"/>
        <v>-5878.2099999999846</v>
      </c>
      <c r="F162" s="325">
        <f t="shared" si="77"/>
        <v>-6837.179999999993</v>
      </c>
      <c r="G162" s="260">
        <f t="shared" si="77"/>
        <v>4279.2399999999907</v>
      </c>
      <c r="H162" s="260">
        <f t="shared" si="77"/>
        <v>-16807.230000000003</v>
      </c>
      <c r="I162" s="325">
        <f t="shared" si="77"/>
        <v>29334.079999999994</v>
      </c>
      <c r="J162" s="260">
        <f t="shared" si="77"/>
        <v>8347.5099999999911</v>
      </c>
      <c r="K162" s="260">
        <f t="shared" si="77"/>
        <v>9037.8800000000119</v>
      </c>
      <c r="L162" s="260">
        <f t="shared" si="77"/>
        <v>9873.6299999999974</v>
      </c>
      <c r="M162" s="260">
        <f t="shared" si="77"/>
        <v>-4553.8600000000151</v>
      </c>
      <c r="N162" s="213">
        <f t="shared" si="77"/>
        <v>-117818.56000000004</v>
      </c>
      <c r="O162" s="260">
        <f t="shared" si="77"/>
        <v>-37071.031999999985</v>
      </c>
      <c r="P162" s="328">
        <f t="shared" si="77"/>
        <v>2040.8300000000163</v>
      </c>
      <c r="R162" s="108">
        <f t="shared" si="75"/>
        <v>-36554.600000000049</v>
      </c>
      <c r="S162" s="330"/>
      <c r="T162" s="330"/>
      <c r="U162" s="330"/>
      <c r="V162" s="330"/>
      <c r="W162" s="330"/>
      <c r="X162" s="330"/>
      <c r="Y162" s="330"/>
      <c r="Z162" s="330"/>
    </row>
    <row r="163" spans="2:26" ht="15.75" x14ac:dyDescent="0.25">
      <c r="B163" s="261" t="s">
        <v>130</v>
      </c>
      <c r="C163" s="262"/>
      <c r="D163" s="260">
        <f t="shared" ref="D163:M163" si="78">D53+D86+D70+D103</f>
        <v>-754616.75000000035</v>
      </c>
      <c r="E163" s="325">
        <f t="shared" si="78"/>
        <v>8287.3199999997778</v>
      </c>
      <c r="F163" s="325">
        <f t="shared" si="78"/>
        <v>209488.56999999992</v>
      </c>
      <c r="G163" s="260">
        <f t="shared" si="78"/>
        <v>-386285.04999999981</v>
      </c>
      <c r="H163" s="260">
        <f t="shared" si="78"/>
        <v>18680.959999999955</v>
      </c>
      <c r="I163" s="325">
        <f t="shared" si="78"/>
        <v>-289030.99300000013</v>
      </c>
      <c r="J163" s="260">
        <f t="shared" si="78"/>
        <v>92333.969999999987</v>
      </c>
      <c r="K163" s="260">
        <f t="shared" si="78"/>
        <v>-151405.46</v>
      </c>
      <c r="L163" s="260">
        <f t="shared" si="78"/>
        <v>-72935.860000000015</v>
      </c>
      <c r="M163" s="260">
        <f t="shared" si="78"/>
        <v>-240519.7</v>
      </c>
      <c r="N163" s="213">
        <f>N53+N86+N70+N103</f>
        <v>2009464.75</v>
      </c>
      <c r="O163" s="260">
        <f>O53+O86+O70+O103</f>
        <v>-510289.71000000049</v>
      </c>
      <c r="P163" s="328">
        <f>P53+P86+P70+P103</f>
        <v>384855.09</v>
      </c>
      <c r="R163" s="108">
        <f t="shared" si="75"/>
        <v>-1325483.2930000005</v>
      </c>
      <c r="S163" s="330"/>
      <c r="T163" s="330"/>
      <c r="U163" s="330"/>
      <c r="V163" s="330"/>
      <c r="W163" s="330"/>
      <c r="X163" s="330"/>
      <c r="Y163" s="330"/>
      <c r="Z163" s="330"/>
    </row>
    <row r="164" spans="2:26" ht="15.75" x14ac:dyDescent="0.25">
      <c r="B164" s="261" t="s">
        <v>131</v>
      </c>
      <c r="C164" s="262"/>
      <c r="D164" s="260">
        <f t="shared" ref="D164:P164" si="79">D118</f>
        <v>-565.59</v>
      </c>
      <c r="E164" s="325">
        <f t="shared" si="79"/>
        <v>-451.2</v>
      </c>
      <c r="F164" s="325">
        <f t="shared" si="79"/>
        <v>-500.28</v>
      </c>
      <c r="G164" s="260">
        <f t="shared" si="79"/>
        <v>-392.85</v>
      </c>
      <c r="H164" s="260">
        <f t="shared" si="79"/>
        <v>-285.11</v>
      </c>
      <c r="I164" s="325">
        <f t="shared" si="79"/>
        <v>-211.79</v>
      </c>
      <c r="J164" s="260">
        <f t="shared" si="79"/>
        <v>-187.31</v>
      </c>
      <c r="K164" s="260">
        <f>ROUND(K118,2)</f>
        <v>-192.44</v>
      </c>
      <c r="L164" s="260">
        <f t="shared" si="79"/>
        <v>-226.4</v>
      </c>
      <c r="M164" s="260">
        <f t="shared" si="79"/>
        <v>-445.44</v>
      </c>
      <c r="N164" s="213">
        <f t="shared" si="79"/>
        <v>4073.5099999999993</v>
      </c>
      <c r="O164" s="260">
        <f t="shared" si="79"/>
        <v>-399.94</v>
      </c>
      <c r="P164" s="328">
        <f t="shared" si="79"/>
        <v>-486.07</v>
      </c>
      <c r="R164" s="108">
        <f t="shared" si="75"/>
        <v>-3012.9700000000003</v>
      </c>
      <c r="S164" s="330"/>
      <c r="T164" s="330"/>
      <c r="U164" s="330"/>
      <c r="V164" s="330"/>
      <c r="W164" s="330"/>
      <c r="X164" s="330"/>
      <c r="Y164" s="330"/>
      <c r="Z164" s="330"/>
    </row>
    <row r="165" spans="2:26" ht="15.75" x14ac:dyDescent="0.25">
      <c r="B165" s="263" t="s">
        <v>132</v>
      </c>
      <c r="C165" s="264"/>
      <c r="D165" s="265">
        <f t="shared" ref="D165:P165" si="80">D133+D148</f>
        <v>698.83999999999833</v>
      </c>
      <c r="E165" s="326">
        <f t="shared" si="80"/>
        <v>984.34000000000378</v>
      </c>
      <c r="F165" s="326">
        <f t="shared" si="80"/>
        <v>930.90999999999804</v>
      </c>
      <c r="G165" s="265">
        <f t="shared" si="80"/>
        <v>-1047.2200000000012</v>
      </c>
      <c r="H165" s="265">
        <f t="shared" si="80"/>
        <v>-556.47999999999956</v>
      </c>
      <c r="I165" s="326">
        <f t="shared" si="80"/>
        <v>194.86999999999716</v>
      </c>
      <c r="J165" s="265">
        <f t="shared" si="80"/>
        <v>-88.569999999999709</v>
      </c>
      <c r="K165" s="265">
        <f>ROUND(K133+K148,2)</f>
        <v>1362.07</v>
      </c>
      <c r="L165" s="265">
        <f t="shared" si="80"/>
        <v>3865.1100000000015</v>
      </c>
      <c r="M165" s="265">
        <f t="shared" si="80"/>
        <v>5338.7899999999972</v>
      </c>
      <c r="N165" s="214">
        <f t="shared" si="80"/>
        <v>4603.1900000000005</v>
      </c>
      <c r="O165" s="265">
        <f t="shared" si="80"/>
        <v>-107.79999999999927</v>
      </c>
      <c r="P165" s="329">
        <f t="shared" si="80"/>
        <v>2271.0099999999984</v>
      </c>
      <c r="R165" s="108">
        <f t="shared" si="75"/>
        <v>6343.8699999999981</v>
      </c>
      <c r="S165" s="330"/>
      <c r="T165" s="330"/>
      <c r="U165" s="330"/>
      <c r="V165" s="330"/>
      <c r="W165" s="330"/>
      <c r="X165" s="330"/>
      <c r="Y165" s="330"/>
      <c r="Z165" s="330"/>
    </row>
    <row r="166" spans="2:26" ht="9" customHeight="1" x14ac:dyDescent="0.25">
      <c r="B166" s="257"/>
      <c r="F166" s="108"/>
      <c r="S166" s="330"/>
      <c r="T166" s="330"/>
      <c r="U166" s="330"/>
      <c r="V166" s="330"/>
      <c r="W166" s="330"/>
      <c r="X166" s="330"/>
      <c r="Y166" s="330"/>
      <c r="Z166" s="330"/>
    </row>
  </sheetData>
  <mergeCells count="5">
    <mergeCell ref="B1:P1"/>
    <mergeCell ref="C2:Q2"/>
    <mergeCell ref="C3:Q3"/>
    <mergeCell ref="U74:U76"/>
    <mergeCell ref="S2:Y2"/>
  </mergeCells>
  <hyperlinks>
    <hyperlink ref="S2" r:id="rId1" xr:uid="{876670AF-778B-421A-B908-D47F7D2B0227}"/>
  </hyperlinks>
  <pageMargins left="0.5" right="0.25" top="0.25" bottom="0" header="0.3" footer="0.3"/>
  <pageSetup scale="49" fitToHeight="2" orientation="landscape" r:id="rId2"/>
  <rowBreaks count="1" manualBreakCount="1">
    <brk id="75" max="17" man="1"/>
  </rowBreaks>
  <drawing r:id="rId3"/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C114D-30AE-4B18-8A97-B087821C319B}">
  <dimension ref="A1:BD72"/>
  <sheetViews>
    <sheetView workbookViewId="0">
      <selection sqref="A1:L1"/>
    </sheetView>
  </sheetViews>
  <sheetFormatPr defaultRowHeight="15" x14ac:dyDescent="0.25"/>
  <cols>
    <col min="1" max="1" width="24.7109375" bestFit="1" customWidth="1"/>
    <col min="2" max="2" width="65.7109375" bestFit="1" customWidth="1"/>
    <col min="3" max="3" width="16.42578125" customWidth="1"/>
    <col min="4" max="4" width="16.42578125" bestFit="1" customWidth="1"/>
    <col min="5" max="5" width="15.28515625" bestFit="1" customWidth="1"/>
    <col min="6" max="7" width="14" customWidth="1"/>
    <col min="8" max="9" width="15.28515625" bestFit="1" customWidth="1"/>
    <col min="10" max="15" width="14" customWidth="1"/>
    <col min="16" max="16" width="17.85546875" bestFit="1" customWidth="1"/>
    <col min="17" max="18" width="14" customWidth="1"/>
    <col min="19" max="19" width="1.7109375" customWidth="1"/>
    <col min="20" max="21" width="13.28515625" bestFit="1" customWidth="1"/>
    <col min="22" max="22" width="11.5703125" bestFit="1" customWidth="1"/>
    <col min="23" max="23" width="3.140625" customWidth="1"/>
    <col min="25" max="25" width="3.85546875" customWidth="1"/>
    <col min="26" max="26" width="9.7109375" bestFit="1" customWidth="1"/>
    <col min="28" max="28" width="18.7109375" bestFit="1" customWidth="1"/>
    <col min="29" max="29" width="13.28515625" bestFit="1" customWidth="1"/>
    <col min="30" max="30" width="10.5703125" bestFit="1" customWidth="1"/>
    <col min="31" max="31" width="7.5703125" bestFit="1" customWidth="1"/>
    <col min="32" max="32" width="10.5703125" bestFit="1" customWidth="1"/>
    <col min="34" max="34" width="8" bestFit="1" customWidth="1"/>
    <col min="36" max="36" width="9.7109375" bestFit="1" customWidth="1"/>
    <col min="38" max="38" width="18.7109375" bestFit="1" customWidth="1"/>
    <col min="39" max="39" width="13.28515625" bestFit="1" customWidth="1"/>
    <col min="40" max="40" width="10.5703125" bestFit="1" customWidth="1"/>
    <col min="41" max="41" width="7.5703125" bestFit="1" customWidth="1"/>
    <col min="42" max="42" width="10.5703125" bestFit="1" customWidth="1"/>
    <col min="44" max="44" width="8" bestFit="1" customWidth="1"/>
    <col min="46" max="46" width="9.7109375" bestFit="1" customWidth="1"/>
    <col min="48" max="48" width="18.7109375" bestFit="1" customWidth="1"/>
    <col min="49" max="49" width="13.28515625" bestFit="1" customWidth="1"/>
    <col min="50" max="50" width="10.5703125" bestFit="1" customWidth="1"/>
    <col min="51" max="51" width="7.5703125" bestFit="1" customWidth="1"/>
    <col min="52" max="52" width="10.5703125" bestFit="1" customWidth="1"/>
    <col min="54" max="54" width="8" bestFit="1" customWidth="1"/>
    <col min="56" max="56" width="9.7109375" bestFit="1" customWidth="1"/>
  </cols>
  <sheetData>
    <row r="1" spans="1:56" ht="18.75" x14ac:dyDescent="0.3">
      <c r="A1" s="676" t="s">
        <v>67</v>
      </c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536"/>
      <c r="N1" s="536"/>
      <c r="O1" s="536"/>
      <c r="P1" s="536"/>
      <c r="Q1" s="536"/>
      <c r="R1" s="536"/>
    </row>
    <row r="2" spans="1:56" ht="21" x14ac:dyDescent="0.35">
      <c r="A2" s="681" t="s">
        <v>69</v>
      </c>
      <c r="B2" s="681"/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537"/>
      <c r="N2" s="537"/>
      <c r="O2" s="537"/>
      <c r="P2" s="537"/>
      <c r="Q2" s="537"/>
      <c r="R2" s="537"/>
    </row>
    <row r="3" spans="1:56" ht="18" thickBot="1" x14ac:dyDescent="0.35">
      <c r="A3" s="682" t="s">
        <v>221</v>
      </c>
      <c r="B3" s="682"/>
      <c r="C3" s="682"/>
      <c r="D3" s="682"/>
      <c r="E3" s="682"/>
      <c r="F3" s="682"/>
      <c r="G3" s="682"/>
      <c r="H3" s="682"/>
      <c r="I3" s="682"/>
      <c r="J3" s="682"/>
      <c r="K3" s="682"/>
      <c r="L3" s="682"/>
      <c r="M3" s="293"/>
      <c r="N3" s="293"/>
      <c r="O3" s="293"/>
      <c r="P3" s="293"/>
      <c r="Q3" s="293"/>
      <c r="R3" s="293"/>
    </row>
    <row r="4" spans="1:56" ht="15.75" x14ac:dyDescent="0.25">
      <c r="A4" s="101" t="s">
        <v>66</v>
      </c>
      <c r="B4" s="102"/>
      <c r="C4" s="683" t="s">
        <v>254</v>
      </c>
      <c r="D4" s="103">
        <v>44165</v>
      </c>
      <c r="E4" s="103">
        <v>44166</v>
      </c>
      <c r="F4" s="103">
        <v>44197</v>
      </c>
      <c r="G4" s="103">
        <v>44229</v>
      </c>
      <c r="H4" s="103">
        <v>44256</v>
      </c>
      <c r="I4" s="103">
        <v>44287</v>
      </c>
      <c r="J4" s="103">
        <v>44317</v>
      </c>
      <c r="K4" s="103">
        <v>44348</v>
      </c>
      <c r="L4" s="103">
        <v>44378</v>
      </c>
      <c r="M4" s="103">
        <v>44409</v>
      </c>
      <c r="N4" s="103">
        <v>44440</v>
      </c>
      <c r="O4" s="103">
        <v>44470</v>
      </c>
      <c r="P4" s="103" t="s">
        <v>255</v>
      </c>
      <c r="Q4" s="103">
        <v>44501</v>
      </c>
      <c r="R4" s="103">
        <v>44531</v>
      </c>
    </row>
    <row r="5" spans="1:56" x14ac:dyDescent="0.25">
      <c r="A5" s="4"/>
      <c r="B5" s="89" t="s">
        <v>136</v>
      </c>
      <c r="C5" s="684"/>
      <c r="D5" s="538">
        <v>3.2500000000000001E-2</v>
      </c>
      <c r="E5" s="538">
        <v>3.2500000000000001E-2</v>
      </c>
      <c r="F5" s="538">
        <v>3.2500000000000001E-2</v>
      </c>
      <c r="G5" s="538">
        <v>3.2500000000000001E-2</v>
      </c>
      <c r="H5" s="538">
        <v>3.2500000000000001E-2</v>
      </c>
      <c r="I5" s="538">
        <v>3.2500000000000001E-2</v>
      </c>
      <c r="J5" s="538">
        <v>3.2500000000000001E-2</v>
      </c>
      <c r="K5" s="538">
        <v>3.2500000000000001E-2</v>
      </c>
      <c r="L5" s="538">
        <v>3.2500000000000001E-2</v>
      </c>
      <c r="M5" s="538">
        <v>3.2500000000000001E-2</v>
      </c>
      <c r="N5" s="538">
        <v>3.2500000000000001E-2</v>
      </c>
      <c r="O5" s="538">
        <v>3.2500000000000001E-2</v>
      </c>
      <c r="P5" s="539" t="s">
        <v>256</v>
      </c>
      <c r="Q5" s="538">
        <v>3.2500000000000001E-2</v>
      </c>
      <c r="R5" s="538">
        <v>3.2500000000000001E-2</v>
      </c>
    </row>
    <row r="6" spans="1:56" ht="15.75" x14ac:dyDescent="0.25">
      <c r="A6" s="183"/>
      <c r="B6" s="89" t="s">
        <v>140</v>
      </c>
      <c r="C6" s="89"/>
      <c r="D6" s="122">
        <v>30</v>
      </c>
      <c r="E6" s="122">
        <v>31</v>
      </c>
      <c r="F6" s="540">
        <v>31</v>
      </c>
      <c r="G6" s="540">
        <v>28</v>
      </c>
      <c r="H6" s="540">
        <v>31</v>
      </c>
      <c r="I6" s="540">
        <v>30</v>
      </c>
      <c r="J6" s="540">
        <v>31</v>
      </c>
      <c r="K6" s="540">
        <v>30</v>
      </c>
      <c r="L6" s="540">
        <v>31</v>
      </c>
      <c r="M6" s="540">
        <v>31</v>
      </c>
      <c r="N6" s="540">
        <v>30</v>
      </c>
      <c r="O6" s="540">
        <v>31</v>
      </c>
      <c r="P6" s="540"/>
      <c r="Q6" s="540">
        <v>30</v>
      </c>
      <c r="R6" s="540">
        <v>31</v>
      </c>
    </row>
    <row r="7" spans="1:56" x14ac:dyDescent="0.25">
      <c r="A7" s="86"/>
      <c r="F7" s="541"/>
      <c r="G7" s="541"/>
      <c r="H7" s="542"/>
      <c r="I7" s="543"/>
      <c r="J7" s="543"/>
      <c r="K7" s="543"/>
      <c r="L7" s="543"/>
      <c r="M7" s="543"/>
      <c r="N7" s="543"/>
      <c r="O7" s="543"/>
      <c r="P7" s="543"/>
      <c r="Q7" s="543"/>
      <c r="R7" s="543"/>
      <c r="AE7" s="104"/>
      <c r="AO7" s="104"/>
      <c r="AY7" s="104"/>
    </row>
    <row r="8" spans="1:56" x14ac:dyDescent="0.25">
      <c r="A8" s="86">
        <v>503</v>
      </c>
      <c r="B8" s="104" t="s">
        <v>84</v>
      </c>
      <c r="C8" s="104"/>
      <c r="D8" s="104"/>
      <c r="E8" s="104"/>
      <c r="F8" s="541"/>
      <c r="G8" s="541"/>
      <c r="H8" s="542"/>
      <c r="I8" s="542"/>
      <c r="J8" s="541"/>
      <c r="K8" s="541"/>
      <c r="L8" s="541"/>
      <c r="M8" s="541"/>
      <c r="N8" s="541"/>
      <c r="O8" s="541"/>
      <c r="P8" s="541"/>
      <c r="Q8" s="541"/>
      <c r="R8" s="541"/>
      <c r="T8" s="544"/>
      <c r="V8" s="544"/>
      <c r="AD8" s="544"/>
      <c r="AF8" s="544"/>
      <c r="AN8" s="544"/>
      <c r="AP8" s="544"/>
      <c r="AX8" s="544"/>
      <c r="AZ8" s="544"/>
    </row>
    <row r="9" spans="1:56" x14ac:dyDescent="0.25">
      <c r="A9" s="87" t="s">
        <v>92</v>
      </c>
      <c r="B9" t="s">
        <v>70</v>
      </c>
      <c r="D9" s="545">
        <f>6886950+3564962</f>
        <v>10451912</v>
      </c>
      <c r="E9" s="545">
        <v>18475354</v>
      </c>
      <c r="F9" s="545">
        <v>19685299</v>
      </c>
      <c r="G9" s="545">
        <v>18599534</v>
      </c>
      <c r="H9" s="545">
        <v>19676756</v>
      </c>
      <c r="I9" s="545">
        <v>13567783</v>
      </c>
      <c r="J9" s="545">
        <v>6623364</v>
      </c>
      <c r="K9" s="545">
        <v>5165480</v>
      </c>
      <c r="L9" s="545">
        <v>3043741</v>
      </c>
      <c r="M9" s="545">
        <v>2658664</v>
      </c>
      <c r="N9" s="545">
        <v>3024586</v>
      </c>
      <c r="O9" s="545">
        <v>5302722</v>
      </c>
      <c r="P9" s="545"/>
      <c r="Q9" s="545">
        <v>9930569</v>
      </c>
      <c r="R9" s="545">
        <v>16399782</v>
      </c>
      <c r="T9" s="112"/>
      <c r="V9" s="112"/>
      <c r="Z9" s="112"/>
      <c r="AB9" s="122"/>
      <c r="AC9" s="531"/>
      <c r="AD9" s="112"/>
      <c r="AF9" s="112"/>
      <c r="AJ9" s="112"/>
      <c r="AL9" s="122"/>
      <c r="AM9" s="531"/>
      <c r="AN9" s="112"/>
      <c r="AP9" s="112"/>
      <c r="AT9" s="112"/>
      <c r="AV9" s="122"/>
      <c r="AW9" s="531"/>
      <c r="AX9" s="112"/>
      <c r="AZ9" s="112"/>
      <c r="BD9" s="112"/>
    </row>
    <row r="10" spans="1:56" x14ac:dyDescent="0.25">
      <c r="A10" s="87" t="s">
        <v>257</v>
      </c>
      <c r="D10" s="546" t="s">
        <v>258</v>
      </c>
      <c r="E10" s="547">
        <v>9.1000000000000004E-3</v>
      </c>
      <c r="F10" s="547">
        <v>9.1000000000000004E-3</v>
      </c>
      <c r="G10" s="547">
        <v>9.1000000000000004E-3</v>
      </c>
      <c r="H10" s="547">
        <v>9.1000000000000004E-3</v>
      </c>
      <c r="I10" s="547">
        <v>9.1000000000000004E-3</v>
      </c>
      <c r="J10" s="547">
        <v>9.1000000000000004E-3</v>
      </c>
      <c r="K10" s="547">
        <v>9.1000000000000004E-3</v>
      </c>
      <c r="L10" s="547">
        <v>9.1000000000000004E-3</v>
      </c>
      <c r="M10" s="547">
        <v>9.1000000000000004E-3</v>
      </c>
      <c r="N10" s="547">
        <v>9.1000000000000004E-3</v>
      </c>
      <c r="O10" s="547">
        <v>9.1000000000000004E-3</v>
      </c>
      <c r="P10" s="547"/>
      <c r="Q10" s="546" t="s">
        <v>258</v>
      </c>
      <c r="R10" s="547">
        <v>-1.0749999999999999E-2</v>
      </c>
      <c r="T10" s="112"/>
      <c r="V10" s="112"/>
      <c r="Z10" s="112"/>
      <c r="AB10" s="122"/>
      <c r="AC10" s="531"/>
      <c r="AD10" s="112"/>
      <c r="AF10" s="112"/>
      <c r="AJ10" s="112"/>
      <c r="AL10" s="122"/>
      <c r="AM10" s="531"/>
      <c r="AN10" s="112"/>
      <c r="AP10" s="112"/>
      <c r="AT10" s="112"/>
      <c r="AV10" s="122"/>
      <c r="AW10" s="531"/>
      <c r="AX10" s="112"/>
      <c r="AZ10" s="112"/>
      <c r="BD10" s="112"/>
    </row>
    <row r="11" spans="1:56" x14ac:dyDescent="0.25">
      <c r="A11" s="87"/>
      <c r="B11" s="89" t="s">
        <v>74</v>
      </c>
      <c r="C11" s="89"/>
      <c r="D11" s="89"/>
      <c r="E11" s="89"/>
      <c r="F11" s="548"/>
      <c r="G11" s="548"/>
      <c r="H11" s="548"/>
      <c r="I11" s="548"/>
      <c r="J11" s="548"/>
      <c r="K11" s="548"/>
      <c r="L11" s="548"/>
      <c r="M11" s="548"/>
      <c r="N11" s="548"/>
      <c r="O11" s="548"/>
      <c r="P11" s="548"/>
      <c r="Q11" s="548"/>
      <c r="R11" s="548"/>
      <c r="T11" s="112"/>
      <c r="V11" s="112"/>
      <c r="Z11" s="112"/>
    </row>
    <row r="12" spans="1:56" x14ac:dyDescent="0.25">
      <c r="A12" s="87"/>
      <c r="B12" s="89" t="s">
        <v>75</v>
      </c>
      <c r="C12" s="89"/>
      <c r="D12" s="549">
        <f>+[3]WACAP2020Amort!Q12</f>
        <v>-63287.46</v>
      </c>
      <c r="E12" s="549">
        <f t="shared" ref="E12:R12" si="0">+E9*E10</f>
        <v>168125.72140000001</v>
      </c>
      <c r="F12" s="549">
        <f t="shared" si="0"/>
        <v>179136.22090000001</v>
      </c>
      <c r="G12" s="549">
        <f t="shared" si="0"/>
        <v>169255.75940000001</v>
      </c>
      <c r="H12" s="549">
        <f t="shared" si="0"/>
        <v>179058.47960000002</v>
      </c>
      <c r="I12" s="549">
        <f t="shared" si="0"/>
        <v>123466.82530000001</v>
      </c>
      <c r="J12" s="549">
        <f t="shared" si="0"/>
        <v>60272.612400000005</v>
      </c>
      <c r="K12" s="549">
        <f t="shared" si="0"/>
        <v>47005.868000000002</v>
      </c>
      <c r="L12" s="549">
        <f t="shared" si="0"/>
        <v>27698.043100000003</v>
      </c>
      <c r="M12" s="549">
        <f t="shared" si="0"/>
        <v>24193.842400000001</v>
      </c>
      <c r="N12" s="549">
        <f t="shared" si="0"/>
        <v>27523.732600000003</v>
      </c>
      <c r="O12" s="549">
        <f t="shared" si="0"/>
        <v>48254.770199999999</v>
      </c>
      <c r="P12" s="549">
        <f>+'[3]WACAP 2021'!N17</f>
        <v>1420894.4199999983</v>
      </c>
      <c r="Q12" s="549">
        <v>29718.149999999994</v>
      </c>
      <c r="R12" s="549">
        <f t="shared" si="0"/>
        <v>-176297.65649999998</v>
      </c>
      <c r="AV12" s="122"/>
      <c r="AW12" s="550"/>
      <c r="AX12" s="112"/>
      <c r="AZ12" s="112"/>
      <c r="BD12" s="112"/>
    </row>
    <row r="13" spans="1:56" x14ac:dyDescent="0.25">
      <c r="A13" s="87"/>
      <c r="B13" s="89" t="s">
        <v>137</v>
      </c>
      <c r="C13" s="89"/>
      <c r="D13" s="551">
        <f>ROUND(ROUND(C15*D$5,2)/365*D$6,2)</f>
        <v>-2841.06</v>
      </c>
      <c r="E13" s="551">
        <f t="shared" ref="E13:O13" si="1">ROUND(ROUND(D15*E$5,2)/365*E$6,2)</f>
        <v>-3118.29</v>
      </c>
      <c r="F13" s="551">
        <f>ROUND(ROUND(E15*F$5,2)/365*F$6,2)</f>
        <v>-2662.83</v>
      </c>
      <c r="G13" s="551">
        <f t="shared" si="1"/>
        <v>-1965.16</v>
      </c>
      <c r="H13" s="551">
        <f t="shared" si="1"/>
        <v>-1713.94</v>
      </c>
      <c r="I13" s="551">
        <f t="shared" si="1"/>
        <v>-1184.93</v>
      </c>
      <c r="J13" s="551">
        <f t="shared" si="1"/>
        <v>-886.89</v>
      </c>
      <c r="K13" s="551">
        <f t="shared" si="1"/>
        <v>-699.65</v>
      </c>
      <c r="L13" s="551">
        <f t="shared" si="1"/>
        <v>-595.15</v>
      </c>
      <c r="M13" s="551">
        <f>ROUND(ROUND(L15*M$5,2)/365*M$6,2)</f>
        <v>-520.34</v>
      </c>
      <c r="N13" s="551">
        <f t="shared" si="1"/>
        <v>-440.32</v>
      </c>
      <c r="O13" s="551">
        <f t="shared" si="1"/>
        <v>-380.24</v>
      </c>
      <c r="P13" s="549">
        <f>+'[3]WACAP 2021'!N18</f>
        <v>38933.39</v>
      </c>
      <c r="Q13" s="551">
        <f>ROUND(ROUND(P15*Q$5,2)/365*Q$6,2)</f>
        <v>3659.45</v>
      </c>
      <c r="R13" s="551">
        <f t="shared" ref="R13" si="2">ROUND(ROUND(Q15*R$5,2)/365*R$6,2)</f>
        <v>3873.56</v>
      </c>
    </row>
    <row r="14" spans="1:56" x14ac:dyDescent="0.25">
      <c r="A14" s="87"/>
      <c r="B14" s="89" t="s">
        <v>138</v>
      </c>
      <c r="C14" s="89"/>
      <c r="D14" s="552">
        <f t="shared" ref="D14:R14" si="3">SUM(D12:D13)</f>
        <v>-66128.52</v>
      </c>
      <c r="E14" s="552">
        <f t="shared" si="3"/>
        <v>165007.4314</v>
      </c>
      <c r="F14" s="552">
        <f t="shared" si="3"/>
        <v>176473.39090000003</v>
      </c>
      <c r="G14" s="552">
        <f t="shared" si="3"/>
        <v>167290.59940000001</v>
      </c>
      <c r="H14" s="552">
        <f t="shared" si="3"/>
        <v>177344.53960000002</v>
      </c>
      <c r="I14" s="552">
        <f t="shared" si="3"/>
        <v>122281.89530000002</v>
      </c>
      <c r="J14" s="552">
        <f t="shared" si="3"/>
        <v>59385.722400000006</v>
      </c>
      <c r="K14" s="552">
        <f t="shared" si="3"/>
        <v>46306.218000000001</v>
      </c>
      <c r="L14" s="552">
        <f t="shared" si="3"/>
        <v>27102.893100000001</v>
      </c>
      <c r="M14" s="552">
        <f t="shared" si="3"/>
        <v>23673.502400000001</v>
      </c>
      <c r="N14" s="552">
        <f t="shared" si="3"/>
        <v>27083.412600000003</v>
      </c>
      <c r="O14" s="552">
        <f t="shared" si="3"/>
        <v>47874.530200000001</v>
      </c>
      <c r="P14" s="552">
        <f>+P12+P13</f>
        <v>1459827.8099999982</v>
      </c>
      <c r="Q14" s="552">
        <f t="shared" si="3"/>
        <v>33377.599999999991</v>
      </c>
      <c r="R14" s="552">
        <f t="shared" si="3"/>
        <v>-172424.09649999999</v>
      </c>
    </row>
    <row r="15" spans="1:56" x14ac:dyDescent="0.25">
      <c r="A15" s="87"/>
      <c r="B15" s="89" t="s">
        <v>139</v>
      </c>
      <c r="C15" s="553">
        <f>+[3]WACAP2020Amort!P15</f>
        <v>-1063575.4082999979</v>
      </c>
      <c r="D15" s="549">
        <f>C15+D14</f>
        <v>-1129703.9282999979</v>
      </c>
      <c r="E15" s="549">
        <f t="shared" ref="E15:O15" si="4">D15+E14</f>
        <v>-964696.49689999793</v>
      </c>
      <c r="F15" s="549">
        <f>E15+F14</f>
        <v>-788223.10599999793</v>
      </c>
      <c r="G15" s="549">
        <f t="shared" si="4"/>
        <v>-620932.50659999787</v>
      </c>
      <c r="H15" s="549">
        <f t="shared" si="4"/>
        <v>-443587.96699999785</v>
      </c>
      <c r="I15" s="549">
        <f t="shared" si="4"/>
        <v>-321306.07169999782</v>
      </c>
      <c r="J15" s="549">
        <f t="shared" si="4"/>
        <v>-261920.34929999782</v>
      </c>
      <c r="K15" s="549">
        <f t="shared" si="4"/>
        <v>-215614.13129999783</v>
      </c>
      <c r="L15" s="549">
        <f t="shared" si="4"/>
        <v>-188511.23819999781</v>
      </c>
      <c r="M15" s="549">
        <f>L15+M14</f>
        <v>-164837.73579999781</v>
      </c>
      <c r="N15" s="549">
        <f t="shared" si="4"/>
        <v>-137754.3231999978</v>
      </c>
      <c r="O15" s="549">
        <f t="shared" si="4"/>
        <v>-89879.792999997793</v>
      </c>
      <c r="P15" s="549">
        <f>+O15+P14</f>
        <v>1369948.0170000005</v>
      </c>
      <c r="Q15" s="549">
        <f>P15+Q14</f>
        <v>1403325.6170000006</v>
      </c>
      <c r="R15" s="549">
        <f t="shared" ref="R15" si="5">Q15+R14</f>
        <v>1230901.5205000006</v>
      </c>
      <c r="T15" s="108"/>
    </row>
    <row r="16" spans="1:56" x14ac:dyDescent="0.25">
      <c r="A16" s="87"/>
      <c r="B16" s="89"/>
      <c r="C16" s="89"/>
      <c r="D16" s="89"/>
      <c r="E16" s="89"/>
      <c r="F16" s="554"/>
      <c r="G16" s="554"/>
      <c r="H16" s="554"/>
      <c r="I16" s="554"/>
      <c r="J16" s="554"/>
      <c r="K16" s="554"/>
      <c r="L16" s="554"/>
      <c r="M16" s="554"/>
      <c r="N16" s="554"/>
      <c r="O16" s="554"/>
      <c r="P16" s="554"/>
      <c r="Q16" s="554"/>
      <c r="R16" s="554"/>
      <c r="T16" s="108"/>
      <c r="AV16" s="122"/>
      <c r="AW16" s="531"/>
      <c r="AX16" s="112"/>
      <c r="AZ16" s="112"/>
      <c r="BD16" s="112"/>
    </row>
    <row r="17" spans="1:26" x14ac:dyDescent="0.25">
      <c r="A17" s="86">
        <v>505</v>
      </c>
      <c r="B17" s="104" t="s">
        <v>85</v>
      </c>
      <c r="C17" s="104"/>
      <c r="D17" s="104"/>
      <c r="E17" s="104"/>
      <c r="F17" s="541"/>
      <c r="G17" s="541"/>
      <c r="H17" s="542"/>
      <c r="I17" s="541"/>
      <c r="J17" s="541"/>
      <c r="K17" s="541"/>
      <c r="L17" s="541"/>
      <c r="M17" s="541"/>
      <c r="N17" s="541"/>
      <c r="O17" s="541"/>
      <c r="P17" s="541"/>
      <c r="Q17" s="541"/>
      <c r="R17" s="541"/>
      <c r="T17" s="108"/>
      <c r="U17" s="108"/>
    </row>
    <row r="18" spans="1:26" x14ac:dyDescent="0.25">
      <c r="A18" s="87" t="s">
        <v>92</v>
      </c>
      <c r="B18" t="s">
        <v>70</v>
      </c>
      <c r="D18" s="545">
        <v>870287</v>
      </c>
      <c r="E18" s="545">
        <v>1356324</v>
      </c>
      <c r="F18" s="545">
        <v>1264480</v>
      </c>
      <c r="G18" s="545">
        <v>1226133</v>
      </c>
      <c r="H18" s="545">
        <v>1362750</v>
      </c>
      <c r="I18" s="545">
        <v>1066951</v>
      </c>
      <c r="J18" s="545">
        <v>680086</v>
      </c>
      <c r="K18" s="545">
        <v>585095</v>
      </c>
      <c r="L18" s="545">
        <v>496382</v>
      </c>
      <c r="M18" s="545">
        <v>465585</v>
      </c>
      <c r="N18" s="545">
        <v>585259</v>
      </c>
      <c r="O18" s="545">
        <v>1219426</v>
      </c>
      <c r="P18" s="545"/>
      <c r="Q18" s="545">
        <v>928838</v>
      </c>
      <c r="R18" s="545">
        <v>1371971</v>
      </c>
      <c r="T18" s="544"/>
      <c r="V18" s="544"/>
    </row>
    <row r="19" spans="1:26" x14ac:dyDescent="0.25">
      <c r="A19" s="87" t="s">
        <v>257</v>
      </c>
      <c r="D19" s="546" t="s">
        <v>258</v>
      </c>
      <c r="E19" s="547">
        <v>1.417E-2</v>
      </c>
      <c r="F19" s="547">
        <v>1.417E-2</v>
      </c>
      <c r="G19" s="547">
        <v>1.417E-2</v>
      </c>
      <c r="H19" s="547">
        <v>1.417E-2</v>
      </c>
      <c r="I19" s="547">
        <v>1.417E-2</v>
      </c>
      <c r="J19" s="547">
        <v>1.417E-2</v>
      </c>
      <c r="K19" s="547">
        <v>1.417E-2</v>
      </c>
      <c r="L19" s="547">
        <v>1.417E-2</v>
      </c>
      <c r="M19" s="547">
        <v>1.417E-2</v>
      </c>
      <c r="N19" s="547">
        <v>1.417E-2</v>
      </c>
      <c r="O19" s="547">
        <v>1.417E-2</v>
      </c>
      <c r="P19" s="547"/>
      <c r="Q19" s="546" t="s">
        <v>258</v>
      </c>
      <c r="R19" s="547">
        <v>-7.2700000000000004E-3</v>
      </c>
      <c r="T19" s="112"/>
      <c r="V19" s="112"/>
      <c r="Z19" s="112"/>
    </row>
    <row r="20" spans="1:26" x14ac:dyDescent="0.25">
      <c r="A20" s="86"/>
      <c r="B20" s="89" t="s">
        <v>74</v>
      </c>
      <c r="C20" s="89"/>
      <c r="D20" s="89"/>
      <c r="E20" s="89"/>
      <c r="F20" s="548"/>
      <c r="G20" s="548"/>
      <c r="H20" s="548"/>
      <c r="I20" s="548"/>
      <c r="J20" s="548"/>
      <c r="K20" s="548"/>
      <c r="L20" s="548"/>
      <c r="M20" s="548"/>
      <c r="N20" s="548"/>
      <c r="O20" s="548"/>
      <c r="P20" s="548"/>
      <c r="Q20" s="548"/>
      <c r="R20" s="548"/>
      <c r="T20" s="112"/>
      <c r="V20" s="112"/>
      <c r="Z20" s="112"/>
    </row>
    <row r="21" spans="1:26" x14ac:dyDescent="0.25">
      <c r="A21" s="86"/>
      <c r="B21" s="89" t="s">
        <v>75</v>
      </c>
      <c r="C21" s="89"/>
      <c r="D21" s="549">
        <f>+[3]WACAP2020Amort!Q21</f>
        <v>7213.21</v>
      </c>
      <c r="E21" s="549">
        <f t="shared" ref="E21:R21" si="6">+E19*E18</f>
        <v>19219.111079999999</v>
      </c>
      <c r="F21" s="549">
        <f>+F19*F18</f>
        <v>17917.6816</v>
      </c>
      <c r="G21" s="549">
        <f t="shared" si="6"/>
        <v>17374.304609999999</v>
      </c>
      <c r="H21" s="549">
        <f t="shared" si="6"/>
        <v>19310.1675</v>
      </c>
      <c r="I21" s="549">
        <f t="shared" si="6"/>
        <v>15118.695670000001</v>
      </c>
      <c r="J21" s="549">
        <f t="shared" si="6"/>
        <v>9636.81862</v>
      </c>
      <c r="K21" s="549">
        <f t="shared" si="6"/>
        <v>8290.7961500000001</v>
      </c>
      <c r="L21" s="549">
        <f t="shared" si="6"/>
        <v>7033.7329399999999</v>
      </c>
      <c r="M21" s="549">
        <f t="shared" si="6"/>
        <v>6597.3394500000004</v>
      </c>
      <c r="N21" s="549">
        <f t="shared" si="6"/>
        <v>8293.12003</v>
      </c>
      <c r="O21" s="549">
        <f t="shared" si="6"/>
        <v>17279.26642</v>
      </c>
      <c r="P21" s="549">
        <f>+'[3]WACAP 2021'!N29+'[3]WACAP 2021'!N118</f>
        <v>132470.38999999996</v>
      </c>
      <c r="Q21" s="549">
        <f>9735.41-1757.84</f>
        <v>7977.57</v>
      </c>
      <c r="R21" s="549">
        <f t="shared" si="6"/>
        <v>-9974.2291700000005</v>
      </c>
    </row>
    <row r="22" spans="1:26" x14ac:dyDescent="0.25">
      <c r="A22" s="87"/>
      <c r="B22" s="89" t="s">
        <v>137</v>
      </c>
      <c r="C22" s="89"/>
      <c r="D22" s="551">
        <f>ROUND(ROUND(C24*D$5,2)/365*D$6,2)</f>
        <v>-580.89</v>
      </c>
      <c r="E22" s="551">
        <f t="shared" ref="E22:K22" si="7">ROUND(ROUND(D24*E$5,2)/365*E$6,2)</f>
        <v>-581.94000000000005</v>
      </c>
      <c r="F22" s="551">
        <f>ROUND(ROUND(E24*F$5,2)/365*F$6,2)</f>
        <v>-530.5</v>
      </c>
      <c r="G22" s="551">
        <f t="shared" si="7"/>
        <v>-435.81</v>
      </c>
      <c r="H22" s="551">
        <f t="shared" si="7"/>
        <v>-435.75</v>
      </c>
      <c r="I22" s="551">
        <f t="shared" si="7"/>
        <v>-371.28</v>
      </c>
      <c r="J22" s="551">
        <f t="shared" si="7"/>
        <v>-342.94</v>
      </c>
      <c r="K22" s="551">
        <f t="shared" si="7"/>
        <v>-307.06</v>
      </c>
      <c r="L22" s="551">
        <f>ROUND(ROUND(K24*L$5,2)/365*L$6,2)</f>
        <v>-295.25</v>
      </c>
      <c r="M22" s="551">
        <f>ROUND(ROUND(L24*M$5,2)/365*M$6,2)</f>
        <v>-276.64999999999998</v>
      </c>
      <c r="N22" s="551">
        <f t="shared" ref="N22:R22" si="8">ROUND(ROUND(M24*N$5,2)/365*N$6,2)</f>
        <v>-250.85</v>
      </c>
      <c r="O22" s="551">
        <f t="shared" si="8"/>
        <v>-237.01</v>
      </c>
      <c r="P22" s="549">
        <f>+'[3]WACAP 2021'!N30+'[3]WACAP 2021'!N119</f>
        <v>3629.7499999999995</v>
      </c>
      <c r="Q22" s="551">
        <f>ROUND(ROUND(P24*Q$5,2)/365*Q$6,2)</f>
        <v>179.72</v>
      </c>
      <c r="R22" s="551">
        <f t="shared" si="8"/>
        <v>208.22</v>
      </c>
    </row>
    <row r="23" spans="1:26" x14ac:dyDescent="0.25">
      <c r="A23" s="87"/>
      <c r="B23" s="89" t="s">
        <v>138</v>
      </c>
      <c r="C23" s="89"/>
      <c r="D23" s="552">
        <f t="shared" ref="D23:R23" si="9">SUM(D21:D22)</f>
        <v>6632.32</v>
      </c>
      <c r="E23" s="552">
        <f t="shared" si="9"/>
        <v>18637.17108</v>
      </c>
      <c r="F23" s="552">
        <f t="shared" si="9"/>
        <v>17387.1816</v>
      </c>
      <c r="G23" s="552">
        <f t="shared" si="9"/>
        <v>16938.494609999998</v>
      </c>
      <c r="H23" s="552">
        <f t="shared" si="9"/>
        <v>18874.4175</v>
      </c>
      <c r="I23" s="552">
        <f t="shared" si="9"/>
        <v>14747.41567</v>
      </c>
      <c r="J23" s="552">
        <f t="shared" si="9"/>
        <v>9293.8786199999995</v>
      </c>
      <c r="K23" s="552">
        <f t="shared" si="9"/>
        <v>7983.7361499999997</v>
      </c>
      <c r="L23" s="552">
        <f t="shared" si="9"/>
        <v>6738.4829399999999</v>
      </c>
      <c r="M23" s="552">
        <f t="shared" si="9"/>
        <v>6320.6894500000008</v>
      </c>
      <c r="N23" s="552">
        <f t="shared" si="9"/>
        <v>8042.2700299999997</v>
      </c>
      <c r="O23" s="552">
        <f t="shared" si="9"/>
        <v>17042.256420000002</v>
      </c>
      <c r="P23" s="552">
        <f>+P21+P22</f>
        <v>136100.13999999996</v>
      </c>
      <c r="Q23" s="552">
        <f t="shared" si="9"/>
        <v>8157.29</v>
      </c>
      <c r="R23" s="552">
        <f t="shared" si="9"/>
        <v>-9766.0091700000012</v>
      </c>
    </row>
    <row r="24" spans="1:26" x14ac:dyDescent="0.25">
      <c r="A24" s="87"/>
      <c r="B24" s="89" t="s">
        <v>139</v>
      </c>
      <c r="C24" s="553">
        <f>+[3]WACAP2020Amort!P24+[3]WACAP2020Amort!P60</f>
        <v>-217460.07482000013</v>
      </c>
      <c r="D24" s="549">
        <f>C24+D23</f>
        <v>-210827.75482000012</v>
      </c>
      <c r="E24" s="549">
        <f t="shared" ref="E24:O24" si="10">D24+E23</f>
        <v>-192190.58374000012</v>
      </c>
      <c r="F24" s="549">
        <f>E24+F23</f>
        <v>-174803.40214000011</v>
      </c>
      <c r="G24" s="549">
        <f t="shared" si="10"/>
        <v>-157864.90753000011</v>
      </c>
      <c r="H24" s="549">
        <f t="shared" si="10"/>
        <v>-138990.4900300001</v>
      </c>
      <c r="I24" s="549">
        <f t="shared" si="10"/>
        <v>-124243.0743600001</v>
      </c>
      <c r="J24" s="549">
        <f t="shared" si="10"/>
        <v>-114949.1957400001</v>
      </c>
      <c r="K24" s="549">
        <f t="shared" si="10"/>
        <v>-106965.4595900001</v>
      </c>
      <c r="L24" s="549">
        <f t="shared" si="10"/>
        <v>-100226.9766500001</v>
      </c>
      <c r="M24" s="549">
        <f>L24+M23</f>
        <v>-93906.287200000093</v>
      </c>
      <c r="N24" s="549">
        <f t="shared" si="10"/>
        <v>-85864.017170000094</v>
      </c>
      <c r="O24" s="549">
        <f t="shared" si="10"/>
        <v>-68821.760750000089</v>
      </c>
      <c r="P24" s="549">
        <f>+O24+P23</f>
        <v>67278.379249999867</v>
      </c>
      <c r="Q24" s="549">
        <f>P24+Q23</f>
        <v>75435.669249999861</v>
      </c>
      <c r="R24" s="549">
        <f t="shared" ref="R24" si="11">Q24+R23</f>
        <v>65669.660079999856</v>
      </c>
      <c r="T24" s="108"/>
    </row>
    <row r="25" spans="1:26" x14ac:dyDescent="0.25">
      <c r="A25" s="86"/>
      <c r="B25" s="89"/>
      <c r="C25" s="89"/>
      <c r="D25" s="89"/>
      <c r="E25" s="89"/>
      <c r="F25" s="554"/>
      <c r="G25" s="554"/>
      <c r="H25" s="554"/>
      <c r="I25" s="554"/>
      <c r="J25" s="554"/>
      <c r="K25" s="554"/>
      <c r="L25" s="554"/>
      <c r="M25" s="554"/>
      <c r="N25" s="554"/>
      <c r="O25" s="554"/>
      <c r="P25" s="554"/>
      <c r="Q25" s="554"/>
      <c r="R25" s="554"/>
      <c r="T25" s="108"/>
    </row>
    <row r="26" spans="1:26" x14ac:dyDescent="0.25">
      <c r="A26" s="86" t="s">
        <v>142</v>
      </c>
      <c r="B26" s="104" t="s">
        <v>86</v>
      </c>
      <c r="C26" s="104"/>
      <c r="D26" s="104"/>
      <c r="E26" s="104"/>
      <c r="F26" s="541"/>
      <c r="G26" s="541"/>
      <c r="H26" s="542"/>
      <c r="I26" s="541"/>
      <c r="J26" s="541"/>
      <c r="K26" s="541"/>
      <c r="L26" s="541"/>
      <c r="M26" s="541"/>
      <c r="N26" s="541"/>
      <c r="O26" s="541"/>
      <c r="P26" s="541"/>
      <c r="Q26" s="541"/>
      <c r="R26" s="541"/>
    </row>
    <row r="27" spans="1:26" x14ac:dyDescent="0.25">
      <c r="A27" s="87" t="s">
        <v>92</v>
      </c>
      <c r="B27" t="s">
        <v>70</v>
      </c>
      <c r="D27" s="545">
        <v>5658</v>
      </c>
      <c r="E27" s="545">
        <v>7535</v>
      </c>
      <c r="F27" s="545">
        <v>12694</v>
      </c>
      <c r="G27" s="545">
        <v>7553</v>
      </c>
      <c r="H27" s="545">
        <v>3998</v>
      </c>
      <c r="I27" s="545">
        <v>2200</v>
      </c>
      <c r="J27" s="545">
        <v>3602</v>
      </c>
      <c r="K27" s="545">
        <v>1512</v>
      </c>
      <c r="L27" s="545">
        <v>1203</v>
      </c>
      <c r="M27" s="545">
        <v>1834</v>
      </c>
      <c r="N27" s="545">
        <v>2215</v>
      </c>
      <c r="O27" s="545">
        <v>3066</v>
      </c>
      <c r="P27" s="545"/>
      <c r="Q27" s="545">
        <v>5052</v>
      </c>
      <c r="R27" s="545">
        <v>14032</v>
      </c>
      <c r="T27" s="544"/>
      <c r="V27" s="544"/>
    </row>
    <row r="28" spans="1:26" x14ac:dyDescent="0.25">
      <c r="A28" s="87" t="s">
        <v>257</v>
      </c>
      <c r="D28" s="546" t="str">
        <f>+D19</f>
        <v>Prorated</v>
      </c>
      <c r="E28" s="547">
        <v>2.4140000000000002E-2</v>
      </c>
      <c r="F28" s="547">
        <v>2.4140000000000002E-2</v>
      </c>
      <c r="G28" s="547">
        <v>2.4140000000000002E-2</v>
      </c>
      <c r="H28" s="547">
        <v>2.4140000000000002E-2</v>
      </c>
      <c r="I28" s="547">
        <v>2.4140000000000002E-2</v>
      </c>
      <c r="J28" s="547">
        <v>2.4140000000000002E-2</v>
      </c>
      <c r="K28" s="547">
        <v>2.4140000000000002E-2</v>
      </c>
      <c r="L28" s="547">
        <v>2.4140000000000002E-2</v>
      </c>
      <c r="M28" s="547">
        <v>2.4140000000000002E-2</v>
      </c>
      <c r="N28" s="547">
        <v>2.4140000000000002E-2</v>
      </c>
      <c r="O28" s="547">
        <v>2.4140000000000002E-2</v>
      </c>
      <c r="P28" s="547"/>
      <c r="Q28" s="546" t="s">
        <v>258</v>
      </c>
      <c r="R28" s="547">
        <v>-3.1900000000000001E-3</v>
      </c>
      <c r="T28" s="112"/>
      <c r="V28" s="112"/>
      <c r="Z28" s="112"/>
    </row>
    <row r="29" spans="1:26" x14ac:dyDescent="0.25">
      <c r="A29" s="87"/>
      <c r="B29" s="89" t="s">
        <v>74</v>
      </c>
      <c r="C29" s="89"/>
      <c r="D29" s="89"/>
      <c r="E29" s="89"/>
      <c r="F29" s="548"/>
      <c r="G29" s="548"/>
      <c r="H29" s="548"/>
      <c r="I29" s="548"/>
      <c r="J29" s="548"/>
      <c r="K29" s="548"/>
      <c r="L29" s="548"/>
      <c r="M29" s="548"/>
      <c r="N29" s="548"/>
      <c r="O29" s="548"/>
      <c r="P29" s="548"/>
      <c r="Q29" s="548"/>
      <c r="R29" s="548"/>
    </row>
    <row r="30" spans="1:26" x14ac:dyDescent="0.25">
      <c r="A30" s="87"/>
      <c r="B30" s="89" t="s">
        <v>75</v>
      </c>
      <c r="C30" s="89"/>
      <c r="D30" s="553">
        <f>+[3]WACAP2020Amort!Q30</f>
        <v>136.58000000000001</v>
      </c>
      <c r="E30" s="553">
        <f t="shared" ref="E30:R30" si="12">+E27*E28</f>
        <v>181.89490000000001</v>
      </c>
      <c r="F30" s="553">
        <f t="shared" si="12"/>
        <v>306.43316000000004</v>
      </c>
      <c r="G30" s="553">
        <f t="shared" si="12"/>
        <v>182.32942</v>
      </c>
      <c r="H30" s="553">
        <f t="shared" si="12"/>
        <v>96.511720000000011</v>
      </c>
      <c r="I30" s="553">
        <f t="shared" si="12"/>
        <v>53.108000000000004</v>
      </c>
      <c r="J30" s="553">
        <f t="shared" si="12"/>
        <v>86.952280000000002</v>
      </c>
      <c r="K30" s="553">
        <f t="shared" si="12"/>
        <v>36.499680000000005</v>
      </c>
      <c r="L30" s="553">
        <f t="shared" si="12"/>
        <v>29.040420000000001</v>
      </c>
      <c r="M30" s="553">
        <f t="shared" si="12"/>
        <v>44.272760000000005</v>
      </c>
      <c r="N30" s="553">
        <f t="shared" si="12"/>
        <v>53.470100000000002</v>
      </c>
      <c r="O30" s="553">
        <f t="shared" si="12"/>
        <v>74.01324000000001</v>
      </c>
      <c r="P30" s="553">
        <f>+'[3]WACAP 2021'!N53</f>
        <v>-12071.150000000001</v>
      </c>
      <c r="Q30" s="553">
        <v>-16.12</v>
      </c>
      <c r="R30" s="553">
        <f t="shared" si="12"/>
        <v>-44.762080000000005</v>
      </c>
    </row>
    <row r="31" spans="1:26" x14ac:dyDescent="0.25">
      <c r="A31" s="87"/>
      <c r="B31" s="89" t="s">
        <v>137</v>
      </c>
      <c r="C31" s="89"/>
      <c r="D31" s="551">
        <f>ROUND(ROUND(C33*D$5,2)/365*D$6,2)</f>
        <v>-36.39</v>
      </c>
      <c r="E31" s="551">
        <f t="shared" ref="E31:O31" si="13">ROUND(ROUND(D33*E$5,2)/365*E$6,2)</f>
        <v>-37.32</v>
      </c>
      <c r="F31" s="551">
        <f>ROUND(ROUND(E33*F$5,2)/365*F$6,2)</f>
        <v>-36.92</v>
      </c>
      <c r="G31" s="551">
        <f t="shared" si="13"/>
        <v>-32.68</v>
      </c>
      <c r="H31" s="551">
        <f t="shared" si="13"/>
        <v>-35.770000000000003</v>
      </c>
      <c r="I31" s="551">
        <f t="shared" si="13"/>
        <v>-34.450000000000003</v>
      </c>
      <c r="J31" s="551">
        <f t="shared" si="13"/>
        <v>-35.549999999999997</v>
      </c>
      <c r="K31" s="551">
        <f t="shared" si="13"/>
        <v>-34.26</v>
      </c>
      <c r="L31" s="551">
        <f t="shared" si="13"/>
        <v>-35.4</v>
      </c>
      <c r="M31" s="551">
        <f>ROUND(ROUND(L33*M$5,2)/365*M$6,2)</f>
        <v>-35.42</v>
      </c>
      <c r="N31" s="551">
        <f t="shared" si="13"/>
        <v>-34.25</v>
      </c>
      <c r="O31" s="551">
        <f t="shared" si="13"/>
        <v>-35.340000000000003</v>
      </c>
      <c r="P31" s="553">
        <f>+'[3]WACAP 2021'!N54</f>
        <v>-330.76</v>
      </c>
      <c r="Q31" s="551">
        <f>ROUND(ROUND(P33*Q$5,2)/365*Q$6,2)</f>
        <v>-67.22</v>
      </c>
      <c r="R31" s="551">
        <f>ROUND(ROUND(Q33*R$5,2)/365*R$6,2)</f>
        <v>-69.7</v>
      </c>
    </row>
    <row r="32" spans="1:26" x14ac:dyDescent="0.25">
      <c r="A32" s="87"/>
      <c r="B32" s="89" t="s">
        <v>138</v>
      </c>
      <c r="C32" s="89"/>
      <c r="D32" s="552">
        <f t="shared" ref="D32:R32" si="14">SUM(D30:D31)</f>
        <v>100.19000000000001</v>
      </c>
      <c r="E32" s="552">
        <f t="shared" si="14"/>
        <v>144.57490000000001</v>
      </c>
      <c r="F32" s="552">
        <f t="shared" si="14"/>
        <v>269.51316000000003</v>
      </c>
      <c r="G32" s="552">
        <f t="shared" si="14"/>
        <v>149.64941999999999</v>
      </c>
      <c r="H32" s="552">
        <f t="shared" si="14"/>
        <v>60.741720000000008</v>
      </c>
      <c r="I32" s="552">
        <f t="shared" si="14"/>
        <v>18.658000000000001</v>
      </c>
      <c r="J32" s="552">
        <f t="shared" si="14"/>
        <v>51.402280000000005</v>
      </c>
      <c r="K32" s="552">
        <f t="shared" si="14"/>
        <v>2.239680000000007</v>
      </c>
      <c r="L32" s="552">
        <f t="shared" si="14"/>
        <v>-6.3595799999999976</v>
      </c>
      <c r="M32" s="552">
        <f t="shared" si="14"/>
        <v>8.8527600000000035</v>
      </c>
      <c r="N32" s="552">
        <f t="shared" si="14"/>
        <v>19.220100000000002</v>
      </c>
      <c r="O32" s="552">
        <f t="shared" si="14"/>
        <v>38.673240000000007</v>
      </c>
      <c r="P32" s="552">
        <f>+P30+P31</f>
        <v>-12401.910000000002</v>
      </c>
      <c r="Q32" s="552">
        <f t="shared" si="14"/>
        <v>-83.34</v>
      </c>
      <c r="R32" s="552">
        <f t="shared" si="14"/>
        <v>-114.46208000000001</v>
      </c>
    </row>
    <row r="33" spans="1:26" x14ac:dyDescent="0.25">
      <c r="A33" s="87"/>
      <c r="B33" s="89" t="s">
        <v>139</v>
      </c>
      <c r="C33" s="553">
        <f>+[3]WACAP2020Amort!P33</f>
        <v>-13621.742420000002</v>
      </c>
      <c r="D33" s="549">
        <f>C33+D32</f>
        <v>-13521.552420000002</v>
      </c>
      <c r="E33" s="549">
        <f t="shared" ref="E33:O33" si="15">D33+E32</f>
        <v>-13376.977520000002</v>
      </c>
      <c r="F33" s="549">
        <f>E33+F32</f>
        <v>-13107.464360000002</v>
      </c>
      <c r="G33" s="549">
        <f t="shared" si="15"/>
        <v>-12957.814940000002</v>
      </c>
      <c r="H33" s="549">
        <f t="shared" si="15"/>
        <v>-12897.073220000002</v>
      </c>
      <c r="I33" s="549">
        <f t="shared" si="15"/>
        <v>-12878.415220000003</v>
      </c>
      <c r="J33" s="549">
        <f t="shared" si="15"/>
        <v>-12827.012940000002</v>
      </c>
      <c r="K33" s="549">
        <f t="shared" si="15"/>
        <v>-12824.773260000002</v>
      </c>
      <c r="L33" s="549">
        <f t="shared" si="15"/>
        <v>-12831.132840000002</v>
      </c>
      <c r="M33" s="549">
        <f>L33+M32</f>
        <v>-12822.280080000002</v>
      </c>
      <c r="N33" s="549">
        <f t="shared" si="15"/>
        <v>-12803.059980000002</v>
      </c>
      <c r="O33" s="549">
        <f t="shared" si="15"/>
        <v>-12764.386740000002</v>
      </c>
      <c r="P33" s="549">
        <f>+O33+P32</f>
        <v>-25166.296740000005</v>
      </c>
      <c r="Q33" s="549">
        <f>P33+Q32</f>
        <v>-25249.636740000005</v>
      </c>
      <c r="R33" s="549">
        <f t="shared" ref="R33" si="16">Q33+R32</f>
        <v>-25364.098820000007</v>
      </c>
      <c r="T33" s="108"/>
    </row>
    <row r="34" spans="1:26" x14ac:dyDescent="0.25">
      <c r="A34" s="87"/>
      <c r="B34" s="89"/>
      <c r="C34" s="89"/>
      <c r="D34" s="89"/>
      <c r="E34" s="89"/>
      <c r="F34" s="554"/>
      <c r="G34" s="554"/>
      <c r="H34" s="554"/>
      <c r="I34" s="554"/>
      <c r="J34" s="554"/>
      <c r="K34" s="554"/>
      <c r="L34" s="554"/>
      <c r="M34" s="554"/>
      <c r="N34" s="554"/>
      <c r="O34" s="554"/>
      <c r="P34" s="554"/>
      <c r="Q34" s="554"/>
      <c r="R34" s="554"/>
      <c r="T34" s="108"/>
    </row>
    <row r="35" spans="1:26" x14ac:dyDescent="0.25">
      <c r="A35" s="86">
        <v>504</v>
      </c>
      <c r="B35" s="104" t="s">
        <v>86</v>
      </c>
      <c r="C35" s="104"/>
      <c r="D35" s="104"/>
      <c r="E35" s="104"/>
      <c r="F35" s="541"/>
      <c r="G35" s="541"/>
      <c r="H35" s="542"/>
      <c r="I35" s="541"/>
      <c r="J35" s="541"/>
      <c r="K35" s="541"/>
      <c r="L35" s="541"/>
      <c r="M35" s="541"/>
      <c r="N35" s="541"/>
      <c r="O35" s="541"/>
      <c r="P35" s="541"/>
      <c r="Q35" s="541"/>
      <c r="R35" s="541"/>
    </row>
    <row r="36" spans="1:26" x14ac:dyDescent="0.25">
      <c r="A36" s="87" t="s">
        <v>92</v>
      </c>
      <c r="B36" t="s">
        <v>70</v>
      </c>
      <c r="D36" s="545">
        <v>6488225</v>
      </c>
      <c r="E36" s="545">
        <v>12051598</v>
      </c>
      <c r="F36" s="545">
        <v>12849986</v>
      </c>
      <c r="G36" s="545">
        <v>12050270</v>
      </c>
      <c r="H36" s="545">
        <v>13158991</v>
      </c>
      <c r="I36" s="545">
        <v>9154067</v>
      </c>
      <c r="J36" s="545">
        <v>4930955</v>
      </c>
      <c r="K36" s="545">
        <v>4017478</v>
      </c>
      <c r="L36" s="545">
        <v>2731524</v>
      </c>
      <c r="M36" s="545">
        <v>2572912</v>
      </c>
      <c r="N36" s="545">
        <v>2784423</v>
      </c>
      <c r="O36" s="545">
        <v>3968867</v>
      </c>
      <c r="P36" s="545"/>
      <c r="Q36" s="545">
        <v>6483615</v>
      </c>
      <c r="R36" s="545">
        <v>10769619</v>
      </c>
      <c r="T36" s="544"/>
      <c r="V36" s="544"/>
    </row>
    <row r="37" spans="1:26" x14ac:dyDescent="0.25">
      <c r="A37" s="87" t="s">
        <v>257</v>
      </c>
      <c r="D37" s="547" t="s">
        <v>258</v>
      </c>
      <c r="E37" s="547">
        <v>2.4140000000000002E-2</v>
      </c>
      <c r="F37" s="547">
        <v>2.4140000000000002E-2</v>
      </c>
      <c r="G37" s="547">
        <v>2.4140000000000002E-2</v>
      </c>
      <c r="H37" s="547">
        <v>2.4140000000000002E-2</v>
      </c>
      <c r="I37" s="547">
        <v>2.4140000000000002E-2</v>
      </c>
      <c r="J37" s="547">
        <v>2.4140000000000002E-2</v>
      </c>
      <c r="K37" s="547">
        <v>2.4140000000000002E-2</v>
      </c>
      <c r="L37" s="547">
        <v>2.4140000000000002E-2</v>
      </c>
      <c r="M37" s="547">
        <v>2.4140000000000002E-2</v>
      </c>
      <c r="N37" s="547">
        <v>2.4140000000000002E-2</v>
      </c>
      <c r="O37" s="547">
        <v>2.4140000000000002E-2</v>
      </c>
      <c r="P37" s="547"/>
      <c r="Q37" s="546" t="s">
        <v>258</v>
      </c>
      <c r="R37" s="547">
        <v>-3.1900000000000001E-3</v>
      </c>
      <c r="T37" s="112"/>
      <c r="V37" s="112"/>
      <c r="Z37" s="112"/>
    </row>
    <row r="38" spans="1:26" x14ac:dyDescent="0.25">
      <c r="A38" s="87"/>
      <c r="B38" s="89" t="s">
        <v>74</v>
      </c>
      <c r="C38" s="89"/>
      <c r="D38" s="548"/>
      <c r="E38" s="548"/>
      <c r="F38" s="548"/>
      <c r="G38" s="548"/>
      <c r="H38" s="548"/>
      <c r="I38" s="548"/>
      <c r="J38" s="548"/>
      <c r="K38" s="548"/>
      <c r="L38" s="548"/>
      <c r="M38" s="548"/>
      <c r="N38" s="548"/>
      <c r="O38" s="548"/>
      <c r="P38" s="548"/>
      <c r="Q38" s="548"/>
      <c r="R38" s="548"/>
    </row>
    <row r="39" spans="1:26" x14ac:dyDescent="0.25">
      <c r="A39" s="87"/>
      <c r="B39" s="89" t="s">
        <v>75</v>
      </c>
      <c r="C39" s="89"/>
      <c r="D39" s="549">
        <f>+[3]WACAP2020Amort!Q39</f>
        <v>46137.599999999999</v>
      </c>
      <c r="E39" s="549">
        <f t="shared" ref="E39:O39" si="17">+E36*E37</f>
        <v>290925.57572000002</v>
      </c>
      <c r="F39" s="549">
        <f t="shared" si="17"/>
        <v>310198.66204000002</v>
      </c>
      <c r="G39" s="549">
        <f t="shared" si="17"/>
        <v>290893.51780000003</v>
      </c>
      <c r="H39" s="549">
        <f t="shared" si="17"/>
        <v>317658.04274</v>
      </c>
      <c r="I39" s="549">
        <f t="shared" si="17"/>
        <v>220979.17738000001</v>
      </c>
      <c r="J39" s="549">
        <f t="shared" si="17"/>
        <v>119033.25370000002</v>
      </c>
      <c r="K39" s="549">
        <f t="shared" si="17"/>
        <v>96981.918920000011</v>
      </c>
      <c r="L39" s="549">
        <f t="shared" si="17"/>
        <v>65938.989360000007</v>
      </c>
      <c r="M39" s="549">
        <f t="shared" si="17"/>
        <v>62110.095680000006</v>
      </c>
      <c r="N39" s="549">
        <f t="shared" si="17"/>
        <v>67215.971220000007</v>
      </c>
      <c r="O39" s="549">
        <f t="shared" si="17"/>
        <v>95808.449380000005</v>
      </c>
      <c r="P39" s="549">
        <f>+'[3]WACAP 2021'!N86</f>
        <v>2484120.0499999998</v>
      </c>
      <c r="Q39" s="549">
        <f>112218.82-5853.48</f>
        <v>106365.34000000001</v>
      </c>
      <c r="R39" s="549">
        <f>+R36*R37</f>
        <v>-34355.084609999998</v>
      </c>
    </row>
    <row r="40" spans="1:26" x14ac:dyDescent="0.25">
      <c r="A40" s="87"/>
      <c r="B40" s="89" t="s">
        <v>137</v>
      </c>
      <c r="C40" s="89"/>
      <c r="D40" s="551">
        <f>ROUND(ROUND(C42*D$5,2)/365*D$6,2)</f>
        <v>-5562.89</v>
      </c>
      <c r="E40" s="551">
        <f t="shared" ref="E40:O40" si="18">ROUND(ROUND(D42*E$5,2)/365*E$6,2)</f>
        <v>-5636.32</v>
      </c>
      <c r="F40" s="551">
        <f>ROUND(ROUND(E42*F$5,2)/365*F$6,2)</f>
        <v>-4848.84</v>
      </c>
      <c r="G40" s="551">
        <f t="shared" si="18"/>
        <v>-3618.32</v>
      </c>
      <c r="H40" s="551">
        <f t="shared" si="18"/>
        <v>-3213.03</v>
      </c>
      <c r="I40" s="551">
        <f t="shared" si="18"/>
        <v>-2269.4299999999998</v>
      </c>
      <c r="J40" s="551">
        <f t="shared" si="18"/>
        <v>-1741.38</v>
      </c>
      <c r="K40" s="551">
        <f t="shared" si="18"/>
        <v>-1371.89</v>
      </c>
      <c r="L40" s="551">
        <f t="shared" si="18"/>
        <v>-1153.71</v>
      </c>
      <c r="M40" s="551">
        <f>ROUND(ROUND(L42*M$5,2)/365*M$6,2)</f>
        <v>-974.89</v>
      </c>
      <c r="N40" s="551">
        <f t="shared" si="18"/>
        <v>-780.13</v>
      </c>
      <c r="O40" s="551">
        <f t="shared" si="18"/>
        <v>-622.76</v>
      </c>
      <c r="P40" s="549">
        <f>+'[3]WACAP 2021'!N87</f>
        <v>68066.28</v>
      </c>
      <c r="Q40" s="551">
        <f>ROUND(ROUND(P42*Q$5,2)/365*Q$6,2)</f>
        <v>6469.08</v>
      </c>
      <c r="R40" s="551">
        <f>ROUND(ROUND(Q42*R$5,2)/365*R$6,2)</f>
        <v>6996.17</v>
      </c>
    </row>
    <row r="41" spans="1:26" x14ac:dyDescent="0.25">
      <c r="A41" s="87"/>
      <c r="B41" s="89" t="s">
        <v>138</v>
      </c>
      <c r="C41" s="89"/>
      <c r="D41" s="552">
        <f t="shared" ref="D41:R41" si="19">SUM(D39:D40)</f>
        <v>40574.71</v>
      </c>
      <c r="E41" s="552">
        <f t="shared" si="19"/>
        <v>285289.25572000002</v>
      </c>
      <c r="F41" s="552">
        <f t="shared" si="19"/>
        <v>305349.82204</v>
      </c>
      <c r="G41" s="552">
        <f t="shared" si="19"/>
        <v>287275.19780000002</v>
      </c>
      <c r="H41" s="552">
        <f t="shared" si="19"/>
        <v>314445.01273999998</v>
      </c>
      <c r="I41" s="552">
        <f t="shared" si="19"/>
        <v>218709.74738000002</v>
      </c>
      <c r="J41" s="552">
        <f t="shared" si="19"/>
        <v>117291.87370000001</v>
      </c>
      <c r="K41" s="552">
        <f t="shared" si="19"/>
        <v>95610.028920000012</v>
      </c>
      <c r="L41" s="552">
        <f t="shared" si="19"/>
        <v>64785.279360000008</v>
      </c>
      <c r="M41" s="552">
        <f t="shared" si="19"/>
        <v>61135.205680000006</v>
      </c>
      <c r="N41" s="552">
        <f t="shared" si="19"/>
        <v>66435.841220000002</v>
      </c>
      <c r="O41" s="552">
        <f t="shared" si="19"/>
        <v>95185.689380000011</v>
      </c>
      <c r="P41" s="552">
        <f>+P39+P40</f>
        <v>2552186.3299999996</v>
      </c>
      <c r="Q41" s="552">
        <f t="shared" si="19"/>
        <v>112834.42000000001</v>
      </c>
      <c r="R41" s="552">
        <f t="shared" si="19"/>
        <v>-27358.91461</v>
      </c>
    </row>
    <row r="42" spans="1:26" x14ac:dyDescent="0.25">
      <c r="A42" s="87"/>
      <c r="B42" s="89" t="s">
        <v>139</v>
      </c>
      <c r="C42" s="553">
        <f>+[3]WACAP2020Amort!P42</f>
        <v>-2082516.2394399978</v>
      </c>
      <c r="D42" s="549">
        <f>C42+D41</f>
        <v>-2041941.5294399979</v>
      </c>
      <c r="E42" s="549">
        <f t="shared" ref="E42:O42" si="20">D42+E41</f>
        <v>-1756652.2737199978</v>
      </c>
      <c r="F42" s="549">
        <f>E42+F41</f>
        <v>-1451302.4516799978</v>
      </c>
      <c r="G42" s="549">
        <f t="shared" si="20"/>
        <v>-1164027.2538799979</v>
      </c>
      <c r="H42" s="549">
        <f t="shared" si="20"/>
        <v>-849582.24113999796</v>
      </c>
      <c r="I42" s="549">
        <f t="shared" si="20"/>
        <v>-630872.49375999789</v>
      </c>
      <c r="J42" s="549">
        <f t="shared" si="20"/>
        <v>-513580.62005999789</v>
      </c>
      <c r="K42" s="549">
        <f t="shared" si="20"/>
        <v>-417970.59113999788</v>
      </c>
      <c r="L42" s="549">
        <f t="shared" si="20"/>
        <v>-353185.31177999789</v>
      </c>
      <c r="M42" s="549">
        <f>L42+M41</f>
        <v>-292050.10609999788</v>
      </c>
      <c r="N42" s="549">
        <f t="shared" si="20"/>
        <v>-225614.26487999788</v>
      </c>
      <c r="O42" s="549">
        <f t="shared" si="20"/>
        <v>-130428.57549999787</v>
      </c>
      <c r="P42" s="549">
        <f>+O42+P41</f>
        <v>2421757.7545000017</v>
      </c>
      <c r="Q42" s="549">
        <f>P42+Q41</f>
        <v>2534592.1745000016</v>
      </c>
      <c r="R42" s="549">
        <f t="shared" ref="R42" si="21">Q42+R41</f>
        <v>2507233.2598900017</v>
      </c>
      <c r="T42" s="108"/>
    </row>
    <row r="43" spans="1:26" x14ac:dyDescent="0.25">
      <c r="A43" s="87"/>
      <c r="B43" s="89"/>
      <c r="C43" s="89"/>
      <c r="D43" s="89"/>
      <c r="E43" s="89"/>
      <c r="F43" s="549"/>
      <c r="G43" s="549"/>
      <c r="H43" s="549"/>
      <c r="I43" s="549"/>
      <c r="J43" s="549"/>
      <c r="K43" s="549"/>
      <c r="L43" s="549"/>
      <c r="M43" s="549"/>
      <c r="N43" s="549"/>
      <c r="O43" s="549"/>
      <c r="P43" s="549"/>
      <c r="Q43" s="549"/>
      <c r="R43" s="549"/>
      <c r="T43" s="108"/>
    </row>
    <row r="44" spans="1:26" x14ac:dyDescent="0.25">
      <c r="A44" s="86">
        <v>511</v>
      </c>
      <c r="B44" s="104" t="s">
        <v>86</v>
      </c>
      <c r="C44" s="104"/>
      <c r="D44" s="104"/>
      <c r="E44" s="104"/>
      <c r="F44" s="541"/>
      <c r="G44" s="541"/>
      <c r="H44" s="542"/>
      <c r="I44" s="541"/>
      <c r="J44" s="541"/>
      <c r="K44" s="541"/>
      <c r="L44" s="541"/>
      <c r="M44" s="541"/>
      <c r="N44" s="541"/>
      <c r="O44" s="541"/>
      <c r="P44" s="541"/>
      <c r="Q44" s="541"/>
      <c r="R44" s="541"/>
      <c r="T44" s="108"/>
      <c r="U44" s="108"/>
    </row>
    <row r="45" spans="1:26" x14ac:dyDescent="0.25">
      <c r="A45" s="87" t="s">
        <v>92</v>
      </c>
      <c r="B45" t="s">
        <v>70</v>
      </c>
      <c r="D45" s="545">
        <v>1244491</v>
      </c>
      <c r="E45" s="545">
        <v>1922210</v>
      </c>
      <c r="F45" s="545">
        <v>1891393</v>
      </c>
      <c r="G45" s="545">
        <v>1786178</v>
      </c>
      <c r="H45" s="545">
        <v>1940530</v>
      </c>
      <c r="I45" s="545">
        <v>1560854</v>
      </c>
      <c r="J45" s="545">
        <v>927594</v>
      </c>
      <c r="K45" s="545">
        <v>958338</v>
      </c>
      <c r="L45" s="545">
        <v>593363</v>
      </c>
      <c r="M45" s="545">
        <v>619741</v>
      </c>
      <c r="N45" s="545">
        <v>615986</v>
      </c>
      <c r="O45" s="545">
        <v>864116</v>
      </c>
      <c r="P45" s="545"/>
      <c r="Q45" s="545">
        <v>1240603</v>
      </c>
      <c r="R45" s="545">
        <v>1705511</v>
      </c>
      <c r="T45" s="544"/>
      <c r="V45" s="544"/>
    </row>
    <row r="46" spans="1:26" x14ac:dyDescent="0.25">
      <c r="A46" s="87" t="s">
        <v>257</v>
      </c>
      <c r="D46" s="547" t="str">
        <f>+D37</f>
        <v>Prorated</v>
      </c>
      <c r="E46" s="547">
        <v>1.908E-2</v>
      </c>
      <c r="F46" s="547">
        <v>1.908E-2</v>
      </c>
      <c r="G46" s="547">
        <v>1.908E-2</v>
      </c>
      <c r="H46" s="547">
        <v>1.908E-2</v>
      </c>
      <c r="I46" s="547">
        <v>1.908E-2</v>
      </c>
      <c r="J46" s="547">
        <v>1.908E-2</v>
      </c>
      <c r="K46" s="547">
        <v>1.908E-2</v>
      </c>
      <c r="L46" s="547">
        <v>1.908E-2</v>
      </c>
      <c r="M46" s="547">
        <v>1.908E-2</v>
      </c>
      <c r="N46" s="547">
        <v>1.908E-2</v>
      </c>
      <c r="O46" s="547">
        <v>1.908E-2</v>
      </c>
      <c r="P46" s="547"/>
      <c r="Q46" s="546" t="s">
        <v>258</v>
      </c>
      <c r="R46" s="547">
        <v>5.3830000000000003E-2</v>
      </c>
      <c r="T46" s="112"/>
      <c r="V46" s="112"/>
      <c r="Z46" s="112"/>
    </row>
    <row r="47" spans="1:26" x14ac:dyDescent="0.25">
      <c r="A47" s="87"/>
      <c r="B47" s="89" t="s">
        <v>74</v>
      </c>
      <c r="C47" s="89"/>
      <c r="D47" s="89"/>
      <c r="E47" s="89"/>
      <c r="F47" s="548"/>
      <c r="G47" s="548"/>
      <c r="H47" s="548"/>
      <c r="I47" s="548"/>
      <c r="J47" s="548"/>
      <c r="K47" s="548"/>
      <c r="L47" s="548"/>
      <c r="M47" s="548"/>
      <c r="N47" s="548"/>
      <c r="O47" s="548"/>
      <c r="P47" s="548"/>
      <c r="Q47" s="548"/>
      <c r="R47" s="548"/>
    </row>
    <row r="48" spans="1:26" x14ac:dyDescent="0.25">
      <c r="A48" s="87"/>
      <c r="B48" s="89" t="s">
        <v>75</v>
      </c>
      <c r="C48" s="89"/>
      <c r="D48" s="549">
        <f>+[3]WACAP2020Amort!Q48</f>
        <v>24110.47</v>
      </c>
      <c r="E48" s="549">
        <f t="shared" ref="E48:K48" si="22">+E46*E45</f>
        <v>36675.766799999998</v>
      </c>
      <c r="F48" s="549">
        <f t="shared" si="22"/>
        <v>36087.778440000002</v>
      </c>
      <c r="G48" s="549">
        <f t="shared" si="22"/>
        <v>34080.276239999999</v>
      </c>
      <c r="H48" s="549">
        <f t="shared" si="22"/>
        <v>37025.312400000003</v>
      </c>
      <c r="I48" s="549">
        <f t="shared" si="22"/>
        <v>29781.09432</v>
      </c>
      <c r="J48" s="549">
        <f t="shared" si="22"/>
        <v>17698.49352</v>
      </c>
      <c r="K48" s="549">
        <f t="shared" si="22"/>
        <v>18285.089039999999</v>
      </c>
      <c r="L48" s="549">
        <f>+L46*L45</f>
        <v>11321.366039999999</v>
      </c>
      <c r="M48" s="549">
        <f t="shared" ref="M48:R48" si="23">+M46*M45</f>
        <v>11824.65828</v>
      </c>
      <c r="N48" s="549">
        <f t="shared" si="23"/>
        <v>11753.01288</v>
      </c>
      <c r="O48" s="549">
        <f t="shared" si="23"/>
        <v>16487.333279999999</v>
      </c>
      <c r="P48" s="549">
        <f>+'[3]WACAP 2021'!N41+'[3]WACAP 2021'!N70+'[3]WACAP 2021'!N103</f>
        <v>-708799.59</v>
      </c>
      <c r="Q48" s="549">
        <f>15806.16+22188.08</f>
        <v>37994.240000000005</v>
      </c>
      <c r="R48" s="549">
        <f t="shared" si="23"/>
        <v>91807.657130000007</v>
      </c>
    </row>
    <row r="49" spans="1:26" x14ac:dyDescent="0.25">
      <c r="A49" s="87"/>
      <c r="B49" s="89" t="s">
        <v>137</v>
      </c>
      <c r="C49" s="89"/>
      <c r="D49" s="551">
        <f>ROUND(ROUND(C51*D$5,2)/365*D$6,2)</f>
        <v>-1359.57</v>
      </c>
      <c r="E49" s="551">
        <f t="shared" ref="E49:O49" si="24">ROUND(ROUND(D51*E$5,2)/365*E$6,2)</f>
        <v>-1342.09</v>
      </c>
      <c r="F49" s="551">
        <f>ROUND(ROUND(E51*F$5,2)/365*F$6,2)</f>
        <v>-1244.56</v>
      </c>
      <c r="G49" s="551">
        <f t="shared" si="24"/>
        <v>-1037.25</v>
      </c>
      <c r="H49" s="551">
        <f t="shared" si="24"/>
        <v>-1057.18</v>
      </c>
      <c r="I49" s="551">
        <f t="shared" si="24"/>
        <v>-927</v>
      </c>
      <c r="J49" s="551">
        <f t="shared" si="24"/>
        <v>-878.25</v>
      </c>
      <c r="K49" s="551">
        <f t="shared" si="24"/>
        <v>-804.99</v>
      </c>
      <c r="L49" s="551">
        <f t="shared" si="24"/>
        <v>-783.57</v>
      </c>
      <c r="M49" s="551">
        <f>ROUND(ROUND(L51*M$5,2)/365*M$6,2)</f>
        <v>-754.49</v>
      </c>
      <c r="N49" s="551">
        <f t="shared" si="24"/>
        <v>-700.58</v>
      </c>
      <c r="O49" s="551">
        <f t="shared" si="24"/>
        <v>-693.42</v>
      </c>
      <c r="P49" s="551">
        <f>+'[3]WACAP 2021'!N42+'[3]WACAP 2021'!N71+'[3]WACAP 2021'!N104</f>
        <v>-19421.509999999998</v>
      </c>
      <c r="Q49" s="551">
        <f>ROUND(ROUND(P51*Q$5,2)/365*Q$6,2)</f>
        <v>-2574.11</v>
      </c>
      <c r="R49" s="551">
        <f t="shared" ref="R49" si="25">ROUND(ROUND(Q51*R$5,2)/365*R$6,2)</f>
        <v>-2562.15</v>
      </c>
    </row>
    <row r="50" spans="1:26" x14ac:dyDescent="0.25">
      <c r="A50" s="87"/>
      <c r="B50" s="89" t="s">
        <v>138</v>
      </c>
      <c r="C50" s="89"/>
      <c r="D50" s="552">
        <f t="shared" ref="D50:R50" si="26">SUM(D48:D49)</f>
        <v>22750.9</v>
      </c>
      <c r="E50" s="552">
        <f t="shared" si="26"/>
        <v>35333.676800000001</v>
      </c>
      <c r="F50" s="552">
        <f t="shared" si="26"/>
        <v>34843.218440000004</v>
      </c>
      <c r="G50" s="552">
        <f t="shared" si="26"/>
        <v>33043.026239999999</v>
      </c>
      <c r="H50" s="552">
        <f t="shared" si="26"/>
        <v>35968.132400000002</v>
      </c>
      <c r="I50" s="552">
        <f t="shared" si="26"/>
        <v>28854.09432</v>
      </c>
      <c r="J50" s="552">
        <f t="shared" si="26"/>
        <v>16820.24352</v>
      </c>
      <c r="K50" s="552">
        <f t="shared" si="26"/>
        <v>17480.099039999997</v>
      </c>
      <c r="L50" s="552">
        <f t="shared" si="26"/>
        <v>10537.796039999999</v>
      </c>
      <c r="M50" s="552">
        <f t="shared" si="26"/>
        <v>11070.16828</v>
      </c>
      <c r="N50" s="552">
        <f t="shared" si="26"/>
        <v>11052.43288</v>
      </c>
      <c r="O50" s="552">
        <f t="shared" si="26"/>
        <v>15793.913279999999</v>
      </c>
      <c r="P50" s="552">
        <f>+P48+P49</f>
        <v>-728221.1</v>
      </c>
      <c r="Q50" s="552">
        <f t="shared" si="26"/>
        <v>35420.130000000005</v>
      </c>
      <c r="R50" s="552">
        <f t="shared" si="26"/>
        <v>89245.507130000013</v>
      </c>
    </row>
    <row r="51" spans="1:26" x14ac:dyDescent="0.25">
      <c r="A51" s="87"/>
      <c r="B51" s="89" t="s">
        <v>139</v>
      </c>
      <c r="C51" s="553">
        <f>+[3]WACAP2020Amort!P51</f>
        <v>-508968.49360000016</v>
      </c>
      <c r="D51" s="549">
        <f>C51+D50</f>
        <v>-486217.59360000014</v>
      </c>
      <c r="E51" s="549">
        <f>D51+E50-0.01</f>
        <v>-450883.92680000013</v>
      </c>
      <c r="F51" s="549">
        <f>E51+F50</f>
        <v>-416040.70836000011</v>
      </c>
      <c r="G51" s="549">
        <f t="shared" ref="G51:O51" si="27">F51+G50</f>
        <v>-382997.68212000013</v>
      </c>
      <c r="H51" s="549">
        <f t="shared" si="27"/>
        <v>-347029.54972000013</v>
      </c>
      <c r="I51" s="549">
        <f t="shared" si="27"/>
        <v>-318175.45540000015</v>
      </c>
      <c r="J51" s="549">
        <f t="shared" si="27"/>
        <v>-301355.21188000013</v>
      </c>
      <c r="K51" s="549">
        <f t="shared" si="27"/>
        <v>-283875.11284000013</v>
      </c>
      <c r="L51" s="549">
        <f t="shared" si="27"/>
        <v>-273337.31680000015</v>
      </c>
      <c r="M51" s="549">
        <f>L51+M50</f>
        <v>-262267.14852000016</v>
      </c>
      <c r="N51" s="549">
        <f t="shared" si="27"/>
        <v>-251214.71564000015</v>
      </c>
      <c r="O51" s="549">
        <f t="shared" si="27"/>
        <v>-235420.80236000015</v>
      </c>
      <c r="P51" s="549">
        <f>+O51+P50</f>
        <v>-963641.90236000018</v>
      </c>
      <c r="Q51" s="549">
        <f>P51+Q50</f>
        <v>-928221.77236000018</v>
      </c>
      <c r="R51" s="549">
        <f t="shared" ref="R51" si="28">Q51+R50</f>
        <v>-838976.26523000014</v>
      </c>
    </row>
    <row r="52" spans="1:26" x14ac:dyDescent="0.25">
      <c r="A52" s="86"/>
      <c r="F52" s="541"/>
      <c r="G52" s="541"/>
      <c r="H52" s="542"/>
      <c r="I52" s="541"/>
      <c r="J52" s="541"/>
      <c r="K52" s="541"/>
      <c r="L52" s="541"/>
      <c r="M52" s="541"/>
      <c r="N52" s="541"/>
      <c r="O52" s="541"/>
      <c r="P52" s="541"/>
      <c r="Q52" s="541"/>
      <c r="R52" s="541"/>
    </row>
    <row r="53" spans="1:26" x14ac:dyDescent="0.25">
      <c r="A53" s="86"/>
      <c r="B53" s="89"/>
      <c r="C53" s="89"/>
      <c r="D53" s="89"/>
      <c r="E53" s="89"/>
      <c r="F53" s="554"/>
      <c r="G53" s="554"/>
      <c r="H53" s="554"/>
      <c r="I53" s="554"/>
      <c r="J53" s="554"/>
      <c r="K53" s="554"/>
      <c r="L53" s="554"/>
      <c r="M53" s="554"/>
      <c r="N53" s="554"/>
      <c r="O53" s="554"/>
      <c r="P53" s="554"/>
      <c r="Q53" s="554"/>
      <c r="R53" s="554"/>
      <c r="T53" s="108"/>
    </row>
    <row r="54" spans="1:26" x14ac:dyDescent="0.25">
      <c r="A54" s="86">
        <v>570</v>
      </c>
      <c r="B54" s="104" t="s">
        <v>88</v>
      </c>
      <c r="C54" s="104"/>
      <c r="D54" s="104"/>
      <c r="E54" s="104"/>
      <c r="F54" s="541"/>
      <c r="G54" s="541"/>
      <c r="H54" s="542"/>
      <c r="I54" s="541"/>
      <c r="J54" s="541"/>
      <c r="K54" s="541"/>
      <c r="L54" s="541"/>
      <c r="M54" s="541"/>
      <c r="N54" s="541"/>
      <c r="O54" s="541"/>
      <c r="P54" s="541"/>
      <c r="Q54" s="541"/>
      <c r="R54" s="541"/>
      <c r="T54" s="108"/>
      <c r="U54" s="108"/>
    </row>
    <row r="55" spans="1:26" x14ac:dyDescent="0.25">
      <c r="A55" s="87" t="s">
        <v>92</v>
      </c>
      <c r="B55" t="s">
        <v>70</v>
      </c>
      <c r="D55" s="545">
        <v>220318</v>
      </c>
      <c r="E55" s="545">
        <v>244469</v>
      </c>
      <c r="F55" s="545">
        <v>248648</v>
      </c>
      <c r="G55" s="545">
        <v>239855</v>
      </c>
      <c r="H55" s="545">
        <v>234583</v>
      </c>
      <c r="I55" s="545">
        <v>180576</v>
      </c>
      <c r="J55" s="545">
        <v>143789</v>
      </c>
      <c r="K55" s="545">
        <v>104510</v>
      </c>
      <c r="L55" s="545">
        <v>88811</v>
      </c>
      <c r="M55" s="545">
        <v>103033</v>
      </c>
      <c r="N55" s="545">
        <v>127498</v>
      </c>
      <c r="O55" s="545">
        <v>188282</v>
      </c>
      <c r="P55" s="545"/>
      <c r="Q55" s="545">
        <v>215369</v>
      </c>
      <c r="R55" s="545">
        <v>271190</v>
      </c>
      <c r="T55" s="544"/>
      <c r="V55" s="544"/>
    </row>
    <row r="56" spans="1:26" x14ac:dyDescent="0.25">
      <c r="A56" s="87" t="s">
        <v>257</v>
      </c>
      <c r="D56" s="547">
        <v>-1.1990000000000001E-2</v>
      </c>
      <c r="E56" s="547">
        <v>-1.1990000000000001E-2</v>
      </c>
      <c r="F56" s="547">
        <v>-1.1990000000000001E-2</v>
      </c>
      <c r="G56" s="547">
        <v>-1.1990000000000001E-2</v>
      </c>
      <c r="H56" s="547">
        <v>-1.1990000000000001E-2</v>
      </c>
      <c r="I56" s="547">
        <v>-1.1990000000000001E-2</v>
      </c>
      <c r="J56" s="547">
        <v>-1.1990000000000001E-2</v>
      </c>
      <c r="K56" s="547">
        <v>-1.1990000000000001E-2</v>
      </c>
      <c r="L56" s="547">
        <v>-1.1990000000000001E-2</v>
      </c>
      <c r="M56" s="547">
        <v>-1.1990000000000001E-2</v>
      </c>
      <c r="N56" s="547">
        <v>-1.1990000000000001E-2</v>
      </c>
      <c r="O56" s="547">
        <v>-1.1990000000000001E-2</v>
      </c>
      <c r="P56" s="547"/>
      <c r="Q56" s="547">
        <v>-1.1990000000000001E-2</v>
      </c>
      <c r="R56" s="547">
        <v>-2.82E-3</v>
      </c>
      <c r="T56" s="112"/>
      <c r="V56" s="112"/>
      <c r="Z56" s="112"/>
    </row>
    <row r="57" spans="1:26" x14ac:dyDescent="0.25">
      <c r="A57" s="87"/>
      <c r="B57" s="89" t="s">
        <v>74</v>
      </c>
      <c r="C57" s="89"/>
      <c r="D57" s="89"/>
      <c r="E57" s="89"/>
      <c r="F57" s="548"/>
      <c r="G57" s="548"/>
      <c r="H57" s="548"/>
      <c r="I57" s="548"/>
      <c r="J57" s="548"/>
      <c r="K57" s="548"/>
      <c r="L57" s="548"/>
      <c r="M57" s="548"/>
      <c r="N57" s="548"/>
      <c r="O57" s="548"/>
      <c r="P57" s="548"/>
      <c r="Q57" s="548"/>
      <c r="R57" s="548"/>
    </row>
    <row r="58" spans="1:26" x14ac:dyDescent="0.25">
      <c r="A58" s="87"/>
      <c r="B58" s="89" t="s">
        <v>75</v>
      </c>
      <c r="C58" s="89"/>
      <c r="D58" s="549">
        <f>+[3]WACAP2020Amort!Q66</f>
        <v>-2641.6128200000003</v>
      </c>
      <c r="E58" s="549">
        <f t="shared" ref="E58:R58" si="29">+E55*E56</f>
        <v>-2931.1833100000003</v>
      </c>
      <c r="F58" s="549">
        <f t="shared" si="29"/>
        <v>-2981.2895200000003</v>
      </c>
      <c r="G58" s="549">
        <f t="shared" si="29"/>
        <v>-2875.8614500000003</v>
      </c>
      <c r="H58" s="549">
        <f t="shared" si="29"/>
        <v>-2812.6501700000003</v>
      </c>
      <c r="I58" s="549">
        <f t="shared" si="29"/>
        <v>-2165.1062400000001</v>
      </c>
      <c r="J58" s="549">
        <f t="shared" si="29"/>
        <v>-1724.0301100000001</v>
      </c>
      <c r="K58" s="549">
        <f t="shared" si="29"/>
        <v>-1253.0749000000001</v>
      </c>
      <c r="L58" s="549">
        <f t="shared" si="29"/>
        <v>-1064.8438900000001</v>
      </c>
      <c r="M58" s="549">
        <f t="shared" si="29"/>
        <v>-1235.3656700000001</v>
      </c>
      <c r="N58" s="549">
        <f t="shared" si="29"/>
        <v>-1528.70102</v>
      </c>
      <c r="O58" s="549">
        <f t="shared" si="29"/>
        <v>-2257.5011800000002</v>
      </c>
      <c r="P58" s="549">
        <f>+'[3]WACAP 2021'!N133</f>
        <v>4603.1900000000005</v>
      </c>
      <c r="Q58" s="549">
        <v>-607.34</v>
      </c>
      <c r="R58" s="549">
        <f t="shared" si="29"/>
        <v>-764.75580000000002</v>
      </c>
    </row>
    <row r="59" spans="1:26" x14ac:dyDescent="0.25">
      <c r="A59" s="87"/>
      <c r="B59" s="89" t="s">
        <v>137</v>
      </c>
      <c r="C59" s="89"/>
      <c r="D59" s="551">
        <f>ROUND(ROUND(C61*D$5,2)/365*D$6,2)</f>
        <v>73.2</v>
      </c>
      <c r="E59" s="551">
        <f t="shared" ref="E59:O59" si="30">ROUND(ROUND(D61*E$5,2)/365*E$6,2)</f>
        <v>68.56</v>
      </c>
      <c r="F59" s="551">
        <f>ROUND(ROUND(E61*F$5,2)/365*F$6,2)</f>
        <v>60.65</v>
      </c>
      <c r="G59" s="551">
        <f t="shared" si="30"/>
        <v>47.5</v>
      </c>
      <c r="H59" s="551">
        <f t="shared" si="30"/>
        <v>44.78</v>
      </c>
      <c r="I59" s="551">
        <f t="shared" si="30"/>
        <v>35.950000000000003</v>
      </c>
      <c r="J59" s="551">
        <f t="shared" si="30"/>
        <v>31.27</v>
      </c>
      <c r="K59" s="551">
        <f t="shared" si="30"/>
        <v>25.74</v>
      </c>
      <c r="L59" s="551">
        <f t="shared" si="30"/>
        <v>23.21</v>
      </c>
      <c r="M59" s="551">
        <f>ROUND(ROUND(L61*M$5,2)/365*M$6,2)</f>
        <v>20.329999999999998</v>
      </c>
      <c r="N59" s="551">
        <f t="shared" si="30"/>
        <v>16.43</v>
      </c>
      <c r="O59" s="551">
        <f t="shared" si="30"/>
        <v>12.8</v>
      </c>
      <c r="P59" s="549">
        <f>+'[3]WACAP 2021'!N134</f>
        <v>126.13</v>
      </c>
      <c r="Q59" s="551">
        <f>ROUND(ROUND(P61*Q$5,2)/365*Q$6,2)</f>
        <v>19.03</v>
      </c>
      <c r="R59" s="551">
        <f t="shared" ref="R59" si="31">ROUND(ROUND(Q61*R$5,2)/365*R$6,2)</f>
        <v>18.04</v>
      </c>
    </row>
    <row r="60" spans="1:26" x14ac:dyDescent="0.25">
      <c r="A60" s="87"/>
      <c r="B60" s="89" t="s">
        <v>138</v>
      </c>
      <c r="C60" s="89"/>
      <c r="D60" s="552">
        <f t="shared" ref="D60:R60" si="32">SUM(D58:D59)</f>
        <v>-2568.4128200000005</v>
      </c>
      <c r="E60" s="552">
        <f t="shared" si="32"/>
        <v>-2862.6233100000004</v>
      </c>
      <c r="F60" s="552">
        <f t="shared" si="32"/>
        <v>-2920.6395200000002</v>
      </c>
      <c r="G60" s="552">
        <f t="shared" si="32"/>
        <v>-2828.3614500000003</v>
      </c>
      <c r="H60" s="552">
        <f t="shared" si="32"/>
        <v>-2767.8701700000001</v>
      </c>
      <c r="I60" s="552">
        <f t="shared" si="32"/>
        <v>-2129.1562400000003</v>
      </c>
      <c r="J60" s="552">
        <f t="shared" si="32"/>
        <v>-1692.7601100000002</v>
      </c>
      <c r="K60" s="552">
        <f t="shared" si="32"/>
        <v>-1227.3349000000001</v>
      </c>
      <c r="L60" s="552">
        <f t="shared" si="32"/>
        <v>-1041.6338900000001</v>
      </c>
      <c r="M60" s="552">
        <f t="shared" si="32"/>
        <v>-1215.0356700000002</v>
      </c>
      <c r="N60" s="552">
        <f t="shared" si="32"/>
        <v>-1512.2710199999999</v>
      </c>
      <c r="O60" s="552">
        <f t="shared" si="32"/>
        <v>-2244.70118</v>
      </c>
      <c r="P60" s="552">
        <f>+P58+P59</f>
        <v>4729.3200000000006</v>
      </c>
      <c r="Q60" s="552">
        <f t="shared" si="32"/>
        <v>-588.31000000000006</v>
      </c>
      <c r="R60" s="552">
        <f t="shared" si="32"/>
        <v>-746.71580000000006</v>
      </c>
    </row>
    <row r="61" spans="1:26" x14ac:dyDescent="0.25">
      <c r="A61" s="87"/>
      <c r="B61" s="89" t="s">
        <v>139</v>
      </c>
      <c r="C61" s="553">
        <f>+[3]WACAP2020Amort!P69</f>
        <v>27404.747700000004</v>
      </c>
      <c r="D61" s="549">
        <f>C61+D60</f>
        <v>24836.334880000002</v>
      </c>
      <c r="E61" s="549">
        <f t="shared" ref="E61:O61" si="33">D61+E60</f>
        <v>21973.711570000003</v>
      </c>
      <c r="F61" s="549">
        <f>E61+F60</f>
        <v>19053.072050000002</v>
      </c>
      <c r="G61" s="549">
        <f t="shared" si="33"/>
        <v>16224.710600000002</v>
      </c>
      <c r="H61" s="549">
        <f t="shared" si="33"/>
        <v>13456.840430000002</v>
      </c>
      <c r="I61" s="549">
        <f t="shared" si="33"/>
        <v>11327.684190000002</v>
      </c>
      <c r="J61" s="549">
        <f t="shared" si="33"/>
        <v>9634.9240800000007</v>
      </c>
      <c r="K61" s="549">
        <f t="shared" si="33"/>
        <v>8407.5891800000009</v>
      </c>
      <c r="L61" s="549">
        <f t="shared" si="33"/>
        <v>7365.9552900000008</v>
      </c>
      <c r="M61" s="549">
        <f>L61+M60</f>
        <v>6150.9196200000006</v>
      </c>
      <c r="N61" s="549">
        <f t="shared" si="33"/>
        <v>4638.6486000000004</v>
      </c>
      <c r="O61" s="549">
        <f t="shared" si="33"/>
        <v>2393.9474200000004</v>
      </c>
      <c r="P61" s="549">
        <f>+O61+P60</f>
        <v>7123.267420000001</v>
      </c>
      <c r="Q61" s="549">
        <f>P61+Q60</f>
        <v>6534.9574200000006</v>
      </c>
      <c r="R61" s="549">
        <f t="shared" ref="R61" si="34">Q61+R60</f>
        <v>5788.2416200000007</v>
      </c>
    </row>
    <row r="62" spans="1:26" x14ac:dyDescent="0.25">
      <c r="A62" s="86"/>
      <c r="F62" s="555"/>
      <c r="G62" s="555"/>
      <c r="H62" s="548"/>
      <c r="I62" s="555"/>
      <c r="J62" s="555"/>
      <c r="K62" s="555"/>
      <c r="L62" s="555"/>
      <c r="M62" s="555"/>
      <c r="N62" s="555"/>
      <c r="O62" s="555"/>
      <c r="P62" s="555"/>
      <c r="Q62" s="555"/>
      <c r="R62" s="555"/>
      <c r="T62" s="108"/>
    </row>
    <row r="63" spans="1:26" ht="15.75" thickBot="1" x14ac:dyDescent="0.3">
      <c r="A63" s="118"/>
      <c r="B63" s="119"/>
      <c r="C63" s="119"/>
      <c r="D63" s="119"/>
      <c r="E63" s="119"/>
      <c r="F63" s="119"/>
      <c r="G63" s="119"/>
      <c r="H63" s="176"/>
      <c r="I63" s="119"/>
      <c r="J63" s="119"/>
      <c r="K63" s="119"/>
      <c r="L63" s="119"/>
      <c r="M63" s="119"/>
      <c r="N63" s="119"/>
      <c r="O63" s="119"/>
      <c r="P63" s="119"/>
      <c r="Q63" s="119"/>
      <c r="R63" s="119"/>
    </row>
    <row r="64" spans="1:26" x14ac:dyDescent="0.25">
      <c r="B64" s="89" t="s">
        <v>259</v>
      </c>
      <c r="C64" s="108">
        <f>SUM(C15:C61)+0.09</f>
        <v>-3858737.1208799961</v>
      </c>
      <c r="H64" s="108"/>
    </row>
    <row r="65" spans="2:18" x14ac:dyDescent="0.25">
      <c r="B65" s="89" t="s">
        <v>89</v>
      </c>
      <c r="C65" s="556"/>
      <c r="D65" s="557">
        <f>+D12+D30+D39+D21+D48+D58</f>
        <v>11668.787180000001</v>
      </c>
      <c r="E65" s="557">
        <f t="shared" ref="E65:R66" si="35">+E12+E30+E39+E21+E48+E58</f>
        <v>512196.88659000007</v>
      </c>
      <c r="F65" s="557">
        <f>+F12+F30+F39+F21+F48+F58-0.01</f>
        <v>540665.47662000009</v>
      </c>
      <c r="G65" s="557">
        <f t="shared" si="35"/>
        <v>508910.32601999998</v>
      </c>
      <c r="H65" s="557">
        <f t="shared" si="35"/>
        <v>550335.86378999997</v>
      </c>
      <c r="I65" s="557">
        <f>+I12+I30+I39+I21+I48+I58+0.01</f>
        <v>387233.80443000002</v>
      </c>
      <c r="J65" s="557">
        <f t="shared" si="35"/>
        <v>205004.10041000001</v>
      </c>
      <c r="K65" s="557">
        <f>+K12+K30+K39+K21+K48+K58+0.01</f>
        <v>169347.10689000002</v>
      </c>
      <c r="L65" s="557">
        <f t="shared" si="35"/>
        <v>110956.32797</v>
      </c>
      <c r="M65" s="557">
        <f t="shared" si="35"/>
        <v>103534.84290000002</v>
      </c>
      <c r="N65" s="557">
        <f t="shared" si="35"/>
        <v>113310.60581000001</v>
      </c>
      <c r="O65" s="557">
        <f>+O12+O30+O39+O21+O48+O58+0.01</f>
        <v>175646.34134000001</v>
      </c>
      <c r="P65" s="557">
        <f t="shared" si="35"/>
        <v>3321217.3099999987</v>
      </c>
      <c r="Q65" s="557">
        <f t="shared" si="35"/>
        <v>181431.84</v>
      </c>
      <c r="R65" s="557">
        <f t="shared" si="35"/>
        <v>-129628.83102999996</v>
      </c>
    </row>
    <row r="66" spans="2:18" x14ac:dyDescent="0.25">
      <c r="B66" s="89" t="s">
        <v>141</v>
      </c>
      <c r="C66" s="89"/>
      <c r="D66" s="558">
        <f>+D13+D31+D40+D22+D49+D59+0.01</f>
        <v>-10307.589999999998</v>
      </c>
      <c r="E66" s="558">
        <f t="shared" si="35"/>
        <v>-10647.400000000001</v>
      </c>
      <c r="F66" s="558">
        <f t="shared" si="35"/>
        <v>-9263</v>
      </c>
      <c r="G66" s="558">
        <f>+G13+G31+G40+G22+G49+G59</f>
        <v>-7041.72</v>
      </c>
      <c r="H66" s="558">
        <f t="shared" si="35"/>
        <v>-6410.89</v>
      </c>
      <c r="I66" s="558">
        <f t="shared" si="35"/>
        <v>-4751.1400000000003</v>
      </c>
      <c r="J66" s="558">
        <f>+J13+J31+J40+J22+J49+J59-0.01</f>
        <v>-3853.7500000000005</v>
      </c>
      <c r="K66" s="558">
        <f>+K13+K31+K40+K22+K49+K59-0.01</f>
        <v>-3192.1200000000008</v>
      </c>
      <c r="L66" s="558">
        <f>+L13+L31+L40+L22+L49+L59-0.02</f>
        <v>-2839.8900000000003</v>
      </c>
      <c r="M66" s="558">
        <f t="shared" si="35"/>
        <v>-2541.46</v>
      </c>
      <c r="N66" s="558">
        <f t="shared" si="35"/>
        <v>-2189.7000000000003</v>
      </c>
      <c r="O66" s="558">
        <f>+O13+O31+O40+O22+O49+O59+0.01</f>
        <v>-1955.96</v>
      </c>
      <c r="P66" s="558">
        <f>+P13+P31+P40+P22+P49+P59</f>
        <v>91003.280000000013</v>
      </c>
      <c r="Q66" s="558">
        <f>+Q13+Q31+Q40+Q22+Q49+Q59-0.01</f>
        <v>7685.9399999999978</v>
      </c>
      <c r="R66" s="558">
        <f>+R13+R31+R40+R22+R49+R59+0.01</f>
        <v>8464.1500000000015</v>
      </c>
    </row>
    <row r="67" spans="2:18" x14ac:dyDescent="0.25">
      <c r="B67" s="89" t="s">
        <v>139</v>
      </c>
      <c r="C67" s="550"/>
      <c r="D67" s="557">
        <f>SUM(D65:D66)+C64</f>
        <v>-3857375.923699996</v>
      </c>
      <c r="E67" s="557">
        <f>SUM(E65:E66)+D67</f>
        <v>-3355826.4371099961</v>
      </c>
      <c r="F67" s="557">
        <f>SUM(F65:F66)+E67-0.01</f>
        <v>-2824423.9704899956</v>
      </c>
      <c r="G67" s="557">
        <f>SUM(G65:G66)+F67+0.01</f>
        <v>-2322555.3544699959</v>
      </c>
      <c r="H67" s="557">
        <f>SUM(H65:H66)+G67</f>
        <v>-1778630.380679996</v>
      </c>
      <c r="I67" s="557">
        <f>SUM(I65:I66)+H67+0.01</f>
        <v>-1396147.7062499959</v>
      </c>
      <c r="J67" s="557">
        <f>SUM(J65:J66)+I67</f>
        <v>-1194997.3558399959</v>
      </c>
      <c r="K67" s="557">
        <f>SUM(K65:K66)+J67-0.01</f>
        <v>-1028842.3789499959</v>
      </c>
      <c r="L67" s="557">
        <f>SUM(L65:L66)+K67</f>
        <v>-920725.94097999588</v>
      </c>
      <c r="M67" s="557">
        <f>SUM(M65:M66)+L67</f>
        <v>-819732.55807999591</v>
      </c>
      <c r="N67" s="557">
        <f>SUM(N65:N66)+M67</f>
        <v>-708611.65226999589</v>
      </c>
      <c r="O67" s="557">
        <f>SUM(O65:O66)+N67</f>
        <v>-534921.27092999592</v>
      </c>
      <c r="P67" s="557">
        <f t="shared" ref="P67:R67" si="36">SUM(P65:P66)+O67</f>
        <v>2877299.3190700025</v>
      </c>
      <c r="Q67" s="557">
        <f>SUM(Q65:Q66)+P67</f>
        <v>3066417.0990700023</v>
      </c>
      <c r="R67" s="557">
        <f t="shared" si="36"/>
        <v>2945252.4180400022</v>
      </c>
    </row>
    <row r="68" spans="2:18" x14ac:dyDescent="0.25">
      <c r="B68" s="89"/>
      <c r="C68" s="89"/>
      <c r="D68" s="89"/>
      <c r="E68" s="89"/>
      <c r="F68" s="559"/>
      <c r="G68" s="557"/>
      <c r="H68" s="557"/>
      <c r="I68" s="557"/>
      <c r="J68" s="557"/>
      <c r="K68" s="557"/>
      <c r="L68" s="557"/>
      <c r="M68" s="557"/>
      <c r="N68" s="557"/>
      <c r="O68" s="557"/>
      <c r="P68" s="557"/>
      <c r="Q68" s="557"/>
      <c r="R68" s="557"/>
    </row>
    <row r="69" spans="2:18" x14ac:dyDescent="0.25">
      <c r="C69" s="108"/>
      <c r="F69" s="108"/>
      <c r="R69" s="108"/>
    </row>
    <row r="72" spans="2:18" x14ac:dyDescent="0.25">
      <c r="I72" s="108"/>
      <c r="P72" s="108"/>
    </row>
  </sheetData>
  <mergeCells count="4">
    <mergeCell ref="A1:L1"/>
    <mergeCell ref="A2:L2"/>
    <mergeCell ref="A3:L3"/>
    <mergeCell ref="C4:C5"/>
  </mergeCell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937C9-7682-4B0A-92C0-61A9F9EF5C13}">
  <sheetPr>
    <pageSetUpPr fitToPage="1"/>
  </sheetPr>
  <dimension ref="A2:AC15"/>
  <sheetViews>
    <sheetView workbookViewId="0"/>
  </sheetViews>
  <sheetFormatPr defaultColWidth="9.140625" defaultRowHeight="15" x14ac:dyDescent="0.25"/>
  <cols>
    <col min="1" max="2" width="2.85546875" customWidth="1"/>
    <col min="3" max="3" width="40.7109375" bestFit="1" customWidth="1"/>
    <col min="4" max="13" width="10.85546875" customWidth="1"/>
    <col min="14" max="14" width="1.5703125" customWidth="1"/>
    <col min="15" max="16" width="10.85546875" customWidth="1"/>
    <col min="17" max="17" width="10.28515625" bestFit="1" customWidth="1"/>
  </cols>
  <sheetData>
    <row r="2" spans="1:29" ht="15" customHeight="1" x14ac:dyDescent="0.25">
      <c r="C2" s="399"/>
      <c r="D2" s="694" t="s">
        <v>125</v>
      </c>
      <c r="E2" s="694"/>
      <c r="F2" s="694"/>
      <c r="G2" s="694"/>
      <c r="H2" s="694"/>
      <c r="I2" s="694"/>
      <c r="J2" s="694"/>
      <c r="K2" s="694"/>
      <c r="L2" s="694"/>
      <c r="M2" s="694"/>
      <c r="N2" s="694"/>
      <c r="O2" s="694"/>
      <c r="P2" s="694"/>
    </row>
    <row r="3" spans="1:29" ht="15" customHeight="1" x14ac:dyDescent="0.25">
      <c r="C3" s="399"/>
      <c r="D3" s="694"/>
      <c r="E3" s="694"/>
      <c r="F3" s="694"/>
      <c r="G3" s="694"/>
      <c r="H3" s="694"/>
      <c r="I3" s="694"/>
      <c r="J3" s="694"/>
      <c r="K3" s="694"/>
      <c r="L3" s="694"/>
      <c r="M3" s="694"/>
      <c r="N3" s="694"/>
      <c r="O3" s="694"/>
      <c r="P3" s="694"/>
    </row>
    <row r="4" spans="1:29" ht="15" customHeight="1" x14ac:dyDescent="0.25">
      <c r="C4" s="399"/>
      <c r="D4" s="694"/>
      <c r="E4" s="694"/>
      <c r="F4" s="694"/>
      <c r="G4" s="694"/>
      <c r="H4" s="694"/>
      <c r="I4" s="694"/>
      <c r="J4" s="694"/>
      <c r="K4" s="694"/>
      <c r="L4" s="694"/>
      <c r="M4" s="694"/>
      <c r="N4" s="694"/>
      <c r="O4" s="694"/>
      <c r="P4" s="694"/>
    </row>
    <row r="5" spans="1:29" ht="22.5" customHeight="1" x14ac:dyDescent="0.35">
      <c r="C5" s="420" t="s">
        <v>219</v>
      </c>
      <c r="D5" s="695" t="s">
        <v>62</v>
      </c>
      <c r="E5" s="695"/>
      <c r="F5" s="695"/>
      <c r="G5" s="695"/>
      <c r="H5" s="695"/>
      <c r="I5" s="695"/>
      <c r="J5" s="695"/>
      <c r="K5" s="695"/>
      <c r="L5" s="695"/>
      <c r="M5" s="695"/>
      <c r="N5" s="695"/>
      <c r="O5" s="695"/>
      <c r="P5" s="695"/>
    </row>
    <row r="6" spans="1:29" x14ac:dyDescent="0.25">
      <c r="C6" s="400"/>
      <c r="D6" s="401" t="s">
        <v>155</v>
      </c>
      <c r="E6" s="401" t="s">
        <v>156</v>
      </c>
      <c r="F6" s="401" t="s">
        <v>157</v>
      </c>
      <c r="G6" s="401" t="s">
        <v>158</v>
      </c>
      <c r="H6" s="401" t="s">
        <v>23</v>
      </c>
      <c r="I6" s="401" t="s">
        <v>159</v>
      </c>
      <c r="J6" s="401" t="s">
        <v>160</v>
      </c>
      <c r="K6" s="401" t="s">
        <v>211</v>
      </c>
      <c r="L6" s="401" t="s">
        <v>162</v>
      </c>
      <c r="M6" s="401" t="s">
        <v>168</v>
      </c>
      <c r="N6" s="401"/>
      <c r="O6" s="401" t="s">
        <v>171</v>
      </c>
      <c r="P6" s="412" t="s">
        <v>173</v>
      </c>
    </row>
    <row r="7" spans="1:29" s="51" customFormat="1" ht="16.5" customHeight="1" x14ac:dyDescent="0.25">
      <c r="A7"/>
      <c r="B7" s="313"/>
      <c r="C7" s="402" t="s">
        <v>31</v>
      </c>
      <c r="D7" s="403">
        <v>34.01</v>
      </c>
      <c r="E7" s="403">
        <v>27.36</v>
      </c>
      <c r="F7" s="403">
        <v>23.04</v>
      </c>
      <c r="G7" s="403">
        <v>15.12</v>
      </c>
      <c r="H7" s="403">
        <v>9.59</v>
      </c>
      <c r="I7" s="403">
        <v>5.87</v>
      </c>
      <c r="J7" s="403">
        <v>4.92</v>
      </c>
      <c r="K7" s="403">
        <v>4.93</v>
      </c>
      <c r="L7" s="403">
        <v>6.29</v>
      </c>
      <c r="M7" s="403">
        <v>14.41</v>
      </c>
      <c r="N7" s="403"/>
      <c r="O7" s="403">
        <v>26.92</v>
      </c>
      <c r="P7" s="413">
        <v>36.11</v>
      </c>
      <c r="Q7" s="419">
        <f>SUM(D7:P7)</f>
        <v>208.57</v>
      </c>
      <c r="R7"/>
      <c r="S7"/>
      <c r="T7"/>
      <c r="U7"/>
      <c r="V7"/>
      <c r="W7"/>
      <c r="X7"/>
      <c r="Y7"/>
      <c r="Z7"/>
      <c r="AA7"/>
      <c r="AB7"/>
      <c r="AC7"/>
    </row>
    <row r="8" spans="1:29" s="51" customFormat="1" hidden="1" x14ac:dyDescent="0.25">
      <c r="A8"/>
      <c r="B8" s="313"/>
      <c r="C8" s="404"/>
      <c r="D8" s="405"/>
      <c r="E8" s="405"/>
      <c r="F8" s="405"/>
      <c r="G8" s="405"/>
      <c r="H8" s="405"/>
      <c r="I8" s="405"/>
      <c r="J8" s="405"/>
      <c r="K8" s="405"/>
      <c r="L8" s="405"/>
      <c r="M8" s="405"/>
      <c r="N8" s="405"/>
      <c r="O8" s="405"/>
      <c r="P8" s="414"/>
      <c r="Q8"/>
      <c r="R8"/>
      <c r="S8"/>
      <c r="T8"/>
      <c r="U8"/>
      <c r="V8"/>
      <c r="W8"/>
      <c r="X8"/>
      <c r="Y8"/>
      <c r="Z8"/>
      <c r="AA8"/>
      <c r="AB8"/>
      <c r="AC8"/>
    </row>
    <row r="9" spans="1:29" s="51" customFormat="1" ht="16.5" customHeight="1" x14ac:dyDescent="0.25">
      <c r="A9"/>
      <c r="B9" s="313"/>
      <c r="C9" s="406" t="s">
        <v>34</v>
      </c>
      <c r="D9" s="407">
        <v>145.25</v>
      </c>
      <c r="E9" s="407">
        <v>115.92</v>
      </c>
      <c r="F9" s="407">
        <v>92.36</v>
      </c>
      <c r="G9" s="407">
        <v>60.03</v>
      </c>
      <c r="H9" s="407">
        <v>43.76</v>
      </c>
      <c r="I9" s="407">
        <v>30.93</v>
      </c>
      <c r="J9" s="407">
        <v>30.62</v>
      </c>
      <c r="K9" s="407">
        <v>30.8</v>
      </c>
      <c r="L9" s="407">
        <v>37.36</v>
      </c>
      <c r="M9" s="407">
        <v>70.42</v>
      </c>
      <c r="N9" s="407"/>
      <c r="O9" s="407">
        <v>107.7</v>
      </c>
      <c r="P9" s="415">
        <v>140.5</v>
      </c>
      <c r="Q9" s="419">
        <f>SUM(D9:P9)</f>
        <v>905.65</v>
      </c>
      <c r="R9"/>
      <c r="S9"/>
      <c r="T9"/>
      <c r="U9"/>
      <c r="V9"/>
      <c r="W9"/>
      <c r="X9"/>
      <c r="Y9"/>
      <c r="Z9"/>
      <c r="AA9"/>
      <c r="AB9"/>
      <c r="AC9"/>
    </row>
    <row r="10" spans="1:29" hidden="1" x14ac:dyDescent="0.25">
      <c r="B10" s="313"/>
      <c r="C10" s="404"/>
      <c r="D10" s="408"/>
      <c r="E10" s="408"/>
      <c r="F10" s="408"/>
      <c r="G10" s="408"/>
      <c r="H10" s="408"/>
      <c r="I10" s="408"/>
      <c r="J10" s="408"/>
      <c r="K10" s="408"/>
      <c r="L10" s="408"/>
      <c r="M10" s="408"/>
      <c r="N10" s="408"/>
      <c r="O10" s="408"/>
      <c r="P10" s="416"/>
    </row>
    <row r="11" spans="1:29" ht="16.5" customHeight="1" x14ac:dyDescent="0.25">
      <c r="B11" s="313"/>
      <c r="C11" s="409" t="s">
        <v>35</v>
      </c>
      <c r="D11" s="410">
        <v>496.92</v>
      </c>
      <c r="E11" s="410">
        <v>562.38</v>
      </c>
      <c r="F11" s="410">
        <v>611.74</v>
      </c>
      <c r="G11" s="410">
        <v>461.33</v>
      </c>
      <c r="H11" s="410">
        <v>277.33999999999997</v>
      </c>
      <c r="I11" s="410">
        <v>199.87</v>
      </c>
      <c r="J11" s="410">
        <v>187.31</v>
      </c>
      <c r="K11" s="410">
        <v>192.44</v>
      </c>
      <c r="L11" s="410">
        <v>226.4</v>
      </c>
      <c r="M11" s="410">
        <v>445.44</v>
      </c>
      <c r="N11" s="410"/>
      <c r="O11" s="410">
        <v>399.94</v>
      </c>
      <c r="P11" s="417">
        <v>486.07</v>
      </c>
      <c r="Q11" s="419">
        <f>SUM(D11:P11)</f>
        <v>4547.18</v>
      </c>
    </row>
    <row r="12" spans="1:29" hidden="1" x14ac:dyDescent="0.25">
      <c r="B12" s="313"/>
      <c r="C12" s="404"/>
      <c r="D12" s="408"/>
      <c r="E12" s="408"/>
      <c r="F12" s="408"/>
      <c r="G12" s="408"/>
      <c r="H12" s="408"/>
      <c r="I12" s="408"/>
      <c r="J12" s="408"/>
      <c r="K12" s="408"/>
      <c r="L12" s="408"/>
      <c r="M12" s="408"/>
      <c r="N12" s="408"/>
      <c r="O12" s="408"/>
      <c r="P12" s="416"/>
    </row>
    <row r="13" spans="1:29" ht="16.5" customHeight="1" x14ac:dyDescent="0.25">
      <c r="B13" s="313"/>
      <c r="C13" s="409" t="s">
        <v>46</v>
      </c>
      <c r="D13" s="403">
        <v>2859.32</v>
      </c>
      <c r="E13" s="403">
        <v>2930.25</v>
      </c>
      <c r="F13" s="403">
        <v>3083.24</v>
      </c>
      <c r="G13" s="403">
        <v>2238.91</v>
      </c>
      <c r="H13" s="403">
        <v>1589.77</v>
      </c>
      <c r="I13" s="403">
        <v>1250.44</v>
      </c>
      <c r="J13" s="403">
        <v>1180.6300000000001</v>
      </c>
      <c r="K13" s="403">
        <v>1176.43</v>
      </c>
      <c r="L13" s="403">
        <v>1043.73</v>
      </c>
      <c r="M13" s="403">
        <v>1742.25</v>
      </c>
      <c r="N13" s="403"/>
      <c r="O13" s="403">
        <v>2330.12</v>
      </c>
      <c r="P13" s="413">
        <v>2542.92</v>
      </c>
      <c r="Q13" s="419">
        <f>SUM(D13:P13)</f>
        <v>23968.010000000002</v>
      </c>
    </row>
    <row r="14" spans="1:29" hidden="1" x14ac:dyDescent="0.25">
      <c r="B14" s="313"/>
      <c r="C14" s="404"/>
      <c r="D14" s="411"/>
      <c r="E14" s="411"/>
      <c r="F14" s="411"/>
      <c r="G14" s="411"/>
      <c r="H14" s="411"/>
      <c r="I14" s="411"/>
      <c r="J14" s="411"/>
      <c r="K14" s="411"/>
      <c r="L14" s="411"/>
      <c r="M14" s="411"/>
      <c r="N14" s="411"/>
      <c r="O14" s="411"/>
      <c r="P14" s="418"/>
    </row>
    <row r="15" spans="1:29" ht="16.5" customHeight="1" x14ac:dyDescent="0.25">
      <c r="B15" s="313"/>
      <c r="C15" s="409" t="s">
        <v>54</v>
      </c>
      <c r="D15" s="407">
        <v>2023.75</v>
      </c>
      <c r="E15" s="407">
        <v>2010.77</v>
      </c>
      <c r="F15" s="407">
        <v>2099.13</v>
      </c>
      <c r="G15" s="407">
        <v>1927.9</v>
      </c>
      <c r="H15" s="407">
        <v>1700.06</v>
      </c>
      <c r="I15" s="407">
        <v>1263.1099999999999</v>
      </c>
      <c r="J15" s="407">
        <v>985.47</v>
      </c>
      <c r="K15" s="407">
        <v>932.53</v>
      </c>
      <c r="L15" s="407">
        <v>727.41</v>
      </c>
      <c r="M15" s="407">
        <v>865.82</v>
      </c>
      <c r="N15" s="407"/>
      <c r="O15" s="407">
        <v>1808.84</v>
      </c>
      <c r="P15" s="415">
        <v>1788.74</v>
      </c>
      <c r="Q15" s="419">
        <f>SUM(D15:P15)</f>
        <v>18133.53</v>
      </c>
    </row>
  </sheetData>
  <mergeCells count="2">
    <mergeCell ref="D2:P4"/>
    <mergeCell ref="D5:P5"/>
  </mergeCells>
  <pageMargins left="0.3" right="0.25" top="0.42" bottom="0.43" header="0.3" footer="0.2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581F7-0C64-4D3C-A8C7-4925EA6C654D}">
  <sheetPr>
    <pageSetUpPr fitToPage="1"/>
  </sheetPr>
  <dimension ref="A1:CI203"/>
  <sheetViews>
    <sheetView topLeftCell="A2" workbookViewId="0"/>
  </sheetViews>
  <sheetFormatPr defaultColWidth="9.140625" defaultRowHeight="15" x14ac:dyDescent="0.25"/>
  <cols>
    <col min="1" max="1" width="1.85546875" customWidth="1"/>
    <col min="2" max="2" width="2.85546875" hidden="1" customWidth="1"/>
    <col min="3" max="3" width="57.42578125" customWidth="1"/>
    <col min="4" max="4" width="14.7109375" bestFit="1" customWidth="1"/>
    <col min="5" max="5" width="15.85546875" bestFit="1" customWidth="1"/>
    <col min="6" max="6" width="14.85546875" customWidth="1"/>
    <col min="7" max="14" width="14.7109375" customWidth="1"/>
    <col min="15" max="15" width="15" customWidth="1"/>
    <col min="16" max="17" width="15.28515625" bestFit="1" customWidth="1"/>
    <col min="18" max="18" width="2" customWidth="1"/>
    <col min="19" max="19" width="18.7109375" customWidth="1"/>
    <col min="20" max="20" width="14.5703125" customWidth="1"/>
    <col min="21" max="22" width="14" bestFit="1" customWidth="1"/>
    <col min="23" max="23" width="12.28515625" bestFit="1" customWidth="1"/>
    <col min="24" max="24" width="3.140625" customWidth="1"/>
    <col min="25" max="25" width="9.140625" customWidth="1"/>
    <col min="26" max="26" width="0.7109375" customWidth="1"/>
    <col min="27" max="27" width="10.140625" bestFit="1" customWidth="1"/>
    <col min="28" max="28" width="9.140625" customWidth="1"/>
    <col min="29" max="29" width="8" bestFit="1" customWidth="1"/>
    <col min="31" max="31" width="9.7109375" bestFit="1" customWidth="1"/>
    <col min="33" max="33" width="18.7109375" bestFit="1" customWidth="1"/>
    <col min="34" max="34" width="13.28515625" bestFit="1" customWidth="1"/>
    <col min="35" max="35" width="10.5703125" bestFit="1" customWidth="1"/>
    <col min="36" max="36" width="7.5703125" bestFit="1" customWidth="1"/>
    <col min="37" max="37" width="10.5703125" bestFit="1" customWidth="1"/>
    <col min="39" max="39" width="8" bestFit="1" customWidth="1"/>
    <col min="41" max="41" width="9.7109375" bestFit="1" customWidth="1"/>
    <col min="43" max="43" width="18.7109375" bestFit="1" customWidth="1"/>
    <col min="44" max="44" width="13.28515625" bestFit="1" customWidth="1"/>
    <col min="45" max="45" width="10.5703125" bestFit="1" customWidth="1"/>
    <col min="46" max="46" width="7.5703125" bestFit="1" customWidth="1"/>
    <col min="47" max="47" width="10.5703125" bestFit="1" customWidth="1"/>
    <col min="49" max="49" width="8" bestFit="1" customWidth="1"/>
    <col min="51" max="51" width="9.7109375" bestFit="1" customWidth="1"/>
  </cols>
  <sheetData>
    <row r="1" spans="1:87" ht="18.75" hidden="1" x14ac:dyDescent="0.3">
      <c r="B1" s="676" t="s">
        <v>67</v>
      </c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676"/>
      <c r="N1" s="676"/>
      <c r="O1" s="676"/>
      <c r="P1" s="676"/>
    </row>
    <row r="2" spans="1:87" ht="21" x14ac:dyDescent="0.35">
      <c r="C2" s="681" t="s">
        <v>69</v>
      </c>
      <c r="D2" s="681"/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 s="681"/>
      <c r="Q2" s="681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330"/>
      <c r="AG2" s="330"/>
      <c r="AH2" s="330"/>
      <c r="AI2" s="330"/>
      <c r="AJ2" s="330"/>
      <c r="AK2" s="330"/>
      <c r="AL2" s="330"/>
      <c r="AM2" s="330"/>
      <c r="AN2" s="330"/>
      <c r="AO2" s="330"/>
      <c r="AP2" s="330"/>
      <c r="AQ2" s="330"/>
      <c r="AR2" s="330"/>
      <c r="AS2" s="330"/>
      <c r="AT2" s="330"/>
      <c r="AU2" s="330"/>
      <c r="AV2" s="330"/>
      <c r="AW2" s="330"/>
      <c r="AX2" s="330"/>
      <c r="AY2" s="330"/>
      <c r="AZ2" s="330"/>
      <c r="BA2" s="330"/>
      <c r="BB2" s="330"/>
      <c r="BC2" s="330"/>
      <c r="BD2" s="330"/>
      <c r="BE2" s="330"/>
      <c r="BF2" s="330"/>
      <c r="BG2" s="330"/>
      <c r="BH2" s="330"/>
      <c r="BI2" s="330"/>
      <c r="BJ2" s="330"/>
      <c r="BK2" s="330"/>
      <c r="BL2" s="330"/>
      <c r="BM2" s="330"/>
      <c r="BN2" s="330"/>
      <c r="BO2" s="330"/>
      <c r="BP2" s="330"/>
      <c r="BQ2" s="330"/>
      <c r="BR2" s="330"/>
      <c r="BS2" s="330"/>
      <c r="BT2" s="330"/>
      <c r="BU2" s="330"/>
      <c r="BV2" s="330"/>
      <c r="BW2" s="330"/>
      <c r="BX2" s="330"/>
      <c r="BY2" s="330"/>
      <c r="BZ2" s="330"/>
      <c r="CA2" s="330"/>
      <c r="CB2" s="330"/>
      <c r="CC2" s="330"/>
      <c r="CD2" s="330"/>
      <c r="CE2" s="330"/>
      <c r="CF2" s="330"/>
      <c r="CG2" s="330"/>
      <c r="CH2" s="330"/>
      <c r="CI2" s="330"/>
    </row>
    <row r="3" spans="1:87" ht="17.25" x14ac:dyDescent="0.3">
      <c r="C3" s="693" t="s">
        <v>220</v>
      </c>
      <c r="D3" s="693"/>
      <c r="E3" s="693"/>
      <c r="F3" s="693"/>
      <c r="G3" s="693"/>
      <c r="H3" s="693"/>
      <c r="I3" s="693"/>
      <c r="J3" s="693"/>
      <c r="K3" s="693"/>
      <c r="L3" s="693"/>
      <c r="M3" s="693"/>
      <c r="N3" s="693"/>
      <c r="O3" s="693"/>
      <c r="P3" s="693"/>
      <c r="Q3" s="693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330"/>
      <c r="AD3" s="330"/>
      <c r="AE3" s="330"/>
      <c r="AF3" s="330"/>
      <c r="AG3" s="330"/>
      <c r="AH3" s="330"/>
      <c r="AI3" s="330"/>
      <c r="AJ3" s="330"/>
      <c r="AK3" s="330"/>
      <c r="AL3" s="330"/>
      <c r="AM3" s="330"/>
      <c r="AN3" s="330"/>
      <c r="AO3" s="330"/>
      <c r="AP3" s="330"/>
      <c r="AQ3" s="330"/>
      <c r="AR3" s="330"/>
      <c r="AS3" s="330"/>
      <c r="AT3" s="330"/>
      <c r="AU3" s="330"/>
      <c r="AV3" s="330"/>
      <c r="AW3" s="330"/>
      <c r="AX3" s="330"/>
      <c r="AY3" s="330"/>
      <c r="AZ3" s="330"/>
      <c r="BA3" s="330"/>
      <c r="BB3" s="330"/>
      <c r="BC3" s="330"/>
      <c r="BD3" s="330"/>
      <c r="BE3" s="330"/>
      <c r="BF3" s="330"/>
      <c r="BG3" s="330"/>
      <c r="BH3" s="330"/>
      <c r="BI3" s="330"/>
      <c r="BJ3" s="330"/>
      <c r="BK3" s="330"/>
      <c r="BL3" s="330"/>
      <c r="BM3" s="330"/>
      <c r="BN3" s="330"/>
      <c r="BO3" s="330"/>
      <c r="BP3" s="330"/>
      <c r="BQ3" s="330"/>
      <c r="BR3" s="330"/>
      <c r="BS3" s="330"/>
      <c r="BT3" s="330"/>
      <c r="BU3" s="330"/>
      <c r="BV3" s="330"/>
      <c r="BW3" s="330"/>
      <c r="BX3" s="330"/>
      <c r="BY3" s="330"/>
      <c r="BZ3" s="330"/>
      <c r="CA3" s="330"/>
      <c r="CB3" s="330"/>
      <c r="CC3" s="330"/>
      <c r="CD3" s="330"/>
      <c r="CE3" s="330"/>
      <c r="CF3" s="330"/>
      <c r="CG3" s="330"/>
      <c r="CH3" s="330"/>
      <c r="CI3" s="330"/>
    </row>
    <row r="4" spans="1:87" ht="18" thickBot="1" x14ac:dyDescent="0.35">
      <c r="B4" s="293"/>
      <c r="C4" s="293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6"/>
      <c r="S4" s="330"/>
      <c r="T4" s="330"/>
      <c r="U4" s="330"/>
      <c r="V4" s="330"/>
      <c r="W4" s="330"/>
      <c r="X4" s="330"/>
      <c r="Y4" s="330"/>
      <c r="Z4" s="330"/>
      <c r="AA4" s="330"/>
      <c r="AB4" s="330"/>
      <c r="AC4" s="330"/>
      <c r="AD4" s="330"/>
      <c r="AE4" s="330"/>
      <c r="AF4" s="330"/>
      <c r="AG4" s="330"/>
      <c r="AH4" s="330"/>
      <c r="AI4" s="330"/>
      <c r="AJ4" s="330"/>
      <c r="AK4" s="330"/>
      <c r="AL4" s="330"/>
      <c r="AM4" s="330"/>
      <c r="AN4" s="330"/>
      <c r="AO4" s="330"/>
      <c r="AP4" s="330"/>
      <c r="AQ4" s="330"/>
      <c r="AR4" s="330"/>
      <c r="AS4" s="330"/>
      <c r="AT4" s="330"/>
      <c r="AU4" s="330"/>
      <c r="AV4" s="330"/>
      <c r="AW4" s="330"/>
      <c r="AX4" s="330"/>
      <c r="AY4" s="330"/>
      <c r="AZ4" s="330"/>
      <c r="BA4" s="330"/>
      <c r="BB4" s="330"/>
      <c r="BC4" s="330"/>
      <c r="BD4" s="330"/>
      <c r="BE4" s="330"/>
      <c r="BF4" s="330"/>
      <c r="BG4" s="330"/>
      <c r="BH4" s="330"/>
      <c r="BI4" s="330"/>
      <c r="BJ4" s="330"/>
      <c r="BK4" s="330"/>
      <c r="BL4" s="330"/>
      <c r="BM4" s="330"/>
      <c r="BN4" s="330"/>
      <c r="BO4" s="330"/>
      <c r="BP4" s="330"/>
      <c r="BQ4" s="330"/>
      <c r="BR4" s="330"/>
      <c r="BS4" s="330"/>
      <c r="BT4" s="330"/>
      <c r="BU4" s="330"/>
      <c r="BV4" s="330"/>
      <c r="BW4" s="330"/>
      <c r="BX4" s="330"/>
      <c r="BY4" s="330"/>
      <c r="BZ4" s="330"/>
      <c r="CA4" s="330"/>
      <c r="CB4" s="330"/>
      <c r="CC4" s="330"/>
      <c r="CD4" s="330"/>
      <c r="CE4" s="330"/>
      <c r="CF4" s="330"/>
      <c r="CG4" s="330"/>
      <c r="CH4" s="330"/>
      <c r="CI4" s="330"/>
    </row>
    <row r="5" spans="1:87" ht="15.75" x14ac:dyDescent="0.25">
      <c r="A5" s="313"/>
      <c r="B5" s="359" t="s">
        <v>66</v>
      </c>
      <c r="C5" s="363"/>
      <c r="D5" s="354">
        <v>43861</v>
      </c>
      <c r="E5" s="369">
        <f t="shared" ref="E5:M5" si="0">+D5+29</f>
        <v>43890</v>
      </c>
      <c r="F5" s="354">
        <f t="shared" si="0"/>
        <v>43919</v>
      </c>
      <c r="G5" s="342">
        <f t="shared" si="0"/>
        <v>43948</v>
      </c>
      <c r="H5" s="342">
        <f t="shared" si="0"/>
        <v>43977</v>
      </c>
      <c r="I5" s="342">
        <f t="shared" si="0"/>
        <v>44006</v>
      </c>
      <c r="J5" s="342">
        <f t="shared" si="0"/>
        <v>44035</v>
      </c>
      <c r="K5" s="342">
        <f t="shared" si="0"/>
        <v>44064</v>
      </c>
      <c r="L5" s="342">
        <f t="shared" si="0"/>
        <v>44093</v>
      </c>
      <c r="M5" s="342">
        <f t="shared" si="0"/>
        <v>44122</v>
      </c>
      <c r="N5" s="343" t="s">
        <v>147</v>
      </c>
      <c r="O5" s="342">
        <f>+M5+29</f>
        <v>44151</v>
      </c>
      <c r="P5" s="344">
        <f>+O5+29</f>
        <v>44180</v>
      </c>
      <c r="Q5" s="357" t="s">
        <v>135</v>
      </c>
      <c r="R5" s="358"/>
      <c r="S5" s="330"/>
      <c r="T5" s="330"/>
      <c r="U5" s="330"/>
      <c r="V5" s="330"/>
      <c r="W5" s="330"/>
      <c r="X5" s="330"/>
      <c r="Y5" s="330"/>
      <c r="Z5" s="330"/>
      <c r="AA5" s="330"/>
      <c r="AB5" s="330"/>
      <c r="AC5" s="330"/>
      <c r="AD5" s="330"/>
      <c r="AE5" s="330"/>
      <c r="AF5" s="330"/>
      <c r="AG5" s="330"/>
      <c r="AH5" s="330"/>
      <c r="AI5" s="330"/>
      <c r="AJ5" s="330"/>
      <c r="AK5" s="330"/>
      <c r="AL5" s="330"/>
      <c r="AM5" s="330"/>
      <c r="AN5" s="330"/>
      <c r="AO5" s="330"/>
      <c r="AP5" s="330"/>
      <c r="AQ5" s="330"/>
      <c r="AR5" s="330"/>
      <c r="AS5" s="330"/>
      <c r="AT5" s="330"/>
      <c r="AU5" s="330"/>
      <c r="AV5" s="330"/>
      <c r="AW5" s="330"/>
      <c r="AX5" s="330"/>
      <c r="AY5" s="330"/>
      <c r="AZ5" s="330"/>
      <c r="BA5" s="330"/>
      <c r="BB5" s="330"/>
      <c r="BC5" s="330"/>
      <c r="BD5" s="330"/>
      <c r="BE5" s="330"/>
      <c r="BF5" s="330"/>
      <c r="BG5" s="330"/>
      <c r="BH5" s="330"/>
      <c r="BI5" s="330"/>
      <c r="BJ5" s="330"/>
      <c r="BK5" s="330"/>
      <c r="BL5" s="330"/>
      <c r="BM5" s="330"/>
      <c r="BN5" s="330"/>
      <c r="BO5" s="330"/>
      <c r="BP5" s="330"/>
      <c r="BQ5" s="330"/>
      <c r="BR5" s="330"/>
      <c r="BS5" s="330"/>
      <c r="BT5" s="330"/>
      <c r="BU5" s="330"/>
      <c r="BV5" s="330"/>
      <c r="BW5" s="330"/>
      <c r="BX5" s="330"/>
      <c r="BY5" s="330"/>
      <c r="BZ5" s="330"/>
      <c r="CA5" s="330"/>
      <c r="CB5" s="330"/>
      <c r="CC5" s="330"/>
      <c r="CD5" s="330"/>
      <c r="CE5" s="330"/>
      <c r="CF5" s="330"/>
      <c r="CG5" s="330"/>
      <c r="CH5" s="330"/>
      <c r="CI5" s="330"/>
    </row>
    <row r="6" spans="1:87" x14ac:dyDescent="0.25">
      <c r="A6" s="313"/>
      <c r="B6" s="360"/>
      <c r="C6" s="364" t="s">
        <v>136</v>
      </c>
      <c r="D6" s="340">
        <v>4.9599999999999998E-2</v>
      </c>
      <c r="E6" s="370">
        <v>4.9599999999999998E-2</v>
      </c>
      <c r="F6" s="340">
        <v>4.9599999999999998E-2</v>
      </c>
      <c r="G6" s="370">
        <v>4.7500000000000001E-2</v>
      </c>
      <c r="H6" s="370">
        <v>4.7500000000000001E-2</v>
      </c>
      <c r="I6" s="370">
        <v>4.7500000000000001E-2</v>
      </c>
      <c r="J6" s="370">
        <v>3.4299999999999997E-2</v>
      </c>
      <c r="K6" s="370">
        <v>3.4299999999999997E-2</v>
      </c>
      <c r="L6" s="370">
        <v>3.4299999999999997E-2</v>
      </c>
      <c r="M6" s="370">
        <v>3.2500000000000001E-2</v>
      </c>
      <c r="N6" s="201"/>
      <c r="O6" s="370">
        <v>3.2500000000000001E-2</v>
      </c>
      <c r="P6" s="370">
        <v>3.2500000000000001E-2</v>
      </c>
      <c r="Q6" s="371"/>
      <c r="R6" s="358"/>
      <c r="S6" s="330" t="s">
        <v>213</v>
      </c>
      <c r="T6" s="330"/>
      <c r="U6" s="330"/>
      <c r="V6" s="330"/>
      <c r="W6" s="330"/>
      <c r="X6" s="330"/>
      <c r="Y6" s="330"/>
      <c r="Z6" s="330"/>
      <c r="AA6" s="330"/>
      <c r="AB6" s="330"/>
      <c r="AC6" s="330"/>
      <c r="AD6" s="330"/>
      <c r="AE6" s="330"/>
      <c r="AF6" s="330"/>
      <c r="AG6" s="330"/>
      <c r="AH6" s="330"/>
      <c r="AI6" s="330"/>
      <c r="AJ6" s="330"/>
      <c r="AK6" s="330"/>
      <c r="AL6" s="330"/>
      <c r="AM6" s="330"/>
      <c r="AN6" s="330"/>
      <c r="AO6" s="330"/>
      <c r="AP6" s="330"/>
      <c r="AQ6" s="330"/>
      <c r="AR6" s="330"/>
      <c r="AS6" s="330"/>
      <c r="AT6" s="330"/>
      <c r="AU6" s="330"/>
      <c r="AV6" s="330"/>
      <c r="AW6" s="330"/>
      <c r="AX6" s="330"/>
      <c r="AY6" s="330"/>
      <c r="AZ6" s="330"/>
      <c r="BA6" s="330"/>
      <c r="BB6" s="330"/>
      <c r="BC6" s="330"/>
      <c r="BD6" s="330"/>
      <c r="BE6" s="330"/>
      <c r="BF6" s="330"/>
      <c r="BG6" s="330"/>
      <c r="BH6" s="330"/>
      <c r="BI6" s="330"/>
      <c r="BJ6" s="330"/>
      <c r="BK6" s="330"/>
      <c r="BL6" s="330"/>
      <c r="BM6" s="330"/>
      <c r="BN6" s="330"/>
      <c r="BO6" s="330"/>
      <c r="BP6" s="330"/>
      <c r="BQ6" s="330"/>
      <c r="BR6" s="330"/>
      <c r="BS6" s="330"/>
      <c r="BT6" s="330"/>
      <c r="BU6" s="330"/>
      <c r="BV6" s="330"/>
      <c r="BW6" s="330"/>
      <c r="BX6" s="330"/>
      <c r="BY6" s="330"/>
      <c r="BZ6" s="330"/>
      <c r="CA6" s="330"/>
      <c r="CB6" s="330"/>
      <c r="CC6" s="330"/>
      <c r="CD6" s="330"/>
      <c r="CE6" s="330"/>
      <c r="CF6" s="330"/>
      <c r="CG6" s="330"/>
      <c r="CH6" s="330"/>
      <c r="CI6" s="330"/>
    </row>
    <row r="7" spans="1:87" ht="15.75" x14ac:dyDescent="0.25">
      <c r="A7" s="313"/>
      <c r="B7" s="361"/>
      <c r="C7" s="364" t="s">
        <v>140</v>
      </c>
      <c r="D7" s="341">
        <v>31</v>
      </c>
      <c r="E7" s="396">
        <v>29</v>
      </c>
      <c r="F7" s="341">
        <v>31</v>
      </c>
      <c r="G7" s="341">
        <v>30</v>
      </c>
      <c r="H7" s="341">
        <v>31</v>
      </c>
      <c r="I7" s="341">
        <v>30</v>
      </c>
      <c r="J7" s="341">
        <v>31</v>
      </c>
      <c r="K7" s="341">
        <v>31</v>
      </c>
      <c r="L7" s="341">
        <v>30</v>
      </c>
      <c r="M7" s="341">
        <v>31</v>
      </c>
      <c r="N7" s="345"/>
      <c r="O7" s="341">
        <v>30</v>
      </c>
      <c r="P7" s="341">
        <v>31</v>
      </c>
      <c r="Q7" s="372"/>
      <c r="S7" s="330"/>
      <c r="T7" s="330"/>
      <c r="U7" s="330"/>
      <c r="V7" s="330"/>
      <c r="W7" s="330"/>
      <c r="X7" s="330"/>
      <c r="Y7" s="330"/>
      <c r="Z7" s="330"/>
      <c r="AA7" s="330"/>
      <c r="AB7" s="331" t="s">
        <v>163</v>
      </c>
      <c r="AC7" s="330"/>
      <c r="AD7" s="330"/>
      <c r="AE7" s="330"/>
      <c r="AF7" s="330"/>
      <c r="AG7" s="330"/>
      <c r="AH7" s="330"/>
      <c r="AI7" s="330"/>
      <c r="AJ7" s="330"/>
      <c r="AK7" s="330"/>
      <c r="AL7" s="330"/>
      <c r="AM7" s="330"/>
      <c r="AN7" s="330"/>
      <c r="AO7" s="330"/>
      <c r="AP7" s="330"/>
      <c r="AQ7" s="330"/>
      <c r="AR7" s="330"/>
      <c r="AS7" s="330"/>
      <c r="AT7" s="330"/>
      <c r="AU7" s="330"/>
      <c r="AV7" s="330"/>
      <c r="AW7" s="330"/>
      <c r="AX7" s="330"/>
      <c r="AY7" s="330"/>
      <c r="AZ7" s="330"/>
      <c r="BA7" s="330"/>
      <c r="BB7" s="330"/>
      <c r="BC7" s="330"/>
      <c r="BD7" s="330"/>
      <c r="BE7" s="330"/>
      <c r="BF7" s="330"/>
      <c r="BG7" s="330"/>
      <c r="BH7" s="330"/>
      <c r="BI7" s="330"/>
      <c r="BJ7" s="330"/>
      <c r="BK7" s="330"/>
      <c r="BL7" s="330"/>
      <c r="BM7" s="330"/>
      <c r="BN7" s="330"/>
      <c r="BO7" s="330"/>
      <c r="BP7" s="330"/>
      <c r="BQ7" s="330"/>
      <c r="BR7" s="330"/>
      <c r="BS7" s="330"/>
      <c r="BT7" s="330"/>
      <c r="BU7" s="330"/>
      <c r="BV7" s="330"/>
      <c r="BW7" s="330"/>
      <c r="BX7" s="330"/>
      <c r="BY7" s="330"/>
      <c r="BZ7" s="330"/>
      <c r="CA7" s="330"/>
      <c r="CB7" s="330"/>
      <c r="CC7" s="330"/>
      <c r="CD7" s="330"/>
      <c r="CE7" s="330"/>
      <c r="CF7" s="330"/>
      <c r="CG7" s="330"/>
      <c r="CH7" s="330"/>
      <c r="CI7" s="330"/>
    </row>
    <row r="8" spans="1:87" ht="15.75" x14ac:dyDescent="0.25">
      <c r="A8" s="313"/>
      <c r="B8" t="s">
        <v>84</v>
      </c>
      <c r="C8" s="365" t="s">
        <v>200</v>
      </c>
      <c r="D8" s="113"/>
      <c r="E8" s="113"/>
      <c r="F8" s="108"/>
      <c r="G8" s="108"/>
      <c r="H8" s="113"/>
      <c r="I8" s="113"/>
      <c r="J8" s="113"/>
      <c r="K8" s="113"/>
      <c r="L8" s="113"/>
      <c r="M8" s="113"/>
      <c r="N8" s="204"/>
      <c r="O8" s="113"/>
      <c r="P8" s="115"/>
      <c r="Q8" s="373"/>
      <c r="S8" s="330"/>
      <c r="T8" s="430">
        <v>503</v>
      </c>
      <c r="U8" s="332">
        <v>18475354</v>
      </c>
      <c r="V8" s="330" t="s">
        <v>92</v>
      </c>
      <c r="W8" s="333">
        <f>U8</f>
        <v>18475354</v>
      </c>
      <c r="X8" s="330"/>
      <c r="Y8" s="425" t="s">
        <v>90</v>
      </c>
      <c r="Z8" s="330"/>
      <c r="AA8" s="330"/>
      <c r="AB8" s="330"/>
      <c r="AC8" s="330"/>
      <c r="AD8" s="330"/>
      <c r="AE8" s="330"/>
      <c r="AF8" s="330"/>
      <c r="AG8" s="330"/>
      <c r="AH8" s="330"/>
      <c r="AI8" s="333"/>
      <c r="AJ8" s="330"/>
      <c r="AK8" s="333"/>
      <c r="AL8" s="330"/>
      <c r="AM8" s="330"/>
      <c r="AN8" s="330"/>
      <c r="AO8" s="330"/>
      <c r="AP8" s="330"/>
      <c r="AQ8" s="330"/>
      <c r="AR8" s="330"/>
      <c r="AS8" s="333"/>
      <c r="AT8" s="330"/>
      <c r="AU8" s="333"/>
      <c r="AV8" s="330"/>
      <c r="AW8" s="330"/>
      <c r="AX8" s="330"/>
      <c r="AY8" s="330"/>
      <c r="AZ8" s="330"/>
      <c r="BA8" s="330"/>
      <c r="BB8" s="330"/>
      <c r="BC8" s="330"/>
      <c r="BD8" s="330"/>
      <c r="BE8" s="330"/>
      <c r="BF8" s="330"/>
      <c r="BG8" s="330"/>
      <c r="BH8" s="330"/>
      <c r="BI8" s="330"/>
      <c r="BJ8" s="330"/>
      <c r="BK8" s="330"/>
      <c r="BL8" s="330"/>
      <c r="BM8" s="330"/>
      <c r="BN8" s="330"/>
      <c r="BO8" s="330"/>
      <c r="BP8" s="330"/>
      <c r="BQ8" s="330"/>
      <c r="BR8" s="330"/>
      <c r="BS8" s="330"/>
      <c r="BT8" s="330"/>
      <c r="BU8" s="330"/>
      <c r="BV8" s="330"/>
      <c r="BW8" s="330"/>
      <c r="BX8" s="330"/>
      <c r="BY8" s="330"/>
      <c r="BZ8" s="330"/>
      <c r="CA8" s="330"/>
      <c r="CB8" s="330"/>
      <c r="CC8" s="330"/>
      <c r="CD8" s="330"/>
      <c r="CE8" s="330"/>
      <c r="CF8" s="330"/>
      <c r="CG8" s="330"/>
      <c r="CH8" s="330"/>
      <c r="CI8" s="330"/>
    </row>
    <row r="9" spans="1:87" ht="15.75" x14ac:dyDescent="0.25">
      <c r="A9" s="313"/>
      <c r="B9" s="295" t="s">
        <v>64</v>
      </c>
      <c r="C9" s="362" t="s">
        <v>172</v>
      </c>
      <c r="D9" s="250">
        <v>194266</v>
      </c>
      <c r="E9" s="250">
        <v>194516</v>
      </c>
      <c r="F9" s="250">
        <v>194699</v>
      </c>
      <c r="G9" s="250">
        <v>194429</v>
      </c>
      <c r="H9" s="250">
        <v>194478</v>
      </c>
      <c r="I9" s="250">
        <v>194593</v>
      </c>
      <c r="J9" s="250">
        <v>194759</v>
      </c>
      <c r="K9" s="250">
        <v>194934</v>
      </c>
      <c r="L9" s="250">
        <v>195321</v>
      </c>
      <c r="M9" s="250">
        <v>196389</v>
      </c>
      <c r="N9" s="274"/>
      <c r="O9" s="250">
        <v>196954</v>
      </c>
      <c r="P9" s="250">
        <v>197405</v>
      </c>
      <c r="Q9" s="374"/>
      <c r="S9" s="334" t="s">
        <v>90</v>
      </c>
      <c r="T9" s="335">
        <v>5740869</v>
      </c>
      <c r="U9" s="336">
        <f>T9/U8</f>
        <v>0.31073120439261948</v>
      </c>
      <c r="V9" s="330"/>
      <c r="W9" s="336">
        <f>T9/W8</f>
        <v>0.31073120439261948</v>
      </c>
      <c r="X9" s="330"/>
      <c r="Y9" s="330">
        <v>0.31073000000000001</v>
      </c>
      <c r="Z9" s="330"/>
      <c r="AA9" s="336">
        <f>Y9-W9</f>
        <v>-1.2043926194693633E-6</v>
      </c>
      <c r="AB9" s="330"/>
      <c r="AC9" s="330"/>
      <c r="AD9" s="330"/>
      <c r="AE9" s="336"/>
      <c r="AF9" s="330"/>
      <c r="AG9" s="334"/>
      <c r="AH9" s="337"/>
      <c r="AI9" s="336"/>
      <c r="AJ9" s="330"/>
      <c r="AK9" s="336"/>
      <c r="AL9" s="330"/>
      <c r="AM9" s="330"/>
      <c r="AN9" s="330"/>
      <c r="AO9" s="336"/>
      <c r="AP9" s="330"/>
      <c r="AQ9" s="334"/>
      <c r="AR9" s="337"/>
      <c r="AS9" s="336"/>
      <c r="AT9" s="330"/>
      <c r="AU9" s="336"/>
      <c r="AV9" s="330"/>
      <c r="AW9" s="330"/>
      <c r="AX9" s="330"/>
      <c r="AY9" s="336"/>
      <c r="AZ9" s="330"/>
      <c r="BA9" s="330"/>
      <c r="BB9" s="330"/>
      <c r="BC9" s="330"/>
      <c r="BD9" s="330"/>
      <c r="BE9" s="330"/>
      <c r="BF9" s="330"/>
      <c r="BG9" s="330"/>
      <c r="BH9" s="330"/>
      <c r="BI9" s="330"/>
      <c r="BJ9" s="330"/>
      <c r="BK9" s="330"/>
      <c r="BL9" s="330"/>
      <c r="BM9" s="330"/>
      <c r="BN9" s="330"/>
      <c r="BO9" s="330"/>
      <c r="BP9" s="330"/>
      <c r="BQ9" s="330"/>
      <c r="BR9" s="330"/>
      <c r="BS9" s="330"/>
      <c r="BT9" s="330"/>
      <c r="BU9" s="330"/>
      <c r="BV9" s="330"/>
      <c r="BW9" s="330"/>
      <c r="BX9" s="330"/>
      <c r="BY9" s="330"/>
      <c r="BZ9" s="330"/>
      <c r="CA9" s="330"/>
      <c r="CB9" s="330"/>
      <c r="CC9" s="330"/>
      <c r="CD9" s="330"/>
      <c r="CE9" s="330"/>
      <c r="CF9" s="330"/>
      <c r="CG9" s="330"/>
      <c r="CH9" s="330"/>
      <c r="CI9" s="330"/>
    </row>
    <row r="10" spans="1:87" ht="15.75" x14ac:dyDescent="0.25">
      <c r="A10" s="313"/>
      <c r="B10" s="295" t="s">
        <v>71</v>
      </c>
      <c r="C10" s="366" t="s">
        <v>210</v>
      </c>
      <c r="D10" s="251">
        <v>5833737.54</v>
      </c>
      <c r="E10" s="251">
        <v>4762707.5999999996</v>
      </c>
      <c r="F10" s="251">
        <v>5029134.43</v>
      </c>
      <c r="G10" s="251">
        <v>4322226.46</v>
      </c>
      <c r="H10" s="251">
        <v>2116022.56</v>
      </c>
      <c r="I10" s="251">
        <v>1555485.45</v>
      </c>
      <c r="J10" s="251">
        <v>1250731.19</v>
      </c>
      <c r="K10" s="251">
        <v>849117.64</v>
      </c>
      <c r="L10" s="251">
        <v>916236.85</v>
      </c>
      <c r="M10" s="251">
        <v>1315220.1599999999</v>
      </c>
      <c r="N10" s="207"/>
      <c r="O10" s="251">
        <v>3247769.27</v>
      </c>
      <c r="P10" s="287">
        <v>5740869</v>
      </c>
      <c r="Q10" s="324"/>
      <c r="S10" s="334" t="s">
        <v>91</v>
      </c>
      <c r="T10" s="335">
        <v>8031766.2400000002</v>
      </c>
      <c r="U10" s="336">
        <f>T10/U8</f>
        <v>0.43472867908241436</v>
      </c>
      <c r="V10" s="330"/>
      <c r="W10" s="336">
        <f>T10/W8</f>
        <v>0.43472867908241436</v>
      </c>
      <c r="X10" s="330"/>
      <c r="Y10" s="433">
        <v>0.43465999999999999</v>
      </c>
      <c r="Z10" s="330"/>
      <c r="AA10" s="336">
        <f>Y10-W10</f>
        <v>-6.8679082414369041E-5</v>
      </c>
      <c r="AB10" s="330"/>
      <c r="AC10" s="330"/>
      <c r="AD10" s="330"/>
      <c r="AE10" s="336"/>
      <c r="AF10" s="330"/>
      <c r="AG10" s="334"/>
      <c r="AH10" s="337"/>
      <c r="AI10" s="336"/>
      <c r="AJ10" s="330"/>
      <c r="AK10" s="336"/>
      <c r="AL10" s="330"/>
      <c r="AM10" s="330"/>
      <c r="AN10" s="330"/>
      <c r="AO10" s="336"/>
      <c r="AP10" s="330"/>
      <c r="AQ10" s="334"/>
      <c r="AR10" s="337"/>
      <c r="AS10" s="336"/>
      <c r="AT10" s="330"/>
      <c r="AU10" s="336"/>
      <c r="AV10" s="330"/>
      <c r="AW10" s="330"/>
      <c r="AX10" s="330"/>
      <c r="AY10" s="336"/>
      <c r="AZ10" s="330"/>
      <c r="BA10" s="330"/>
      <c r="BB10" s="330"/>
      <c r="BC10" s="330"/>
      <c r="BD10" s="330"/>
      <c r="BE10" s="330"/>
      <c r="BF10" s="330"/>
      <c r="BG10" s="330"/>
      <c r="BH10" s="330"/>
      <c r="BI10" s="330"/>
      <c r="BJ10" s="330"/>
      <c r="BK10" s="330"/>
      <c r="BL10" s="330"/>
      <c r="BM10" s="330"/>
      <c r="BN10" s="330"/>
      <c r="BO10" s="330"/>
      <c r="BP10" s="330"/>
      <c r="BQ10" s="330"/>
      <c r="BR10" s="330"/>
      <c r="BS10" s="330"/>
      <c r="BT10" s="330"/>
      <c r="BU10" s="330"/>
      <c r="BV10" s="330"/>
      <c r="BW10" s="330"/>
      <c r="BX10" s="330"/>
      <c r="BY10" s="330"/>
      <c r="BZ10" s="330"/>
      <c r="CA10" s="330"/>
      <c r="CB10" s="330"/>
      <c r="CC10" s="330"/>
      <c r="CD10" s="330"/>
      <c r="CE10" s="330"/>
      <c r="CF10" s="330"/>
      <c r="CG10" s="330"/>
      <c r="CH10" s="330"/>
      <c r="CI10" s="330"/>
    </row>
    <row r="11" spans="1:87" x14ac:dyDescent="0.25">
      <c r="A11" s="313"/>
      <c r="B11" s="295" t="s">
        <v>72</v>
      </c>
      <c r="C11" s="367" t="s">
        <v>183</v>
      </c>
      <c r="D11" s="347">
        <f>ROUND(11533219*0.27205,2)</f>
        <v>3137612.23</v>
      </c>
      <c r="E11" s="347">
        <f>ROUND(10865780*0.27205,2)</f>
        <v>2956035.45</v>
      </c>
      <c r="F11" s="347">
        <f>ROUND(8736040*0.31073,2)</f>
        <v>2714549.71</v>
      </c>
      <c r="G11" s="347">
        <f>ROUND(3624357*0.31073,2)</f>
        <v>1126196.45</v>
      </c>
      <c r="H11" s="347">
        <f>ROUND(2235478*0.31073,2)</f>
        <v>694630.08</v>
      </c>
      <c r="I11" s="347">
        <f>ROUND(1199677*0.31073,2)</f>
        <v>372775.63</v>
      </c>
      <c r="J11" s="347">
        <f>ROUND(786164*0.31073,2)</f>
        <v>244284.74</v>
      </c>
      <c r="K11" s="347">
        <f>ROUND(1291073*0.31073,2)</f>
        <v>401175.11</v>
      </c>
      <c r="L11" s="347">
        <f>ROUND(1851788*0.31073,2)</f>
        <v>575406.09</v>
      </c>
      <c r="M11" s="347">
        <f>ROUND(5866478*0.31073,2)</f>
        <v>1822890.71</v>
      </c>
      <c r="N11" s="207"/>
      <c r="O11" s="347">
        <f>ROUND(12357910*0.31073,2)</f>
        <v>3839973.37</v>
      </c>
      <c r="P11" s="347">
        <f>ROUND(13204857*0.31073,2)</f>
        <v>4103145.22</v>
      </c>
      <c r="Q11" s="374"/>
      <c r="S11" s="334"/>
      <c r="T11" s="337"/>
      <c r="U11" s="336"/>
      <c r="V11" s="330"/>
      <c r="W11" s="336"/>
      <c r="X11" s="330"/>
      <c r="Y11" s="330"/>
      <c r="Z11" s="330"/>
      <c r="AA11" s="336"/>
      <c r="AB11" s="330"/>
      <c r="AC11" s="330"/>
      <c r="AD11" s="330"/>
      <c r="AE11" s="330"/>
      <c r="AF11" s="330"/>
      <c r="AG11" s="330"/>
      <c r="AH11" s="330"/>
      <c r="AI11" s="330"/>
      <c r="AJ11" s="330"/>
      <c r="AK11" s="330"/>
      <c r="AL11" s="330"/>
      <c r="AM11" s="330"/>
      <c r="AN11" s="330"/>
      <c r="AO11" s="330"/>
      <c r="AP11" s="330"/>
      <c r="AQ11" s="330"/>
      <c r="AR11" s="330"/>
      <c r="AS11" s="330"/>
      <c r="AT11" s="330"/>
      <c r="AU11" s="330"/>
      <c r="AV11" s="330"/>
      <c r="AW11" s="330"/>
      <c r="AX11" s="330"/>
      <c r="AY11" s="330"/>
      <c r="AZ11" s="330"/>
      <c r="BA11" s="330"/>
      <c r="BB11" s="330"/>
      <c r="BC11" s="330"/>
      <c r="BD11" s="330"/>
      <c r="BE11" s="330"/>
      <c r="BF11" s="330"/>
      <c r="BG11" s="330"/>
      <c r="BH11" s="330"/>
      <c r="BI11" s="330"/>
      <c r="BJ11" s="330"/>
      <c r="BK11" s="330"/>
      <c r="BL11" s="330"/>
      <c r="BM11" s="330"/>
      <c r="BN11" s="330"/>
      <c r="BO11" s="330"/>
      <c r="BP11" s="330"/>
      <c r="BQ11" s="330"/>
      <c r="BR11" s="330"/>
      <c r="BS11" s="330"/>
      <c r="BT11" s="330"/>
      <c r="BU11" s="330"/>
      <c r="BV11" s="330"/>
      <c r="BW11" s="330"/>
      <c r="BX11" s="330"/>
      <c r="BY11" s="330"/>
      <c r="BZ11" s="330"/>
      <c r="CA11" s="330"/>
      <c r="CB11" s="330"/>
      <c r="CC11" s="330"/>
      <c r="CD11" s="330"/>
      <c r="CE11" s="330"/>
      <c r="CF11" s="330"/>
      <c r="CG11" s="330"/>
      <c r="CH11" s="330"/>
      <c r="CI11" s="330"/>
    </row>
    <row r="12" spans="1:87" x14ac:dyDescent="0.25">
      <c r="A12" s="313"/>
      <c r="B12" s="295" t="s">
        <v>72</v>
      </c>
      <c r="C12" s="366" t="s">
        <v>184</v>
      </c>
      <c r="D12" s="88">
        <f>'WACAP 2019'!P21</f>
        <v>-3180351.56</v>
      </c>
      <c r="E12" s="88">
        <f t="shared" ref="E12" si="1">-D11</f>
        <v>-3137612.23</v>
      </c>
      <c r="F12" s="88">
        <f t="shared" ref="F12:K12" si="2">-E11</f>
        <v>-2956035.45</v>
      </c>
      <c r="G12" s="88">
        <f t="shared" si="2"/>
        <v>-2714549.71</v>
      </c>
      <c r="H12" s="88">
        <f t="shared" si="2"/>
        <v>-1126196.45</v>
      </c>
      <c r="I12" s="88">
        <f t="shared" si="2"/>
        <v>-694630.08</v>
      </c>
      <c r="J12" s="88">
        <f t="shared" si="2"/>
        <v>-372775.63</v>
      </c>
      <c r="K12" s="88">
        <f t="shared" si="2"/>
        <v>-244284.74</v>
      </c>
      <c r="L12" s="88">
        <f t="shared" ref="L12:M12" si="3">-K11</f>
        <v>-401175.11</v>
      </c>
      <c r="M12" s="88">
        <f t="shared" si="3"/>
        <v>-575406.09</v>
      </c>
      <c r="N12" s="205"/>
      <c r="O12" s="88">
        <f>-M11</f>
        <v>-1822890.71</v>
      </c>
      <c r="P12" s="110">
        <f>-O11</f>
        <v>-3839973.37</v>
      </c>
      <c r="Q12" s="374"/>
      <c r="S12" s="330"/>
      <c r="T12" s="330"/>
      <c r="U12" s="333"/>
      <c r="V12" s="330"/>
      <c r="W12" s="333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0"/>
      <c r="AS12" s="330"/>
      <c r="AT12" s="330"/>
      <c r="AU12" s="330"/>
      <c r="AV12" s="330"/>
      <c r="AW12" s="330"/>
      <c r="AX12" s="330"/>
      <c r="AY12" s="330"/>
      <c r="AZ12" s="330"/>
      <c r="BA12" s="330"/>
      <c r="BB12" s="330"/>
      <c r="BC12" s="330"/>
      <c r="BD12" s="330"/>
      <c r="BE12" s="330"/>
      <c r="BF12" s="330"/>
      <c r="BG12" s="330"/>
      <c r="BH12" s="330"/>
      <c r="BI12" s="330"/>
      <c r="BJ12" s="330"/>
      <c r="BK12" s="330"/>
      <c r="BL12" s="330"/>
      <c r="BM12" s="330"/>
      <c r="BN12" s="330"/>
      <c r="BO12" s="330"/>
      <c r="BP12" s="330"/>
      <c r="BQ12" s="330"/>
      <c r="BR12" s="330"/>
      <c r="BS12" s="330"/>
      <c r="BT12" s="330"/>
      <c r="BU12" s="330"/>
      <c r="BV12" s="330"/>
      <c r="BW12" s="330"/>
      <c r="BX12" s="330"/>
      <c r="BY12" s="330"/>
      <c r="BZ12" s="330"/>
      <c r="CA12" s="330"/>
      <c r="CB12" s="330"/>
      <c r="CC12" s="330"/>
      <c r="CD12" s="330"/>
      <c r="CE12" s="330"/>
      <c r="CF12" s="330"/>
      <c r="CG12" s="330"/>
      <c r="CH12" s="330"/>
      <c r="CI12" s="330"/>
    </row>
    <row r="13" spans="1:87" x14ac:dyDescent="0.25">
      <c r="A13" s="313"/>
      <c r="B13" s="295"/>
      <c r="C13" s="364" t="s">
        <v>74</v>
      </c>
      <c r="D13" s="108">
        <f t="shared" ref="D13:P13" si="4">SUM(D10:D12)</f>
        <v>5790998.209999999</v>
      </c>
      <c r="E13" s="108">
        <f t="shared" si="4"/>
        <v>4581130.82</v>
      </c>
      <c r="F13" s="108">
        <f t="shared" si="4"/>
        <v>4787648.6899999995</v>
      </c>
      <c r="G13" s="108">
        <f t="shared" si="4"/>
        <v>2733873.2</v>
      </c>
      <c r="H13" s="108">
        <f t="shared" si="4"/>
        <v>1684456.1900000002</v>
      </c>
      <c r="I13" s="108">
        <f t="shared" si="4"/>
        <v>1233631</v>
      </c>
      <c r="J13" s="108">
        <f t="shared" si="4"/>
        <v>1122240.2999999998</v>
      </c>
      <c r="K13" s="108">
        <f t="shared" ref="K13:O13" si="5">SUM(K10:K12)</f>
        <v>1006008.01</v>
      </c>
      <c r="L13" s="108">
        <f t="shared" si="5"/>
        <v>1090467.83</v>
      </c>
      <c r="M13" s="108">
        <f t="shared" si="5"/>
        <v>2562704.7800000003</v>
      </c>
      <c r="N13" s="206"/>
      <c r="O13" s="108">
        <f t="shared" si="5"/>
        <v>5264851.9300000006</v>
      </c>
      <c r="P13" s="109">
        <f t="shared" si="4"/>
        <v>6004040.8500000006</v>
      </c>
      <c r="Q13" s="324"/>
      <c r="S13" s="334"/>
      <c r="T13" s="337"/>
      <c r="U13" s="336"/>
      <c r="V13" s="330"/>
      <c r="W13" s="336"/>
      <c r="X13" s="330"/>
      <c r="Y13" s="330"/>
      <c r="Z13" s="330"/>
      <c r="AA13" s="336"/>
      <c r="AB13" s="330"/>
      <c r="AC13" s="330"/>
      <c r="AD13" s="330"/>
      <c r="AE13" s="330"/>
      <c r="AF13" s="330"/>
      <c r="AG13" s="330"/>
      <c r="AH13" s="330"/>
      <c r="AI13" s="330"/>
      <c r="AJ13" s="330"/>
      <c r="AK13" s="330"/>
      <c r="AL13" s="330"/>
      <c r="AM13" s="330"/>
      <c r="AN13" s="330"/>
      <c r="AO13" s="330"/>
      <c r="AP13" s="330"/>
      <c r="AQ13" s="330"/>
      <c r="AR13" s="330"/>
      <c r="AS13" s="330"/>
      <c r="AT13" s="330"/>
      <c r="AU13" s="330"/>
      <c r="AV13" s="330"/>
      <c r="AW13" s="330"/>
      <c r="AX13" s="330"/>
      <c r="AY13" s="330"/>
      <c r="AZ13" s="330"/>
      <c r="BA13" s="330"/>
      <c r="BB13" s="330"/>
      <c r="BC13" s="330"/>
      <c r="BD13" s="330"/>
      <c r="BE13" s="330"/>
      <c r="BF13" s="330"/>
      <c r="BG13" s="330"/>
      <c r="BH13" s="330"/>
      <c r="BI13" s="330"/>
      <c r="BJ13" s="330"/>
      <c r="BK13" s="330"/>
      <c r="BL13" s="330"/>
      <c r="BM13" s="330"/>
      <c r="BN13" s="330"/>
      <c r="BO13" s="330"/>
      <c r="BP13" s="330"/>
      <c r="BQ13" s="330"/>
      <c r="BR13" s="330"/>
      <c r="BS13" s="330"/>
      <c r="BT13" s="330"/>
      <c r="BU13" s="330"/>
      <c r="BV13" s="330"/>
      <c r="BW13" s="330"/>
      <c r="BX13" s="330"/>
      <c r="BY13" s="330"/>
      <c r="BZ13" s="330"/>
      <c r="CA13" s="330"/>
      <c r="CB13" s="330"/>
      <c r="CC13" s="330"/>
      <c r="CD13" s="330"/>
      <c r="CE13" s="330"/>
      <c r="CF13" s="330"/>
      <c r="CG13" s="330"/>
      <c r="CH13" s="330"/>
      <c r="CI13" s="330"/>
    </row>
    <row r="14" spans="1:87" x14ac:dyDescent="0.25">
      <c r="A14" s="313"/>
      <c r="B14" s="295"/>
      <c r="C14" s="436" t="s">
        <v>73</v>
      </c>
      <c r="D14" s="309">
        <f>ROUND(-'Authorized Margins 2019'!J10*'WACAP 2020'!D9,2)</f>
        <v>-5895973.0999999996</v>
      </c>
      <c r="E14" s="88">
        <f>ROUND(-'Authorized Margins 2019'!K10*'WACAP 2020'!E9,2)</f>
        <v>-4337706.8</v>
      </c>
      <c r="F14" s="421">
        <f>ROUND(-'Authorized Margins 2020'!F7*'WACAP 2020'!F9,2)</f>
        <v>-4540380.68</v>
      </c>
      <c r="G14" s="88">
        <f>ROUND(-'Authorized Margins 2020'!G7*'WACAP 2020'!G9,2)</f>
        <v>-3116696.87</v>
      </c>
      <c r="H14" s="88">
        <f>ROUND(-'Authorized Margins 2020'!H7*'WACAP 2020'!H9,2)</f>
        <v>-1866988.8</v>
      </c>
      <c r="I14" s="88">
        <f>ROUND(-'Authorized Margins 2020'!I7*'WACAP 2020'!I9,2)</f>
        <v>-1190909.1599999999</v>
      </c>
      <c r="J14" s="88">
        <f>ROUND(-'Authorized Margins 2020'!J7*'WACAP 2020'!J9,2)</f>
        <v>-917314.89</v>
      </c>
      <c r="K14" s="88">
        <f>ROUND(-'Authorized Margins 2020'!K7*'WACAP 2020'!K9,2)</f>
        <v>-450297.54</v>
      </c>
      <c r="L14" s="88">
        <f>ROUND(-'Authorized Margins 2020'!L7*'WACAP 2020'!L9,2)</f>
        <v>-1298884.6499999999</v>
      </c>
      <c r="M14" s="88">
        <f>ROUND(-'Authorized Margins 2020'!M7*'WACAP 2020'!M9,2)</f>
        <v>-2798543.25</v>
      </c>
      <c r="N14" s="205"/>
      <c r="O14" s="88">
        <f>ROUND(-'Authorized Margins 2020'!O7*'WACAP 2020'!O9,2)</f>
        <v>-5607280.3799999999</v>
      </c>
      <c r="P14" s="110">
        <f>ROUND(-'Authorized Margins 2020'!P7*'WACAP 2020'!P9,2)</f>
        <v>-7189490.0999999996</v>
      </c>
      <c r="Q14" s="324"/>
      <c r="S14" s="330"/>
      <c r="T14" s="330"/>
      <c r="U14" s="330"/>
      <c r="V14" s="330"/>
      <c r="W14" s="330"/>
      <c r="X14" s="330"/>
      <c r="Y14" s="330"/>
      <c r="Z14" s="330"/>
      <c r="AA14" s="330"/>
      <c r="AB14" s="330"/>
      <c r="AC14" s="330"/>
      <c r="AD14" s="330"/>
      <c r="AE14" s="330"/>
      <c r="AF14" s="330"/>
      <c r="AG14" s="330"/>
      <c r="AH14" s="330"/>
      <c r="AI14" s="330"/>
      <c r="AJ14" s="330"/>
      <c r="AK14" s="330"/>
      <c r="AL14" s="330"/>
      <c r="AM14" s="330"/>
      <c r="AN14" s="330"/>
      <c r="AO14" s="330"/>
      <c r="AP14" s="330"/>
      <c r="AQ14" s="330"/>
      <c r="AR14" s="330"/>
      <c r="AS14" s="333"/>
      <c r="AT14" s="330"/>
      <c r="AU14" s="333"/>
      <c r="AV14" s="330"/>
      <c r="AW14" s="330"/>
      <c r="AX14" s="330"/>
      <c r="AY14" s="330"/>
      <c r="AZ14" s="330"/>
      <c r="BA14" s="330"/>
      <c r="BB14" s="330"/>
      <c r="BC14" s="330"/>
      <c r="BD14" s="330"/>
      <c r="BE14" s="330"/>
      <c r="BF14" s="330"/>
      <c r="BG14" s="330"/>
      <c r="BH14" s="330"/>
      <c r="BI14" s="330"/>
      <c r="BJ14" s="330"/>
      <c r="BK14" s="330"/>
      <c r="BL14" s="330"/>
      <c r="BM14" s="330"/>
      <c r="BN14" s="330"/>
      <c r="BO14" s="330"/>
      <c r="BP14" s="330"/>
      <c r="BQ14" s="330"/>
      <c r="BR14" s="330"/>
      <c r="BS14" s="330"/>
      <c r="BT14" s="330"/>
      <c r="BU14" s="330"/>
      <c r="BV14" s="330"/>
      <c r="BW14" s="330"/>
      <c r="BX14" s="330"/>
      <c r="BY14" s="330"/>
      <c r="BZ14" s="330"/>
      <c r="CA14" s="330"/>
      <c r="CB14" s="330"/>
      <c r="CC14" s="330"/>
      <c r="CD14" s="330"/>
      <c r="CE14" s="330"/>
      <c r="CF14" s="330"/>
      <c r="CG14" s="330"/>
      <c r="CH14" s="330"/>
      <c r="CI14" s="330"/>
    </row>
    <row r="15" spans="1:87" x14ac:dyDescent="0.25">
      <c r="A15" s="313"/>
      <c r="B15" s="295"/>
      <c r="C15" s="364" t="s">
        <v>201</v>
      </c>
      <c r="D15" s="187">
        <f t="shared" ref="D15:P15" si="6">SUM(D13:D14)</f>
        <v>-104974.8900000006</v>
      </c>
      <c r="E15" s="187">
        <f t="shared" si="6"/>
        <v>243424.02000000048</v>
      </c>
      <c r="F15" s="187">
        <f t="shared" si="6"/>
        <v>247268.00999999978</v>
      </c>
      <c r="G15" s="199">
        <f>SUM(G13:G14)-37500</f>
        <v>-420323.66999999993</v>
      </c>
      <c r="H15" s="90">
        <f t="shared" si="6"/>
        <v>-182532.60999999987</v>
      </c>
      <c r="I15" s="90">
        <f t="shared" si="6"/>
        <v>42721.840000000084</v>
      </c>
      <c r="J15" s="90">
        <f t="shared" si="6"/>
        <v>204925.4099999998</v>
      </c>
      <c r="K15" s="90">
        <f t="shared" si="6"/>
        <v>555710.47</v>
      </c>
      <c r="L15" s="434">
        <f>SUM(L13:L14)-37500</f>
        <v>-245916.81999999983</v>
      </c>
      <c r="M15" s="90">
        <f t="shared" si="6"/>
        <v>-235838.46999999974</v>
      </c>
      <c r="N15" s="302">
        <f>-'WACAP 2019'!R26</f>
        <v>-1285433.2000000007</v>
      </c>
      <c r="O15" s="90">
        <f t="shared" si="6"/>
        <v>-342428.44999999925</v>
      </c>
      <c r="P15" s="111">
        <f t="shared" si="6"/>
        <v>-1185449.2499999991</v>
      </c>
      <c r="Q15" s="374">
        <f>SUM(D15:P15)-N15</f>
        <v>-1423414.4099999983</v>
      </c>
      <c r="S15" s="330"/>
      <c r="T15" s="330"/>
      <c r="U15" s="330"/>
      <c r="V15" s="330"/>
      <c r="W15" s="330"/>
      <c r="X15" s="330"/>
      <c r="Y15" s="330"/>
      <c r="Z15" s="330"/>
      <c r="AA15" s="330"/>
      <c r="AB15" s="330"/>
      <c r="AC15" s="330"/>
      <c r="AD15" s="330"/>
      <c r="AE15" s="330"/>
      <c r="AF15" s="330"/>
      <c r="AG15" s="330"/>
      <c r="AH15" s="330"/>
      <c r="AI15" s="330"/>
      <c r="AJ15" s="330"/>
      <c r="AK15" s="330"/>
      <c r="AL15" s="330"/>
      <c r="AM15" s="330"/>
      <c r="AN15" s="330"/>
      <c r="AO15" s="330"/>
      <c r="AP15" s="330"/>
      <c r="AQ15" s="334"/>
      <c r="AR15" s="337"/>
      <c r="AS15" s="336"/>
      <c r="AT15" s="330"/>
      <c r="AU15" s="336"/>
      <c r="AV15" s="330"/>
      <c r="AW15" s="330"/>
      <c r="AX15" s="330"/>
      <c r="AY15" s="336"/>
      <c r="AZ15" s="330"/>
      <c r="BA15" s="330"/>
      <c r="BB15" s="330"/>
      <c r="BC15" s="330"/>
      <c r="BD15" s="330"/>
      <c r="BE15" s="330"/>
      <c r="BF15" s="330"/>
      <c r="BG15" s="330"/>
      <c r="BH15" s="330"/>
      <c r="BI15" s="330"/>
      <c r="BJ15" s="330"/>
      <c r="BK15" s="330"/>
      <c r="BL15" s="330"/>
      <c r="BM15" s="330"/>
      <c r="BN15" s="330"/>
      <c r="BO15" s="330"/>
      <c r="BP15" s="330"/>
      <c r="BQ15" s="330"/>
      <c r="BR15" s="330"/>
      <c r="BS15" s="330"/>
      <c r="BT15" s="330"/>
      <c r="BU15" s="330"/>
      <c r="BV15" s="330"/>
      <c r="BW15" s="330"/>
      <c r="BX15" s="330"/>
      <c r="BY15" s="330"/>
      <c r="BZ15" s="330"/>
      <c r="CA15" s="330"/>
      <c r="CB15" s="330"/>
      <c r="CC15" s="330"/>
      <c r="CD15" s="330"/>
      <c r="CE15" s="330"/>
      <c r="CF15" s="330"/>
      <c r="CG15" s="330"/>
      <c r="CH15" s="330"/>
      <c r="CI15" s="330"/>
    </row>
    <row r="16" spans="1:87" x14ac:dyDescent="0.25">
      <c r="A16" s="313"/>
      <c r="B16" s="295"/>
      <c r="C16" s="436" t="s">
        <v>137</v>
      </c>
      <c r="D16" s="308">
        <f>ROUND(ROUND('WACAP 2019'!P27*D$6,2)/365*D$7,2)</f>
        <v>5415.02</v>
      </c>
      <c r="E16" s="187">
        <f>ROUND(ROUND(D18*E$6,2)/365*E$7,2)</f>
        <v>4673.32</v>
      </c>
      <c r="F16" s="187">
        <f t="shared" ref="F16:M16" si="7">ROUND(ROUND(E18*F$6,2)/365*F$7,2)</f>
        <v>6040.75</v>
      </c>
      <c r="G16" s="187">
        <f t="shared" si="7"/>
        <v>6587.32</v>
      </c>
      <c r="H16" s="187">
        <f t="shared" si="7"/>
        <v>5137.79</v>
      </c>
      <c r="I16" s="187">
        <f t="shared" si="7"/>
        <v>4279.4799999999996</v>
      </c>
      <c r="J16" s="187">
        <f t="shared" si="7"/>
        <v>3330.17</v>
      </c>
      <c r="K16" s="187">
        <f t="shared" si="7"/>
        <v>3936.85</v>
      </c>
      <c r="L16" s="187">
        <f t="shared" si="7"/>
        <v>5387.6</v>
      </c>
      <c r="M16" s="187">
        <f t="shared" si="7"/>
        <v>4611.1000000000004</v>
      </c>
      <c r="N16" s="231">
        <f>'Ammort Split 2020'!N25</f>
        <v>-46518.05</v>
      </c>
      <c r="O16" s="187">
        <f>ROUND(ROUND(N18*O$6,2)/365*O$7,2)</f>
        <v>286.74</v>
      </c>
      <c r="P16" s="188">
        <f t="shared" ref="P16" si="8">ROUND(ROUND(O18*P$6,2)/365*P$7,2)</f>
        <v>-648.1</v>
      </c>
      <c r="Q16" s="388">
        <f>SUM(D16:P16)</f>
        <v>2519.9899999999911</v>
      </c>
      <c r="S16" s="330"/>
      <c r="T16" s="330"/>
      <c r="U16" s="330"/>
      <c r="V16" s="330"/>
      <c r="W16" s="330"/>
      <c r="X16" s="330"/>
      <c r="Y16" s="330"/>
      <c r="Z16" s="330"/>
      <c r="AA16" s="330"/>
      <c r="AB16" s="330"/>
      <c r="AC16" s="330"/>
      <c r="AD16" s="330"/>
      <c r="AE16" s="330"/>
      <c r="AF16" s="330"/>
      <c r="AG16" s="330"/>
      <c r="AH16" s="330"/>
      <c r="AI16" s="330"/>
      <c r="AJ16" s="330"/>
      <c r="AK16" s="330"/>
      <c r="AL16" s="330"/>
      <c r="AM16" s="330"/>
      <c r="AN16" s="330"/>
      <c r="AO16" s="330"/>
      <c r="AP16" s="330"/>
      <c r="AQ16" s="330"/>
      <c r="AR16" s="330"/>
      <c r="AS16" s="330"/>
      <c r="AT16" s="330"/>
      <c r="AU16" s="330"/>
      <c r="AV16" s="330"/>
      <c r="AW16" s="330"/>
      <c r="AX16" s="330"/>
      <c r="AY16" s="330"/>
      <c r="AZ16" s="330"/>
      <c r="BA16" s="330"/>
      <c r="BB16" s="330"/>
      <c r="BC16" s="330"/>
      <c r="BD16" s="330"/>
      <c r="BE16" s="330"/>
      <c r="BF16" s="330"/>
      <c r="BG16" s="330"/>
      <c r="BH16" s="330"/>
      <c r="BI16" s="330"/>
      <c r="BJ16" s="330"/>
      <c r="BK16" s="330"/>
      <c r="BL16" s="330"/>
      <c r="BM16" s="330"/>
      <c r="BN16" s="330"/>
      <c r="BO16" s="330"/>
      <c r="BP16" s="330"/>
      <c r="BQ16" s="330"/>
      <c r="BR16" s="330"/>
      <c r="BS16" s="330"/>
      <c r="BT16" s="330"/>
      <c r="BU16" s="330"/>
      <c r="BV16" s="330"/>
      <c r="BW16" s="330"/>
      <c r="BX16" s="330"/>
      <c r="BY16" s="330"/>
      <c r="BZ16" s="330"/>
      <c r="CA16" s="330"/>
      <c r="CB16" s="330"/>
      <c r="CC16" s="330"/>
      <c r="CD16" s="330"/>
      <c r="CE16" s="330"/>
      <c r="CF16" s="330"/>
      <c r="CG16" s="330"/>
      <c r="CH16" s="330"/>
      <c r="CI16" s="330"/>
    </row>
    <row r="17" spans="1:87" x14ac:dyDescent="0.25">
      <c r="A17" s="313"/>
      <c r="B17" s="295"/>
      <c r="C17" s="364" t="s">
        <v>138</v>
      </c>
      <c r="D17" s="189">
        <f t="shared" ref="D17:P17" si="9">SUM(D15:D16)</f>
        <v>-99559.870000000592</v>
      </c>
      <c r="E17" s="189">
        <f t="shared" si="9"/>
        <v>248097.34000000049</v>
      </c>
      <c r="F17" s="189">
        <f t="shared" si="9"/>
        <v>253308.75999999978</v>
      </c>
      <c r="G17" s="189">
        <f t="shared" si="9"/>
        <v>-413736.34999999992</v>
      </c>
      <c r="H17" s="189">
        <f t="shared" si="9"/>
        <v>-177394.81999999986</v>
      </c>
      <c r="I17" s="189">
        <f t="shared" si="9"/>
        <v>47001.32000000008</v>
      </c>
      <c r="J17" s="189">
        <f t="shared" si="9"/>
        <v>208255.57999999981</v>
      </c>
      <c r="K17" s="189">
        <f t="shared" si="9"/>
        <v>559647.31999999995</v>
      </c>
      <c r="L17" s="189">
        <f t="shared" si="9"/>
        <v>-240529.21999999983</v>
      </c>
      <c r="M17" s="189">
        <f t="shared" si="9"/>
        <v>-231227.36999999973</v>
      </c>
      <c r="N17" s="209">
        <f>SUM(N15:N16)</f>
        <v>-1331951.2500000007</v>
      </c>
      <c r="O17" s="189">
        <f t="shared" si="9"/>
        <v>-342141.70999999926</v>
      </c>
      <c r="P17" s="190">
        <f t="shared" si="9"/>
        <v>-1186097.3499999992</v>
      </c>
      <c r="Q17" s="389">
        <f>SUM(Q15:Q16)</f>
        <v>-1420894.4199999983</v>
      </c>
      <c r="S17" s="330"/>
      <c r="T17" s="330"/>
      <c r="U17" s="330"/>
      <c r="V17" s="330"/>
      <c r="W17" s="330"/>
      <c r="X17" s="330"/>
      <c r="Y17" s="330"/>
      <c r="Z17" s="330"/>
      <c r="AA17" s="330"/>
      <c r="AB17" s="330"/>
      <c r="AC17" s="330"/>
      <c r="AD17" s="330"/>
      <c r="AE17" s="330"/>
      <c r="AF17" s="330"/>
      <c r="AG17" s="330"/>
      <c r="AH17" s="330"/>
      <c r="AI17" s="330"/>
      <c r="AJ17" s="330"/>
      <c r="AK17" s="330"/>
      <c r="AL17" s="330"/>
      <c r="AM17" s="330"/>
      <c r="AN17" s="330"/>
      <c r="AO17" s="330"/>
      <c r="AP17" s="330"/>
      <c r="AQ17" s="330"/>
      <c r="AR17" s="330"/>
      <c r="AS17" s="330"/>
      <c r="AT17" s="330"/>
      <c r="AU17" s="330"/>
      <c r="AV17" s="330"/>
      <c r="AW17" s="330"/>
      <c r="AX17" s="330"/>
      <c r="AY17" s="330"/>
      <c r="AZ17" s="330"/>
      <c r="BA17" s="330"/>
      <c r="BB17" s="330"/>
      <c r="BC17" s="330"/>
      <c r="BD17" s="330"/>
      <c r="BE17" s="330"/>
      <c r="BF17" s="330"/>
      <c r="BG17" s="330"/>
      <c r="BH17" s="330"/>
      <c r="BI17" s="330"/>
      <c r="BJ17" s="330"/>
      <c r="BK17" s="330"/>
      <c r="BL17" s="330"/>
      <c r="BM17" s="330"/>
      <c r="BN17" s="330"/>
      <c r="BO17" s="330"/>
      <c r="BP17" s="330"/>
      <c r="BQ17" s="330"/>
      <c r="BR17" s="330"/>
      <c r="BS17" s="330"/>
      <c r="BT17" s="330"/>
      <c r="BU17" s="330"/>
      <c r="BV17" s="330"/>
      <c r="BW17" s="330"/>
      <c r="BX17" s="330"/>
      <c r="BY17" s="330"/>
      <c r="BZ17" s="330"/>
      <c r="CA17" s="330"/>
      <c r="CB17" s="330"/>
      <c r="CC17" s="330"/>
      <c r="CD17" s="330"/>
      <c r="CE17" s="330"/>
      <c r="CF17" s="330"/>
      <c r="CG17" s="330"/>
      <c r="CH17" s="330"/>
      <c r="CI17" s="330"/>
    </row>
    <row r="18" spans="1:87" x14ac:dyDescent="0.25">
      <c r="A18" s="313"/>
      <c r="B18" s="295"/>
      <c r="C18" s="436" t="s">
        <v>139</v>
      </c>
      <c r="D18" s="308">
        <f>'WACAP 2019'!P27+'WACAP 2020'!D17</f>
        <v>1185873.3300000005</v>
      </c>
      <c r="E18" s="187">
        <f t="shared" ref="E18:P18" si="10">D18+E17</f>
        <v>1433970.6700000011</v>
      </c>
      <c r="F18" s="187">
        <f t="shared" si="10"/>
        <v>1687279.4300000009</v>
      </c>
      <c r="G18" s="187">
        <f t="shared" si="10"/>
        <v>1273543.080000001</v>
      </c>
      <c r="H18" s="187">
        <f t="shared" si="10"/>
        <v>1096148.2600000012</v>
      </c>
      <c r="I18" s="187">
        <f t="shared" si="10"/>
        <v>1143149.5800000012</v>
      </c>
      <c r="J18" s="187">
        <f t="shared" si="10"/>
        <v>1351405.1600000011</v>
      </c>
      <c r="K18" s="187">
        <f t="shared" si="10"/>
        <v>1911052.4800000009</v>
      </c>
      <c r="L18" s="187">
        <f t="shared" si="10"/>
        <v>1670523.2600000012</v>
      </c>
      <c r="M18" s="187">
        <f t="shared" si="10"/>
        <v>1439295.8900000015</v>
      </c>
      <c r="N18" s="208">
        <f t="shared" si="10"/>
        <v>107344.64000000083</v>
      </c>
      <c r="O18" s="187">
        <f>N18+O17</f>
        <v>-234797.06999999844</v>
      </c>
      <c r="P18" s="301">
        <f t="shared" si="10"/>
        <v>-1420894.4199999976</v>
      </c>
      <c r="Q18" s="324"/>
      <c r="S18" s="330"/>
      <c r="T18" s="330"/>
      <c r="U18" s="337">
        <f>ROUND(T22/Y22,0)</f>
        <v>185558</v>
      </c>
      <c r="V18" s="330"/>
      <c r="W18" s="330"/>
      <c r="X18" s="330"/>
      <c r="Y18" s="330"/>
      <c r="Z18" s="330"/>
      <c r="AA18" s="330"/>
      <c r="AB18" s="330"/>
      <c r="AC18" s="330"/>
      <c r="AD18" s="330"/>
      <c r="AE18" s="330"/>
      <c r="AF18" s="330"/>
      <c r="AG18" s="330"/>
      <c r="AH18" s="330"/>
      <c r="AI18" s="330"/>
      <c r="AJ18" s="330"/>
      <c r="AK18" s="330"/>
      <c r="AL18" s="330"/>
      <c r="AM18" s="330"/>
      <c r="AN18" s="330"/>
      <c r="AO18" s="330"/>
      <c r="AP18" s="330"/>
      <c r="AQ18" s="330"/>
      <c r="AR18" s="330"/>
      <c r="AS18" s="330"/>
      <c r="AT18" s="330"/>
      <c r="AU18" s="330"/>
      <c r="AV18" s="330"/>
      <c r="AW18" s="330"/>
      <c r="AX18" s="330"/>
      <c r="AY18" s="330"/>
      <c r="AZ18" s="330"/>
      <c r="BA18" s="330"/>
      <c r="BB18" s="330"/>
      <c r="BC18" s="330"/>
      <c r="BD18" s="330"/>
      <c r="BE18" s="330"/>
      <c r="BF18" s="330"/>
      <c r="BG18" s="330"/>
      <c r="BH18" s="330"/>
      <c r="BI18" s="330"/>
      <c r="BJ18" s="330"/>
      <c r="BK18" s="330"/>
      <c r="BL18" s="330"/>
      <c r="BM18" s="330"/>
      <c r="BN18" s="330"/>
      <c r="BO18" s="330"/>
      <c r="BP18" s="330"/>
      <c r="BQ18" s="330"/>
      <c r="BR18" s="330"/>
      <c r="BS18" s="330"/>
      <c r="BT18" s="330"/>
      <c r="BU18" s="330"/>
      <c r="BV18" s="330"/>
      <c r="BW18" s="330"/>
      <c r="BX18" s="330"/>
      <c r="BY18" s="330"/>
      <c r="BZ18" s="330"/>
      <c r="CA18" s="330"/>
      <c r="CB18" s="330"/>
      <c r="CC18" s="330"/>
      <c r="CD18" s="330"/>
      <c r="CE18" s="330"/>
      <c r="CF18" s="330"/>
      <c r="CG18" s="330"/>
      <c r="CH18" s="330"/>
      <c r="CI18" s="330"/>
    </row>
    <row r="19" spans="1:87" x14ac:dyDescent="0.25">
      <c r="A19" s="313"/>
      <c r="B19" s="295"/>
      <c r="C19" s="368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207"/>
      <c r="O19" s="90"/>
      <c r="P19" s="111"/>
      <c r="Q19" s="324"/>
      <c r="S19" s="334"/>
      <c r="T19" s="337"/>
      <c r="U19" s="337">
        <f>ROUND(T23/Y23,0)</f>
        <v>648587</v>
      </c>
      <c r="V19" s="330"/>
      <c r="W19" s="330"/>
      <c r="X19" s="330"/>
      <c r="Y19" s="330"/>
      <c r="Z19" s="330"/>
      <c r="AA19" s="330"/>
      <c r="AB19" s="330"/>
      <c r="AC19" s="330"/>
      <c r="AD19" s="330"/>
      <c r="AE19" s="330"/>
      <c r="AF19" s="330"/>
      <c r="AG19" s="330"/>
      <c r="AH19" s="330"/>
      <c r="AI19" s="330"/>
      <c r="AJ19" s="330"/>
      <c r="AK19" s="330"/>
      <c r="AL19" s="330"/>
      <c r="AM19" s="330"/>
      <c r="AN19" s="330"/>
      <c r="AO19" s="330"/>
      <c r="AP19" s="330"/>
      <c r="AQ19" s="334"/>
      <c r="AR19" s="337"/>
      <c r="AS19" s="336"/>
      <c r="AT19" s="330"/>
      <c r="AU19" s="336"/>
      <c r="AV19" s="330"/>
      <c r="AW19" s="330"/>
      <c r="AX19" s="330"/>
      <c r="AY19" s="336"/>
      <c r="AZ19" s="330"/>
      <c r="BA19" s="330"/>
      <c r="BB19" s="330"/>
      <c r="BC19" s="330"/>
      <c r="BD19" s="330"/>
      <c r="BE19" s="330"/>
      <c r="BF19" s="330"/>
      <c r="BG19" s="330"/>
      <c r="BH19" s="330"/>
      <c r="BI19" s="330"/>
      <c r="BJ19" s="330"/>
      <c r="BK19" s="330"/>
      <c r="BL19" s="330"/>
      <c r="BM19" s="330"/>
      <c r="BN19" s="330"/>
      <c r="BO19" s="330"/>
      <c r="BP19" s="330"/>
      <c r="BQ19" s="330"/>
      <c r="BR19" s="330"/>
      <c r="BS19" s="330"/>
      <c r="BT19" s="330"/>
      <c r="BU19" s="330"/>
      <c r="BV19" s="330"/>
      <c r="BW19" s="330"/>
      <c r="BX19" s="330"/>
      <c r="BY19" s="330"/>
      <c r="BZ19" s="330"/>
      <c r="CA19" s="330"/>
      <c r="CB19" s="330"/>
      <c r="CC19" s="330"/>
      <c r="CD19" s="330"/>
      <c r="CE19" s="330"/>
      <c r="CF19" s="330"/>
      <c r="CG19" s="330"/>
      <c r="CH19" s="330"/>
      <c r="CI19" s="330"/>
    </row>
    <row r="20" spans="1:87" x14ac:dyDescent="0.25">
      <c r="A20" s="313"/>
      <c r="B20" t="s">
        <v>85</v>
      </c>
      <c r="C20" s="365" t="s">
        <v>198</v>
      </c>
      <c r="D20" s="113"/>
      <c r="E20" s="113"/>
      <c r="F20" s="108"/>
      <c r="G20" s="113"/>
      <c r="H20" s="113"/>
      <c r="I20" s="113"/>
      <c r="J20" s="113"/>
      <c r="K20" s="113"/>
      <c r="L20" s="113"/>
      <c r="M20" s="113"/>
      <c r="N20" s="204"/>
      <c r="O20" s="113"/>
      <c r="P20" s="115"/>
      <c r="Q20" s="324"/>
      <c r="S20" s="330"/>
      <c r="T20" s="330"/>
      <c r="U20" s="337">
        <f>ROUND(T24/Y24,0)</f>
        <v>522183</v>
      </c>
      <c r="V20" s="337">
        <f>SUM(U18:U20)</f>
        <v>1356328</v>
      </c>
      <c r="W20" s="330"/>
      <c r="X20" s="330"/>
      <c r="Y20" s="330"/>
      <c r="Z20" s="330"/>
      <c r="AA20" s="330"/>
      <c r="AB20" s="330"/>
      <c r="AC20" s="330"/>
      <c r="AD20" s="330"/>
      <c r="AE20" s="330"/>
      <c r="AF20" s="330"/>
      <c r="AG20" s="330"/>
      <c r="AH20" s="330"/>
      <c r="AI20" s="330"/>
      <c r="AJ20" s="330"/>
      <c r="AK20" s="330"/>
      <c r="AL20" s="330"/>
      <c r="AM20" s="330"/>
      <c r="AN20" s="330"/>
      <c r="AO20" s="330"/>
      <c r="AP20" s="330"/>
      <c r="AQ20" s="330"/>
      <c r="AR20" s="330"/>
      <c r="AS20" s="330"/>
      <c r="AT20" s="330"/>
      <c r="AU20" s="330"/>
      <c r="AV20" s="330"/>
      <c r="AW20" s="330"/>
      <c r="AX20" s="330"/>
      <c r="AY20" s="330"/>
      <c r="AZ20" s="330"/>
      <c r="BA20" s="330"/>
      <c r="BB20" s="330"/>
      <c r="BC20" s="330"/>
      <c r="BD20" s="330"/>
      <c r="BE20" s="330"/>
      <c r="BF20" s="330"/>
      <c r="BG20" s="330"/>
      <c r="BH20" s="330"/>
      <c r="BI20" s="330"/>
      <c r="BJ20" s="330"/>
      <c r="BK20" s="330"/>
      <c r="BL20" s="330"/>
      <c r="BM20" s="330"/>
      <c r="BN20" s="330"/>
      <c r="BO20" s="330"/>
      <c r="BP20" s="330"/>
      <c r="BQ20" s="330"/>
      <c r="BR20" s="330"/>
      <c r="BS20" s="330"/>
      <c r="BT20" s="330"/>
      <c r="BU20" s="330"/>
      <c r="BV20" s="330"/>
      <c r="BW20" s="330"/>
      <c r="BX20" s="330"/>
      <c r="BY20" s="330"/>
      <c r="BZ20" s="330"/>
      <c r="CA20" s="330"/>
      <c r="CB20" s="330"/>
      <c r="CC20" s="330"/>
      <c r="CD20" s="330"/>
      <c r="CE20" s="330"/>
      <c r="CF20" s="330"/>
      <c r="CG20" s="330"/>
      <c r="CH20" s="330"/>
      <c r="CI20" s="330"/>
    </row>
    <row r="21" spans="1:87" ht="15.75" x14ac:dyDescent="0.25">
      <c r="A21" s="313"/>
      <c r="B21" s="295" t="s">
        <v>64</v>
      </c>
      <c r="C21" s="362" t="s">
        <v>172</v>
      </c>
      <c r="D21" s="250">
        <v>479</v>
      </c>
      <c r="E21" s="250">
        <v>479</v>
      </c>
      <c r="F21" s="250">
        <v>475</v>
      </c>
      <c r="G21" s="250">
        <v>478</v>
      </c>
      <c r="H21" s="250">
        <v>478</v>
      </c>
      <c r="I21" s="250">
        <v>478</v>
      </c>
      <c r="J21" s="250">
        <v>478</v>
      </c>
      <c r="K21" s="250">
        <v>481</v>
      </c>
      <c r="L21" s="250">
        <v>481</v>
      </c>
      <c r="M21" s="250">
        <v>485</v>
      </c>
      <c r="N21" s="274"/>
      <c r="O21" s="250">
        <v>486</v>
      </c>
      <c r="P21" s="250">
        <v>488</v>
      </c>
      <c r="Q21" s="374"/>
      <c r="S21" s="330"/>
      <c r="T21" s="430">
        <v>505</v>
      </c>
      <c r="U21" s="332">
        <v>1356324</v>
      </c>
      <c r="V21" s="330" t="s">
        <v>92</v>
      </c>
      <c r="W21" s="333"/>
      <c r="X21" s="330"/>
      <c r="Y21" s="425" t="s">
        <v>90</v>
      </c>
      <c r="Z21" s="330"/>
      <c r="AA21" s="330"/>
      <c r="AB21" s="330"/>
      <c r="AC21" s="330"/>
      <c r="AD21" s="330"/>
      <c r="AE21" s="330"/>
      <c r="AF21" s="330"/>
      <c r="AG21" s="330"/>
      <c r="AH21" s="330"/>
      <c r="AI21" s="330"/>
      <c r="AJ21" s="330"/>
      <c r="AK21" s="330"/>
      <c r="AL21" s="330"/>
      <c r="AM21" s="330"/>
      <c r="AN21" s="330"/>
      <c r="AO21" s="330"/>
      <c r="AP21" s="330"/>
      <c r="AQ21" s="330"/>
      <c r="AR21" s="330"/>
      <c r="AS21" s="330"/>
      <c r="AT21" s="330"/>
      <c r="AU21" s="330"/>
      <c r="AV21" s="330"/>
      <c r="AW21" s="330"/>
      <c r="AX21" s="330"/>
      <c r="AY21" s="330"/>
      <c r="AZ21" s="330"/>
      <c r="BA21" s="330"/>
      <c r="BB21" s="330"/>
      <c r="BC21" s="330"/>
      <c r="BD21" s="330"/>
      <c r="BE21" s="330"/>
      <c r="BF21" s="330"/>
      <c r="BG21" s="330"/>
      <c r="BH21" s="330"/>
      <c r="BI21" s="330"/>
      <c r="BJ21" s="330"/>
      <c r="BK21" s="330"/>
      <c r="BL21" s="330"/>
      <c r="BM21" s="330"/>
      <c r="BN21" s="330"/>
      <c r="BO21" s="330"/>
      <c r="BP21" s="330"/>
      <c r="BQ21" s="330"/>
      <c r="BR21" s="330"/>
      <c r="BS21" s="330"/>
      <c r="BT21" s="330"/>
      <c r="BU21" s="330"/>
      <c r="BV21" s="330"/>
      <c r="BW21" s="330"/>
      <c r="BX21" s="330"/>
      <c r="BY21" s="330"/>
      <c r="BZ21" s="330"/>
      <c r="CA21" s="330"/>
      <c r="CB21" s="330"/>
      <c r="CC21" s="330"/>
      <c r="CD21" s="330"/>
      <c r="CE21" s="330"/>
      <c r="CF21" s="330"/>
      <c r="CG21" s="330"/>
      <c r="CH21" s="330"/>
      <c r="CI21" s="330"/>
    </row>
    <row r="22" spans="1:87" ht="15.75" x14ac:dyDescent="0.25">
      <c r="A22" s="313"/>
      <c r="B22" s="295" t="s">
        <v>71</v>
      </c>
      <c r="C22" s="366" t="s">
        <v>180</v>
      </c>
      <c r="D22" s="251">
        <v>34994.14</v>
      </c>
      <c r="E22" s="251">
        <v>34222.339999999997</v>
      </c>
      <c r="F22" s="251">
        <v>34696.639999999999</v>
      </c>
      <c r="G22" s="251">
        <v>34970.400000000001</v>
      </c>
      <c r="H22" s="251">
        <v>26947.21</v>
      </c>
      <c r="I22" s="251">
        <v>21284.09</v>
      </c>
      <c r="J22" s="251">
        <v>19269.669999999998</v>
      </c>
      <c r="K22" s="251">
        <v>16986.580000000002</v>
      </c>
      <c r="L22" s="251">
        <v>17895.93</v>
      </c>
      <c r="M22" s="251">
        <v>20968.09</v>
      </c>
      <c r="N22" s="207"/>
      <c r="O22" s="251">
        <v>31738.9</v>
      </c>
      <c r="P22" s="287">
        <v>37438.199999999997</v>
      </c>
      <c r="Q22" s="374"/>
      <c r="S22" s="334" t="s">
        <v>90</v>
      </c>
      <c r="T22" s="335">
        <v>37438.199999999997</v>
      </c>
      <c r="U22" s="336">
        <f>T22/U18</f>
        <v>0.20176009657357805</v>
      </c>
      <c r="V22" s="330"/>
      <c r="W22" s="336">
        <f>T22/U18</f>
        <v>0.20176009657357805</v>
      </c>
      <c r="X22" s="330"/>
      <c r="Y22" s="330">
        <v>0.20175999999999999</v>
      </c>
      <c r="Z22" s="330"/>
      <c r="AA22" s="336">
        <f>Y22-W22</f>
        <v>-9.6573578051151188E-8</v>
      </c>
      <c r="AB22" s="330"/>
      <c r="AC22" s="330"/>
      <c r="AD22" s="330"/>
      <c r="AE22" s="330"/>
      <c r="AF22" s="330"/>
      <c r="AG22" s="330"/>
      <c r="AH22" s="330"/>
      <c r="AI22" s="330"/>
      <c r="AJ22" s="330"/>
      <c r="AK22" s="330"/>
      <c r="AL22" s="330"/>
      <c r="AM22" s="330"/>
      <c r="AN22" s="330"/>
      <c r="AO22" s="330"/>
      <c r="AP22" s="330"/>
      <c r="AQ22" s="330"/>
      <c r="AR22" s="330"/>
      <c r="AS22" s="330"/>
      <c r="AT22" s="330"/>
      <c r="AU22" s="330"/>
      <c r="AV22" s="330"/>
      <c r="AW22" s="330"/>
      <c r="AX22" s="330"/>
      <c r="AY22" s="330"/>
      <c r="AZ22" s="330"/>
      <c r="BA22" s="330"/>
      <c r="BB22" s="330"/>
      <c r="BC22" s="330"/>
      <c r="BD22" s="330"/>
      <c r="BE22" s="330"/>
      <c r="BF22" s="330"/>
      <c r="BG22" s="330"/>
      <c r="BH22" s="330"/>
      <c r="BI22" s="330"/>
      <c r="BJ22" s="330"/>
      <c r="BK22" s="330"/>
      <c r="BL22" s="330"/>
      <c r="BM22" s="330"/>
      <c r="BN22" s="330"/>
      <c r="BO22" s="330"/>
      <c r="BP22" s="330"/>
      <c r="BQ22" s="330"/>
      <c r="BR22" s="330"/>
      <c r="BS22" s="330"/>
      <c r="BT22" s="330"/>
      <c r="BU22" s="330"/>
      <c r="BV22" s="330"/>
      <c r="BW22" s="330"/>
      <c r="BX22" s="330"/>
      <c r="BY22" s="330"/>
      <c r="BZ22" s="330"/>
      <c r="CA22" s="330"/>
      <c r="CB22" s="330"/>
      <c r="CC22" s="330"/>
      <c r="CD22" s="330"/>
      <c r="CE22" s="330"/>
      <c r="CF22" s="330"/>
      <c r="CG22" s="330"/>
      <c r="CH22" s="330"/>
      <c r="CI22" s="330"/>
    </row>
    <row r="23" spans="1:87" ht="15.75" x14ac:dyDescent="0.25">
      <c r="A23" s="313"/>
      <c r="B23" s="295" t="s">
        <v>71</v>
      </c>
      <c r="C23" s="366" t="s">
        <v>181</v>
      </c>
      <c r="D23" s="251">
        <v>103947.75</v>
      </c>
      <c r="E23" s="251">
        <v>94155.63</v>
      </c>
      <c r="F23" s="251">
        <v>98050.4</v>
      </c>
      <c r="G23" s="251">
        <v>89289.61</v>
      </c>
      <c r="H23" s="251">
        <v>57560.25</v>
      </c>
      <c r="I23" s="251">
        <v>48916.62</v>
      </c>
      <c r="J23" s="251">
        <v>44595.66</v>
      </c>
      <c r="K23" s="251">
        <v>40134.03</v>
      </c>
      <c r="L23" s="251">
        <v>46193.33</v>
      </c>
      <c r="M23" s="251">
        <v>53973.08</v>
      </c>
      <c r="N23" s="207"/>
      <c r="O23" s="251">
        <v>71888.11</v>
      </c>
      <c r="P23" s="287">
        <v>106893.55</v>
      </c>
      <c r="Q23" s="374"/>
      <c r="S23" s="334" t="s">
        <v>90</v>
      </c>
      <c r="T23" s="335">
        <v>106893.55</v>
      </c>
      <c r="U23" s="336">
        <f>T23/U19</f>
        <v>0.16480988672298397</v>
      </c>
      <c r="V23" s="330"/>
      <c r="W23" s="336">
        <f>T23/U19</f>
        <v>0.16480988672298397</v>
      </c>
      <c r="X23" s="330"/>
      <c r="Y23" s="330">
        <v>0.16481000000000001</v>
      </c>
      <c r="Z23" s="330"/>
      <c r="AA23" s="336">
        <f>Y23-W23</f>
        <v>1.1327701604502138E-7</v>
      </c>
      <c r="AB23" s="330"/>
      <c r="AC23" s="330"/>
      <c r="AD23" s="330"/>
      <c r="AE23" s="330"/>
      <c r="AF23" s="330"/>
      <c r="AG23" s="330"/>
      <c r="AH23" s="330"/>
      <c r="AI23" s="330"/>
      <c r="AJ23" s="330"/>
      <c r="AK23" s="330"/>
      <c r="AL23" s="330"/>
      <c r="AM23" s="330"/>
      <c r="AN23" s="330"/>
      <c r="AO23" s="330"/>
      <c r="AP23" s="330"/>
      <c r="AQ23" s="330"/>
      <c r="AR23" s="330"/>
      <c r="AS23" s="330"/>
      <c r="AT23" s="330"/>
      <c r="AU23" s="330"/>
      <c r="AV23" s="330"/>
      <c r="AW23" s="330"/>
      <c r="AX23" s="330"/>
      <c r="AY23" s="330"/>
      <c r="AZ23" s="330"/>
      <c r="BA23" s="330"/>
      <c r="BB23" s="330"/>
      <c r="BC23" s="330"/>
      <c r="BD23" s="330"/>
      <c r="BE23" s="330"/>
      <c r="BF23" s="330"/>
      <c r="BG23" s="330"/>
      <c r="BH23" s="330"/>
      <c r="BI23" s="330"/>
      <c r="BJ23" s="330"/>
      <c r="BK23" s="330"/>
      <c r="BL23" s="330"/>
      <c r="BM23" s="330"/>
      <c r="BN23" s="330"/>
      <c r="BO23" s="330"/>
      <c r="BP23" s="330"/>
      <c r="BQ23" s="330"/>
      <c r="BR23" s="330"/>
      <c r="BS23" s="330"/>
      <c r="BT23" s="330"/>
      <c r="BU23" s="330"/>
      <c r="BV23" s="330"/>
      <c r="BW23" s="330"/>
      <c r="BX23" s="330"/>
      <c r="BY23" s="330"/>
      <c r="BZ23" s="330"/>
      <c r="CA23" s="330"/>
      <c r="CB23" s="330"/>
      <c r="CC23" s="330"/>
      <c r="CD23" s="330"/>
      <c r="CE23" s="330"/>
      <c r="CF23" s="330"/>
      <c r="CG23" s="330"/>
      <c r="CH23" s="330"/>
      <c r="CI23" s="330"/>
    </row>
    <row r="24" spans="1:87" ht="15.75" x14ac:dyDescent="0.25">
      <c r="A24" s="313"/>
      <c r="B24" s="295" t="s">
        <v>71</v>
      </c>
      <c r="C24" s="366" t="s">
        <v>182</v>
      </c>
      <c r="D24" s="252">
        <v>84740.85</v>
      </c>
      <c r="E24" s="252">
        <v>66863.649999999994</v>
      </c>
      <c r="F24" s="252">
        <v>75927.740000000005</v>
      </c>
      <c r="G24" s="252">
        <v>65312.71</v>
      </c>
      <c r="H24" s="252">
        <v>36686.1</v>
      </c>
      <c r="I24" s="252">
        <v>37408.239999999998</v>
      </c>
      <c r="J24" s="252">
        <v>31267.85</v>
      </c>
      <c r="K24" s="252">
        <v>27010.82</v>
      </c>
      <c r="L24" s="252">
        <v>40096.81</v>
      </c>
      <c r="M24" s="252">
        <v>90654.12</v>
      </c>
      <c r="N24" s="398"/>
      <c r="O24" s="252">
        <v>44073.47</v>
      </c>
      <c r="P24" s="288">
        <v>83147.19</v>
      </c>
      <c r="Q24" s="374"/>
      <c r="S24" s="334" t="s">
        <v>90</v>
      </c>
      <c r="T24" s="335">
        <v>83147.19</v>
      </c>
      <c r="U24" s="336">
        <f>T24/U20</f>
        <v>0.15922998259230961</v>
      </c>
      <c r="V24" s="330"/>
      <c r="W24" s="336">
        <f>T24/U20</f>
        <v>0.15922998259230961</v>
      </c>
      <c r="X24" s="330"/>
      <c r="Y24" s="330">
        <v>0.15923000000000001</v>
      </c>
      <c r="Z24" s="330"/>
      <c r="AA24" s="336">
        <f>Y24-W24</f>
        <v>1.7407690400261799E-8</v>
      </c>
      <c r="AB24" s="330"/>
      <c r="AC24" s="330"/>
      <c r="AD24" s="330"/>
      <c r="AE24" s="330"/>
      <c r="AF24" s="330"/>
      <c r="AG24" s="330"/>
      <c r="AH24" s="330"/>
      <c r="AI24" s="330"/>
      <c r="AJ24" s="330"/>
      <c r="AK24" s="330"/>
      <c r="AL24" s="330"/>
      <c r="AM24" s="330"/>
      <c r="AN24" s="330"/>
      <c r="AO24" s="330"/>
      <c r="AP24" s="330"/>
      <c r="AQ24" s="330"/>
      <c r="AR24" s="330"/>
      <c r="AS24" s="330"/>
      <c r="AT24" s="330"/>
      <c r="AU24" s="330"/>
      <c r="AV24" s="330"/>
      <c r="AW24" s="330"/>
      <c r="AX24" s="330"/>
      <c r="AY24" s="330"/>
      <c r="AZ24" s="330"/>
      <c r="BA24" s="330"/>
      <c r="BB24" s="330"/>
      <c r="BC24" s="330"/>
      <c r="BD24" s="330"/>
      <c r="BE24" s="330"/>
      <c r="BF24" s="330"/>
      <c r="BG24" s="330"/>
      <c r="BH24" s="330"/>
      <c r="BI24" s="330"/>
      <c r="BJ24" s="330"/>
      <c r="BK24" s="330"/>
      <c r="BL24" s="330"/>
      <c r="BM24" s="330"/>
      <c r="BN24" s="330"/>
      <c r="BO24" s="330"/>
      <c r="BP24" s="330"/>
      <c r="BQ24" s="330"/>
      <c r="BR24" s="330"/>
      <c r="BS24" s="330"/>
      <c r="BT24" s="330"/>
      <c r="BU24" s="330"/>
      <c r="BV24" s="330"/>
      <c r="BW24" s="330"/>
      <c r="BX24" s="330"/>
      <c r="BY24" s="330"/>
      <c r="BZ24" s="330"/>
      <c r="CA24" s="330"/>
      <c r="CB24" s="330"/>
      <c r="CC24" s="330"/>
      <c r="CD24" s="330"/>
      <c r="CE24" s="330"/>
      <c r="CF24" s="330"/>
      <c r="CG24" s="330"/>
      <c r="CH24" s="330"/>
      <c r="CI24" s="330"/>
    </row>
    <row r="25" spans="1:87" ht="15.75" x14ac:dyDescent="0.25">
      <c r="A25" s="313"/>
      <c r="B25" s="271"/>
      <c r="C25" s="364" t="s">
        <v>74</v>
      </c>
      <c r="D25" s="108">
        <f t="shared" ref="D25:M25" si="11">SUM(D22:D24)</f>
        <v>223682.74000000002</v>
      </c>
      <c r="E25" s="108">
        <f t="shared" si="11"/>
        <v>195241.62</v>
      </c>
      <c r="F25" s="108">
        <f t="shared" si="11"/>
        <v>208674.77999999997</v>
      </c>
      <c r="G25" s="108">
        <f t="shared" si="11"/>
        <v>189572.72</v>
      </c>
      <c r="H25" s="108">
        <f t="shared" si="11"/>
        <v>121193.56</v>
      </c>
      <c r="I25" s="108">
        <f t="shared" si="11"/>
        <v>107608.95000000001</v>
      </c>
      <c r="J25" s="108">
        <f t="shared" si="11"/>
        <v>95133.18</v>
      </c>
      <c r="K25" s="108">
        <f t="shared" si="11"/>
        <v>84131.43</v>
      </c>
      <c r="L25" s="108">
        <f t="shared" si="11"/>
        <v>104186.07</v>
      </c>
      <c r="M25" s="108">
        <f t="shared" si="11"/>
        <v>165595.28999999998</v>
      </c>
      <c r="N25" s="206"/>
      <c r="O25" s="108">
        <f>SUM(O22:O24)</f>
        <v>147700.48000000001</v>
      </c>
      <c r="P25" s="126">
        <f>SUM(P22:P24)</f>
        <v>227478.94</v>
      </c>
      <c r="Q25" s="324"/>
      <c r="S25" s="334" t="s">
        <v>91</v>
      </c>
      <c r="T25" s="335">
        <v>568607.53</v>
      </c>
      <c r="U25" s="336">
        <f>T25/U21</f>
        <v>0.41922691775711413</v>
      </c>
      <c r="V25" s="330"/>
      <c r="W25" s="336">
        <f>T25/U21</f>
        <v>0.41922691775711413</v>
      </c>
      <c r="X25" s="330"/>
      <c r="Y25" s="338">
        <v>0.41911999999999999</v>
      </c>
      <c r="Z25" s="330"/>
      <c r="AA25" s="336">
        <f>Y25-W25</f>
        <v>-1.0691775711413332E-4</v>
      </c>
      <c r="AB25" s="330"/>
      <c r="AC25" s="330"/>
      <c r="AD25" s="330"/>
      <c r="AE25" s="330"/>
      <c r="AF25" s="330"/>
      <c r="AG25" s="330"/>
      <c r="AH25" s="330"/>
      <c r="AI25" s="330"/>
      <c r="AJ25" s="330"/>
      <c r="AK25" s="330"/>
      <c r="AL25" s="330"/>
      <c r="AM25" s="330"/>
      <c r="AN25" s="330"/>
      <c r="AO25" s="330"/>
      <c r="AP25" s="330"/>
      <c r="AQ25" s="330"/>
      <c r="AR25" s="330"/>
      <c r="AS25" s="330"/>
      <c r="AT25" s="330"/>
      <c r="AU25" s="330"/>
      <c r="AV25" s="330"/>
      <c r="AW25" s="330"/>
      <c r="AX25" s="330"/>
      <c r="AY25" s="330"/>
      <c r="AZ25" s="330"/>
      <c r="BA25" s="330"/>
      <c r="BB25" s="330"/>
      <c r="BC25" s="330"/>
      <c r="BD25" s="330"/>
      <c r="BE25" s="330"/>
      <c r="BF25" s="330"/>
      <c r="BG25" s="330"/>
      <c r="BH25" s="330"/>
      <c r="BI25" s="330"/>
      <c r="BJ25" s="330"/>
      <c r="BK25" s="330"/>
      <c r="BL25" s="330"/>
      <c r="BM25" s="330"/>
      <c r="BN25" s="330"/>
      <c r="BO25" s="330"/>
      <c r="BP25" s="330"/>
      <c r="BQ25" s="330"/>
      <c r="BR25" s="330"/>
      <c r="BS25" s="330"/>
      <c r="BT25" s="330"/>
      <c r="BU25" s="330"/>
      <c r="BV25" s="330"/>
      <c r="BW25" s="330"/>
      <c r="BX25" s="330"/>
      <c r="BY25" s="330"/>
      <c r="BZ25" s="330"/>
      <c r="CA25" s="330"/>
      <c r="CB25" s="330"/>
      <c r="CC25" s="330"/>
      <c r="CD25" s="330"/>
      <c r="CE25" s="330"/>
      <c r="CF25" s="330"/>
      <c r="CG25" s="330"/>
      <c r="CH25" s="330"/>
      <c r="CI25" s="330"/>
    </row>
    <row r="26" spans="1:87" x14ac:dyDescent="0.25">
      <c r="A26" s="313"/>
      <c r="B26" s="271"/>
      <c r="C26" s="436" t="s">
        <v>73</v>
      </c>
      <c r="D26" s="309">
        <f>ROUND(-'Authorized Margins 2019'!J14*'WACAP 2020'!D21,2)</f>
        <v>-238652.17</v>
      </c>
      <c r="E26" s="88">
        <f>ROUND(-'Authorized Margins 2019'!K14*'WACAP 2020'!E21,2)</f>
        <v>-202674.48</v>
      </c>
      <c r="F26" s="421">
        <f>ROUND(-'Authorized Margins 2020'!F11*'WACAP 2020'!F21,2)</f>
        <v>-237633</v>
      </c>
      <c r="G26" s="88">
        <f>ROUND(-'Authorized Margins 2020'!G11*'WACAP 2020'!G21,2)</f>
        <v>-187782.3</v>
      </c>
      <c r="H26" s="88">
        <f>ROUND(-'Authorized Margins 2020'!H11*'WACAP 2020'!H21,2)</f>
        <v>-136282.57999999999</v>
      </c>
      <c r="I26" s="88">
        <f>ROUND(-'Authorized Margins 2020'!I11*'WACAP 2020'!I21,2)</f>
        <v>-101235.62</v>
      </c>
      <c r="J26" s="88">
        <f>ROUND(-'Authorized Margins 2020'!J11*'WACAP 2020'!J21,2)</f>
        <v>-89572.42</v>
      </c>
      <c r="K26" s="88">
        <f>ROUND(-'Authorized Margins 2020'!K11*'WACAP 2020'!K21,2)</f>
        <v>-95613.18</v>
      </c>
      <c r="L26" s="88">
        <f>ROUND(-'Authorized Margins 2020'!L11*'WACAP 2020'!L21,2)</f>
        <v>-109547.75</v>
      </c>
      <c r="M26" s="88">
        <f>ROUND(-'Authorized Margins 2020'!M11*'WACAP 2020'!M21,2)</f>
        <v>-176869.8</v>
      </c>
      <c r="N26" s="205"/>
      <c r="O26" s="88">
        <f>ROUND(-'Authorized Margins 2020'!O11*'WACAP 2020'!O21,2)</f>
        <v>-168885</v>
      </c>
      <c r="P26" s="110">
        <f>ROUND(-'Authorized Margins 2020'!P11*'WACAP 2020'!P21,2)</f>
        <v>-251822.64</v>
      </c>
      <c r="Q26" s="324"/>
      <c r="S26" s="330"/>
      <c r="T26" s="330"/>
      <c r="U26" s="330"/>
      <c r="V26" s="330"/>
      <c r="W26" s="330"/>
      <c r="X26" s="330"/>
      <c r="Y26" s="330"/>
      <c r="Z26" s="330"/>
      <c r="AA26" s="330"/>
      <c r="AB26" s="330"/>
      <c r="AC26" s="330"/>
      <c r="AD26" s="330"/>
      <c r="AE26" s="330"/>
      <c r="AF26" s="330"/>
      <c r="AG26" s="330"/>
      <c r="AH26" s="330"/>
      <c r="AI26" s="330"/>
      <c r="AJ26" s="330"/>
      <c r="AK26" s="330"/>
      <c r="AL26" s="330"/>
      <c r="AM26" s="330"/>
      <c r="AN26" s="330"/>
      <c r="AO26" s="330"/>
      <c r="AP26" s="330"/>
      <c r="AQ26" s="330"/>
      <c r="AR26" s="330"/>
      <c r="AS26" s="330"/>
      <c r="AT26" s="330"/>
      <c r="AU26" s="330"/>
      <c r="AV26" s="330"/>
      <c r="AW26" s="330"/>
      <c r="AX26" s="330"/>
      <c r="AY26" s="330"/>
      <c r="AZ26" s="330"/>
      <c r="BA26" s="330"/>
      <c r="BB26" s="330"/>
      <c r="BC26" s="330"/>
      <c r="BD26" s="330"/>
      <c r="BE26" s="330"/>
      <c r="BF26" s="330"/>
      <c r="BG26" s="330"/>
      <c r="BH26" s="330"/>
      <c r="BI26" s="330"/>
      <c r="BJ26" s="330"/>
      <c r="BK26" s="330"/>
      <c r="BL26" s="330"/>
      <c r="BM26" s="330"/>
      <c r="BN26" s="330"/>
      <c r="BO26" s="330"/>
      <c r="BP26" s="330"/>
      <c r="BQ26" s="330"/>
      <c r="BR26" s="330"/>
      <c r="BS26" s="330"/>
      <c r="BT26" s="330"/>
      <c r="BU26" s="330"/>
      <c r="BV26" s="330"/>
      <c r="BW26" s="330"/>
      <c r="BX26" s="330"/>
      <c r="BY26" s="330"/>
      <c r="BZ26" s="330"/>
      <c r="CA26" s="330"/>
      <c r="CB26" s="330"/>
      <c r="CC26" s="330"/>
      <c r="CD26" s="330"/>
      <c r="CE26" s="330"/>
      <c r="CF26" s="330"/>
      <c r="CG26" s="330"/>
      <c r="CH26" s="330"/>
      <c r="CI26" s="330"/>
    </row>
    <row r="27" spans="1:87" x14ac:dyDescent="0.25">
      <c r="A27" s="313"/>
      <c r="B27" s="271"/>
      <c r="C27" s="364" t="s">
        <v>201</v>
      </c>
      <c r="D27" s="187">
        <f t="shared" ref="D27:P27" si="12">SUM(D25:D26)</f>
        <v>-14969.429999999993</v>
      </c>
      <c r="E27" s="187">
        <f t="shared" si="12"/>
        <v>-7432.8600000000151</v>
      </c>
      <c r="F27" s="187">
        <f t="shared" si="12"/>
        <v>-28958.22000000003</v>
      </c>
      <c r="G27" s="187">
        <f t="shared" si="12"/>
        <v>1790.4200000000128</v>
      </c>
      <c r="H27" s="187">
        <f t="shared" si="12"/>
        <v>-15089.01999999999</v>
      </c>
      <c r="I27" s="187">
        <f t="shared" si="12"/>
        <v>6373.3300000000163</v>
      </c>
      <c r="J27" s="187">
        <f t="shared" si="12"/>
        <v>5560.7599999999948</v>
      </c>
      <c r="K27" s="187">
        <f t="shared" si="12"/>
        <v>-11481.75</v>
      </c>
      <c r="L27" s="187">
        <f t="shared" si="12"/>
        <v>-5361.679999999993</v>
      </c>
      <c r="M27" s="187">
        <f t="shared" si="12"/>
        <v>-11274.510000000009</v>
      </c>
      <c r="N27" s="302">
        <f>-'WACAP 2019'!R39</f>
        <v>-204177.64000000004</v>
      </c>
      <c r="O27" s="187">
        <f t="shared" si="12"/>
        <v>-21184.51999999999</v>
      </c>
      <c r="P27" s="188">
        <f t="shared" si="12"/>
        <v>-24343.700000000012</v>
      </c>
      <c r="Q27" s="374">
        <f>SUM(D27:P27)-N27</f>
        <v>-126371.17999999996</v>
      </c>
      <c r="S27" s="330"/>
      <c r="T27" s="330"/>
      <c r="U27" s="330"/>
      <c r="V27" s="330"/>
      <c r="W27" s="330"/>
      <c r="X27" s="330"/>
      <c r="Y27" s="330"/>
      <c r="Z27" s="330"/>
      <c r="AA27" s="330"/>
      <c r="AB27" s="330"/>
      <c r="AC27" s="330"/>
      <c r="AD27" s="330"/>
      <c r="AE27" s="330"/>
      <c r="AF27" s="330"/>
      <c r="AG27" s="330"/>
      <c r="AH27" s="330"/>
      <c r="AI27" s="330"/>
      <c r="AJ27" s="330"/>
      <c r="AK27" s="330"/>
      <c r="AL27" s="330"/>
      <c r="AM27" s="330"/>
      <c r="AN27" s="330"/>
      <c r="AO27" s="330"/>
      <c r="AP27" s="330"/>
      <c r="AQ27" s="330"/>
      <c r="AR27" s="330"/>
      <c r="AS27" s="330"/>
      <c r="AT27" s="330"/>
      <c r="AU27" s="330"/>
      <c r="AV27" s="330"/>
      <c r="AW27" s="330"/>
      <c r="AX27" s="330"/>
      <c r="AY27" s="330"/>
      <c r="AZ27" s="330"/>
      <c r="BA27" s="330"/>
      <c r="BB27" s="330"/>
      <c r="BC27" s="330"/>
      <c r="BD27" s="330"/>
      <c r="BE27" s="330"/>
      <c r="BF27" s="330"/>
      <c r="BG27" s="330"/>
      <c r="BH27" s="330"/>
      <c r="BI27" s="330"/>
      <c r="BJ27" s="330"/>
      <c r="BK27" s="330"/>
      <c r="BL27" s="330"/>
      <c r="BM27" s="330"/>
      <c r="BN27" s="330"/>
      <c r="BO27" s="330"/>
      <c r="BP27" s="330"/>
      <c r="BQ27" s="330"/>
      <c r="BR27" s="330"/>
      <c r="BS27" s="330"/>
      <c r="BT27" s="330"/>
      <c r="BU27" s="330"/>
      <c r="BV27" s="330"/>
      <c r="BW27" s="330"/>
      <c r="BX27" s="330"/>
      <c r="BY27" s="330"/>
      <c r="BZ27" s="330"/>
      <c r="CA27" s="330"/>
      <c r="CB27" s="330"/>
      <c r="CC27" s="330"/>
      <c r="CD27" s="330"/>
      <c r="CE27" s="330"/>
      <c r="CF27" s="330"/>
      <c r="CG27" s="330"/>
      <c r="CH27" s="330"/>
      <c r="CI27" s="330"/>
    </row>
    <row r="28" spans="1:87" x14ac:dyDescent="0.25">
      <c r="A28" s="313"/>
      <c r="B28" s="295"/>
      <c r="C28" s="436" t="s">
        <v>137</v>
      </c>
      <c r="D28" s="308">
        <f>ROUND(ROUND('WACAP 2019'!P40*D$6,2)/365*D$7,2)</f>
        <v>860.12</v>
      </c>
      <c r="E28" s="187">
        <f>ROUND(ROUND(D30*E$6,2)/365*E$7,2)</f>
        <v>749.03</v>
      </c>
      <c r="F28" s="187">
        <f t="shared" ref="F28:P28" si="13">ROUND(ROUND(E30*F$6,2)/365*F$7,2)</f>
        <v>772.53</v>
      </c>
      <c r="G28" s="187">
        <f t="shared" si="13"/>
        <v>605.91</v>
      </c>
      <c r="H28" s="187">
        <f t="shared" si="13"/>
        <v>635.78</v>
      </c>
      <c r="I28" s="187">
        <f t="shared" si="13"/>
        <v>558.84</v>
      </c>
      <c r="J28" s="187">
        <f t="shared" si="13"/>
        <v>437.19</v>
      </c>
      <c r="K28" s="187">
        <f t="shared" si="13"/>
        <v>454.66</v>
      </c>
      <c r="L28" s="187">
        <f t="shared" si="13"/>
        <v>408.91</v>
      </c>
      <c r="M28" s="187">
        <f t="shared" si="13"/>
        <v>386.69</v>
      </c>
      <c r="N28" s="231">
        <f>'Ammort Split 2020'!N38</f>
        <v>-7388.93</v>
      </c>
      <c r="O28" s="187">
        <f>ROUND(ROUND(N30*O$6,2)/365*O$7,2)</f>
        <v>-220.01</v>
      </c>
      <c r="P28" s="188">
        <f t="shared" si="13"/>
        <v>-286.42</v>
      </c>
      <c r="Q28" s="388">
        <f>SUM(D28:P28)</f>
        <v>-2025.7000000000014</v>
      </c>
      <c r="S28" s="330"/>
      <c r="T28" s="330"/>
      <c r="U28" s="330"/>
      <c r="V28" s="330"/>
      <c r="W28" s="330"/>
      <c r="X28" s="330"/>
      <c r="Y28" s="330"/>
      <c r="Z28" s="330"/>
      <c r="AA28" s="330"/>
      <c r="AB28" s="330"/>
      <c r="AC28" s="330"/>
      <c r="AD28" s="330"/>
      <c r="AE28" s="330"/>
      <c r="AF28" s="330"/>
      <c r="AG28" s="330"/>
      <c r="AH28" s="330"/>
      <c r="AI28" s="330"/>
      <c r="AJ28" s="330"/>
      <c r="AK28" s="330"/>
      <c r="AL28" s="330"/>
      <c r="AM28" s="330"/>
      <c r="AN28" s="330"/>
      <c r="AO28" s="330"/>
      <c r="AP28" s="330"/>
      <c r="AQ28" s="330"/>
      <c r="AR28" s="330"/>
      <c r="AS28" s="330"/>
      <c r="AT28" s="330"/>
      <c r="AU28" s="330"/>
      <c r="AV28" s="330"/>
      <c r="AW28" s="330"/>
      <c r="AX28" s="330"/>
      <c r="AY28" s="330"/>
      <c r="AZ28" s="330"/>
      <c r="BA28" s="330"/>
      <c r="BB28" s="330"/>
      <c r="BC28" s="330"/>
      <c r="BD28" s="330"/>
      <c r="BE28" s="330"/>
      <c r="BF28" s="330"/>
      <c r="BG28" s="330"/>
      <c r="BH28" s="330"/>
      <c r="BI28" s="330"/>
      <c r="BJ28" s="330"/>
      <c r="BK28" s="330"/>
      <c r="BL28" s="330"/>
      <c r="BM28" s="330"/>
      <c r="BN28" s="330"/>
      <c r="BO28" s="330"/>
      <c r="BP28" s="330"/>
      <c r="BQ28" s="330"/>
      <c r="BR28" s="330"/>
      <c r="BS28" s="330"/>
      <c r="BT28" s="330"/>
      <c r="BU28" s="330"/>
      <c r="BV28" s="330"/>
      <c r="BW28" s="330"/>
      <c r="BX28" s="330"/>
      <c r="BY28" s="330"/>
      <c r="BZ28" s="330"/>
      <c r="CA28" s="330"/>
      <c r="CB28" s="330"/>
      <c r="CC28" s="330"/>
      <c r="CD28" s="330"/>
      <c r="CE28" s="330"/>
      <c r="CF28" s="330"/>
      <c r="CG28" s="330"/>
      <c r="CH28" s="330"/>
      <c r="CI28" s="330"/>
    </row>
    <row r="29" spans="1:87" x14ac:dyDescent="0.25">
      <c r="A29" s="313"/>
      <c r="B29" s="295"/>
      <c r="C29" s="364" t="s">
        <v>138</v>
      </c>
      <c r="D29" s="189">
        <f t="shared" ref="D29:P29" si="14">SUM(D27:D28)</f>
        <v>-14109.309999999992</v>
      </c>
      <c r="E29" s="189">
        <f t="shared" si="14"/>
        <v>-6683.8300000000154</v>
      </c>
      <c r="F29" s="189">
        <f t="shared" si="14"/>
        <v>-28185.690000000031</v>
      </c>
      <c r="G29" s="189">
        <f t="shared" si="14"/>
        <v>2396.3300000000127</v>
      </c>
      <c r="H29" s="189">
        <f t="shared" si="14"/>
        <v>-14453.239999999989</v>
      </c>
      <c r="I29" s="189">
        <f t="shared" si="14"/>
        <v>6932.1700000000164</v>
      </c>
      <c r="J29" s="189">
        <f t="shared" si="14"/>
        <v>5997.9499999999944</v>
      </c>
      <c r="K29" s="189">
        <f t="shared" si="14"/>
        <v>-11027.09</v>
      </c>
      <c r="L29" s="189">
        <f t="shared" si="14"/>
        <v>-4952.7699999999932</v>
      </c>
      <c r="M29" s="189">
        <f t="shared" si="14"/>
        <v>-10887.820000000009</v>
      </c>
      <c r="N29" s="209">
        <f>SUM(N27:N28)</f>
        <v>-211566.57000000004</v>
      </c>
      <c r="O29" s="189">
        <f t="shared" si="14"/>
        <v>-21404.529999999988</v>
      </c>
      <c r="P29" s="190">
        <f t="shared" si="14"/>
        <v>-24630.12000000001</v>
      </c>
      <c r="Q29" s="389">
        <f>SUM(Q27:Q28)</f>
        <v>-128396.87999999996</v>
      </c>
      <c r="S29" s="330"/>
      <c r="T29" s="330"/>
      <c r="U29" s="330"/>
      <c r="V29" s="330"/>
      <c r="W29" s="330"/>
      <c r="X29" s="330"/>
      <c r="Y29" s="330"/>
      <c r="Z29" s="330"/>
      <c r="AA29" s="330"/>
      <c r="AB29" s="330"/>
      <c r="AC29" s="330"/>
      <c r="AD29" s="330"/>
      <c r="AE29" s="330"/>
      <c r="AF29" s="330"/>
      <c r="AG29" s="330"/>
      <c r="AH29" s="330"/>
      <c r="AI29" s="330"/>
      <c r="AJ29" s="330"/>
      <c r="AK29" s="330"/>
      <c r="AL29" s="330"/>
      <c r="AM29" s="330"/>
      <c r="AN29" s="330"/>
      <c r="AO29" s="330"/>
      <c r="AP29" s="330"/>
      <c r="AQ29" s="330"/>
      <c r="AR29" s="330"/>
      <c r="AS29" s="330"/>
      <c r="AT29" s="330"/>
      <c r="AU29" s="330"/>
      <c r="AV29" s="330"/>
      <c r="AW29" s="330"/>
      <c r="AX29" s="330"/>
      <c r="AY29" s="330"/>
      <c r="AZ29" s="330"/>
      <c r="BA29" s="330"/>
      <c r="BB29" s="330"/>
      <c r="BC29" s="330"/>
      <c r="BD29" s="330"/>
      <c r="BE29" s="330"/>
      <c r="BF29" s="330"/>
      <c r="BG29" s="330"/>
      <c r="BH29" s="330"/>
      <c r="BI29" s="330"/>
      <c r="BJ29" s="330"/>
      <c r="BK29" s="330"/>
      <c r="BL29" s="330"/>
      <c r="BM29" s="330"/>
      <c r="BN29" s="330"/>
      <c r="BO29" s="330"/>
      <c r="BP29" s="330"/>
      <c r="BQ29" s="330"/>
      <c r="BR29" s="330"/>
      <c r="BS29" s="330"/>
      <c r="BT29" s="330"/>
      <c r="BU29" s="330"/>
      <c r="BV29" s="330"/>
      <c r="BW29" s="330"/>
      <c r="BX29" s="330"/>
      <c r="BY29" s="330"/>
      <c r="BZ29" s="330"/>
      <c r="CA29" s="330"/>
      <c r="CB29" s="330"/>
      <c r="CC29" s="330"/>
      <c r="CD29" s="330"/>
      <c r="CE29" s="330"/>
      <c r="CF29" s="330"/>
      <c r="CG29" s="330"/>
      <c r="CH29" s="330"/>
      <c r="CI29" s="330"/>
    </row>
    <row r="30" spans="1:87" x14ac:dyDescent="0.25">
      <c r="A30" s="313"/>
      <c r="B30" s="295"/>
      <c r="C30" s="436" t="s">
        <v>139</v>
      </c>
      <c r="D30" s="308">
        <f>'WACAP 2019'!P40+'WACAP 2020'!D29</f>
        <v>190068.33000000005</v>
      </c>
      <c r="E30" s="187">
        <f t="shared" ref="E30:P30" si="15">D30+E29</f>
        <v>183384.50000000003</v>
      </c>
      <c r="F30" s="187">
        <f t="shared" si="15"/>
        <v>155198.81</v>
      </c>
      <c r="G30" s="187">
        <f t="shared" si="15"/>
        <v>157595.14000000001</v>
      </c>
      <c r="H30" s="187">
        <f t="shared" si="15"/>
        <v>143141.90000000002</v>
      </c>
      <c r="I30" s="187">
        <f t="shared" si="15"/>
        <v>150074.07000000004</v>
      </c>
      <c r="J30" s="187">
        <f t="shared" si="15"/>
        <v>156072.02000000002</v>
      </c>
      <c r="K30" s="187">
        <f t="shared" si="15"/>
        <v>145044.93000000002</v>
      </c>
      <c r="L30" s="187">
        <f t="shared" si="15"/>
        <v>140092.16000000003</v>
      </c>
      <c r="M30" s="187">
        <f t="shared" si="15"/>
        <v>129204.34000000003</v>
      </c>
      <c r="N30" s="208">
        <f>M30+N29</f>
        <v>-82362.23000000001</v>
      </c>
      <c r="O30" s="187">
        <f t="shared" si="15"/>
        <v>-103766.76</v>
      </c>
      <c r="P30" s="301">
        <f t="shared" si="15"/>
        <v>-128396.88</v>
      </c>
      <c r="Q30" s="324"/>
      <c r="S30" s="330"/>
      <c r="T30" s="330"/>
      <c r="U30" s="337">
        <f>ROUND(T34/Y34,0)</f>
        <v>212157</v>
      </c>
      <c r="V30" s="330"/>
      <c r="W30" s="330"/>
      <c r="X30" s="330"/>
      <c r="Y30" s="330"/>
      <c r="Z30" s="330"/>
      <c r="AA30" s="330"/>
      <c r="AB30" s="330"/>
      <c r="AC30" s="330"/>
      <c r="AD30" s="330"/>
      <c r="AE30" s="330"/>
      <c r="AF30" s="330"/>
      <c r="AG30" s="330"/>
      <c r="AH30" s="330"/>
      <c r="AI30" s="330"/>
      <c r="AJ30" s="330"/>
      <c r="AK30" s="330"/>
      <c r="AL30" s="330"/>
      <c r="AM30" s="330"/>
      <c r="AN30" s="330"/>
      <c r="AO30" s="330"/>
      <c r="AP30" s="330"/>
      <c r="AQ30" s="330"/>
      <c r="AR30" s="330"/>
      <c r="AS30" s="330"/>
      <c r="AT30" s="330"/>
      <c r="AU30" s="330"/>
      <c r="AV30" s="330"/>
      <c r="AW30" s="330"/>
      <c r="AX30" s="330"/>
      <c r="AY30" s="330"/>
      <c r="AZ30" s="330"/>
      <c r="BA30" s="330"/>
      <c r="BB30" s="330"/>
      <c r="BC30" s="330"/>
      <c r="BD30" s="330"/>
      <c r="BE30" s="330"/>
      <c r="BF30" s="330"/>
      <c r="BG30" s="330"/>
      <c r="BH30" s="330"/>
      <c r="BI30" s="330"/>
      <c r="BJ30" s="330"/>
      <c r="BK30" s="330"/>
      <c r="BL30" s="330"/>
      <c r="BM30" s="330"/>
      <c r="BN30" s="330"/>
      <c r="BO30" s="330"/>
      <c r="BP30" s="330"/>
      <c r="BQ30" s="330"/>
      <c r="BR30" s="330"/>
      <c r="BS30" s="330"/>
      <c r="BT30" s="330"/>
      <c r="BU30" s="330"/>
      <c r="BV30" s="330"/>
      <c r="BW30" s="330"/>
      <c r="BX30" s="330"/>
      <c r="BY30" s="330"/>
      <c r="BZ30" s="330"/>
      <c r="CA30" s="330"/>
      <c r="CB30" s="330"/>
      <c r="CC30" s="330"/>
      <c r="CD30" s="330"/>
      <c r="CE30" s="330"/>
      <c r="CF30" s="330"/>
      <c r="CG30" s="330"/>
      <c r="CH30" s="330"/>
      <c r="CI30" s="330"/>
    </row>
    <row r="31" spans="1:87" x14ac:dyDescent="0.25">
      <c r="A31" s="313"/>
      <c r="B31" s="271"/>
      <c r="C31" s="368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208"/>
      <c r="O31" s="187"/>
      <c r="P31" s="188"/>
      <c r="Q31" s="324"/>
      <c r="S31" s="334"/>
      <c r="T31" s="337"/>
      <c r="U31" s="337">
        <f>ROUND(T35/Y35,0)</f>
        <v>186052</v>
      </c>
      <c r="X31" s="330"/>
      <c r="Y31" s="330"/>
      <c r="Z31" s="330"/>
      <c r="AA31" s="330"/>
      <c r="AB31" s="330"/>
      <c r="AC31" s="330"/>
      <c r="AD31" s="330"/>
      <c r="AE31" s="330"/>
      <c r="AF31" s="330"/>
      <c r="AG31" s="330"/>
      <c r="AH31" s="330"/>
      <c r="AI31" s="330"/>
      <c r="AJ31" s="330"/>
      <c r="AK31" s="330"/>
      <c r="AL31" s="330"/>
      <c r="AM31" s="330"/>
      <c r="AN31" s="330"/>
      <c r="AO31" s="330"/>
      <c r="AP31" s="330"/>
      <c r="AQ31" s="330"/>
      <c r="AR31" s="330"/>
      <c r="AS31" s="330"/>
      <c r="AT31" s="330"/>
      <c r="AU31" s="330"/>
      <c r="AV31" s="330"/>
      <c r="AW31" s="330"/>
      <c r="AX31" s="330"/>
      <c r="AY31" s="330"/>
      <c r="AZ31" s="330"/>
      <c r="BA31" s="330"/>
      <c r="BB31" s="330"/>
      <c r="BC31" s="330"/>
      <c r="BD31" s="330"/>
      <c r="BE31" s="330"/>
      <c r="BF31" s="330"/>
      <c r="BG31" s="330"/>
      <c r="BH31" s="330"/>
      <c r="BI31" s="330"/>
      <c r="BJ31" s="330"/>
      <c r="BK31" s="330"/>
      <c r="BL31" s="330"/>
      <c r="BM31" s="330"/>
      <c r="BN31" s="330"/>
      <c r="BO31" s="330"/>
      <c r="BP31" s="330"/>
      <c r="BQ31" s="330"/>
      <c r="BR31" s="330"/>
      <c r="BS31" s="330"/>
      <c r="BT31" s="330"/>
      <c r="BU31" s="330"/>
      <c r="BV31" s="330"/>
      <c r="BW31" s="330"/>
      <c r="BX31" s="330"/>
      <c r="BY31" s="330"/>
      <c r="BZ31" s="330"/>
      <c r="CA31" s="330"/>
      <c r="CB31" s="330"/>
      <c r="CC31" s="330"/>
      <c r="CD31" s="330"/>
      <c r="CE31" s="330"/>
      <c r="CF31" s="330"/>
      <c r="CG31" s="330"/>
      <c r="CH31" s="330"/>
      <c r="CI31" s="330"/>
    </row>
    <row r="32" spans="1:87" x14ac:dyDescent="0.25">
      <c r="A32" s="313"/>
      <c r="B32" t="s">
        <v>85</v>
      </c>
      <c r="C32" s="365" t="s">
        <v>197</v>
      </c>
      <c r="D32" s="192"/>
      <c r="E32" s="192"/>
      <c r="F32" s="187"/>
      <c r="G32" s="192"/>
      <c r="H32" s="192"/>
      <c r="I32" s="192"/>
      <c r="J32" s="192"/>
      <c r="K32" s="192"/>
      <c r="L32" s="192"/>
      <c r="M32" s="192"/>
      <c r="N32" s="202"/>
      <c r="O32" s="192"/>
      <c r="P32" s="195"/>
      <c r="Q32" s="324"/>
      <c r="S32" s="330"/>
      <c r="U32" s="337">
        <f>ROUND(T36/Y36,0)</f>
        <v>29686</v>
      </c>
      <c r="V32" s="337">
        <f>SUM(U30:U32)</f>
        <v>427895</v>
      </c>
      <c r="W32" s="330"/>
      <c r="X32" s="330"/>
      <c r="Y32" s="330"/>
      <c r="Z32" s="330"/>
      <c r="AA32" s="330"/>
      <c r="AB32" s="330"/>
      <c r="AC32" s="330"/>
      <c r="AD32" s="330"/>
      <c r="AE32" s="330"/>
      <c r="AF32" s="330"/>
      <c r="AG32" s="330"/>
      <c r="AH32" s="330"/>
      <c r="AI32" s="330"/>
      <c r="AJ32" s="330"/>
      <c r="AK32" s="330"/>
      <c r="AL32" s="330"/>
      <c r="AM32" s="330"/>
      <c r="AN32" s="330"/>
      <c r="AO32" s="330"/>
      <c r="AP32" s="330"/>
      <c r="AQ32" s="330"/>
      <c r="AR32" s="330"/>
      <c r="AS32" s="330"/>
      <c r="AT32" s="330"/>
      <c r="AU32" s="330"/>
      <c r="AV32" s="330"/>
      <c r="AW32" s="330"/>
      <c r="AX32" s="330"/>
      <c r="AY32" s="330"/>
      <c r="AZ32" s="330"/>
      <c r="BA32" s="330"/>
      <c r="BB32" s="330"/>
      <c r="BC32" s="330"/>
      <c r="BD32" s="330"/>
      <c r="BE32" s="330"/>
      <c r="BF32" s="330"/>
      <c r="BG32" s="330"/>
      <c r="BH32" s="330"/>
      <c r="BI32" s="330"/>
      <c r="BJ32" s="330"/>
      <c r="BK32" s="330"/>
      <c r="BL32" s="330"/>
      <c r="BM32" s="330"/>
      <c r="BN32" s="330"/>
      <c r="BO32" s="330"/>
      <c r="BP32" s="330"/>
      <c r="BQ32" s="330"/>
      <c r="BR32" s="330"/>
      <c r="BS32" s="330"/>
      <c r="BT32" s="330"/>
      <c r="BU32" s="330"/>
      <c r="BV32" s="330"/>
      <c r="BW32" s="330"/>
      <c r="BX32" s="330"/>
      <c r="BY32" s="330"/>
      <c r="BZ32" s="330"/>
      <c r="CA32" s="330"/>
      <c r="CB32" s="330"/>
      <c r="CC32" s="330"/>
      <c r="CD32" s="330"/>
      <c r="CE32" s="330"/>
      <c r="CF32" s="330"/>
      <c r="CG32" s="330"/>
      <c r="CH32" s="330"/>
      <c r="CI32" s="330"/>
    </row>
    <row r="33" spans="1:87" ht="15.75" x14ac:dyDescent="0.25">
      <c r="A33" s="313"/>
      <c r="B33" s="295" t="s">
        <v>64</v>
      </c>
      <c r="C33" s="362" t="s">
        <v>172</v>
      </c>
      <c r="D33" s="250">
        <v>16</v>
      </c>
      <c r="E33" s="250">
        <v>16</v>
      </c>
      <c r="F33" s="250">
        <v>17</v>
      </c>
      <c r="G33" s="250">
        <v>17</v>
      </c>
      <c r="H33" s="250">
        <v>17</v>
      </c>
      <c r="I33" s="250">
        <v>17</v>
      </c>
      <c r="J33" s="250">
        <v>17</v>
      </c>
      <c r="K33" s="250">
        <v>17</v>
      </c>
      <c r="L33" s="250">
        <v>18</v>
      </c>
      <c r="M33" s="250">
        <v>18</v>
      </c>
      <c r="N33" s="274"/>
      <c r="O33" s="250">
        <v>18</v>
      </c>
      <c r="P33" s="250">
        <v>18</v>
      </c>
      <c r="Q33" s="374"/>
      <c r="S33" s="330"/>
      <c r="T33" s="430">
        <v>511</v>
      </c>
      <c r="U33" s="332">
        <v>427895</v>
      </c>
      <c r="V33" s="330" t="s">
        <v>92</v>
      </c>
      <c r="W33" s="333"/>
      <c r="X33" s="330"/>
      <c r="Y33" s="425" t="s">
        <v>90</v>
      </c>
      <c r="Z33" s="330"/>
      <c r="AA33" s="330"/>
      <c r="AB33" s="330"/>
      <c r="AC33" s="330"/>
      <c r="AD33" s="330"/>
      <c r="AE33" s="330"/>
      <c r="AF33" s="330"/>
      <c r="AG33" s="330"/>
      <c r="AH33" s="330"/>
      <c r="AI33" s="330"/>
      <c r="AJ33" s="330"/>
      <c r="AK33" s="330"/>
      <c r="AL33" s="330"/>
      <c r="AM33" s="330"/>
      <c r="AN33" s="330"/>
      <c r="AO33" s="330"/>
      <c r="AP33" s="330"/>
      <c r="AQ33" s="330"/>
      <c r="AR33" s="330"/>
      <c r="AS33" s="330"/>
      <c r="AT33" s="330"/>
      <c r="AU33" s="330"/>
      <c r="AV33" s="330"/>
      <c r="AW33" s="330"/>
      <c r="AX33" s="330"/>
      <c r="AY33" s="330"/>
      <c r="AZ33" s="330"/>
      <c r="BA33" s="330"/>
      <c r="BB33" s="330"/>
      <c r="BC33" s="330"/>
      <c r="BD33" s="330"/>
      <c r="BE33" s="330"/>
      <c r="BF33" s="330"/>
      <c r="BG33" s="330"/>
      <c r="BH33" s="330"/>
      <c r="BI33" s="330"/>
      <c r="BJ33" s="330"/>
      <c r="BK33" s="330"/>
      <c r="BL33" s="330"/>
      <c r="BM33" s="330"/>
      <c r="BN33" s="330"/>
      <c r="BO33" s="330"/>
      <c r="BP33" s="330"/>
      <c r="BQ33" s="330"/>
      <c r="BR33" s="330"/>
      <c r="BS33" s="330"/>
      <c r="BT33" s="330"/>
      <c r="BU33" s="330"/>
      <c r="BV33" s="330"/>
      <c r="BW33" s="330"/>
      <c r="BX33" s="330"/>
      <c r="BY33" s="330"/>
      <c r="BZ33" s="330"/>
      <c r="CA33" s="330"/>
      <c r="CB33" s="330"/>
      <c r="CC33" s="330"/>
      <c r="CD33" s="330"/>
      <c r="CE33" s="330"/>
      <c r="CF33" s="330"/>
      <c r="CG33" s="330"/>
      <c r="CH33" s="330"/>
      <c r="CI33" s="330"/>
    </row>
    <row r="34" spans="1:87" ht="15.75" x14ac:dyDescent="0.25">
      <c r="A34" s="313"/>
      <c r="B34" s="295" t="s">
        <v>71</v>
      </c>
      <c r="C34" s="366" t="s">
        <v>175</v>
      </c>
      <c r="D34" s="251">
        <v>31459.360000000001</v>
      </c>
      <c r="E34" s="251">
        <v>28234.52</v>
      </c>
      <c r="F34" s="251">
        <v>27061.43</v>
      </c>
      <c r="G34" s="251">
        <v>32461.7</v>
      </c>
      <c r="H34" s="251">
        <v>22456.53</v>
      </c>
      <c r="I34" s="251">
        <v>22642.959999999999</v>
      </c>
      <c r="J34" s="251">
        <v>24791.93</v>
      </c>
      <c r="K34" s="251">
        <v>22867.41</v>
      </c>
      <c r="L34" s="251">
        <v>23044.32</v>
      </c>
      <c r="M34" s="251">
        <v>26547.29</v>
      </c>
      <c r="N34" s="207"/>
      <c r="O34" s="251">
        <v>26778.21</v>
      </c>
      <c r="P34" s="287">
        <v>34184.86</v>
      </c>
      <c r="Q34" s="374"/>
      <c r="S34" s="334" t="s">
        <v>90</v>
      </c>
      <c r="T34" s="335">
        <v>34184.86</v>
      </c>
      <c r="U34" s="336">
        <f>T34/U30</f>
        <v>0.16113001220794035</v>
      </c>
      <c r="V34" s="330"/>
      <c r="W34" s="336">
        <f>T34/U30</f>
        <v>0.16113001220794035</v>
      </c>
      <c r="X34" s="330"/>
      <c r="Y34" s="338">
        <v>0.16113</v>
      </c>
      <c r="Z34" s="330"/>
      <c r="AA34" s="336">
        <f>Y34-W34</f>
        <v>-1.2207940353059499E-8</v>
      </c>
      <c r="AB34" s="330"/>
      <c r="AC34" s="330"/>
      <c r="AD34" s="330"/>
      <c r="AE34" s="330"/>
      <c r="AF34" s="330"/>
      <c r="AG34" s="330"/>
      <c r="AH34" s="330"/>
      <c r="AI34" s="330"/>
      <c r="AJ34" s="330"/>
      <c r="AK34" s="330"/>
      <c r="AL34" s="330"/>
      <c r="AM34" s="330"/>
      <c r="AN34" s="330"/>
      <c r="AO34" s="330"/>
      <c r="AP34" s="330"/>
      <c r="AQ34" s="330"/>
      <c r="AR34" s="330"/>
      <c r="AS34" s="330"/>
      <c r="AT34" s="330"/>
      <c r="AU34" s="330"/>
      <c r="AV34" s="330"/>
      <c r="AW34" s="330"/>
      <c r="AX34" s="330"/>
      <c r="AY34" s="330"/>
      <c r="AZ34" s="330"/>
      <c r="BA34" s="330"/>
      <c r="BB34" s="330"/>
      <c r="BC34" s="330"/>
      <c r="BD34" s="330"/>
      <c r="BE34" s="330"/>
      <c r="BF34" s="330"/>
      <c r="BG34" s="330"/>
      <c r="BH34" s="330"/>
      <c r="BI34" s="330"/>
      <c r="BJ34" s="330"/>
      <c r="BK34" s="330"/>
      <c r="BL34" s="330"/>
      <c r="BM34" s="330"/>
      <c r="BN34" s="330"/>
      <c r="BO34" s="330"/>
      <c r="BP34" s="330"/>
      <c r="BQ34" s="330"/>
      <c r="BR34" s="330"/>
      <c r="BS34" s="330"/>
      <c r="BT34" s="330"/>
      <c r="BU34" s="330"/>
      <c r="BV34" s="330"/>
      <c r="BW34" s="330"/>
      <c r="BX34" s="330"/>
      <c r="BY34" s="330"/>
      <c r="BZ34" s="330"/>
      <c r="CA34" s="330"/>
      <c r="CB34" s="330"/>
      <c r="CC34" s="330"/>
      <c r="CD34" s="330"/>
      <c r="CE34" s="330"/>
      <c r="CF34" s="330"/>
      <c r="CG34" s="330"/>
      <c r="CH34" s="330"/>
      <c r="CI34" s="330"/>
    </row>
    <row r="35" spans="1:87" ht="15.75" x14ac:dyDescent="0.25">
      <c r="B35" s="87" t="s">
        <v>71</v>
      </c>
      <c r="C35" s="366" t="s">
        <v>176</v>
      </c>
      <c r="D35" s="251">
        <v>19901.91</v>
      </c>
      <c r="E35" s="251">
        <v>18053.3</v>
      </c>
      <c r="F35" s="251">
        <v>14085.93</v>
      </c>
      <c r="G35" s="251">
        <v>28906.79</v>
      </c>
      <c r="H35" s="251">
        <v>10473.64</v>
      </c>
      <c r="I35" s="251">
        <v>32313.98</v>
      </c>
      <c r="J35" s="251">
        <v>22118.69</v>
      </c>
      <c r="K35" s="251">
        <v>22093.119999999999</v>
      </c>
      <c r="L35" s="251">
        <v>22931.17</v>
      </c>
      <c r="M35" s="251">
        <v>25211.63</v>
      </c>
      <c r="N35" s="207"/>
      <c r="O35" s="251">
        <v>18386.87</v>
      </c>
      <c r="P35" s="287">
        <v>23202.53</v>
      </c>
      <c r="Q35" s="374"/>
      <c r="S35" s="334" t="s">
        <v>90</v>
      </c>
      <c r="T35" s="335">
        <v>23202.53</v>
      </c>
      <c r="U35" s="336">
        <f>T35/U31</f>
        <v>0.12470991980736568</v>
      </c>
      <c r="V35" s="330"/>
      <c r="W35" s="336">
        <f>T35/U31</f>
        <v>0.12470991980736568</v>
      </c>
      <c r="X35" s="330"/>
      <c r="Y35" s="330">
        <v>0.12471</v>
      </c>
      <c r="Z35" s="330"/>
      <c r="AA35" s="336">
        <f>Y35-W35</f>
        <v>8.0192634324682821E-8</v>
      </c>
      <c r="AB35" s="330"/>
      <c r="AC35" s="330"/>
      <c r="AD35" s="330"/>
      <c r="AE35" s="330"/>
      <c r="AF35" s="330"/>
      <c r="AG35" s="330"/>
      <c r="AH35" s="330"/>
      <c r="AI35" s="330"/>
      <c r="AJ35" s="330"/>
      <c r="AK35" s="330"/>
      <c r="AL35" s="330"/>
      <c r="AM35" s="330"/>
      <c r="AN35" s="330"/>
      <c r="AO35" s="330"/>
      <c r="AP35" s="330"/>
      <c r="AQ35" s="330"/>
      <c r="AR35" s="330"/>
      <c r="AS35" s="330"/>
      <c r="AT35" s="330"/>
      <c r="AU35" s="330"/>
      <c r="AV35" s="330"/>
      <c r="AW35" s="330"/>
      <c r="AX35" s="330"/>
      <c r="AY35" s="330"/>
      <c r="AZ35" s="330"/>
      <c r="BA35" s="330"/>
      <c r="BB35" s="330"/>
      <c r="BC35" s="330"/>
      <c r="BD35" s="330"/>
      <c r="BE35" s="330"/>
      <c r="BF35" s="330"/>
      <c r="BG35" s="330"/>
      <c r="BH35" s="330"/>
      <c r="BI35" s="330"/>
      <c r="BJ35" s="330"/>
      <c r="BK35" s="330"/>
      <c r="BL35" s="330"/>
      <c r="BM35" s="330"/>
      <c r="BN35" s="330"/>
      <c r="BO35" s="330"/>
      <c r="BP35" s="330"/>
      <c r="BQ35" s="330"/>
      <c r="BR35" s="330"/>
      <c r="BS35" s="330"/>
      <c r="BT35" s="330"/>
      <c r="BU35" s="330"/>
      <c r="BV35" s="330"/>
      <c r="BW35" s="330"/>
      <c r="BX35" s="330"/>
      <c r="BY35" s="330"/>
      <c r="BZ35" s="330"/>
      <c r="CA35" s="330"/>
      <c r="CB35" s="330"/>
      <c r="CC35" s="330"/>
      <c r="CD35" s="330"/>
      <c r="CE35" s="330"/>
      <c r="CF35" s="330"/>
      <c r="CG35" s="330"/>
      <c r="CH35" s="330"/>
      <c r="CI35" s="330"/>
    </row>
    <row r="36" spans="1:87" ht="15.75" x14ac:dyDescent="0.25">
      <c r="A36" s="313"/>
      <c r="B36" s="295" t="s">
        <v>71</v>
      </c>
      <c r="C36" s="366" t="s">
        <v>177</v>
      </c>
      <c r="D36" s="252">
        <v>848.84</v>
      </c>
      <c r="E36" s="252">
        <v>866.37</v>
      </c>
      <c r="F36" s="252">
        <v>471.69</v>
      </c>
      <c r="G36" s="252">
        <v>3844.51</v>
      </c>
      <c r="H36" s="252"/>
      <c r="I36" s="252">
        <v>1177.55</v>
      </c>
      <c r="J36" s="252">
        <v>140.43</v>
      </c>
      <c r="K36" s="252">
        <v>43.44</v>
      </c>
      <c r="L36" s="252">
        <v>515.23</v>
      </c>
      <c r="M36" s="252">
        <v>309.16000000000003</v>
      </c>
      <c r="N36" s="398"/>
      <c r="O36" s="252">
        <v>877.19</v>
      </c>
      <c r="P36" s="288">
        <v>1028.32</v>
      </c>
      <c r="Q36" s="374"/>
      <c r="S36" s="334" t="s">
        <v>90</v>
      </c>
      <c r="T36" s="335">
        <v>1028.32</v>
      </c>
      <c r="U36" s="336">
        <f>T36/U32</f>
        <v>3.4639897594825844E-2</v>
      </c>
      <c r="V36" s="330"/>
      <c r="W36" s="336">
        <f>T36/U32</f>
        <v>3.4639897594825844E-2</v>
      </c>
      <c r="X36" s="330"/>
      <c r="Y36" s="330">
        <v>3.4639999999999997E-2</v>
      </c>
      <c r="Z36" s="330"/>
      <c r="AA36" s="336">
        <f>Y36-W36</f>
        <v>1.0240517415299744E-7</v>
      </c>
      <c r="AB36" s="330"/>
      <c r="AC36" s="330"/>
      <c r="AD36" s="330"/>
      <c r="AE36" s="330"/>
      <c r="AF36" s="330"/>
      <c r="AG36" s="330"/>
      <c r="AH36" s="330"/>
      <c r="AI36" s="330"/>
      <c r="AJ36" s="330"/>
      <c r="AK36" s="330"/>
      <c r="AL36" s="330"/>
      <c r="AM36" s="330"/>
      <c r="AN36" s="330"/>
      <c r="AO36" s="330"/>
      <c r="AP36" s="330"/>
      <c r="AQ36" s="330"/>
      <c r="AR36" s="330"/>
      <c r="AS36" s="330"/>
      <c r="AT36" s="330"/>
      <c r="AU36" s="330"/>
      <c r="AV36" s="330"/>
      <c r="AW36" s="330"/>
      <c r="AX36" s="330"/>
      <c r="AY36" s="330"/>
      <c r="AZ36" s="330"/>
      <c r="BA36" s="330"/>
      <c r="BB36" s="330"/>
      <c r="BC36" s="330"/>
      <c r="BD36" s="330"/>
      <c r="BE36" s="330"/>
      <c r="BF36" s="330"/>
      <c r="BG36" s="330"/>
      <c r="BH36" s="330"/>
      <c r="BI36" s="330"/>
      <c r="BJ36" s="330"/>
      <c r="BK36" s="330"/>
      <c r="BL36" s="330"/>
      <c r="BM36" s="330"/>
      <c r="BN36" s="330"/>
      <c r="BO36" s="330"/>
      <c r="BP36" s="330"/>
      <c r="BQ36" s="330"/>
      <c r="BR36" s="330"/>
      <c r="BS36" s="330"/>
      <c r="BT36" s="330"/>
      <c r="BU36" s="330"/>
      <c r="BV36" s="330"/>
      <c r="BW36" s="330"/>
      <c r="BX36" s="330"/>
      <c r="BY36" s="330"/>
      <c r="BZ36" s="330"/>
      <c r="CA36" s="330"/>
      <c r="CB36" s="330"/>
      <c r="CC36" s="330"/>
      <c r="CD36" s="330"/>
      <c r="CE36" s="330"/>
      <c r="CF36" s="330"/>
      <c r="CG36" s="330"/>
      <c r="CH36" s="330"/>
      <c r="CI36" s="330"/>
    </row>
    <row r="37" spans="1:87" ht="15.75" x14ac:dyDescent="0.25">
      <c r="A37" s="313"/>
      <c r="B37" s="295"/>
      <c r="C37" s="364" t="s">
        <v>74</v>
      </c>
      <c r="D37" s="108">
        <f t="shared" ref="D37:M37" si="16">SUM(D34:D36)</f>
        <v>52210.11</v>
      </c>
      <c r="E37" s="108">
        <f t="shared" si="16"/>
        <v>47154.19</v>
      </c>
      <c r="F37" s="108">
        <f t="shared" si="16"/>
        <v>41619.050000000003</v>
      </c>
      <c r="G37" s="108">
        <f t="shared" si="16"/>
        <v>65213.000000000007</v>
      </c>
      <c r="H37" s="108">
        <f t="shared" si="16"/>
        <v>32930.17</v>
      </c>
      <c r="I37" s="108">
        <f t="shared" si="16"/>
        <v>56134.490000000005</v>
      </c>
      <c r="J37" s="108">
        <f t="shared" si="16"/>
        <v>47051.049999999996</v>
      </c>
      <c r="K37" s="108">
        <f t="shared" si="16"/>
        <v>45003.97</v>
      </c>
      <c r="L37" s="108">
        <f t="shared" si="16"/>
        <v>46490.720000000001</v>
      </c>
      <c r="M37" s="108">
        <f t="shared" si="16"/>
        <v>52068.08</v>
      </c>
      <c r="N37" s="206"/>
      <c r="O37" s="108">
        <f>SUM(O34:O36)</f>
        <v>46042.270000000004</v>
      </c>
      <c r="P37" s="126">
        <f>SUM(P34:P36)</f>
        <v>58415.71</v>
      </c>
      <c r="Q37" s="324"/>
      <c r="S37" s="334" t="s">
        <v>91</v>
      </c>
      <c r="T37" s="335">
        <v>179402.98</v>
      </c>
      <c r="U37" s="336">
        <f>T37/U33</f>
        <v>0.41926869909674103</v>
      </c>
      <c r="V37" s="330"/>
      <c r="W37" s="336">
        <f>T37/U33</f>
        <v>0.41926869909674103</v>
      </c>
      <c r="X37" s="330"/>
      <c r="Y37" s="338">
        <f>+Y25</f>
        <v>0.41911999999999999</v>
      </c>
      <c r="Z37" s="330"/>
      <c r="AA37" s="336">
        <f>Y37-W37</f>
        <v>-1.4869909674103399E-4</v>
      </c>
      <c r="AB37" s="330"/>
      <c r="AC37" s="330"/>
      <c r="AD37" s="330"/>
      <c r="AE37" s="330"/>
      <c r="AF37" s="330"/>
      <c r="AG37" s="330"/>
      <c r="AH37" s="330"/>
      <c r="AI37" s="330"/>
      <c r="AJ37" s="330"/>
      <c r="AK37" s="330"/>
      <c r="AL37" s="330"/>
      <c r="AM37" s="330"/>
      <c r="AN37" s="330"/>
      <c r="AO37" s="330"/>
      <c r="AP37" s="330"/>
      <c r="AQ37" s="330"/>
      <c r="AR37" s="330"/>
      <c r="AS37" s="330"/>
      <c r="AT37" s="330"/>
      <c r="AU37" s="330"/>
      <c r="AV37" s="330"/>
      <c r="AW37" s="330"/>
      <c r="AX37" s="330"/>
      <c r="AY37" s="330"/>
      <c r="AZ37" s="330"/>
      <c r="BA37" s="330"/>
      <c r="BB37" s="330"/>
      <c r="BC37" s="330"/>
      <c r="BD37" s="330"/>
      <c r="BE37" s="330"/>
      <c r="BF37" s="330"/>
      <c r="BG37" s="330"/>
      <c r="BH37" s="330"/>
      <c r="BI37" s="330"/>
      <c r="BJ37" s="330"/>
      <c r="BK37" s="330"/>
      <c r="BL37" s="330"/>
      <c r="BM37" s="330"/>
      <c r="BN37" s="330"/>
      <c r="BO37" s="330"/>
      <c r="BP37" s="330"/>
      <c r="BQ37" s="330"/>
      <c r="BR37" s="330"/>
      <c r="BS37" s="330"/>
      <c r="BT37" s="330"/>
      <c r="BU37" s="330"/>
      <c r="BV37" s="330"/>
      <c r="BW37" s="330"/>
      <c r="BX37" s="330"/>
      <c r="BY37" s="330"/>
      <c r="BZ37" s="330"/>
      <c r="CA37" s="330"/>
      <c r="CB37" s="330"/>
      <c r="CC37" s="330"/>
      <c r="CD37" s="330"/>
      <c r="CE37" s="330"/>
      <c r="CF37" s="330"/>
      <c r="CG37" s="330"/>
      <c r="CH37" s="330"/>
      <c r="CI37" s="330"/>
    </row>
    <row r="38" spans="1:87" x14ac:dyDescent="0.25">
      <c r="A38" s="313"/>
      <c r="B38" s="295"/>
      <c r="C38" s="436" t="s">
        <v>73</v>
      </c>
      <c r="D38" s="309">
        <f>ROUND(-'Authorized Margins 2019'!J16*'WACAP 2020'!D33,2)</f>
        <v>-33802.559999999998</v>
      </c>
      <c r="E38" s="88">
        <f>ROUND(-'Authorized Margins 2019'!K16*'WACAP 2020'!E33,2)</f>
        <v>-27249.599999999999</v>
      </c>
      <c r="F38" s="421">
        <f>ROUND(-'Authorized Margins 2020'!F13*'WACAP 2020'!F33,2)</f>
        <v>-46727.73</v>
      </c>
      <c r="G38" s="88">
        <f>ROUND(-'Authorized Margins 2020'!G13*'WACAP 2020'!G33,2)</f>
        <v>-39337.660000000003</v>
      </c>
      <c r="H38" s="88">
        <f>ROUND(-'Authorized Margins 2020'!H13*'WACAP 2020'!H33,2)</f>
        <v>-30023.7</v>
      </c>
      <c r="I38" s="88">
        <f>ROUND(-'Authorized Margins 2020'!I13*'WACAP 2020'!I33,2)</f>
        <v>-21423.74</v>
      </c>
      <c r="J38" s="88">
        <f>ROUND(-'Authorized Margins 2020'!J13*'WACAP 2020'!J33,2)</f>
        <v>-18561.45</v>
      </c>
      <c r="K38" s="88">
        <f>ROUND(-'Authorized Margins 2020'!K13*'WACAP 2020'!K33,2)</f>
        <v>-18755.93</v>
      </c>
      <c r="L38" s="88">
        <f>ROUND(-'Authorized Margins 2020'!L13*'WACAP 2020'!L33,2)</f>
        <v>-18718.2</v>
      </c>
      <c r="M38" s="88">
        <f>ROUND(-'Authorized Margins 2020'!M13*'WACAP 2020'!M33,2)</f>
        <v>-31610.16</v>
      </c>
      <c r="N38" s="205"/>
      <c r="O38" s="88">
        <f>ROUND(-'Authorized Margins 2020'!O13*'WACAP 2020'!O33,2)</f>
        <v>-29124.9</v>
      </c>
      <c r="P38" s="110">
        <f>ROUND(-'Authorized Margins 2020'!P13*'WACAP 2020'!P33,2)</f>
        <v>-32359.86</v>
      </c>
      <c r="Q38" s="324"/>
      <c r="S38" s="330"/>
      <c r="T38" s="330"/>
      <c r="U38" s="330"/>
      <c r="V38" s="330"/>
      <c r="W38" s="330"/>
      <c r="X38" s="330"/>
      <c r="Y38" s="330"/>
      <c r="Z38" s="330"/>
      <c r="AA38" s="330"/>
      <c r="AB38" s="330"/>
      <c r="AC38" s="330"/>
      <c r="AD38" s="330"/>
      <c r="AE38" s="330"/>
      <c r="AF38" s="330"/>
      <c r="AG38" s="330"/>
      <c r="AH38" s="330"/>
      <c r="AI38" s="330"/>
      <c r="AJ38" s="330"/>
      <c r="AK38" s="330"/>
      <c r="AL38" s="330"/>
      <c r="AM38" s="330"/>
      <c r="AN38" s="330"/>
      <c r="AO38" s="330"/>
      <c r="AP38" s="330"/>
      <c r="AQ38" s="330"/>
      <c r="AR38" s="330"/>
      <c r="AS38" s="330"/>
      <c r="AT38" s="330"/>
      <c r="AU38" s="330"/>
      <c r="AV38" s="330"/>
      <c r="AW38" s="330"/>
      <c r="AX38" s="330"/>
      <c r="AY38" s="330"/>
      <c r="AZ38" s="330"/>
      <c r="BA38" s="330"/>
      <c r="BB38" s="330"/>
      <c r="BC38" s="330"/>
      <c r="BD38" s="330"/>
      <c r="BE38" s="330"/>
      <c r="BF38" s="330"/>
      <c r="BG38" s="330"/>
      <c r="BH38" s="330"/>
      <c r="BI38" s="330"/>
      <c r="BJ38" s="330"/>
      <c r="BK38" s="330"/>
      <c r="BL38" s="330"/>
      <c r="BM38" s="330"/>
      <c r="BN38" s="330"/>
      <c r="BO38" s="330"/>
      <c r="BP38" s="330"/>
      <c r="BQ38" s="330"/>
      <c r="BR38" s="330"/>
      <c r="BS38" s="330"/>
      <c r="BT38" s="330"/>
      <c r="BU38" s="330"/>
      <c r="BV38" s="330"/>
      <c r="BW38" s="330"/>
      <c r="BX38" s="330"/>
      <c r="BY38" s="330"/>
      <c r="BZ38" s="330"/>
      <c r="CA38" s="330"/>
      <c r="CB38" s="330"/>
      <c r="CC38" s="330"/>
      <c r="CD38" s="330"/>
      <c r="CE38" s="330"/>
      <c r="CF38" s="330"/>
      <c r="CG38" s="330"/>
      <c r="CH38" s="330"/>
      <c r="CI38" s="330"/>
    </row>
    <row r="39" spans="1:87" x14ac:dyDescent="0.25">
      <c r="A39" s="313"/>
      <c r="B39" s="295"/>
      <c r="C39" s="364" t="s">
        <v>201</v>
      </c>
      <c r="D39" s="187">
        <f t="shared" ref="D39:P39" si="17">SUM(D37:D38)</f>
        <v>18407.550000000003</v>
      </c>
      <c r="E39" s="187">
        <f t="shared" si="17"/>
        <v>19904.590000000004</v>
      </c>
      <c r="F39" s="187">
        <f t="shared" si="17"/>
        <v>-5108.68</v>
      </c>
      <c r="G39" s="187">
        <f t="shared" si="17"/>
        <v>25875.340000000004</v>
      </c>
      <c r="H39" s="187">
        <f t="shared" si="17"/>
        <v>2906.4699999999975</v>
      </c>
      <c r="I39" s="187">
        <f t="shared" si="17"/>
        <v>34710.75</v>
      </c>
      <c r="J39" s="187">
        <f t="shared" si="17"/>
        <v>28489.599999999995</v>
      </c>
      <c r="K39" s="187">
        <f t="shared" si="17"/>
        <v>26248.04</v>
      </c>
      <c r="L39" s="187">
        <f t="shared" si="17"/>
        <v>27772.52</v>
      </c>
      <c r="M39" s="187">
        <f t="shared" si="17"/>
        <v>20457.920000000002</v>
      </c>
      <c r="N39" s="302">
        <f>-'WACAP 2019'!R52</f>
        <v>-297923.25</v>
      </c>
      <c r="O39" s="187">
        <f t="shared" si="17"/>
        <v>16917.370000000003</v>
      </c>
      <c r="P39" s="188">
        <f t="shared" si="17"/>
        <v>26055.85</v>
      </c>
      <c r="Q39" s="374">
        <f>SUM(D39:P39)-N39</f>
        <v>242637.32</v>
      </c>
      <c r="S39" s="330"/>
      <c r="T39" s="330"/>
      <c r="U39" s="330"/>
      <c r="V39" s="330"/>
      <c r="W39" s="330"/>
      <c r="X39" s="330"/>
      <c r="Y39" s="330"/>
      <c r="Z39" s="330"/>
      <c r="AA39" s="330"/>
      <c r="AB39" s="330"/>
      <c r="AC39" s="330"/>
      <c r="AD39" s="330"/>
      <c r="AE39" s="330"/>
      <c r="AF39" s="330"/>
      <c r="AG39" s="330"/>
      <c r="AH39" s="330"/>
      <c r="AI39" s="330"/>
      <c r="AJ39" s="330"/>
      <c r="AK39" s="330"/>
      <c r="AL39" s="330"/>
      <c r="AM39" s="330"/>
      <c r="AN39" s="330"/>
      <c r="AO39" s="330"/>
      <c r="AP39" s="330"/>
      <c r="AQ39" s="330"/>
      <c r="AR39" s="330"/>
      <c r="AS39" s="330"/>
      <c r="AT39" s="330"/>
      <c r="AU39" s="330"/>
      <c r="AV39" s="330"/>
      <c r="AW39" s="330"/>
      <c r="AX39" s="330"/>
      <c r="AY39" s="330"/>
      <c r="AZ39" s="330"/>
      <c r="BA39" s="330"/>
      <c r="BB39" s="330"/>
      <c r="BC39" s="330"/>
      <c r="BD39" s="330"/>
      <c r="BE39" s="330"/>
      <c r="BF39" s="330"/>
      <c r="BG39" s="330"/>
      <c r="BH39" s="330"/>
      <c r="BI39" s="330"/>
      <c r="BJ39" s="330"/>
      <c r="BK39" s="330"/>
      <c r="BL39" s="330"/>
      <c r="BM39" s="330"/>
      <c r="BN39" s="330"/>
      <c r="BO39" s="330"/>
      <c r="BP39" s="330"/>
      <c r="BQ39" s="330"/>
      <c r="BR39" s="330"/>
      <c r="BS39" s="330"/>
      <c r="BT39" s="330"/>
      <c r="BU39" s="330"/>
      <c r="BV39" s="330"/>
      <c r="BW39" s="330"/>
      <c r="BX39" s="330"/>
      <c r="BY39" s="330"/>
      <c r="BZ39" s="330"/>
      <c r="CA39" s="330"/>
      <c r="CB39" s="330"/>
      <c r="CC39" s="330"/>
      <c r="CD39" s="330"/>
      <c r="CE39" s="330"/>
      <c r="CF39" s="330"/>
      <c r="CG39" s="330"/>
      <c r="CH39" s="330"/>
      <c r="CI39" s="330"/>
    </row>
    <row r="40" spans="1:87" x14ac:dyDescent="0.25">
      <c r="A40" s="313"/>
      <c r="B40" s="295"/>
      <c r="C40" s="436" t="s">
        <v>137</v>
      </c>
      <c r="D40" s="308">
        <f>ROUND(ROUND('WACAP 2019'!P53*D$6,2)/365*D$7,2)</f>
        <v>1255.03</v>
      </c>
      <c r="E40" s="187">
        <f>ROUND(ROUND(D42*E$6,2)/365*E$7,2)</f>
        <v>1251.55</v>
      </c>
      <c r="F40" s="187">
        <f t="shared" ref="F40:P40" si="18">ROUND(ROUND(E42*F$6,2)/365*F$7,2)</f>
        <v>1426.99</v>
      </c>
      <c r="G40" s="187">
        <f t="shared" si="18"/>
        <v>1308.1099999999999</v>
      </c>
      <c r="H40" s="187">
        <f t="shared" si="18"/>
        <v>1461.38</v>
      </c>
      <c r="I40" s="187">
        <f t="shared" si="18"/>
        <v>1431.29</v>
      </c>
      <c r="J40" s="187">
        <f t="shared" si="18"/>
        <v>1173.28</v>
      </c>
      <c r="K40" s="187">
        <f t="shared" si="18"/>
        <v>1259.69</v>
      </c>
      <c r="L40" s="187">
        <f t="shared" si="18"/>
        <v>1296.6099999999999</v>
      </c>
      <c r="M40" s="187">
        <f t="shared" si="18"/>
        <v>1349.76</v>
      </c>
      <c r="N40" s="231">
        <f>'Ammort Split 2020'!N51</f>
        <v>-10781.449999999999</v>
      </c>
      <c r="O40" s="187">
        <f>ROUND(ROUND(N42*O$6,2)/365*O$7,2)</f>
        <v>539.85</v>
      </c>
      <c r="P40" s="188">
        <f t="shared" si="18"/>
        <v>606.03</v>
      </c>
      <c r="Q40" s="388">
        <f>SUM(D40:P40)</f>
        <v>3578.1200000000017</v>
      </c>
      <c r="S40" s="330"/>
      <c r="T40" s="330"/>
      <c r="U40" s="330"/>
      <c r="V40" s="330"/>
      <c r="W40" s="330"/>
      <c r="X40" s="330"/>
      <c r="Y40" s="330"/>
      <c r="Z40" s="330"/>
      <c r="AA40" s="330"/>
      <c r="AB40" s="330"/>
      <c r="AC40" s="330"/>
      <c r="AD40" s="330"/>
      <c r="AE40" s="330"/>
      <c r="AF40" s="330"/>
      <c r="AG40" s="330"/>
      <c r="AH40" s="330"/>
      <c r="AI40" s="330"/>
      <c r="AJ40" s="330"/>
      <c r="AK40" s="330"/>
      <c r="AL40" s="330"/>
      <c r="AM40" s="330"/>
      <c r="AN40" s="330"/>
      <c r="AO40" s="330"/>
      <c r="AP40" s="330"/>
      <c r="AQ40" s="330"/>
      <c r="AR40" s="330"/>
      <c r="AS40" s="330"/>
      <c r="AT40" s="330"/>
      <c r="AU40" s="330"/>
      <c r="AV40" s="330"/>
      <c r="AW40" s="330"/>
      <c r="AX40" s="330"/>
      <c r="AY40" s="330"/>
      <c r="AZ40" s="330"/>
      <c r="BA40" s="330"/>
      <c r="BB40" s="330"/>
      <c r="BC40" s="330"/>
      <c r="BD40" s="330"/>
      <c r="BE40" s="330"/>
      <c r="BF40" s="330"/>
      <c r="BG40" s="330"/>
      <c r="BH40" s="330"/>
      <c r="BI40" s="330"/>
      <c r="BJ40" s="330"/>
      <c r="BK40" s="330"/>
      <c r="BL40" s="330"/>
      <c r="BM40" s="330"/>
      <c r="BN40" s="330"/>
      <c r="BO40" s="330"/>
      <c r="BP40" s="330"/>
      <c r="BQ40" s="330"/>
      <c r="BR40" s="330"/>
      <c r="BS40" s="330"/>
      <c r="BT40" s="330"/>
      <c r="BU40" s="330"/>
      <c r="BV40" s="330"/>
      <c r="BW40" s="330"/>
      <c r="BX40" s="330"/>
      <c r="BY40" s="330"/>
      <c r="BZ40" s="330"/>
      <c r="CA40" s="330"/>
      <c r="CB40" s="330"/>
      <c r="CC40" s="330"/>
      <c r="CD40" s="330"/>
      <c r="CE40" s="330"/>
      <c r="CF40" s="330"/>
      <c r="CG40" s="330"/>
      <c r="CH40" s="330"/>
      <c r="CI40" s="330"/>
    </row>
    <row r="41" spans="1:87" x14ac:dyDescent="0.25">
      <c r="A41" s="313"/>
      <c r="B41" s="295"/>
      <c r="C41" s="364" t="s">
        <v>138</v>
      </c>
      <c r="D41" s="346">
        <f t="shared" ref="D41:P41" si="19">SUM(D39:D40)</f>
        <v>19662.580000000002</v>
      </c>
      <c r="E41" s="189">
        <f t="shared" si="19"/>
        <v>21156.140000000003</v>
      </c>
      <c r="F41" s="189">
        <f t="shared" si="19"/>
        <v>-3681.6900000000005</v>
      </c>
      <c r="G41" s="189">
        <f t="shared" si="19"/>
        <v>27183.450000000004</v>
      </c>
      <c r="H41" s="189">
        <f t="shared" si="19"/>
        <v>4367.8499999999976</v>
      </c>
      <c r="I41" s="189">
        <f t="shared" si="19"/>
        <v>36142.04</v>
      </c>
      <c r="J41" s="189">
        <f t="shared" si="19"/>
        <v>29662.879999999994</v>
      </c>
      <c r="K41" s="189">
        <f t="shared" si="19"/>
        <v>27507.73</v>
      </c>
      <c r="L41" s="189">
        <f t="shared" si="19"/>
        <v>29069.13</v>
      </c>
      <c r="M41" s="189">
        <f t="shared" si="19"/>
        <v>21807.68</v>
      </c>
      <c r="N41" s="209">
        <f>SUM(N39:N40)</f>
        <v>-308704.7</v>
      </c>
      <c r="O41" s="189">
        <f t="shared" si="19"/>
        <v>17457.22</v>
      </c>
      <c r="P41" s="190">
        <f t="shared" si="19"/>
        <v>26661.879999999997</v>
      </c>
      <c r="Q41" s="389">
        <f>SUM(Q39:Q40)</f>
        <v>246215.44</v>
      </c>
      <c r="S41" s="330"/>
      <c r="T41" s="330"/>
      <c r="U41" s="330"/>
      <c r="V41" s="330"/>
      <c r="W41" s="330"/>
      <c r="X41" s="330"/>
      <c r="Y41" s="330"/>
      <c r="Z41" s="330"/>
      <c r="AA41" s="330"/>
      <c r="AB41" s="330"/>
      <c r="AC41" s="330"/>
      <c r="AD41" s="330"/>
      <c r="AE41" s="330"/>
      <c r="AF41" s="330"/>
      <c r="AG41" s="330"/>
      <c r="AH41" s="330"/>
      <c r="AI41" s="330"/>
      <c r="AJ41" s="330"/>
      <c r="AK41" s="330"/>
      <c r="AL41" s="330"/>
      <c r="AM41" s="330"/>
      <c r="AN41" s="330"/>
      <c r="AO41" s="330"/>
      <c r="AP41" s="330"/>
      <c r="AQ41" s="330"/>
      <c r="AR41" s="330"/>
      <c r="AS41" s="330"/>
      <c r="AT41" s="330"/>
      <c r="AU41" s="330"/>
      <c r="AV41" s="330"/>
      <c r="AW41" s="330"/>
      <c r="AX41" s="330"/>
      <c r="AY41" s="330"/>
      <c r="AZ41" s="330"/>
      <c r="BA41" s="330"/>
      <c r="BB41" s="330"/>
      <c r="BC41" s="330"/>
      <c r="BD41" s="330"/>
      <c r="BE41" s="330"/>
      <c r="BF41" s="330"/>
      <c r="BG41" s="330"/>
      <c r="BH41" s="330"/>
      <c r="BI41" s="330"/>
      <c r="BJ41" s="330"/>
      <c r="BK41" s="330"/>
      <c r="BL41" s="330"/>
      <c r="BM41" s="330"/>
      <c r="BN41" s="330"/>
      <c r="BO41" s="330"/>
      <c r="BP41" s="330"/>
      <c r="BQ41" s="330"/>
      <c r="BR41" s="330"/>
      <c r="BS41" s="330"/>
      <c r="BT41" s="330"/>
      <c r="BU41" s="330"/>
      <c r="BV41" s="330"/>
      <c r="BW41" s="330"/>
      <c r="BX41" s="330"/>
      <c r="BY41" s="330"/>
      <c r="BZ41" s="330"/>
      <c r="CA41" s="330"/>
      <c r="CB41" s="330"/>
      <c r="CC41" s="330"/>
      <c r="CD41" s="330"/>
      <c r="CE41" s="330"/>
      <c r="CF41" s="330"/>
      <c r="CG41" s="330"/>
      <c r="CH41" s="330"/>
      <c r="CI41" s="330"/>
    </row>
    <row r="42" spans="1:87" x14ac:dyDescent="0.25">
      <c r="A42" s="313"/>
      <c r="B42" s="295"/>
      <c r="C42" s="436" t="s">
        <v>139</v>
      </c>
      <c r="D42" s="308">
        <f>'WACAP 2019'!P53+'WACAP 2020'!D41</f>
        <v>317585.83</v>
      </c>
      <c r="E42" s="187">
        <f t="shared" ref="E42:P42" si="20">D42+E41</f>
        <v>338741.97000000003</v>
      </c>
      <c r="F42" s="187">
        <f t="shared" si="20"/>
        <v>335060.28000000003</v>
      </c>
      <c r="G42" s="187">
        <f t="shared" si="20"/>
        <v>362243.73000000004</v>
      </c>
      <c r="H42" s="187">
        <f t="shared" si="20"/>
        <v>366611.58</v>
      </c>
      <c r="I42" s="187">
        <f t="shared" si="20"/>
        <v>402753.62</v>
      </c>
      <c r="J42" s="187">
        <f t="shared" si="20"/>
        <v>432416.5</v>
      </c>
      <c r="K42" s="187">
        <f t="shared" si="20"/>
        <v>459924.23</v>
      </c>
      <c r="L42" s="187">
        <f t="shared" si="20"/>
        <v>488993.36</v>
      </c>
      <c r="M42" s="187">
        <f t="shared" si="20"/>
        <v>510801.04</v>
      </c>
      <c r="N42" s="208">
        <f t="shared" si="20"/>
        <v>202096.33999999997</v>
      </c>
      <c r="O42" s="187">
        <f t="shared" si="20"/>
        <v>219553.55999999997</v>
      </c>
      <c r="P42" s="188">
        <f t="shared" si="20"/>
        <v>246215.43999999997</v>
      </c>
      <c r="Q42" s="324"/>
      <c r="S42" s="330"/>
      <c r="T42" s="330"/>
      <c r="U42" s="330"/>
      <c r="V42" s="330"/>
      <c r="W42" s="330"/>
      <c r="X42" s="330"/>
      <c r="Y42" s="330"/>
      <c r="Z42" s="330"/>
      <c r="AA42" s="330"/>
      <c r="AB42" s="330"/>
      <c r="AC42" s="330"/>
      <c r="AD42" s="330"/>
      <c r="AE42" s="330"/>
      <c r="AF42" s="330"/>
      <c r="AG42" s="330"/>
      <c r="AH42" s="330"/>
      <c r="AI42" s="330"/>
      <c r="AJ42" s="330"/>
      <c r="AK42" s="330"/>
      <c r="AL42" s="330"/>
      <c r="AM42" s="330"/>
      <c r="AN42" s="330"/>
      <c r="AO42" s="330"/>
      <c r="AP42" s="330"/>
      <c r="AQ42" s="330"/>
      <c r="AR42" s="330"/>
      <c r="AS42" s="330"/>
      <c r="AT42" s="330"/>
      <c r="AU42" s="330"/>
      <c r="AV42" s="330"/>
      <c r="AW42" s="330"/>
      <c r="AX42" s="330"/>
      <c r="AY42" s="330"/>
      <c r="AZ42" s="330"/>
      <c r="BA42" s="330"/>
      <c r="BB42" s="330"/>
      <c r="BC42" s="330"/>
      <c r="BD42" s="330"/>
      <c r="BE42" s="330"/>
      <c r="BF42" s="330"/>
      <c r="BG42" s="330"/>
      <c r="BH42" s="330"/>
      <c r="BI42" s="330"/>
      <c r="BJ42" s="330"/>
      <c r="BK42" s="330"/>
      <c r="BL42" s="330"/>
      <c r="BM42" s="330"/>
      <c r="BN42" s="330"/>
      <c r="BO42" s="330"/>
      <c r="BP42" s="330"/>
      <c r="BQ42" s="330"/>
      <c r="BR42" s="330"/>
      <c r="BS42" s="330"/>
      <c r="BT42" s="330"/>
      <c r="BU42" s="330"/>
      <c r="BV42" s="330"/>
      <c r="BW42" s="330"/>
      <c r="BX42" s="330"/>
      <c r="BY42" s="330"/>
      <c r="BZ42" s="330"/>
      <c r="CA42" s="330"/>
      <c r="CB42" s="330"/>
      <c r="CC42" s="330"/>
      <c r="CD42" s="330"/>
      <c r="CE42" s="330"/>
      <c r="CF42" s="330"/>
      <c r="CG42" s="330"/>
      <c r="CH42" s="330"/>
      <c r="CI42" s="330"/>
    </row>
    <row r="43" spans="1:87" ht="17.25" x14ac:dyDescent="0.3">
      <c r="A43" s="313"/>
      <c r="B43" s="295"/>
      <c r="C43" s="293"/>
      <c r="D43" s="113"/>
      <c r="E43" s="187"/>
      <c r="F43" s="187"/>
      <c r="G43" s="187"/>
      <c r="H43" s="187"/>
      <c r="I43" s="187"/>
      <c r="J43" s="187"/>
      <c r="K43" s="187"/>
      <c r="L43" s="187"/>
      <c r="M43" s="187"/>
      <c r="N43" s="208"/>
      <c r="O43" s="187"/>
      <c r="P43" s="188"/>
      <c r="Q43" s="324"/>
      <c r="S43" s="330"/>
      <c r="T43" s="330"/>
      <c r="U43" s="330"/>
      <c r="V43" s="330"/>
      <c r="W43" s="330"/>
      <c r="X43" s="330"/>
      <c r="Y43" s="330"/>
      <c r="Z43" s="330"/>
      <c r="AA43" s="330"/>
      <c r="AB43" s="330"/>
      <c r="AC43" s="330"/>
      <c r="AD43" s="330"/>
      <c r="AE43" s="330"/>
      <c r="AF43" s="330"/>
      <c r="AG43" s="330"/>
      <c r="AH43" s="330"/>
      <c r="AI43" s="330"/>
      <c r="AJ43" s="330"/>
      <c r="AK43" s="330"/>
      <c r="AL43" s="330"/>
      <c r="AM43" s="330"/>
      <c r="AN43" s="330"/>
      <c r="AO43" s="330"/>
      <c r="AP43" s="330"/>
      <c r="AQ43" s="330"/>
      <c r="AR43" s="330"/>
      <c r="AS43" s="330"/>
      <c r="AT43" s="330"/>
      <c r="AU43" s="330"/>
      <c r="AV43" s="330"/>
      <c r="AW43" s="330"/>
      <c r="AX43" s="330"/>
      <c r="AY43" s="330"/>
      <c r="AZ43" s="330"/>
      <c r="BA43" s="330"/>
      <c r="BB43" s="330"/>
      <c r="BC43" s="330"/>
      <c r="BD43" s="330"/>
      <c r="BE43" s="330"/>
      <c r="BF43" s="330"/>
      <c r="BG43" s="330"/>
      <c r="BH43" s="330"/>
      <c r="BI43" s="330"/>
      <c r="BJ43" s="330"/>
      <c r="BK43" s="330"/>
      <c r="BL43" s="330"/>
      <c r="BM43" s="330"/>
      <c r="BN43" s="330"/>
      <c r="BO43" s="330"/>
      <c r="BP43" s="330"/>
      <c r="BQ43" s="330"/>
      <c r="BR43" s="330"/>
      <c r="BS43" s="330"/>
      <c r="BT43" s="330"/>
      <c r="BU43" s="330"/>
      <c r="BV43" s="330"/>
      <c r="BW43" s="330"/>
      <c r="BX43" s="330"/>
      <c r="BY43" s="330"/>
      <c r="BZ43" s="330"/>
      <c r="CA43" s="330"/>
      <c r="CB43" s="330"/>
      <c r="CC43" s="330"/>
      <c r="CD43" s="330"/>
      <c r="CE43" s="330"/>
      <c r="CF43" s="330"/>
      <c r="CG43" s="330"/>
      <c r="CH43" s="330"/>
      <c r="CI43" s="330"/>
    </row>
    <row r="44" spans="1:87" x14ac:dyDescent="0.25">
      <c r="A44" s="313"/>
      <c r="B44" t="s">
        <v>86</v>
      </c>
      <c r="C44" s="365" t="s">
        <v>196</v>
      </c>
      <c r="D44" s="113"/>
      <c r="E44" s="113"/>
      <c r="F44" s="108"/>
      <c r="G44" s="113"/>
      <c r="H44" s="113"/>
      <c r="I44" s="113"/>
      <c r="J44" s="113"/>
      <c r="K44" s="113"/>
      <c r="L44" s="113"/>
      <c r="M44" s="113"/>
      <c r="N44" s="113"/>
      <c r="O44" s="113"/>
      <c r="P44" s="115"/>
      <c r="Q44" s="324"/>
      <c r="S44" s="330"/>
      <c r="T44" s="330"/>
      <c r="U44" s="330"/>
      <c r="V44" s="330"/>
      <c r="W44" s="330"/>
      <c r="X44" s="330"/>
      <c r="Y44" s="330"/>
      <c r="Z44" s="330"/>
      <c r="AA44" s="330"/>
      <c r="AB44" s="330"/>
      <c r="AC44" s="330"/>
      <c r="AD44" s="330"/>
      <c r="AE44" s="330"/>
      <c r="AF44" s="330"/>
      <c r="AG44" s="330"/>
      <c r="AH44" s="330"/>
      <c r="AI44" s="330"/>
      <c r="AJ44" s="330"/>
      <c r="AK44" s="330"/>
      <c r="AL44" s="330"/>
      <c r="AM44" s="330"/>
      <c r="AN44" s="330"/>
      <c r="AO44" s="330"/>
      <c r="AP44" s="330"/>
      <c r="AQ44" s="330"/>
      <c r="AR44" s="330"/>
      <c r="AS44" s="330"/>
      <c r="AT44" s="330"/>
      <c r="AU44" s="330"/>
      <c r="AV44" s="330"/>
      <c r="AW44" s="330"/>
      <c r="AX44" s="330"/>
      <c r="AY44" s="330"/>
      <c r="AZ44" s="330"/>
      <c r="BA44" s="330"/>
      <c r="BB44" s="330"/>
      <c r="BC44" s="330"/>
      <c r="BD44" s="330"/>
      <c r="BE44" s="330"/>
      <c r="BF44" s="330"/>
      <c r="BG44" s="330"/>
      <c r="BH44" s="330"/>
      <c r="BI44" s="330"/>
      <c r="BJ44" s="330"/>
      <c r="BK44" s="330"/>
      <c r="BL44" s="330"/>
      <c r="BM44" s="330"/>
      <c r="BN44" s="330"/>
      <c r="BO44" s="330"/>
      <c r="BP44" s="330"/>
      <c r="BQ44" s="330"/>
      <c r="BR44" s="330"/>
      <c r="BS44" s="330"/>
      <c r="BT44" s="330"/>
      <c r="BU44" s="330"/>
      <c r="BV44" s="330"/>
      <c r="BW44" s="330"/>
      <c r="BX44" s="330"/>
      <c r="BY44" s="330"/>
      <c r="BZ44" s="330"/>
      <c r="CA44" s="330"/>
      <c r="CB44" s="330"/>
      <c r="CC44" s="330"/>
      <c r="CD44" s="330"/>
      <c r="CE44" s="330"/>
      <c r="CF44" s="330"/>
      <c r="CG44" s="330"/>
      <c r="CH44" s="330"/>
      <c r="CI44" s="330"/>
    </row>
    <row r="45" spans="1:87" ht="15.75" x14ac:dyDescent="0.25">
      <c r="A45" s="313"/>
      <c r="B45" s="295" t="s">
        <v>64</v>
      </c>
      <c r="C45" s="362" t="s">
        <v>172</v>
      </c>
      <c r="D45" s="250">
        <v>1</v>
      </c>
      <c r="E45" s="250">
        <v>1</v>
      </c>
      <c r="F45" s="250">
        <v>1</v>
      </c>
      <c r="G45" s="250">
        <v>1</v>
      </c>
      <c r="H45" s="250">
        <v>1</v>
      </c>
      <c r="I45" s="250">
        <v>1</v>
      </c>
      <c r="J45" s="250">
        <v>1</v>
      </c>
      <c r="K45" s="250">
        <v>1</v>
      </c>
      <c r="L45" s="250">
        <v>1</v>
      </c>
      <c r="M45" s="250">
        <v>1</v>
      </c>
      <c r="N45" s="250"/>
      <c r="O45" s="250">
        <v>1</v>
      </c>
      <c r="P45" s="250">
        <v>1</v>
      </c>
      <c r="Q45" s="373"/>
      <c r="S45" s="431">
        <v>504</v>
      </c>
      <c r="T45" s="430" t="s">
        <v>154</v>
      </c>
      <c r="U45" s="332">
        <v>5658</v>
      </c>
      <c r="V45" s="330" t="s">
        <v>92</v>
      </c>
      <c r="W45" s="333">
        <f>U45</f>
        <v>5658</v>
      </c>
      <c r="X45" s="330"/>
      <c r="Y45" s="425" t="s">
        <v>90</v>
      </c>
      <c r="Z45" s="330"/>
      <c r="AA45" s="330"/>
      <c r="AB45" s="330"/>
      <c r="AC45" s="330"/>
      <c r="AD45" s="330"/>
      <c r="AE45" s="330"/>
      <c r="AF45" s="330"/>
      <c r="AG45" s="330"/>
      <c r="AH45" s="330"/>
      <c r="AI45" s="330"/>
      <c r="AJ45" s="330"/>
      <c r="AK45" s="330"/>
      <c r="AL45" s="330"/>
      <c r="AM45" s="330"/>
      <c r="AN45" s="330"/>
      <c r="AO45" s="330"/>
      <c r="AP45" s="330"/>
      <c r="AQ45" s="330"/>
      <c r="AR45" s="330"/>
      <c r="AS45" s="330"/>
      <c r="AT45" s="330"/>
      <c r="AU45" s="330"/>
      <c r="AV45" s="330"/>
      <c r="AW45" s="330"/>
      <c r="AX45" s="330"/>
      <c r="AY45" s="330"/>
      <c r="AZ45" s="330"/>
      <c r="BA45" s="330"/>
      <c r="BB45" s="330"/>
      <c r="BC45" s="330"/>
      <c r="BD45" s="330"/>
      <c r="BE45" s="330"/>
      <c r="BF45" s="330"/>
      <c r="BG45" s="330"/>
      <c r="BH45" s="330"/>
      <c r="BI45" s="330"/>
      <c r="BJ45" s="330"/>
      <c r="BK45" s="330"/>
      <c r="BL45" s="330"/>
      <c r="BM45" s="330"/>
      <c r="BN45" s="330"/>
      <c r="BO45" s="330"/>
      <c r="BP45" s="330"/>
      <c r="BQ45" s="330"/>
      <c r="BR45" s="330"/>
      <c r="BS45" s="330"/>
      <c r="BT45" s="330"/>
      <c r="BU45" s="330"/>
      <c r="BV45" s="330"/>
      <c r="BW45" s="330"/>
      <c r="BX45" s="330"/>
      <c r="BY45" s="330"/>
      <c r="BZ45" s="330"/>
      <c r="CA45" s="330"/>
      <c r="CB45" s="330"/>
      <c r="CC45" s="330"/>
      <c r="CD45" s="330"/>
      <c r="CE45" s="330"/>
      <c r="CF45" s="330"/>
      <c r="CG45" s="330"/>
      <c r="CH45" s="330"/>
      <c r="CI45" s="330"/>
    </row>
    <row r="46" spans="1:87" ht="15.75" x14ac:dyDescent="0.25">
      <c r="A46" s="313"/>
      <c r="B46" s="295" t="s">
        <v>71</v>
      </c>
      <c r="C46" s="366" t="s">
        <v>199</v>
      </c>
      <c r="D46" s="251">
        <v>1053.42</v>
      </c>
      <c r="E46" s="251">
        <v>1130.95</v>
      </c>
      <c r="F46" s="251">
        <v>1076.0999999999999</v>
      </c>
      <c r="G46" s="251">
        <v>1283.6099999999999</v>
      </c>
      <c r="H46" s="251">
        <v>1018.14</v>
      </c>
      <c r="I46" s="251">
        <v>580.92999999999995</v>
      </c>
      <c r="J46" s="251">
        <v>549.52</v>
      </c>
      <c r="K46" s="251">
        <v>246.88</v>
      </c>
      <c r="L46" s="251">
        <v>213.63</v>
      </c>
      <c r="M46" s="251">
        <v>168.34</v>
      </c>
      <c r="N46" s="207"/>
      <c r="O46" s="251">
        <v>861.32</v>
      </c>
      <c r="P46" s="287">
        <v>1481.26</v>
      </c>
      <c r="Q46" s="374"/>
      <c r="S46" s="334" t="s">
        <v>90</v>
      </c>
      <c r="T46" s="335">
        <v>1481.26</v>
      </c>
      <c r="U46" s="336">
        <f>T46/U45</f>
        <v>0.26179922234004949</v>
      </c>
      <c r="V46" s="330"/>
      <c r="W46" s="336">
        <f>T46/W45</f>
        <v>0.26179922234004949</v>
      </c>
      <c r="X46" s="330"/>
      <c r="Y46" s="330">
        <v>0.26179999999999998</v>
      </c>
      <c r="Z46" s="330"/>
      <c r="AA46" s="336">
        <f>Y46-W46</f>
        <v>7.7765995049050574E-7</v>
      </c>
      <c r="AB46" s="330"/>
      <c r="AC46" s="330"/>
      <c r="AD46" s="330"/>
      <c r="AE46" s="330"/>
      <c r="AF46" s="330"/>
      <c r="AG46" s="330"/>
      <c r="AH46" s="330"/>
      <c r="AI46" s="330"/>
      <c r="AJ46" s="330"/>
      <c r="AK46" s="330"/>
      <c r="AL46" s="330"/>
      <c r="AM46" s="330"/>
      <c r="AN46" s="330"/>
      <c r="AO46" s="330"/>
      <c r="AP46" s="330"/>
      <c r="AQ46" s="330"/>
      <c r="AR46" s="330"/>
      <c r="AS46" s="330"/>
      <c r="AT46" s="330"/>
      <c r="AU46" s="330"/>
      <c r="AV46" s="330"/>
      <c r="AW46" s="330"/>
      <c r="AX46" s="330"/>
      <c r="AY46" s="330"/>
      <c r="AZ46" s="330"/>
      <c r="BA46" s="330"/>
      <c r="BB46" s="330"/>
      <c r="BC46" s="330"/>
      <c r="BD46" s="330"/>
      <c r="BE46" s="330"/>
      <c r="BF46" s="330"/>
      <c r="BG46" s="330"/>
      <c r="BH46" s="330"/>
      <c r="BI46" s="330"/>
      <c r="BJ46" s="330"/>
      <c r="BK46" s="330"/>
      <c r="BL46" s="330"/>
      <c r="BM46" s="330"/>
      <c r="BN46" s="330"/>
      <c r="BO46" s="330"/>
      <c r="BP46" s="330"/>
      <c r="BQ46" s="330"/>
      <c r="BR46" s="330"/>
      <c r="BS46" s="330"/>
      <c r="BT46" s="330"/>
      <c r="BU46" s="330"/>
      <c r="BV46" s="330"/>
      <c r="BW46" s="330"/>
      <c r="BX46" s="330"/>
      <c r="BY46" s="330"/>
      <c r="BZ46" s="330"/>
      <c r="CA46" s="330"/>
      <c r="CB46" s="330"/>
      <c r="CC46" s="330"/>
      <c r="CD46" s="330"/>
      <c r="CE46" s="330"/>
      <c r="CF46" s="330"/>
      <c r="CG46" s="330"/>
      <c r="CH46" s="330"/>
      <c r="CI46" s="330"/>
    </row>
    <row r="47" spans="1:87" ht="15.75" x14ac:dyDescent="0.25">
      <c r="A47" s="313"/>
      <c r="B47" s="295" t="s">
        <v>72</v>
      </c>
      <c r="C47" s="377" t="s">
        <v>209</v>
      </c>
      <c r="D47" s="276">
        <v>1130.95</v>
      </c>
      <c r="E47" s="276">
        <v>1076.0999999999999</v>
      </c>
      <c r="F47" s="276">
        <v>1283.6099999999999</v>
      </c>
      <c r="G47" s="276">
        <v>1018.14</v>
      </c>
      <c r="H47" s="276">
        <v>580.92999999999995</v>
      </c>
      <c r="I47" s="276">
        <v>549.52</v>
      </c>
      <c r="J47" s="276">
        <v>246.88</v>
      </c>
      <c r="K47" s="276">
        <v>213.63</v>
      </c>
      <c r="L47" s="276">
        <v>168.34</v>
      </c>
      <c r="M47" s="276">
        <v>861.32</v>
      </c>
      <c r="N47" s="276"/>
      <c r="O47" s="276">
        <v>1481.26</v>
      </c>
      <c r="P47" s="276">
        <v>1972.66</v>
      </c>
      <c r="Q47" s="374"/>
      <c r="S47" s="334" t="s">
        <v>91</v>
      </c>
      <c r="T47" s="335">
        <v>2444.48</v>
      </c>
      <c r="U47" s="336">
        <f>T47/U45</f>
        <v>0.43203958996111702</v>
      </c>
      <c r="V47" s="330"/>
      <c r="W47" s="336">
        <f>T47/W45</f>
        <v>0.43203958996111702</v>
      </c>
      <c r="X47" s="330"/>
      <c r="Y47" s="330">
        <v>0.43203999999999998</v>
      </c>
      <c r="Z47" s="330"/>
      <c r="AA47" s="336">
        <f>Y47-W47</f>
        <v>4.100388829586521E-7</v>
      </c>
      <c r="AB47" s="330"/>
      <c r="AC47" s="330"/>
      <c r="AD47" s="330"/>
      <c r="AE47" s="330"/>
      <c r="AF47" s="330"/>
      <c r="AG47" s="330"/>
      <c r="AH47" s="330"/>
      <c r="AI47" s="330"/>
      <c r="AJ47" s="330"/>
      <c r="AK47" s="330"/>
      <c r="AL47" s="330"/>
      <c r="AM47" s="330"/>
      <c r="AN47" s="330"/>
      <c r="AO47" s="330"/>
      <c r="AP47" s="330"/>
      <c r="AQ47" s="330"/>
      <c r="AR47" s="330"/>
      <c r="AS47" s="330"/>
      <c r="AT47" s="330"/>
      <c r="AU47" s="330"/>
      <c r="AV47" s="330"/>
      <c r="AW47" s="330"/>
      <c r="AX47" s="330"/>
      <c r="AY47" s="330"/>
      <c r="AZ47" s="330"/>
      <c r="BA47" s="330"/>
      <c r="BB47" s="330"/>
      <c r="BC47" s="330"/>
      <c r="BD47" s="330"/>
      <c r="BE47" s="330"/>
      <c r="BF47" s="330"/>
      <c r="BG47" s="330"/>
      <c r="BH47" s="330"/>
      <c r="BI47" s="330"/>
      <c r="BJ47" s="330"/>
      <c r="BK47" s="330"/>
      <c r="BL47" s="330"/>
      <c r="BM47" s="330"/>
      <c r="BN47" s="330"/>
      <c r="BO47" s="330"/>
      <c r="BP47" s="330"/>
      <c r="BQ47" s="330"/>
      <c r="BR47" s="330"/>
      <c r="BS47" s="330"/>
      <c r="BT47" s="330"/>
      <c r="BU47" s="330"/>
      <c r="BV47" s="330"/>
      <c r="BW47" s="330"/>
      <c r="BX47" s="330"/>
      <c r="BY47" s="330"/>
      <c r="BZ47" s="330"/>
      <c r="CA47" s="330"/>
      <c r="CB47" s="330"/>
      <c r="CC47" s="330"/>
      <c r="CD47" s="330"/>
      <c r="CE47" s="330"/>
      <c r="CF47" s="330"/>
      <c r="CG47" s="330"/>
      <c r="CH47" s="330"/>
      <c r="CI47" s="330"/>
    </row>
    <row r="48" spans="1:87" x14ac:dyDescent="0.25">
      <c r="A48" s="313"/>
      <c r="B48" s="295" t="s">
        <v>72</v>
      </c>
      <c r="C48" s="366" t="s">
        <v>179</v>
      </c>
      <c r="D48" s="189">
        <f>+'WACAP 2019'!P58</f>
        <v>1053.42</v>
      </c>
      <c r="E48" s="189">
        <f t="shared" ref="E48:M48" si="21">-D47</f>
        <v>-1130.95</v>
      </c>
      <c r="F48" s="189">
        <f t="shared" si="21"/>
        <v>-1076.0999999999999</v>
      </c>
      <c r="G48" s="189">
        <f t="shared" si="21"/>
        <v>-1283.6099999999999</v>
      </c>
      <c r="H48" s="189">
        <f t="shared" si="21"/>
        <v>-1018.14</v>
      </c>
      <c r="I48" s="189">
        <f t="shared" si="21"/>
        <v>-580.92999999999995</v>
      </c>
      <c r="J48" s="189">
        <f t="shared" si="21"/>
        <v>-549.52</v>
      </c>
      <c r="K48" s="189">
        <f t="shared" si="21"/>
        <v>-246.88</v>
      </c>
      <c r="L48" s="189">
        <f>-K47</f>
        <v>-213.63</v>
      </c>
      <c r="M48" s="189">
        <f t="shared" si="21"/>
        <v>-168.34</v>
      </c>
      <c r="N48" s="209"/>
      <c r="O48" s="189">
        <f>-M47</f>
        <v>-861.32</v>
      </c>
      <c r="P48" s="189">
        <f>-O47</f>
        <v>-1481.26</v>
      </c>
      <c r="Q48" s="374"/>
      <c r="S48" s="334"/>
      <c r="T48" s="337"/>
      <c r="U48" s="336"/>
      <c r="V48" s="330"/>
      <c r="W48" s="336"/>
      <c r="X48" s="330"/>
      <c r="Y48" s="330"/>
      <c r="Z48" s="330"/>
      <c r="AA48" s="336"/>
      <c r="AB48" s="330"/>
      <c r="AC48" s="330"/>
      <c r="AD48" s="330"/>
      <c r="AE48" s="330"/>
      <c r="AF48" s="330"/>
      <c r="AG48" s="330"/>
      <c r="AH48" s="330"/>
      <c r="AI48" s="330"/>
      <c r="AJ48" s="330"/>
      <c r="AK48" s="330"/>
      <c r="AL48" s="330"/>
      <c r="AM48" s="330"/>
      <c r="AN48" s="330"/>
      <c r="AO48" s="330"/>
      <c r="AP48" s="330"/>
      <c r="AQ48" s="330"/>
      <c r="AR48" s="330"/>
      <c r="AS48" s="330"/>
      <c r="AT48" s="330"/>
      <c r="AU48" s="330"/>
      <c r="AV48" s="330"/>
      <c r="AW48" s="330"/>
      <c r="AX48" s="330"/>
      <c r="AY48" s="330"/>
      <c r="AZ48" s="330"/>
      <c r="BA48" s="330"/>
      <c r="BB48" s="330"/>
      <c r="BC48" s="330"/>
      <c r="BD48" s="330"/>
      <c r="BE48" s="330"/>
      <c r="BF48" s="330"/>
      <c r="BG48" s="330"/>
      <c r="BH48" s="330"/>
      <c r="BI48" s="330"/>
      <c r="BJ48" s="330"/>
      <c r="BK48" s="330"/>
      <c r="BL48" s="330"/>
      <c r="BM48" s="330"/>
      <c r="BN48" s="330"/>
      <c r="BO48" s="330"/>
      <c r="BP48" s="330"/>
      <c r="BQ48" s="330"/>
      <c r="BR48" s="330"/>
      <c r="BS48" s="330"/>
      <c r="BT48" s="330"/>
      <c r="BU48" s="330"/>
      <c r="BV48" s="330"/>
      <c r="BW48" s="330"/>
      <c r="BX48" s="330"/>
      <c r="BY48" s="330"/>
      <c r="BZ48" s="330"/>
      <c r="CA48" s="330"/>
      <c r="CB48" s="330"/>
      <c r="CC48" s="330"/>
      <c r="CD48" s="330"/>
      <c r="CE48" s="330"/>
      <c r="CF48" s="330"/>
      <c r="CG48" s="330"/>
      <c r="CH48" s="330"/>
      <c r="CI48" s="330"/>
    </row>
    <row r="49" spans="1:87" x14ac:dyDescent="0.25">
      <c r="A49" s="313"/>
      <c r="C49" s="364" t="s">
        <v>74</v>
      </c>
      <c r="D49" s="187">
        <f t="shared" ref="D49:F49" si="22">SUM(D46:D48)</f>
        <v>3237.79</v>
      </c>
      <c r="E49" s="187">
        <f t="shared" si="22"/>
        <v>1076.1000000000001</v>
      </c>
      <c r="F49" s="187">
        <f t="shared" si="22"/>
        <v>1283.6100000000001</v>
      </c>
      <c r="G49" s="187">
        <f>SUM(G46:G48)</f>
        <v>1018.1400000000001</v>
      </c>
      <c r="H49" s="187">
        <f t="shared" ref="H49:P49" si="23">SUM(H46:H48)</f>
        <v>580.92999999999995</v>
      </c>
      <c r="I49" s="187">
        <f t="shared" si="23"/>
        <v>549.51999999999987</v>
      </c>
      <c r="J49" s="187">
        <f t="shared" si="23"/>
        <v>246.88</v>
      </c>
      <c r="K49" s="187">
        <f t="shared" si="23"/>
        <v>213.63</v>
      </c>
      <c r="L49" s="187">
        <f t="shared" si="23"/>
        <v>168.34000000000003</v>
      </c>
      <c r="M49" s="187">
        <f t="shared" si="23"/>
        <v>861.32</v>
      </c>
      <c r="N49" s="208"/>
      <c r="O49" s="187">
        <f t="shared" si="23"/>
        <v>1481.2599999999998</v>
      </c>
      <c r="P49" s="188">
        <f t="shared" si="23"/>
        <v>1972.66</v>
      </c>
      <c r="Q49" s="324"/>
      <c r="S49" s="330"/>
      <c r="T49" s="330"/>
      <c r="U49" s="330"/>
      <c r="V49" s="330"/>
      <c r="W49" s="330"/>
      <c r="X49" s="330"/>
      <c r="Y49" s="330"/>
      <c r="Z49" s="330"/>
      <c r="AA49" s="330"/>
      <c r="AB49" s="330"/>
      <c r="AC49" s="330"/>
      <c r="AD49" s="330"/>
      <c r="AE49" s="330"/>
      <c r="AF49" s="330"/>
      <c r="AG49" s="330"/>
      <c r="AH49" s="330"/>
      <c r="AI49" s="330"/>
      <c r="AJ49" s="330"/>
      <c r="AK49" s="330"/>
      <c r="AL49" s="330"/>
      <c r="AM49" s="330"/>
      <c r="AN49" s="330"/>
      <c r="AO49" s="330"/>
      <c r="AP49" s="330"/>
      <c r="AQ49" s="330"/>
      <c r="AR49" s="330"/>
      <c r="AS49" s="330"/>
      <c r="AT49" s="330"/>
      <c r="AU49" s="330"/>
      <c r="AV49" s="330"/>
      <c r="AW49" s="330"/>
      <c r="AX49" s="330"/>
      <c r="AY49" s="330"/>
      <c r="AZ49" s="330"/>
      <c r="BA49" s="330"/>
      <c r="BB49" s="330"/>
      <c r="BC49" s="330"/>
      <c r="BD49" s="330"/>
      <c r="BE49" s="330"/>
      <c r="BF49" s="330"/>
      <c r="BG49" s="330"/>
      <c r="BH49" s="330"/>
      <c r="BI49" s="330"/>
      <c r="BJ49" s="330"/>
      <c r="BK49" s="330"/>
      <c r="BL49" s="330"/>
      <c r="BM49" s="330"/>
      <c r="BN49" s="330"/>
      <c r="BO49" s="330"/>
      <c r="BP49" s="330"/>
      <c r="BQ49" s="330"/>
      <c r="BR49" s="330"/>
      <c r="BS49" s="330"/>
      <c r="BT49" s="330"/>
      <c r="BU49" s="330"/>
      <c r="BV49" s="330"/>
      <c r="BW49" s="330"/>
      <c r="BX49" s="330"/>
      <c r="BY49" s="330"/>
      <c r="BZ49" s="330"/>
      <c r="CA49" s="330"/>
      <c r="CB49" s="330"/>
      <c r="CC49" s="330"/>
      <c r="CD49" s="330"/>
      <c r="CE49" s="330"/>
      <c r="CF49" s="330"/>
      <c r="CG49" s="330"/>
      <c r="CH49" s="330"/>
      <c r="CI49" s="330"/>
    </row>
    <row r="50" spans="1:87" x14ac:dyDescent="0.25">
      <c r="A50" s="313"/>
      <c r="B50" s="295"/>
      <c r="C50" s="436" t="s">
        <v>73</v>
      </c>
      <c r="D50" s="307">
        <f>ROUND(-'Authorized Margins 2019'!J12*'WACAP 2020'!D45,2)</f>
        <v>-127.65</v>
      </c>
      <c r="E50" s="189">
        <f>ROUND(-'Authorized Margins 2019'!K12*'WACAP 2020'!E45,2)</f>
        <v>-93.93</v>
      </c>
      <c r="F50" s="422">
        <f>ROUND(-'Authorized Margins 2020'!F9*'WACAP 2020'!F45,2)</f>
        <v>-89.98</v>
      </c>
      <c r="G50" s="189">
        <f>ROUND(-'Authorized Margins 2020'!G9*'WACAP 2020'!G45,2)</f>
        <v>-67.790000000000006</v>
      </c>
      <c r="H50" s="189">
        <f>ROUND(-'Authorized Margins 2020'!H9*'WACAP 2020'!H45,2)</f>
        <v>-38.590000000000003</v>
      </c>
      <c r="I50" s="189">
        <f>ROUND(-'Authorized Margins 2020'!I9*'WACAP 2020'!I45,2)</f>
        <v>-34</v>
      </c>
      <c r="J50" s="189">
        <f>ROUND(-'Authorized Margins 2020'!J9*'WACAP 2020'!J45,2)</f>
        <v>-28.24</v>
      </c>
      <c r="K50" s="189">
        <f>ROUND(-'Authorized Margins 2020'!K9*'WACAP 2020'!K45,2)</f>
        <v>-15.79</v>
      </c>
      <c r="L50" s="189">
        <f>ROUND(-'Authorized Margins 2020'!L9*'WACAP 2020'!L45,2)</f>
        <v>-38.630000000000003</v>
      </c>
      <c r="M50" s="189">
        <f>ROUND(-'Authorized Margins 2020'!M9*'WACAP 2020'!M45,2)</f>
        <v>-67.989999999999995</v>
      </c>
      <c r="N50" s="209"/>
      <c r="O50" s="189">
        <f>ROUND(-'Authorized Margins 2020'!O9*'WACAP 2020'!O45,2)</f>
        <v>-111.08</v>
      </c>
      <c r="P50" s="190">
        <f>ROUND(-'Authorized Margins 2020'!P9*'WACAP 2020'!P45,2)</f>
        <v>-147.59</v>
      </c>
      <c r="Q50" s="324"/>
      <c r="S50" s="330"/>
      <c r="T50" s="337"/>
      <c r="U50" s="330"/>
      <c r="V50" s="330"/>
      <c r="W50" s="330"/>
      <c r="X50" s="330"/>
      <c r="Y50" s="330"/>
      <c r="Z50" s="330"/>
      <c r="AA50" s="330"/>
      <c r="AB50" s="330"/>
      <c r="AC50" s="330"/>
      <c r="AD50" s="330"/>
      <c r="AE50" s="330"/>
      <c r="AF50" s="330"/>
      <c r="AG50" s="330"/>
      <c r="AH50" s="330"/>
      <c r="AI50" s="330"/>
      <c r="AJ50" s="330"/>
      <c r="AK50" s="330"/>
      <c r="AL50" s="330"/>
      <c r="AM50" s="330"/>
      <c r="AN50" s="330"/>
      <c r="AO50" s="330"/>
      <c r="AP50" s="330"/>
      <c r="AQ50" s="330"/>
      <c r="AR50" s="330"/>
      <c r="AS50" s="330"/>
      <c r="AT50" s="330"/>
      <c r="AU50" s="330"/>
      <c r="AV50" s="330"/>
      <c r="AW50" s="330"/>
      <c r="AX50" s="330"/>
      <c r="AY50" s="330"/>
      <c r="AZ50" s="330"/>
      <c r="BA50" s="330"/>
      <c r="BB50" s="330"/>
      <c r="BC50" s="330"/>
      <c r="BD50" s="330"/>
      <c r="BE50" s="330"/>
      <c r="BF50" s="330"/>
      <c r="BG50" s="330"/>
      <c r="BH50" s="330"/>
      <c r="BI50" s="330"/>
      <c r="BJ50" s="330"/>
      <c r="BK50" s="330"/>
      <c r="BL50" s="330"/>
      <c r="BM50" s="330"/>
      <c r="BN50" s="330"/>
      <c r="BO50" s="330"/>
      <c r="BP50" s="330"/>
      <c r="BQ50" s="330"/>
      <c r="BR50" s="330"/>
      <c r="BS50" s="330"/>
      <c r="BT50" s="330"/>
      <c r="BU50" s="330"/>
      <c r="BV50" s="330"/>
      <c r="BW50" s="330"/>
      <c r="BX50" s="330"/>
      <c r="BY50" s="330"/>
      <c r="BZ50" s="330"/>
      <c r="CA50" s="330"/>
      <c r="CB50" s="330"/>
      <c r="CC50" s="330"/>
      <c r="CD50" s="330"/>
      <c r="CE50" s="330"/>
      <c r="CF50" s="330"/>
      <c r="CG50" s="330"/>
      <c r="CH50" s="330"/>
      <c r="CI50" s="330"/>
    </row>
    <row r="51" spans="1:87" x14ac:dyDescent="0.25">
      <c r="A51" s="313"/>
      <c r="B51" s="295"/>
      <c r="C51" s="364" t="s">
        <v>201</v>
      </c>
      <c r="D51" s="187">
        <f t="shared" ref="D51:P51" si="24">SUM(D49:D50)</f>
        <v>3110.14</v>
      </c>
      <c r="E51" s="187">
        <f t="shared" si="24"/>
        <v>982.17000000000007</v>
      </c>
      <c r="F51" s="187">
        <f t="shared" si="24"/>
        <v>1193.6300000000001</v>
      </c>
      <c r="G51" s="187">
        <f t="shared" si="24"/>
        <v>950.35000000000014</v>
      </c>
      <c r="H51" s="187">
        <f t="shared" si="24"/>
        <v>542.33999999999992</v>
      </c>
      <c r="I51" s="187">
        <f t="shared" si="24"/>
        <v>515.51999999999987</v>
      </c>
      <c r="J51" s="187">
        <f t="shared" si="24"/>
        <v>218.64</v>
      </c>
      <c r="K51" s="187">
        <f t="shared" si="24"/>
        <v>197.84</v>
      </c>
      <c r="L51" s="187">
        <f t="shared" si="24"/>
        <v>129.71000000000004</v>
      </c>
      <c r="M51" s="187">
        <f t="shared" si="24"/>
        <v>793.33</v>
      </c>
      <c r="N51" s="302">
        <f>-'WACAP 2019'!R64</f>
        <v>-6187.7</v>
      </c>
      <c r="O51" s="187">
        <f t="shared" si="24"/>
        <v>1370.1799999999998</v>
      </c>
      <c r="P51" s="188">
        <f t="shared" si="24"/>
        <v>1825.0700000000002</v>
      </c>
      <c r="Q51" s="374">
        <f>SUM(D51:P51)-N51</f>
        <v>11828.920000000002</v>
      </c>
      <c r="S51" s="330"/>
      <c r="T51" s="337">
        <v>948.8900000000001</v>
      </c>
      <c r="U51" s="330"/>
      <c r="V51" s="330"/>
      <c r="W51" s="330"/>
      <c r="X51" s="330"/>
      <c r="Y51" s="330"/>
      <c r="Z51" s="330"/>
      <c r="AA51" s="330"/>
      <c r="AB51" s="330"/>
      <c r="AC51" s="330"/>
      <c r="AD51" s="330"/>
      <c r="AE51" s="330"/>
      <c r="AF51" s="330"/>
      <c r="AG51" s="330"/>
      <c r="AH51" s="330"/>
      <c r="AI51" s="330"/>
      <c r="AJ51" s="330"/>
      <c r="AK51" s="330"/>
      <c r="AL51" s="330"/>
      <c r="AM51" s="330"/>
      <c r="AN51" s="330"/>
      <c r="AO51" s="330"/>
      <c r="AP51" s="330"/>
      <c r="AQ51" s="330"/>
      <c r="AR51" s="330"/>
      <c r="AS51" s="330"/>
      <c r="AT51" s="330"/>
      <c r="AU51" s="330"/>
      <c r="AV51" s="330"/>
      <c r="AW51" s="330"/>
      <c r="AX51" s="330"/>
      <c r="AY51" s="330"/>
      <c r="AZ51" s="330"/>
      <c r="BA51" s="330"/>
      <c r="BB51" s="330"/>
      <c r="BC51" s="330"/>
      <c r="BD51" s="330"/>
      <c r="BE51" s="330"/>
      <c r="BF51" s="330"/>
      <c r="BG51" s="330"/>
      <c r="BH51" s="330"/>
      <c r="BI51" s="330"/>
      <c r="BJ51" s="330"/>
      <c r="BK51" s="330"/>
      <c r="BL51" s="330"/>
      <c r="BM51" s="330"/>
      <c r="BN51" s="330"/>
      <c r="BO51" s="330"/>
      <c r="BP51" s="330"/>
      <c r="BQ51" s="330"/>
      <c r="BR51" s="330"/>
      <c r="BS51" s="330"/>
      <c r="BT51" s="330"/>
      <c r="BU51" s="330"/>
      <c r="BV51" s="330"/>
      <c r="BW51" s="330"/>
      <c r="BX51" s="330"/>
      <c r="BY51" s="330"/>
      <c r="BZ51" s="330"/>
      <c r="CA51" s="330"/>
      <c r="CB51" s="330"/>
      <c r="CC51" s="330"/>
      <c r="CD51" s="330"/>
      <c r="CE51" s="330"/>
      <c r="CF51" s="330"/>
      <c r="CG51" s="330"/>
      <c r="CH51" s="330"/>
      <c r="CI51" s="330"/>
    </row>
    <row r="52" spans="1:87" x14ac:dyDescent="0.25">
      <c r="A52" s="313"/>
      <c r="B52" s="295"/>
      <c r="C52" s="436" t="s">
        <v>137</v>
      </c>
      <c r="D52" s="308">
        <f>ROUND(ROUND('WACAP 2019'!P65*D$6,2)/365*D$7,2)</f>
        <v>26.07</v>
      </c>
      <c r="E52" s="187">
        <f>ROUND(ROUND(D54*E$6,2)/365*E$7,2)</f>
        <v>36.74</v>
      </c>
      <c r="F52" s="187">
        <f t="shared" ref="F52:M52" si="25">ROUND(ROUND(E54*F$6,2)/365*F$7,2)</f>
        <v>43.57</v>
      </c>
      <c r="G52" s="187">
        <f t="shared" si="25"/>
        <v>45.21</v>
      </c>
      <c r="H52" s="187">
        <f t="shared" si="25"/>
        <v>50.73</v>
      </c>
      <c r="I52" s="187">
        <f t="shared" si="25"/>
        <v>51.41</v>
      </c>
      <c r="J52" s="187">
        <f t="shared" si="25"/>
        <v>40.01</v>
      </c>
      <c r="K52" s="187">
        <f t="shared" si="25"/>
        <v>40.770000000000003</v>
      </c>
      <c r="L52" s="187">
        <f t="shared" si="25"/>
        <v>40.130000000000003</v>
      </c>
      <c r="M52" s="187">
        <f t="shared" si="25"/>
        <v>39.76</v>
      </c>
      <c r="N52" s="231">
        <f>'Ammort Split 2020'!N63</f>
        <v>-223.94000000000003</v>
      </c>
      <c r="O52" s="187">
        <f>ROUND(ROUND(N54*O$6,2)/365*O$7,2)</f>
        <v>23.57</v>
      </c>
      <c r="P52" s="188">
        <f t="shared" ref="P52" si="26">ROUND(ROUND(O54*P$6,2)/365*P$7,2)</f>
        <v>28.2</v>
      </c>
      <c r="Q52" s="388">
        <f>SUM(D52:P52)</f>
        <v>242.22999999999993</v>
      </c>
      <c r="S52" s="330"/>
      <c r="T52" s="337">
        <v>3.09</v>
      </c>
      <c r="U52" s="330"/>
      <c r="V52" s="330"/>
      <c r="W52" s="330"/>
      <c r="X52" s="330"/>
      <c r="Y52" s="330"/>
      <c r="Z52" s="330"/>
      <c r="AA52" s="330"/>
      <c r="AB52" s="330"/>
      <c r="AC52" s="330"/>
      <c r="AD52" s="330"/>
      <c r="AE52" s="330"/>
      <c r="AF52" s="330"/>
      <c r="AG52" s="330"/>
      <c r="AH52" s="330"/>
      <c r="AI52" s="330"/>
      <c r="AJ52" s="330"/>
      <c r="AK52" s="330"/>
      <c r="AL52" s="330"/>
      <c r="AM52" s="330"/>
      <c r="AN52" s="330"/>
      <c r="AO52" s="330"/>
      <c r="AP52" s="330"/>
      <c r="AQ52" s="330"/>
      <c r="AR52" s="330"/>
      <c r="AS52" s="330"/>
      <c r="AT52" s="330"/>
      <c r="AU52" s="330"/>
      <c r="AV52" s="330"/>
      <c r="AW52" s="330"/>
      <c r="AX52" s="330"/>
      <c r="AY52" s="330"/>
      <c r="AZ52" s="330"/>
      <c r="BA52" s="330"/>
      <c r="BB52" s="330"/>
      <c r="BC52" s="330"/>
      <c r="BD52" s="330"/>
      <c r="BE52" s="330"/>
      <c r="BF52" s="330"/>
      <c r="BG52" s="330"/>
      <c r="BH52" s="330"/>
      <c r="BI52" s="330"/>
      <c r="BJ52" s="330"/>
      <c r="BK52" s="330"/>
      <c r="BL52" s="330"/>
      <c r="BM52" s="330"/>
      <c r="BN52" s="330"/>
      <c r="BO52" s="330"/>
      <c r="BP52" s="330"/>
      <c r="BQ52" s="330"/>
      <c r="BR52" s="330"/>
      <c r="BS52" s="330"/>
      <c r="BT52" s="330"/>
      <c r="BU52" s="330"/>
      <c r="BV52" s="330"/>
      <c r="BW52" s="330"/>
      <c r="BX52" s="330"/>
      <c r="BY52" s="330"/>
      <c r="BZ52" s="330"/>
      <c r="CA52" s="330"/>
      <c r="CB52" s="330"/>
      <c r="CC52" s="330"/>
      <c r="CD52" s="330"/>
      <c r="CE52" s="330"/>
      <c r="CF52" s="330"/>
      <c r="CG52" s="330"/>
      <c r="CH52" s="330"/>
      <c r="CI52" s="330"/>
    </row>
    <row r="53" spans="1:87" x14ac:dyDescent="0.25">
      <c r="A53" s="313"/>
      <c r="B53" s="295"/>
      <c r="C53" s="364" t="s">
        <v>138</v>
      </c>
      <c r="D53" s="189">
        <f t="shared" ref="D53:P53" si="27">SUM(D51:D52)</f>
        <v>3136.21</v>
      </c>
      <c r="E53" s="189">
        <f t="shared" si="27"/>
        <v>1018.9100000000001</v>
      </c>
      <c r="F53" s="189">
        <f t="shared" si="27"/>
        <v>1237.2</v>
      </c>
      <c r="G53" s="189">
        <f t="shared" si="27"/>
        <v>995.56000000000017</v>
      </c>
      <c r="H53" s="189">
        <f t="shared" si="27"/>
        <v>593.06999999999994</v>
      </c>
      <c r="I53" s="189">
        <f t="shared" si="27"/>
        <v>566.92999999999984</v>
      </c>
      <c r="J53" s="189">
        <f t="shared" si="27"/>
        <v>258.64999999999998</v>
      </c>
      <c r="K53" s="189">
        <f t="shared" si="27"/>
        <v>238.61</v>
      </c>
      <c r="L53" s="189">
        <f t="shared" si="27"/>
        <v>169.84000000000003</v>
      </c>
      <c r="M53" s="189">
        <f t="shared" si="27"/>
        <v>833.09</v>
      </c>
      <c r="N53" s="209">
        <f>SUM(N51:N52)</f>
        <v>-6411.6399999999994</v>
      </c>
      <c r="O53" s="189">
        <f t="shared" si="27"/>
        <v>1393.7499999999998</v>
      </c>
      <c r="P53" s="190">
        <f t="shared" si="27"/>
        <v>1853.2700000000002</v>
      </c>
      <c r="Q53" s="389">
        <f>SUM(Q51:Q52)</f>
        <v>12071.150000000001</v>
      </c>
      <c r="S53" s="330"/>
      <c r="T53" s="337">
        <v>951.98000000000013</v>
      </c>
      <c r="U53" s="330"/>
      <c r="V53" s="330"/>
      <c r="W53" s="330"/>
      <c r="X53" s="330"/>
      <c r="Y53" s="330"/>
      <c r="Z53" s="330"/>
      <c r="AA53" s="330"/>
      <c r="AB53" s="330"/>
      <c r="AC53" s="330"/>
      <c r="AD53" s="330"/>
      <c r="AE53" s="330"/>
      <c r="AF53" s="330"/>
      <c r="AG53" s="330"/>
      <c r="AH53" s="330"/>
      <c r="AI53" s="330"/>
      <c r="AJ53" s="330"/>
      <c r="AK53" s="330"/>
      <c r="AL53" s="330"/>
      <c r="AM53" s="330"/>
      <c r="AN53" s="330"/>
      <c r="AO53" s="330"/>
      <c r="AP53" s="330"/>
      <c r="AQ53" s="330"/>
      <c r="AR53" s="330"/>
      <c r="AS53" s="330"/>
      <c r="AT53" s="330"/>
      <c r="AU53" s="330"/>
      <c r="AV53" s="330"/>
      <c r="AW53" s="330"/>
      <c r="AX53" s="330"/>
      <c r="AY53" s="330"/>
      <c r="AZ53" s="330"/>
      <c r="BA53" s="330"/>
      <c r="BB53" s="330"/>
      <c r="BC53" s="330"/>
      <c r="BD53" s="330"/>
      <c r="BE53" s="330"/>
      <c r="BF53" s="330"/>
      <c r="BG53" s="330"/>
      <c r="BH53" s="330"/>
      <c r="BI53" s="330"/>
      <c r="BJ53" s="330"/>
      <c r="BK53" s="330"/>
      <c r="BL53" s="330"/>
      <c r="BM53" s="330"/>
      <c r="BN53" s="330"/>
      <c r="BO53" s="330"/>
      <c r="BP53" s="330"/>
      <c r="BQ53" s="330"/>
      <c r="BR53" s="330"/>
      <c r="BS53" s="330"/>
      <c r="BT53" s="330"/>
      <c r="BU53" s="330"/>
      <c r="BV53" s="330"/>
      <c r="BW53" s="330"/>
      <c r="BX53" s="330"/>
      <c r="BY53" s="330"/>
      <c r="BZ53" s="330"/>
      <c r="CA53" s="330"/>
      <c r="CB53" s="330"/>
      <c r="CC53" s="330"/>
      <c r="CD53" s="330"/>
      <c r="CE53" s="330"/>
      <c r="CF53" s="330"/>
      <c r="CG53" s="330"/>
      <c r="CH53" s="330"/>
      <c r="CI53" s="330"/>
    </row>
    <row r="54" spans="1:87" x14ac:dyDescent="0.25">
      <c r="A54" s="313"/>
      <c r="B54" s="295"/>
      <c r="C54" s="436" t="s">
        <v>139</v>
      </c>
      <c r="D54" s="308">
        <f>'WACAP 2019'!P65+'WACAP 2020'!D53</f>
        <v>9323.91</v>
      </c>
      <c r="E54" s="187">
        <f t="shared" ref="E54:P54" si="28">D54+E53</f>
        <v>10342.82</v>
      </c>
      <c r="F54" s="187">
        <f t="shared" si="28"/>
        <v>11580.02</v>
      </c>
      <c r="G54" s="187">
        <f t="shared" si="28"/>
        <v>12575.58</v>
      </c>
      <c r="H54" s="187">
        <f t="shared" si="28"/>
        <v>13168.65</v>
      </c>
      <c r="I54" s="187">
        <f t="shared" si="28"/>
        <v>13735.58</v>
      </c>
      <c r="J54" s="187">
        <f t="shared" si="28"/>
        <v>13994.23</v>
      </c>
      <c r="K54" s="187">
        <f t="shared" si="28"/>
        <v>14232.84</v>
      </c>
      <c r="L54" s="187">
        <f t="shared" si="28"/>
        <v>14402.68</v>
      </c>
      <c r="M54" s="187">
        <f t="shared" si="28"/>
        <v>15235.77</v>
      </c>
      <c r="N54" s="208">
        <f t="shared" si="28"/>
        <v>8824.130000000001</v>
      </c>
      <c r="O54" s="187">
        <f t="shared" si="28"/>
        <v>10217.880000000001</v>
      </c>
      <c r="P54" s="301">
        <f t="shared" si="28"/>
        <v>12071.150000000001</v>
      </c>
      <c r="Q54" s="324"/>
      <c r="S54" s="330"/>
      <c r="T54" s="337">
        <v>1808.02</v>
      </c>
      <c r="U54" s="337">
        <f>1808.02-1805.56</f>
        <v>2.4600000000000364</v>
      </c>
      <c r="V54" s="330"/>
      <c r="W54" s="330"/>
      <c r="X54" s="330"/>
      <c r="Y54" s="330"/>
      <c r="Z54" s="330"/>
      <c r="AA54" s="330"/>
      <c r="AB54" s="330"/>
      <c r="AC54" s="330"/>
      <c r="AD54" s="330"/>
      <c r="AE54" s="330"/>
      <c r="AF54" s="330"/>
      <c r="AG54" s="330"/>
      <c r="AH54" s="330"/>
      <c r="AI54" s="330"/>
      <c r="AJ54" s="330"/>
      <c r="AK54" s="330"/>
      <c r="AL54" s="330"/>
      <c r="AM54" s="330"/>
      <c r="AN54" s="330"/>
      <c r="AO54" s="330"/>
      <c r="AP54" s="330"/>
      <c r="AQ54" s="330"/>
      <c r="AR54" s="330"/>
      <c r="AS54" s="330"/>
      <c r="AT54" s="330"/>
      <c r="AU54" s="330"/>
      <c r="AV54" s="330"/>
      <c r="AW54" s="330"/>
      <c r="AX54" s="330"/>
      <c r="AY54" s="330"/>
      <c r="AZ54" s="330"/>
      <c r="BA54" s="330"/>
      <c r="BB54" s="330"/>
      <c r="BC54" s="330"/>
      <c r="BD54" s="330"/>
      <c r="BE54" s="330"/>
      <c r="BF54" s="330"/>
      <c r="BG54" s="330"/>
      <c r="BH54" s="330"/>
      <c r="BI54" s="330"/>
      <c r="BJ54" s="330"/>
      <c r="BK54" s="330"/>
      <c r="BL54" s="330"/>
      <c r="BM54" s="330"/>
      <c r="BN54" s="330"/>
      <c r="BO54" s="330"/>
      <c r="BP54" s="330"/>
      <c r="BQ54" s="330"/>
      <c r="BR54" s="330"/>
      <c r="BS54" s="330"/>
      <c r="BT54" s="330"/>
      <c r="BU54" s="330"/>
      <c r="BV54" s="330"/>
      <c r="BW54" s="330"/>
      <c r="BX54" s="330"/>
      <c r="BY54" s="330"/>
      <c r="BZ54" s="330"/>
      <c r="CA54" s="330"/>
      <c r="CB54" s="330"/>
      <c r="CC54" s="330"/>
      <c r="CD54" s="330"/>
      <c r="CE54" s="330"/>
      <c r="CF54" s="330"/>
      <c r="CG54" s="330"/>
      <c r="CH54" s="330"/>
      <c r="CI54" s="330"/>
    </row>
    <row r="55" spans="1:87" x14ac:dyDescent="0.25">
      <c r="A55" s="313"/>
      <c r="B55" s="295"/>
      <c r="C55" s="368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204"/>
      <c r="O55" s="90"/>
      <c r="P55" s="111"/>
      <c r="Q55" s="324"/>
      <c r="S55" s="334"/>
      <c r="T55" s="337"/>
      <c r="U55" s="337"/>
      <c r="V55" s="330"/>
      <c r="W55" s="330"/>
      <c r="X55" s="330"/>
      <c r="Y55" s="330"/>
      <c r="Z55" s="330"/>
      <c r="AA55" s="330"/>
      <c r="AB55" s="330"/>
      <c r="AC55" s="330"/>
      <c r="AD55" s="330"/>
      <c r="AE55" s="330"/>
      <c r="AF55" s="330"/>
      <c r="AG55" s="330"/>
      <c r="AH55" s="330"/>
      <c r="AI55" s="330"/>
      <c r="AJ55" s="330"/>
      <c r="AK55" s="330"/>
      <c r="AL55" s="330"/>
      <c r="AM55" s="330"/>
      <c r="AN55" s="330"/>
      <c r="AO55" s="330"/>
      <c r="AP55" s="330"/>
      <c r="AQ55" s="330"/>
      <c r="AR55" s="330"/>
      <c r="AS55" s="330"/>
      <c r="AT55" s="330"/>
      <c r="AU55" s="330"/>
      <c r="AV55" s="330"/>
      <c r="AW55" s="330"/>
      <c r="AX55" s="330"/>
      <c r="AY55" s="330"/>
      <c r="AZ55" s="330"/>
      <c r="BA55" s="330"/>
      <c r="BB55" s="330"/>
      <c r="BC55" s="330"/>
      <c r="BD55" s="330"/>
      <c r="BE55" s="330"/>
      <c r="BF55" s="330"/>
      <c r="BG55" s="330"/>
      <c r="BH55" s="330"/>
      <c r="BI55" s="330"/>
      <c r="BJ55" s="330"/>
      <c r="BK55" s="330"/>
      <c r="BL55" s="330"/>
      <c r="BM55" s="330"/>
      <c r="BN55" s="330"/>
      <c r="BO55" s="330"/>
      <c r="BP55" s="330"/>
      <c r="BQ55" s="330"/>
      <c r="BR55" s="330"/>
      <c r="BS55" s="330"/>
      <c r="BT55" s="330"/>
      <c r="BU55" s="330"/>
      <c r="BV55" s="330"/>
      <c r="BW55" s="330"/>
      <c r="BX55" s="330"/>
      <c r="BY55" s="330"/>
      <c r="BZ55" s="330"/>
      <c r="CA55" s="330"/>
      <c r="CB55" s="330"/>
      <c r="CC55" s="330"/>
      <c r="CD55" s="330"/>
      <c r="CE55" s="330"/>
      <c r="CF55" s="330"/>
      <c r="CG55" s="330"/>
      <c r="CH55" s="330"/>
      <c r="CI55" s="330"/>
    </row>
    <row r="56" spans="1:87" x14ac:dyDescent="0.25">
      <c r="A56" s="313"/>
      <c r="B56" t="s">
        <v>86</v>
      </c>
      <c r="C56" s="365" t="s">
        <v>195</v>
      </c>
      <c r="D56" s="113"/>
      <c r="E56" s="113"/>
      <c r="F56" s="108"/>
      <c r="G56" s="113"/>
      <c r="H56" s="113"/>
      <c r="I56" s="113"/>
      <c r="J56" s="113"/>
      <c r="K56" s="113"/>
      <c r="L56" s="113"/>
      <c r="M56" s="113"/>
      <c r="N56" s="204"/>
      <c r="O56" s="113"/>
      <c r="P56" s="115"/>
      <c r="Q56" s="324"/>
      <c r="S56" s="330"/>
      <c r="T56" s="337"/>
      <c r="U56" s="330"/>
      <c r="V56" s="330"/>
      <c r="W56" s="330"/>
      <c r="X56" s="330"/>
      <c r="Y56" s="330"/>
      <c r="Z56" s="330"/>
      <c r="AA56" s="330"/>
      <c r="AB56" s="330"/>
      <c r="AC56" s="330"/>
      <c r="AD56" s="330"/>
      <c r="AE56" s="330"/>
      <c r="AF56" s="330"/>
      <c r="AG56" s="330"/>
      <c r="AH56" s="330"/>
      <c r="AI56" s="330"/>
      <c r="AJ56" s="330"/>
      <c r="AK56" s="330"/>
      <c r="AL56" s="330"/>
      <c r="AM56" s="330"/>
      <c r="AN56" s="330"/>
      <c r="AO56" s="330"/>
      <c r="AP56" s="330"/>
      <c r="AQ56" s="330"/>
      <c r="AR56" s="330"/>
      <c r="AS56" s="330"/>
      <c r="AT56" s="330"/>
      <c r="AU56" s="330"/>
      <c r="AV56" s="330"/>
      <c r="AW56" s="330"/>
      <c r="AX56" s="330"/>
      <c r="AY56" s="330"/>
      <c r="AZ56" s="330"/>
      <c r="BA56" s="330"/>
      <c r="BB56" s="330"/>
      <c r="BC56" s="330"/>
      <c r="BD56" s="330"/>
      <c r="BE56" s="330"/>
      <c r="BF56" s="330"/>
      <c r="BG56" s="330"/>
      <c r="BH56" s="330"/>
      <c r="BI56" s="330"/>
      <c r="BJ56" s="330"/>
      <c r="BK56" s="330"/>
      <c r="BL56" s="330"/>
      <c r="BM56" s="330"/>
      <c r="BN56" s="330"/>
      <c r="BO56" s="330"/>
      <c r="BP56" s="330"/>
      <c r="BQ56" s="330"/>
      <c r="BR56" s="330"/>
      <c r="BS56" s="330"/>
      <c r="BT56" s="330"/>
      <c r="BU56" s="330"/>
      <c r="BV56" s="330"/>
      <c r="BW56" s="330"/>
      <c r="BX56" s="330"/>
      <c r="BY56" s="330"/>
      <c r="BZ56" s="330"/>
      <c r="CA56" s="330"/>
      <c r="CB56" s="330"/>
      <c r="CC56" s="330"/>
      <c r="CD56" s="330"/>
      <c r="CE56" s="330"/>
      <c r="CF56" s="330"/>
      <c r="CG56" s="330"/>
      <c r="CH56" s="330"/>
      <c r="CI56" s="330"/>
    </row>
    <row r="57" spans="1:87" ht="15.75" x14ac:dyDescent="0.25">
      <c r="A57" s="313"/>
      <c r="B57" s="295" t="s">
        <v>64</v>
      </c>
      <c r="C57" s="362" t="s">
        <v>172</v>
      </c>
      <c r="D57" s="250">
        <v>26861</v>
      </c>
      <c r="E57" s="250">
        <v>26878</v>
      </c>
      <c r="F57" s="250">
        <v>26875</v>
      </c>
      <c r="G57" s="250">
        <v>26754</v>
      </c>
      <c r="H57" s="250">
        <v>26697</v>
      </c>
      <c r="I57" s="250">
        <v>26643</v>
      </c>
      <c r="J57" s="250">
        <v>26617</v>
      </c>
      <c r="K57" s="250">
        <v>26605</v>
      </c>
      <c r="L57" s="250">
        <v>26609</v>
      </c>
      <c r="M57" s="250">
        <v>26785</v>
      </c>
      <c r="N57" s="274"/>
      <c r="O57" s="250">
        <v>26882</v>
      </c>
      <c r="P57" s="250">
        <v>26978</v>
      </c>
      <c r="Q57" s="373"/>
      <c r="S57" s="431">
        <v>4810</v>
      </c>
      <c r="T57" s="430">
        <v>504</v>
      </c>
      <c r="U57" s="332">
        <v>12037595</v>
      </c>
      <c r="V57" s="330" t="s">
        <v>92</v>
      </c>
      <c r="W57" s="333"/>
      <c r="X57" s="330"/>
      <c r="Y57" s="425" t="s">
        <v>90</v>
      </c>
      <c r="Z57" s="330"/>
      <c r="AA57" s="330"/>
      <c r="AB57" s="330"/>
      <c r="AC57" s="330"/>
      <c r="AD57" s="330"/>
      <c r="AE57" s="330"/>
      <c r="AF57" s="330"/>
      <c r="AG57" s="330"/>
      <c r="AH57" s="330"/>
      <c r="AI57" s="330"/>
      <c r="AJ57" s="330"/>
      <c r="AK57" s="330"/>
      <c r="AL57" s="330"/>
      <c r="AM57" s="330"/>
      <c r="AN57" s="330"/>
      <c r="AO57" s="330"/>
      <c r="AP57" s="330"/>
      <c r="AQ57" s="330"/>
      <c r="AR57" s="330"/>
      <c r="AS57" s="330"/>
      <c r="AT57" s="330"/>
      <c r="AU57" s="330"/>
      <c r="AV57" s="330"/>
      <c r="AW57" s="330"/>
      <c r="AX57" s="330"/>
      <c r="AY57" s="330"/>
      <c r="AZ57" s="330"/>
      <c r="BA57" s="330"/>
      <c r="BB57" s="330"/>
      <c r="BC57" s="330"/>
      <c r="BD57" s="330"/>
      <c r="BE57" s="330"/>
      <c r="BF57" s="330"/>
      <c r="BG57" s="330"/>
      <c r="BH57" s="330"/>
      <c r="BI57" s="330"/>
      <c r="BJ57" s="330"/>
      <c r="BK57" s="330"/>
      <c r="BL57" s="330"/>
      <c r="BM57" s="330"/>
      <c r="BN57" s="330"/>
      <c r="BO57" s="330"/>
      <c r="BP57" s="330"/>
      <c r="BQ57" s="330"/>
      <c r="BR57" s="330"/>
      <c r="BS57" s="330"/>
      <c r="BT57" s="330"/>
      <c r="BU57" s="330"/>
      <c r="BV57" s="330"/>
      <c r="BW57" s="330"/>
      <c r="BX57" s="330"/>
      <c r="BY57" s="330"/>
      <c r="BZ57" s="330"/>
      <c r="CA57" s="330"/>
      <c r="CB57" s="330"/>
      <c r="CC57" s="330"/>
      <c r="CD57" s="330"/>
      <c r="CE57" s="330"/>
      <c r="CF57" s="330"/>
      <c r="CG57" s="330"/>
      <c r="CH57" s="330"/>
      <c r="CI57" s="330"/>
    </row>
    <row r="58" spans="1:87" ht="15.75" x14ac:dyDescent="0.25">
      <c r="A58" s="313"/>
      <c r="B58" s="295" t="s">
        <v>71</v>
      </c>
      <c r="C58" s="366" t="s">
        <v>178</v>
      </c>
      <c r="D58" s="251">
        <v>3359717.02</v>
      </c>
      <c r="E58" s="251">
        <v>2777567.54</v>
      </c>
      <c r="F58" s="251">
        <v>2854848.28</v>
      </c>
      <c r="G58" s="251">
        <v>2242040.88</v>
      </c>
      <c r="H58" s="251">
        <v>1085875.76</v>
      </c>
      <c r="I58" s="251">
        <v>832124.22</v>
      </c>
      <c r="J58" s="251">
        <v>746159.64</v>
      </c>
      <c r="K58" s="251">
        <v>570297.25</v>
      </c>
      <c r="L58" s="251">
        <v>645275.03</v>
      </c>
      <c r="M58" s="251">
        <v>837256.83</v>
      </c>
      <c r="N58" s="207"/>
      <c r="O58" s="251">
        <v>1703921.93</v>
      </c>
      <c r="P58" s="287">
        <v>3151444.12</v>
      </c>
      <c r="Q58" s="374"/>
      <c r="S58" s="334" t="s">
        <v>90</v>
      </c>
      <c r="T58" s="335">
        <v>3151444.12</v>
      </c>
      <c r="U58" s="336">
        <f>T58/U57</f>
        <v>0.2618001452948035</v>
      </c>
      <c r="V58" s="330"/>
      <c r="W58" s="336">
        <f>T58/U57</f>
        <v>0.2618001452948035</v>
      </c>
      <c r="X58" s="330"/>
      <c r="Y58" s="330">
        <v>0.26179999999999998</v>
      </c>
      <c r="Z58" s="330"/>
      <c r="AA58" s="336">
        <f t="shared" ref="AA58" si="29">Y58-W58</f>
        <v>-1.4529480352187818E-7</v>
      </c>
      <c r="AB58" s="330"/>
      <c r="AC58" s="330"/>
      <c r="AD58" s="330"/>
      <c r="AE58" s="330"/>
      <c r="AF58" s="330"/>
      <c r="AG58" s="330"/>
      <c r="AH58" s="330"/>
      <c r="AI58" s="330"/>
      <c r="AJ58" s="330"/>
      <c r="AK58" s="330"/>
      <c r="AL58" s="330"/>
      <c r="AM58" s="330"/>
      <c r="AN58" s="330"/>
      <c r="AO58" s="330"/>
      <c r="AP58" s="330"/>
      <c r="AQ58" s="330"/>
      <c r="AR58" s="330"/>
      <c r="AS58" s="330"/>
      <c r="AT58" s="330"/>
      <c r="AU58" s="330"/>
      <c r="AV58" s="330"/>
      <c r="AW58" s="330"/>
      <c r="AX58" s="330"/>
      <c r="AY58" s="330"/>
      <c r="AZ58" s="330"/>
      <c r="BA58" s="330"/>
      <c r="BB58" s="330"/>
      <c r="BC58" s="330"/>
      <c r="BD58" s="330"/>
      <c r="BE58" s="330"/>
      <c r="BF58" s="330"/>
      <c r="BG58" s="330"/>
      <c r="BH58" s="330"/>
      <c r="BI58" s="330"/>
      <c r="BJ58" s="330"/>
      <c r="BK58" s="330"/>
      <c r="BL58" s="330"/>
      <c r="BM58" s="330"/>
      <c r="BN58" s="330"/>
      <c r="BO58" s="330"/>
      <c r="BP58" s="330"/>
      <c r="BQ58" s="330"/>
      <c r="BR58" s="330"/>
      <c r="BS58" s="330"/>
      <c r="BT58" s="330"/>
      <c r="BU58" s="330"/>
      <c r="BV58" s="330"/>
      <c r="BW58" s="330"/>
      <c r="BX58" s="330"/>
      <c r="BY58" s="330"/>
      <c r="BZ58" s="330"/>
      <c r="CA58" s="330"/>
      <c r="CB58" s="330"/>
      <c r="CC58" s="330"/>
      <c r="CD58" s="330"/>
      <c r="CE58" s="330"/>
      <c r="CF58" s="330"/>
      <c r="CG58" s="330"/>
      <c r="CH58" s="330"/>
      <c r="CI58" s="330"/>
    </row>
    <row r="59" spans="1:87" ht="15.75" x14ac:dyDescent="0.25">
      <c r="A59" s="313"/>
      <c r="B59" s="376" t="s">
        <v>72</v>
      </c>
      <c r="C59" s="317" t="s">
        <v>183</v>
      </c>
      <c r="D59" s="348">
        <f>ROUND(ROUND(9522833*0.9046,0)*0.23142,2)</f>
        <v>1993534.03</v>
      </c>
      <c r="E59" s="349">
        <f>ROUND(ROUND(9324558*0.907,0)*0.23142,2)</f>
        <v>1957205.49</v>
      </c>
      <c r="F59" s="349">
        <f>ROUND(ROUND(7368968*0.8986,0)*0.2618,2)</f>
        <v>1733575.46</v>
      </c>
      <c r="G59" s="349">
        <f>ROUND(ROUND(2944986*0.894,0)*0.2618,2)</f>
        <v>689271.49</v>
      </c>
      <c r="H59" s="349">
        <f>ROUND(ROUND(1984707*0.8841,0)*0.2618,2)</f>
        <v>459374.96</v>
      </c>
      <c r="I59" s="349">
        <f>ROUND(ROUND(1103980*0.8619,0)*0.2618,2)</f>
        <v>249107.94</v>
      </c>
      <c r="J59" s="349">
        <f>ROUND(ROUND(801207*0.838,0)*0.2618,2)</f>
        <v>175775.4</v>
      </c>
      <c r="K59" s="349">
        <f>ROUND(ROUND(1497403*0.8685,0)*0.2618,2)</f>
        <v>340469.59</v>
      </c>
      <c r="L59" s="349">
        <f>ROUND(ROUND(2130040*0.8845,0)*0.2618,2)</f>
        <v>493236.44</v>
      </c>
      <c r="M59" s="349">
        <f>ROUND(ROUND(5961158*0.8708,0)*0.2618,2)</f>
        <v>1358997.52</v>
      </c>
      <c r="N59" s="207"/>
      <c r="O59" s="349">
        <f>ROUND(ROUND(8615743*0.8855,0)*0.2618,2)</f>
        <v>1997335.03</v>
      </c>
      <c r="P59" s="349">
        <f>ROUND(ROUND(9569772*0.8951,0)*0.2618,2)+14736.2</f>
        <v>2257289.6100000003</v>
      </c>
      <c r="Q59" s="374"/>
      <c r="S59" s="334" t="s">
        <v>91</v>
      </c>
      <c r="T59" s="335">
        <v>5201974.55</v>
      </c>
      <c r="U59" s="336">
        <f>T59/U57</f>
        <v>0.4321440080015983</v>
      </c>
      <c r="V59" s="330"/>
      <c r="W59" s="336">
        <f>T59/U57</f>
        <v>0.4321440080015983</v>
      </c>
      <c r="X59" s="330"/>
      <c r="Y59" s="330">
        <f>+Y47</f>
        <v>0.43203999999999998</v>
      </c>
      <c r="Z59" s="330"/>
      <c r="AA59" s="336">
        <f>Y59-W59</f>
        <v>-1.0400800159832135E-4</v>
      </c>
      <c r="AB59" s="330"/>
      <c r="AC59" s="330"/>
      <c r="AD59" s="330"/>
      <c r="AE59" s="330"/>
      <c r="AF59" s="330"/>
      <c r="AG59" s="330"/>
      <c r="AH59" s="330"/>
      <c r="AI59" s="330"/>
      <c r="AJ59" s="330"/>
      <c r="AK59" s="330"/>
      <c r="AL59" s="330"/>
      <c r="AM59" s="330"/>
      <c r="AN59" s="330"/>
      <c r="AO59" s="330"/>
      <c r="AP59" s="330"/>
      <c r="AQ59" s="330"/>
      <c r="AR59" s="330"/>
      <c r="AS59" s="330"/>
      <c r="AT59" s="330"/>
      <c r="AU59" s="330"/>
      <c r="AV59" s="330"/>
      <c r="AW59" s="330"/>
      <c r="AX59" s="330"/>
      <c r="AY59" s="330"/>
      <c r="AZ59" s="330"/>
      <c r="BA59" s="330"/>
      <c r="BB59" s="330"/>
      <c r="BC59" s="330"/>
      <c r="BD59" s="330"/>
      <c r="BE59" s="330"/>
      <c r="BF59" s="330"/>
      <c r="BG59" s="330"/>
      <c r="BH59" s="330"/>
      <c r="BI59" s="330"/>
      <c r="BJ59" s="330"/>
      <c r="BK59" s="330"/>
      <c r="BL59" s="330"/>
      <c r="BM59" s="330"/>
      <c r="BN59" s="330"/>
      <c r="BO59" s="330"/>
      <c r="BP59" s="330"/>
      <c r="BQ59" s="330"/>
      <c r="BR59" s="330"/>
      <c r="BS59" s="330"/>
      <c r="BT59" s="330"/>
      <c r="BU59" s="330"/>
      <c r="BV59" s="330"/>
      <c r="BW59" s="330"/>
      <c r="BX59" s="330"/>
      <c r="BY59" s="330"/>
      <c r="BZ59" s="330"/>
      <c r="CA59" s="330"/>
      <c r="CB59" s="330"/>
      <c r="CC59" s="330"/>
      <c r="CD59" s="330"/>
      <c r="CE59" s="330"/>
      <c r="CF59" s="330"/>
      <c r="CG59" s="330"/>
      <c r="CH59" s="330"/>
      <c r="CI59" s="330"/>
    </row>
    <row r="60" spans="1:87" x14ac:dyDescent="0.25">
      <c r="A60" s="313"/>
      <c r="B60" s="295" t="s">
        <v>72</v>
      </c>
      <c r="C60" s="314" t="s">
        <v>184</v>
      </c>
      <c r="D60" s="189">
        <f>-'WACAP 2019'!P70</f>
        <v>-2407512.25</v>
      </c>
      <c r="E60" s="189">
        <f t="shared" ref="E60:F60" si="30">-D59</f>
        <v>-1993534.03</v>
      </c>
      <c r="F60" s="189">
        <f t="shared" si="30"/>
        <v>-1957205.49</v>
      </c>
      <c r="G60" s="189">
        <f>-F59</f>
        <v>-1733575.46</v>
      </c>
      <c r="H60" s="189">
        <f>-G59</f>
        <v>-689271.49</v>
      </c>
      <c r="I60" s="189">
        <f>-H59</f>
        <v>-459374.96</v>
      </c>
      <c r="J60" s="189">
        <f>-I59</f>
        <v>-249107.94</v>
      </c>
      <c r="K60" s="189">
        <f t="shared" ref="K60:M60" si="31">-J59</f>
        <v>-175775.4</v>
      </c>
      <c r="L60" s="189">
        <f>-K59</f>
        <v>-340469.59</v>
      </c>
      <c r="M60" s="189">
        <f t="shared" si="31"/>
        <v>-493236.44</v>
      </c>
      <c r="N60" s="209"/>
      <c r="O60" s="189">
        <f>-M59</f>
        <v>-1358997.52</v>
      </c>
      <c r="P60" s="190">
        <f>-O59</f>
        <v>-1997335.03</v>
      </c>
      <c r="Q60" s="374"/>
      <c r="S60" s="334"/>
      <c r="T60" s="337"/>
      <c r="U60" s="336"/>
      <c r="V60" s="330"/>
      <c r="W60" s="336"/>
      <c r="X60" s="330"/>
      <c r="Y60" s="330"/>
      <c r="Z60" s="330"/>
      <c r="AA60" s="336"/>
      <c r="AB60" s="330"/>
      <c r="AC60" s="330"/>
      <c r="AD60" s="330"/>
      <c r="AE60" s="330"/>
      <c r="AF60" s="330"/>
      <c r="AG60" s="330"/>
      <c r="AH60" s="330"/>
      <c r="AI60" s="330"/>
      <c r="AJ60" s="330"/>
      <c r="AK60" s="330"/>
      <c r="AL60" s="330"/>
      <c r="AM60" s="330"/>
      <c r="AN60" s="330"/>
      <c r="AO60" s="330"/>
      <c r="AP60" s="330"/>
      <c r="AQ60" s="330"/>
      <c r="AR60" s="330"/>
      <c r="AS60" s="330"/>
      <c r="AT60" s="330"/>
      <c r="AU60" s="330"/>
      <c r="AV60" s="330"/>
      <c r="AW60" s="330"/>
      <c r="AX60" s="330"/>
      <c r="AY60" s="330"/>
      <c r="AZ60" s="330"/>
      <c r="BA60" s="330"/>
      <c r="BB60" s="330"/>
      <c r="BC60" s="330"/>
      <c r="BD60" s="330"/>
      <c r="BE60" s="330"/>
      <c r="BF60" s="330"/>
      <c r="BG60" s="330"/>
      <c r="BH60" s="330"/>
      <c r="BI60" s="330"/>
      <c r="BJ60" s="330"/>
      <c r="BK60" s="330"/>
      <c r="BL60" s="330"/>
      <c r="BM60" s="330"/>
      <c r="BN60" s="330"/>
      <c r="BO60" s="330"/>
      <c r="BP60" s="330"/>
      <c r="BQ60" s="330"/>
      <c r="BR60" s="330"/>
      <c r="BS60" s="330"/>
      <c r="BT60" s="330"/>
      <c r="BU60" s="330"/>
      <c r="BV60" s="330"/>
      <c r="BW60" s="330"/>
      <c r="BX60" s="330"/>
      <c r="BY60" s="330"/>
      <c r="BZ60" s="330"/>
      <c r="CA60" s="330"/>
      <c r="CB60" s="330"/>
      <c r="CC60" s="330"/>
      <c r="CD60" s="330"/>
      <c r="CE60" s="330"/>
      <c r="CF60" s="330"/>
      <c r="CG60" s="330"/>
      <c r="CH60" s="330"/>
      <c r="CI60" s="330"/>
    </row>
    <row r="61" spans="1:87" x14ac:dyDescent="0.25">
      <c r="A61" s="313"/>
      <c r="B61" s="295"/>
      <c r="C61" s="311" t="s">
        <v>74</v>
      </c>
      <c r="D61" s="187">
        <f t="shared" ref="D61:P61" si="32">SUM(D58:D60)</f>
        <v>2945738.8</v>
      </c>
      <c r="E61" s="187">
        <f t="shared" si="32"/>
        <v>2741239</v>
      </c>
      <c r="F61" s="187">
        <f t="shared" si="32"/>
        <v>2631218.25</v>
      </c>
      <c r="G61" s="187">
        <f>SUM(G58:G60)</f>
        <v>1197736.9100000001</v>
      </c>
      <c r="H61" s="187">
        <f t="shared" si="32"/>
        <v>855979.23</v>
      </c>
      <c r="I61" s="187">
        <f t="shared" si="32"/>
        <v>621857.19999999995</v>
      </c>
      <c r="J61" s="187">
        <f t="shared" si="32"/>
        <v>672827.10000000009</v>
      </c>
      <c r="K61" s="187">
        <f t="shared" ref="K61:O61" si="33">SUM(K58:K60)</f>
        <v>734991.44000000006</v>
      </c>
      <c r="L61" s="187">
        <f t="shared" si="33"/>
        <v>798041.87999999989</v>
      </c>
      <c r="M61" s="187">
        <f t="shared" si="33"/>
        <v>1703017.9100000001</v>
      </c>
      <c r="N61" s="208"/>
      <c r="O61" s="187">
        <f t="shared" si="33"/>
        <v>2342259.44</v>
      </c>
      <c r="P61" s="188">
        <f t="shared" si="32"/>
        <v>3411398.7</v>
      </c>
      <c r="Q61" s="324"/>
      <c r="S61" s="330"/>
      <c r="T61" s="330"/>
      <c r="U61" s="330"/>
      <c r="V61" s="330"/>
      <c r="W61" s="330"/>
      <c r="X61" s="330"/>
      <c r="Y61" s="330"/>
      <c r="Z61" s="330"/>
      <c r="AA61" s="330"/>
      <c r="AB61" s="330"/>
      <c r="AC61" s="330"/>
      <c r="AD61" s="330"/>
      <c r="AE61" s="330"/>
      <c r="AF61" s="330"/>
      <c r="AG61" s="330"/>
      <c r="AH61" s="330"/>
      <c r="AI61" s="330"/>
      <c r="AJ61" s="330"/>
      <c r="AK61" s="330"/>
      <c r="AL61" s="330"/>
      <c r="AM61" s="330"/>
      <c r="AN61" s="330"/>
      <c r="AO61" s="330"/>
      <c r="AP61" s="330"/>
      <c r="AQ61" s="330"/>
      <c r="AR61" s="330"/>
      <c r="AS61" s="330"/>
      <c r="AT61" s="330"/>
      <c r="AU61" s="330"/>
      <c r="AV61" s="330"/>
      <c r="AW61" s="330"/>
      <c r="AX61" s="330"/>
      <c r="AY61" s="330"/>
      <c r="AZ61" s="330"/>
      <c r="BA61" s="330"/>
      <c r="BB61" s="330"/>
      <c r="BC61" s="330"/>
      <c r="BD61" s="330"/>
      <c r="BE61" s="330"/>
      <c r="BF61" s="330"/>
      <c r="BG61" s="330"/>
      <c r="BH61" s="330"/>
      <c r="BI61" s="330"/>
      <c r="BJ61" s="330"/>
      <c r="BK61" s="330"/>
      <c r="BL61" s="330"/>
      <c r="BM61" s="330"/>
      <c r="BN61" s="330"/>
      <c r="BO61" s="330"/>
      <c r="BP61" s="330"/>
      <c r="BQ61" s="330"/>
      <c r="BR61" s="330"/>
      <c r="BS61" s="330"/>
      <c r="BT61" s="330"/>
      <c r="BU61" s="330"/>
      <c r="BV61" s="330"/>
      <c r="BW61" s="330"/>
      <c r="BX61" s="330"/>
      <c r="BY61" s="330"/>
      <c r="BZ61" s="330"/>
      <c r="CA61" s="330"/>
      <c r="CB61" s="330"/>
      <c r="CC61" s="330"/>
      <c r="CD61" s="330"/>
      <c r="CE61" s="330"/>
      <c r="CF61" s="330"/>
      <c r="CG61" s="330"/>
      <c r="CH61" s="330"/>
      <c r="CI61" s="330"/>
    </row>
    <row r="62" spans="1:87" x14ac:dyDescent="0.25">
      <c r="A62" s="313"/>
      <c r="B62" s="295"/>
      <c r="C62" s="436" t="s">
        <v>73</v>
      </c>
      <c r="D62" s="307">
        <f>ROUND(-'Authorized Margins 2019'!J12*'WACAP 2020'!D57,2)</f>
        <v>-3428806.65</v>
      </c>
      <c r="E62" s="189">
        <f>ROUND(-'Authorized Margins 2019'!K12*'WACAP 2020'!E57,2)</f>
        <v>-2524650.54</v>
      </c>
      <c r="F62" s="422">
        <f>ROUND(-'Authorized Margins 2020'!F9*'WACAP 2020'!F57,2)</f>
        <v>-2418212.5</v>
      </c>
      <c r="G62" s="189">
        <f>ROUND(-'Authorized Margins 2020'!G9*'WACAP 2020'!G57,2)</f>
        <v>-1813653.66</v>
      </c>
      <c r="H62" s="189">
        <f>ROUND(-'Authorized Margins 2020'!H9*'WACAP 2020'!H57,2)</f>
        <v>-1030237.23</v>
      </c>
      <c r="I62" s="189">
        <f>ROUND(-'Authorized Margins 2020'!I9*'WACAP 2020'!I57,2)</f>
        <v>-905862</v>
      </c>
      <c r="J62" s="189">
        <f>ROUND(-'Authorized Margins 2020'!J9*'WACAP 2020'!J57,2)</f>
        <v>-751664.08</v>
      </c>
      <c r="K62" s="189">
        <f>ROUND(-'Authorized Margins 2020'!K9*'WACAP 2020'!K57,2)</f>
        <v>-420092.95</v>
      </c>
      <c r="L62" s="189">
        <f>ROUND(-'Authorized Margins 2020'!L9*'WACAP 2020'!L57,2)</f>
        <v>-1027905.67</v>
      </c>
      <c r="M62" s="189">
        <f>ROUND(-'Authorized Margins 2020'!M9*'WACAP 2020'!M57,2)</f>
        <v>-1821112.15</v>
      </c>
      <c r="N62" s="209"/>
      <c r="O62" s="189">
        <f>ROUND(-'Authorized Margins 2020'!O9*'WACAP 2020'!O57,2)</f>
        <v>-2986052.56</v>
      </c>
      <c r="P62" s="190">
        <f>ROUND(-'Authorized Margins 2020'!P9*'WACAP 2020'!P57,2)</f>
        <v>-3981683.02</v>
      </c>
      <c r="Q62" s="324"/>
      <c r="S62" s="330"/>
      <c r="T62" s="330"/>
      <c r="U62" s="330"/>
      <c r="V62" s="330"/>
      <c r="W62" s="330"/>
      <c r="X62" s="330"/>
      <c r="Y62" s="330"/>
      <c r="Z62" s="330"/>
      <c r="AA62" s="330"/>
      <c r="AB62" s="330"/>
      <c r="AC62" s="330"/>
      <c r="AD62" s="330"/>
      <c r="AE62" s="330"/>
      <c r="AF62" s="330"/>
      <c r="AG62" s="330"/>
      <c r="AH62" s="330"/>
      <c r="AI62" s="330"/>
      <c r="AJ62" s="330"/>
      <c r="AK62" s="330"/>
      <c r="AL62" s="330"/>
      <c r="AM62" s="330"/>
      <c r="AN62" s="330"/>
      <c r="AO62" s="330"/>
      <c r="AP62" s="330"/>
      <c r="AQ62" s="330"/>
      <c r="AR62" s="330"/>
      <c r="AS62" s="330"/>
      <c r="AT62" s="330"/>
      <c r="AU62" s="330"/>
      <c r="AV62" s="330"/>
      <c r="AW62" s="330"/>
      <c r="AX62" s="330"/>
      <c r="AY62" s="330"/>
      <c r="AZ62" s="330"/>
      <c r="BA62" s="330"/>
      <c r="BB62" s="330"/>
      <c r="BC62" s="330"/>
      <c r="BD62" s="330"/>
      <c r="BE62" s="330"/>
      <c r="BF62" s="330"/>
      <c r="BG62" s="330"/>
      <c r="BH62" s="330"/>
      <c r="BI62" s="330"/>
      <c r="BJ62" s="330"/>
      <c r="BK62" s="330"/>
      <c r="BL62" s="330"/>
      <c r="BM62" s="330"/>
      <c r="BN62" s="330"/>
      <c r="BO62" s="330"/>
      <c r="BP62" s="330"/>
      <c r="BQ62" s="330"/>
      <c r="BR62" s="330"/>
      <c r="BS62" s="330"/>
      <c r="BT62" s="330"/>
      <c r="BU62" s="330"/>
      <c r="BV62" s="330"/>
      <c r="BW62" s="330"/>
      <c r="BX62" s="330"/>
      <c r="BY62" s="330"/>
      <c r="BZ62" s="330"/>
      <c r="CA62" s="330"/>
      <c r="CB62" s="330"/>
      <c r="CC62" s="330"/>
      <c r="CD62" s="330"/>
      <c r="CE62" s="330"/>
      <c r="CF62" s="330"/>
      <c r="CG62" s="330"/>
      <c r="CH62" s="330"/>
      <c r="CI62" s="330"/>
    </row>
    <row r="63" spans="1:87" x14ac:dyDescent="0.25">
      <c r="A63" s="313"/>
      <c r="B63" s="295"/>
      <c r="C63" s="364" t="s">
        <v>201</v>
      </c>
      <c r="D63" s="187">
        <f t="shared" ref="D63:P63" si="34">SUM(D61:D62)</f>
        <v>-483067.85000000009</v>
      </c>
      <c r="E63" s="187">
        <f t="shared" si="34"/>
        <v>216588.45999999996</v>
      </c>
      <c r="F63" s="187">
        <f t="shared" si="34"/>
        <v>213005.75</v>
      </c>
      <c r="G63" s="187">
        <f t="shared" si="34"/>
        <v>-615916.74999999977</v>
      </c>
      <c r="H63" s="187">
        <f t="shared" si="34"/>
        <v>-174258</v>
      </c>
      <c r="I63" s="187">
        <f t="shared" si="34"/>
        <v>-284004.80000000005</v>
      </c>
      <c r="J63" s="187">
        <f t="shared" si="34"/>
        <v>-78836.979999999865</v>
      </c>
      <c r="K63" s="187">
        <f t="shared" si="34"/>
        <v>314898.49000000005</v>
      </c>
      <c r="L63" s="187">
        <f t="shared" si="34"/>
        <v>-229863.79000000015</v>
      </c>
      <c r="M63" s="187">
        <f t="shared" si="34"/>
        <v>-118094.23999999976</v>
      </c>
      <c r="N63" s="302">
        <f>-'WACAP 2019'!R76</f>
        <v>-2124434.7099999986</v>
      </c>
      <c r="O63" s="187">
        <f t="shared" si="34"/>
        <v>-643793.12000000011</v>
      </c>
      <c r="P63" s="188">
        <f t="shared" si="34"/>
        <v>-570284.31999999983</v>
      </c>
      <c r="Q63" s="374">
        <f>SUM(D63:P63)-N63</f>
        <v>-2453627.15</v>
      </c>
      <c r="S63" s="330"/>
      <c r="T63" s="330"/>
      <c r="U63" s="330"/>
      <c r="V63" s="330"/>
      <c r="W63" s="330"/>
      <c r="X63" s="330"/>
      <c r="Y63" s="330"/>
      <c r="Z63" s="330"/>
      <c r="AA63" s="330"/>
      <c r="AB63" s="330"/>
      <c r="AC63" s="330"/>
      <c r="AD63" s="330"/>
      <c r="AE63" s="330"/>
      <c r="AF63" s="330"/>
      <c r="AG63" s="330"/>
      <c r="AH63" s="330"/>
      <c r="AI63" s="330"/>
      <c r="AJ63" s="330"/>
      <c r="AK63" s="330"/>
      <c r="AL63" s="330"/>
      <c r="AM63" s="330"/>
      <c r="AN63" s="330"/>
      <c r="AO63" s="330"/>
      <c r="AP63" s="330"/>
      <c r="AQ63" s="330"/>
      <c r="AR63" s="330"/>
      <c r="AS63" s="330"/>
      <c r="AT63" s="330"/>
      <c r="AU63" s="330"/>
      <c r="AV63" s="330"/>
      <c r="AW63" s="330"/>
      <c r="AX63" s="330"/>
      <c r="AY63" s="330"/>
      <c r="AZ63" s="330"/>
      <c r="BA63" s="330"/>
      <c r="BB63" s="330"/>
      <c r="BC63" s="330"/>
      <c r="BD63" s="330"/>
      <c r="BE63" s="330"/>
      <c r="BF63" s="330"/>
      <c r="BG63" s="330"/>
      <c r="BH63" s="330"/>
      <c r="BI63" s="330"/>
      <c r="BJ63" s="330"/>
      <c r="BK63" s="330"/>
      <c r="BL63" s="330"/>
      <c r="BM63" s="330"/>
      <c r="BN63" s="330"/>
      <c r="BO63" s="330"/>
      <c r="BP63" s="330"/>
      <c r="BQ63" s="330"/>
      <c r="BR63" s="330"/>
      <c r="BS63" s="330"/>
      <c r="BT63" s="330"/>
      <c r="BU63" s="330"/>
      <c r="BV63" s="330"/>
      <c r="BW63" s="330"/>
      <c r="BX63" s="330"/>
      <c r="BY63" s="330"/>
      <c r="BZ63" s="330"/>
      <c r="CA63" s="330"/>
      <c r="CB63" s="330"/>
      <c r="CC63" s="330"/>
      <c r="CD63" s="330"/>
      <c r="CE63" s="330"/>
      <c r="CF63" s="330"/>
      <c r="CG63" s="330"/>
      <c r="CH63" s="330"/>
      <c r="CI63" s="330"/>
    </row>
    <row r="64" spans="1:87" x14ac:dyDescent="0.25">
      <c r="A64" s="313"/>
      <c r="B64" s="295"/>
      <c r="C64" s="436" t="s">
        <v>137</v>
      </c>
      <c r="D64" s="308">
        <f>ROUND(ROUND('WACAP 2019'!P77*D$6,2)/365*D$7,2)</f>
        <v>8949.4</v>
      </c>
      <c r="E64" s="187">
        <f>ROUND(ROUND(D66*E$6,2)/365*E$7,2)</f>
        <v>6503.6</v>
      </c>
      <c r="F64" s="187">
        <f>ROUND(ROUND(E66*F$6,2)/365*F$7,2)</f>
        <v>7891.92</v>
      </c>
      <c r="G64" s="187">
        <f t="shared" ref="G64:P64" si="35">ROUND(ROUND(F66*G$6,2)/365*G$7,2)</f>
        <v>8176.4</v>
      </c>
      <c r="H64" s="187">
        <f t="shared" si="35"/>
        <v>5997.17</v>
      </c>
      <c r="I64" s="187">
        <f t="shared" si="35"/>
        <v>5146.8100000000004</v>
      </c>
      <c r="J64" s="187">
        <f t="shared" si="35"/>
        <v>3028.07</v>
      </c>
      <c r="K64" s="187">
        <f t="shared" si="35"/>
        <v>2807.22</v>
      </c>
      <c r="L64" s="187">
        <f t="shared" si="35"/>
        <v>3612.34</v>
      </c>
      <c r="M64" s="187">
        <f t="shared" si="35"/>
        <v>2912.34</v>
      </c>
      <c r="N64" s="231">
        <f>'Ammort Split 2020'!N75</f>
        <v>-76880.489999999991</v>
      </c>
      <c r="O64" s="187">
        <f>ROUND(ROUND(N66*O$6,2)/365*O$7,2)</f>
        <v>-3369.51</v>
      </c>
      <c r="P64" s="188">
        <f t="shared" si="35"/>
        <v>-5268.17</v>
      </c>
      <c r="Q64" s="388">
        <f>SUM(D64:P64)</f>
        <v>-30492.9</v>
      </c>
      <c r="S64" s="330"/>
      <c r="T64" s="330"/>
      <c r="U64" s="330"/>
      <c r="V64" s="330"/>
      <c r="W64" s="330"/>
      <c r="X64" s="330"/>
      <c r="Y64" s="330"/>
      <c r="Z64" s="330"/>
      <c r="AA64" s="330"/>
      <c r="AB64" s="330"/>
      <c r="AC64" s="330"/>
      <c r="AD64" s="330"/>
      <c r="AE64" s="330"/>
      <c r="AF64" s="330"/>
      <c r="AG64" s="330"/>
      <c r="AH64" s="330"/>
      <c r="AI64" s="330"/>
      <c r="AJ64" s="330"/>
      <c r="AK64" s="330"/>
      <c r="AL64" s="330"/>
      <c r="AM64" s="330"/>
      <c r="AN64" s="330"/>
      <c r="AO64" s="330"/>
      <c r="AP64" s="330"/>
      <c r="AQ64" s="330"/>
      <c r="AR64" s="330"/>
      <c r="AS64" s="330"/>
      <c r="AT64" s="330"/>
      <c r="AU64" s="330"/>
      <c r="AV64" s="330"/>
      <c r="AW64" s="330"/>
      <c r="AX64" s="330"/>
      <c r="AY64" s="330"/>
      <c r="AZ64" s="330"/>
      <c r="BA64" s="330"/>
      <c r="BB64" s="330"/>
      <c r="BC64" s="330"/>
      <c r="BD64" s="330"/>
      <c r="BE64" s="330"/>
      <c r="BF64" s="330"/>
      <c r="BG64" s="330"/>
      <c r="BH64" s="330"/>
      <c r="BI64" s="330"/>
      <c r="BJ64" s="330"/>
      <c r="BK64" s="330"/>
      <c r="BL64" s="330"/>
      <c r="BM64" s="330"/>
      <c r="BN64" s="330"/>
      <c r="BO64" s="330"/>
      <c r="BP64" s="330"/>
      <c r="BQ64" s="330"/>
      <c r="BR64" s="330"/>
      <c r="BS64" s="330"/>
      <c r="BT64" s="330"/>
      <c r="BU64" s="330"/>
      <c r="BV64" s="330"/>
      <c r="BW64" s="330"/>
      <c r="BX64" s="330"/>
      <c r="BY64" s="330"/>
      <c r="BZ64" s="330"/>
      <c r="CA64" s="330"/>
      <c r="CB64" s="330"/>
      <c r="CC64" s="330"/>
      <c r="CD64" s="330"/>
      <c r="CE64" s="330"/>
      <c r="CF64" s="330"/>
      <c r="CG64" s="330"/>
      <c r="CH64" s="330"/>
      <c r="CI64" s="330"/>
    </row>
    <row r="65" spans="1:87" x14ac:dyDescent="0.25">
      <c r="A65" s="313"/>
      <c r="B65" s="295"/>
      <c r="C65" s="364" t="s">
        <v>138</v>
      </c>
      <c r="D65" s="189">
        <f t="shared" ref="D65:P65" si="36">SUM(D63:D64)</f>
        <v>-474118.45000000007</v>
      </c>
      <c r="E65" s="189">
        <f t="shared" si="36"/>
        <v>223092.05999999997</v>
      </c>
      <c r="F65" s="189">
        <f t="shared" si="36"/>
        <v>220897.67</v>
      </c>
      <c r="G65" s="189">
        <f t="shared" si="36"/>
        <v>-607740.34999999974</v>
      </c>
      <c r="H65" s="189">
        <f t="shared" si="36"/>
        <v>-168260.83</v>
      </c>
      <c r="I65" s="189">
        <f t="shared" si="36"/>
        <v>-278857.99000000005</v>
      </c>
      <c r="J65" s="189">
        <f t="shared" si="36"/>
        <v>-75808.909999999858</v>
      </c>
      <c r="K65" s="189">
        <f t="shared" si="36"/>
        <v>317705.71000000002</v>
      </c>
      <c r="L65" s="189">
        <f t="shared" si="36"/>
        <v>-226251.45000000016</v>
      </c>
      <c r="M65" s="189">
        <f t="shared" si="36"/>
        <v>-115181.89999999976</v>
      </c>
      <c r="N65" s="209">
        <f>SUM(N63:N64)</f>
        <v>-2201315.1999999983</v>
      </c>
      <c r="O65" s="189">
        <f t="shared" si="36"/>
        <v>-647162.63000000012</v>
      </c>
      <c r="P65" s="190">
        <f t="shared" si="36"/>
        <v>-575552.48999999987</v>
      </c>
      <c r="Q65" s="389">
        <f>SUM(Q63:Q64)</f>
        <v>-2484120.0499999998</v>
      </c>
      <c r="S65" s="330"/>
      <c r="T65" s="330"/>
      <c r="U65" s="330"/>
      <c r="V65" s="330"/>
      <c r="W65" s="330"/>
      <c r="X65" s="330"/>
      <c r="Y65" s="330"/>
      <c r="Z65" s="330"/>
      <c r="AA65" s="330"/>
      <c r="AB65" s="330"/>
      <c r="AC65" s="330"/>
      <c r="AD65" s="330"/>
      <c r="AE65" s="330"/>
      <c r="AF65" s="330"/>
      <c r="AG65" s="330"/>
      <c r="AH65" s="330"/>
      <c r="AI65" s="330"/>
      <c r="AJ65" s="330"/>
      <c r="AK65" s="330"/>
      <c r="AL65" s="330"/>
      <c r="AM65" s="330"/>
      <c r="AN65" s="330"/>
      <c r="AO65" s="330"/>
      <c r="AP65" s="330"/>
      <c r="AQ65" s="330"/>
      <c r="AR65" s="330"/>
      <c r="AS65" s="330"/>
      <c r="AT65" s="330"/>
      <c r="AU65" s="330"/>
      <c r="AV65" s="330"/>
      <c r="AW65" s="330"/>
      <c r="AX65" s="330"/>
      <c r="AY65" s="330"/>
      <c r="AZ65" s="330"/>
      <c r="BA65" s="330"/>
      <c r="BB65" s="330"/>
      <c r="BC65" s="330"/>
      <c r="BD65" s="330"/>
      <c r="BE65" s="330"/>
      <c r="BF65" s="330"/>
      <c r="BG65" s="330"/>
      <c r="BH65" s="330"/>
      <c r="BI65" s="330"/>
      <c r="BJ65" s="330"/>
      <c r="BK65" s="330"/>
      <c r="BL65" s="330"/>
      <c r="BM65" s="330"/>
      <c r="BN65" s="330"/>
      <c r="BO65" s="330"/>
      <c r="BP65" s="330"/>
      <c r="BQ65" s="330"/>
      <c r="BR65" s="330"/>
      <c r="BS65" s="330"/>
      <c r="BT65" s="330"/>
      <c r="BU65" s="330"/>
      <c r="BV65" s="330"/>
      <c r="BW65" s="330"/>
      <c r="BX65" s="330"/>
      <c r="BY65" s="330"/>
      <c r="BZ65" s="330"/>
      <c r="CA65" s="330"/>
      <c r="CB65" s="330"/>
      <c r="CC65" s="330"/>
      <c r="CD65" s="330"/>
      <c r="CE65" s="330"/>
      <c r="CF65" s="330"/>
      <c r="CG65" s="330"/>
      <c r="CH65" s="330"/>
      <c r="CI65" s="330"/>
    </row>
    <row r="66" spans="1:87" ht="15.75" thickBot="1" x14ac:dyDescent="0.3">
      <c r="A66" s="313"/>
      <c r="B66" s="283"/>
      <c r="C66" s="436" t="s">
        <v>139</v>
      </c>
      <c r="D66" s="307">
        <f>'WACAP 2019'!P77+'WACAP 2020'!D65</f>
        <v>1650316.2599999979</v>
      </c>
      <c r="E66" s="375">
        <f t="shared" ref="E66:P66" si="37">D66+E65</f>
        <v>1873408.319999998</v>
      </c>
      <c r="F66" s="187">
        <f t="shared" si="37"/>
        <v>2094305.9899999979</v>
      </c>
      <c r="G66" s="375">
        <f t="shared" si="37"/>
        <v>1486565.6399999983</v>
      </c>
      <c r="H66" s="375">
        <f t="shared" si="37"/>
        <v>1318304.8099999982</v>
      </c>
      <c r="I66" s="375">
        <f t="shared" si="37"/>
        <v>1039446.8199999982</v>
      </c>
      <c r="J66" s="375">
        <f t="shared" si="37"/>
        <v>963637.90999999829</v>
      </c>
      <c r="K66" s="375">
        <f t="shared" si="37"/>
        <v>1281343.6199999982</v>
      </c>
      <c r="L66" s="375">
        <f t="shared" si="37"/>
        <v>1055092.1699999981</v>
      </c>
      <c r="M66" s="375">
        <f t="shared" si="37"/>
        <v>939910.26999999827</v>
      </c>
      <c r="N66" s="386">
        <f t="shared" si="37"/>
        <v>-1261404.9300000002</v>
      </c>
      <c r="O66" s="375">
        <f t="shared" si="37"/>
        <v>-1908567.5600000003</v>
      </c>
      <c r="P66" s="387">
        <f t="shared" si="37"/>
        <v>-2484120.0500000003</v>
      </c>
      <c r="Q66" s="390"/>
      <c r="S66" s="330"/>
      <c r="T66" s="330"/>
      <c r="U66" s="337"/>
      <c r="V66" s="330"/>
      <c r="W66" s="330"/>
      <c r="X66" s="330"/>
      <c r="Y66" s="330"/>
      <c r="Z66" s="330"/>
      <c r="AA66" s="330"/>
      <c r="AB66" s="330"/>
      <c r="AC66" s="330"/>
      <c r="AD66" s="330"/>
      <c r="AE66" s="330"/>
      <c r="AF66" s="330"/>
      <c r="AG66" s="330"/>
      <c r="AH66" s="330"/>
      <c r="AI66" s="330"/>
      <c r="AJ66" s="330"/>
      <c r="AK66" s="330"/>
      <c r="AL66" s="330"/>
      <c r="AM66" s="330"/>
      <c r="AN66" s="330"/>
      <c r="AO66" s="330"/>
      <c r="AP66" s="330"/>
      <c r="AQ66" s="330"/>
      <c r="AR66" s="330"/>
      <c r="AS66" s="330"/>
      <c r="AT66" s="330"/>
      <c r="AU66" s="330"/>
      <c r="AV66" s="330"/>
      <c r="AW66" s="330"/>
      <c r="AX66" s="330"/>
      <c r="AY66" s="330"/>
      <c r="AZ66" s="330"/>
      <c r="BA66" s="330"/>
      <c r="BB66" s="330"/>
      <c r="BC66" s="330"/>
      <c r="BD66" s="330"/>
      <c r="BE66" s="330"/>
      <c r="BF66" s="330"/>
      <c r="BG66" s="330"/>
      <c r="BH66" s="330"/>
      <c r="BI66" s="330"/>
      <c r="BJ66" s="330"/>
      <c r="BK66" s="330"/>
      <c r="BL66" s="330"/>
      <c r="BM66" s="330"/>
      <c r="BN66" s="330"/>
      <c r="BO66" s="330"/>
      <c r="BP66" s="330"/>
      <c r="BQ66" s="330"/>
      <c r="BR66" s="330"/>
      <c r="BS66" s="330"/>
      <c r="BT66" s="330"/>
      <c r="BU66" s="330"/>
      <c r="BV66" s="330"/>
      <c r="BW66" s="330"/>
      <c r="BX66" s="330"/>
      <c r="BY66" s="330"/>
      <c r="BZ66" s="330"/>
      <c r="CA66" s="330"/>
      <c r="CB66" s="330"/>
      <c r="CC66" s="330"/>
      <c r="CD66" s="330"/>
      <c r="CE66" s="330"/>
      <c r="CF66" s="330"/>
      <c r="CG66" s="330"/>
      <c r="CH66" s="330"/>
      <c r="CI66" s="330"/>
    </row>
    <row r="67" spans="1:87" ht="7.5" customHeight="1" x14ac:dyDescent="0.25">
      <c r="B67" s="295"/>
      <c r="C67" s="122"/>
      <c r="D67" s="233"/>
      <c r="E67" s="90"/>
      <c r="F67" s="233"/>
      <c r="G67" s="90"/>
      <c r="H67" s="90"/>
      <c r="I67" s="90"/>
      <c r="J67" s="90"/>
      <c r="K67" s="90"/>
      <c r="L67" s="90"/>
      <c r="M67" s="90"/>
      <c r="N67" s="90"/>
      <c r="O67" s="90"/>
      <c r="P67" s="90"/>
      <c r="S67" s="330"/>
      <c r="T67" s="330"/>
      <c r="U67" s="337"/>
      <c r="V67" s="330"/>
      <c r="W67" s="330"/>
      <c r="X67" s="330"/>
      <c r="Y67" s="330"/>
      <c r="Z67" s="330"/>
      <c r="AA67" s="330"/>
      <c r="AB67" s="330"/>
      <c r="AC67" s="330"/>
      <c r="AD67" s="330"/>
      <c r="AE67" s="330"/>
      <c r="AF67" s="330"/>
      <c r="AG67" s="330"/>
      <c r="AH67" s="330"/>
      <c r="AI67" s="330"/>
      <c r="AJ67" s="330"/>
      <c r="AK67" s="330"/>
      <c r="AL67" s="330"/>
      <c r="AM67" s="330"/>
      <c r="AN67" s="330"/>
      <c r="AO67" s="330"/>
      <c r="AP67" s="330"/>
      <c r="AQ67" s="330"/>
      <c r="AR67" s="330"/>
      <c r="AS67" s="330"/>
      <c r="AT67" s="330"/>
      <c r="AU67" s="330"/>
      <c r="AV67" s="330"/>
      <c r="AW67" s="330"/>
      <c r="AX67" s="330"/>
      <c r="AY67" s="330"/>
      <c r="AZ67" s="330"/>
      <c r="BA67" s="330"/>
      <c r="BB67" s="330"/>
      <c r="BC67" s="330"/>
      <c r="BD67" s="330"/>
      <c r="BE67" s="330"/>
      <c r="BF67" s="330"/>
      <c r="BG67" s="330"/>
      <c r="BH67" s="330"/>
      <c r="BI67" s="330"/>
      <c r="BJ67" s="330"/>
      <c r="BK67" s="330"/>
      <c r="BL67" s="330"/>
      <c r="BM67" s="330"/>
      <c r="BN67" s="330"/>
      <c r="BO67" s="330"/>
      <c r="BP67" s="330"/>
      <c r="BQ67" s="330"/>
      <c r="BR67" s="330"/>
      <c r="BS67" s="330"/>
      <c r="BT67" s="330"/>
      <c r="BU67" s="330"/>
      <c r="BV67" s="330"/>
      <c r="BW67" s="330"/>
      <c r="BX67" s="330"/>
      <c r="BY67" s="330"/>
      <c r="BZ67" s="330"/>
      <c r="CA67" s="330"/>
      <c r="CB67" s="330"/>
      <c r="CC67" s="330"/>
      <c r="CD67" s="330"/>
      <c r="CE67" s="330"/>
      <c r="CF67" s="330"/>
      <c r="CG67" s="330"/>
      <c r="CH67" s="330"/>
      <c r="CI67" s="330"/>
    </row>
    <row r="68" spans="1:87" ht="7.5" customHeight="1" thickBot="1" x14ac:dyDescent="0.3">
      <c r="B68" s="283"/>
      <c r="C68" s="315"/>
      <c r="D68" s="378"/>
      <c r="E68" s="380"/>
      <c r="F68" s="90"/>
      <c r="G68" s="380"/>
      <c r="H68" s="380"/>
      <c r="I68" s="380"/>
      <c r="J68" s="380"/>
      <c r="K68" s="380"/>
      <c r="L68" s="380"/>
      <c r="M68" s="380"/>
      <c r="N68" s="380"/>
      <c r="O68" s="380"/>
      <c r="P68" s="380"/>
      <c r="S68" s="334"/>
      <c r="T68" s="337"/>
      <c r="U68" s="337"/>
      <c r="V68" s="330"/>
      <c r="W68" s="330"/>
      <c r="X68" s="330"/>
      <c r="Y68" s="330"/>
      <c r="Z68" s="330"/>
      <c r="AA68" s="330"/>
      <c r="AB68" s="330"/>
      <c r="AC68" s="330"/>
      <c r="AD68" s="330"/>
      <c r="AE68" s="330"/>
      <c r="AF68" s="330"/>
      <c r="AG68" s="330"/>
      <c r="AH68" s="330"/>
      <c r="AI68" s="330"/>
      <c r="AJ68" s="330"/>
      <c r="AK68" s="330"/>
      <c r="AL68" s="330"/>
      <c r="AM68" s="330"/>
      <c r="AN68" s="330"/>
      <c r="AO68" s="330"/>
      <c r="AP68" s="330"/>
      <c r="AQ68" s="330"/>
      <c r="AR68" s="330"/>
      <c r="AS68" s="330"/>
      <c r="AT68" s="330"/>
      <c r="AU68" s="330"/>
      <c r="AV68" s="330"/>
      <c r="AW68" s="330"/>
      <c r="AX68" s="330"/>
      <c r="AY68" s="330"/>
      <c r="AZ68" s="330"/>
      <c r="BA68" s="330"/>
      <c r="BB68" s="330"/>
      <c r="BC68" s="330"/>
      <c r="BD68" s="330"/>
      <c r="BE68" s="330"/>
      <c r="BF68" s="330"/>
      <c r="BG68" s="330"/>
      <c r="BH68" s="330"/>
      <c r="BI68" s="330"/>
      <c r="BJ68" s="330"/>
      <c r="BK68" s="330"/>
      <c r="BL68" s="330"/>
      <c r="BM68" s="330"/>
      <c r="BN68" s="330"/>
      <c r="BO68" s="330"/>
      <c r="BP68" s="330"/>
      <c r="BQ68" s="330"/>
      <c r="BR68" s="330"/>
      <c r="BS68" s="330"/>
      <c r="BT68" s="330"/>
      <c r="BU68" s="330"/>
      <c r="BV68" s="330"/>
      <c r="BW68" s="330"/>
      <c r="BX68" s="330"/>
      <c r="BY68" s="330"/>
      <c r="BZ68" s="330"/>
      <c r="CA68" s="330"/>
      <c r="CB68" s="330"/>
      <c r="CC68" s="330"/>
      <c r="CD68" s="330"/>
      <c r="CE68" s="330"/>
      <c r="CF68" s="330"/>
      <c r="CG68" s="330"/>
      <c r="CH68" s="330"/>
      <c r="CI68" s="330"/>
    </row>
    <row r="69" spans="1:87" x14ac:dyDescent="0.25">
      <c r="A69" s="313"/>
      <c r="B69" s="240" t="s">
        <v>86</v>
      </c>
      <c r="C69" s="381" t="s">
        <v>194</v>
      </c>
      <c r="D69" s="379"/>
      <c r="E69" s="113"/>
      <c r="F69" s="423"/>
      <c r="G69" s="113"/>
      <c r="H69" s="113"/>
      <c r="I69" s="113"/>
      <c r="J69" s="113"/>
      <c r="K69" s="113"/>
      <c r="L69" s="113"/>
      <c r="M69" s="113"/>
      <c r="N69" s="113"/>
      <c r="O69" s="113"/>
      <c r="P69" s="115"/>
      <c r="Q69" s="391"/>
      <c r="S69" s="330"/>
      <c r="T69" s="337"/>
      <c r="U69" s="337"/>
      <c r="V69" s="330"/>
      <c r="W69" s="330"/>
      <c r="X69" s="330"/>
      <c r="Y69" s="330"/>
      <c r="Z69" s="330"/>
      <c r="AA69" s="330"/>
      <c r="AB69" s="330"/>
      <c r="AC69" s="330"/>
      <c r="AD69" s="330"/>
      <c r="AE69" s="330"/>
      <c r="AF69" s="330"/>
      <c r="AG69" s="330"/>
      <c r="AH69" s="330"/>
      <c r="AI69" s="330"/>
      <c r="AJ69" s="330"/>
      <c r="AK69" s="330"/>
      <c r="AL69" s="330"/>
      <c r="AM69" s="330"/>
      <c r="AN69" s="330"/>
      <c r="AO69" s="330"/>
      <c r="AP69" s="330"/>
      <c r="AQ69" s="330"/>
      <c r="AR69" s="330"/>
      <c r="AS69" s="330"/>
      <c r="AT69" s="330"/>
      <c r="AU69" s="330"/>
      <c r="AV69" s="330"/>
      <c r="AW69" s="330"/>
      <c r="AX69" s="330"/>
      <c r="AY69" s="330"/>
      <c r="AZ69" s="330"/>
      <c r="BA69" s="330"/>
      <c r="BB69" s="330"/>
      <c r="BC69" s="330"/>
      <c r="BD69" s="330"/>
      <c r="BE69" s="330"/>
      <c r="BF69" s="330"/>
      <c r="BG69" s="330"/>
      <c r="BH69" s="330"/>
      <c r="BI69" s="330"/>
      <c r="BJ69" s="330"/>
      <c r="BK69" s="330"/>
      <c r="BL69" s="330"/>
      <c r="BM69" s="330"/>
      <c r="BN69" s="330"/>
      <c r="BO69" s="330"/>
      <c r="BP69" s="330"/>
      <c r="BQ69" s="330"/>
      <c r="BR69" s="330"/>
      <c r="BS69" s="330"/>
      <c r="BT69" s="330"/>
      <c r="BU69" s="330"/>
      <c r="BV69" s="330"/>
      <c r="BW69" s="330"/>
      <c r="BX69" s="330"/>
      <c r="BY69" s="330"/>
      <c r="BZ69" s="330"/>
      <c r="CA69" s="330"/>
      <c r="CB69" s="330"/>
      <c r="CC69" s="330"/>
      <c r="CD69" s="330"/>
      <c r="CE69" s="330"/>
      <c r="CF69" s="330"/>
      <c r="CG69" s="330"/>
      <c r="CH69" s="330"/>
      <c r="CI69" s="330"/>
    </row>
    <row r="70" spans="1:87" x14ac:dyDescent="0.25">
      <c r="A70" s="313"/>
      <c r="B70" s="295" t="s">
        <v>64</v>
      </c>
      <c r="C70" s="362" t="s">
        <v>172</v>
      </c>
      <c r="D70" s="250">
        <v>7</v>
      </c>
      <c r="E70" s="250">
        <v>7</v>
      </c>
      <c r="F70" s="250">
        <v>7</v>
      </c>
      <c r="G70" s="250">
        <v>7</v>
      </c>
      <c r="H70" s="250">
        <v>7</v>
      </c>
      <c r="I70" s="250">
        <v>7</v>
      </c>
      <c r="J70" s="250">
        <v>7</v>
      </c>
      <c r="K70" s="250">
        <v>7</v>
      </c>
      <c r="L70" s="250">
        <v>7</v>
      </c>
      <c r="M70" s="250">
        <v>2</v>
      </c>
      <c r="N70" s="274"/>
      <c r="O70" s="250">
        <v>2</v>
      </c>
      <c r="P70" s="250">
        <v>2</v>
      </c>
      <c r="Q70" s="373"/>
      <c r="S70" s="432">
        <v>4810</v>
      </c>
      <c r="T70" s="432" t="s">
        <v>169</v>
      </c>
      <c r="U70" s="337"/>
      <c r="V70" s="330"/>
      <c r="W70" s="330"/>
      <c r="X70" s="330"/>
      <c r="Y70" s="330"/>
      <c r="Z70" s="330"/>
      <c r="AA70" s="330"/>
      <c r="AB70" s="330"/>
      <c r="AC70" s="330"/>
      <c r="AD70" s="330"/>
      <c r="AE70" s="330"/>
      <c r="AF70" s="330"/>
      <c r="AG70" s="330"/>
      <c r="AH70" s="330"/>
      <c r="AI70" s="330"/>
      <c r="AJ70" s="330"/>
      <c r="AK70" s="330"/>
      <c r="AL70" s="330"/>
      <c r="AM70" s="330"/>
      <c r="AN70" s="330"/>
      <c r="AO70" s="330"/>
      <c r="AP70" s="330"/>
      <c r="AQ70" s="330"/>
      <c r="AR70" s="330"/>
      <c r="AS70" s="330"/>
      <c r="AT70" s="330"/>
      <c r="AU70" s="330"/>
      <c r="AV70" s="330"/>
      <c r="AW70" s="330"/>
      <c r="AX70" s="330"/>
      <c r="AY70" s="330"/>
      <c r="AZ70" s="330"/>
      <c r="BA70" s="330"/>
      <c r="BB70" s="330"/>
      <c r="BC70" s="330"/>
      <c r="BD70" s="330"/>
      <c r="BE70" s="330"/>
      <c r="BF70" s="330"/>
      <c r="BG70" s="330"/>
      <c r="BH70" s="330"/>
      <c r="BI70" s="330"/>
      <c r="BJ70" s="330"/>
      <c r="BK70" s="330"/>
      <c r="BL70" s="330"/>
      <c r="BM70" s="330"/>
      <c r="BN70" s="330"/>
      <c r="BO70" s="330"/>
      <c r="BP70" s="330"/>
      <c r="BQ70" s="330"/>
      <c r="BR70" s="330"/>
      <c r="BS70" s="330"/>
      <c r="BT70" s="330"/>
      <c r="BU70" s="330"/>
      <c r="BV70" s="330"/>
      <c r="BW70" s="330"/>
      <c r="BX70" s="330"/>
      <c r="BY70" s="330"/>
      <c r="BZ70" s="330"/>
      <c r="CA70" s="330"/>
      <c r="CB70" s="330"/>
      <c r="CC70" s="330"/>
      <c r="CD70" s="330"/>
      <c r="CE70" s="330"/>
      <c r="CF70" s="330"/>
      <c r="CG70" s="330"/>
      <c r="CH70" s="330"/>
      <c r="CI70" s="330"/>
    </row>
    <row r="71" spans="1:87" x14ac:dyDescent="0.25">
      <c r="A71" s="313"/>
      <c r="B71" s="382" t="s">
        <v>71</v>
      </c>
      <c r="C71" s="366" t="s">
        <v>175</v>
      </c>
      <c r="D71" s="251">
        <v>19935.75</v>
      </c>
      <c r="E71" s="251">
        <v>19499.55</v>
      </c>
      <c r="F71" s="251">
        <v>19032.68</v>
      </c>
      <c r="G71" s="251">
        <v>21164.26</v>
      </c>
      <c r="H71" s="251">
        <v>20485.259999999998</v>
      </c>
      <c r="I71" s="251">
        <v>19295.150000000001</v>
      </c>
      <c r="J71" s="251">
        <v>14918.06</v>
      </c>
      <c r="K71" s="251">
        <v>14182.49</v>
      </c>
      <c r="L71" s="251">
        <v>13834.62</v>
      </c>
      <c r="M71" s="251">
        <v>13931.46</v>
      </c>
      <c r="N71" s="207"/>
      <c r="O71" s="251">
        <v>4903.67</v>
      </c>
      <c r="P71" s="287">
        <v>5690.47</v>
      </c>
      <c r="Q71" s="374"/>
      <c r="S71" s="334"/>
      <c r="T71" s="337"/>
      <c r="U71" s="337"/>
      <c r="V71" s="330"/>
      <c r="W71" s="330"/>
      <c r="X71" s="330"/>
      <c r="Y71" s="330"/>
      <c r="Z71" s="330"/>
      <c r="AA71" s="330"/>
      <c r="AB71" s="330"/>
      <c r="AC71" s="330"/>
      <c r="AD71" s="330"/>
      <c r="AE71" s="330"/>
      <c r="AF71" s="330"/>
      <c r="AG71" s="330"/>
      <c r="AH71" s="330"/>
      <c r="AI71" s="330"/>
      <c r="AJ71" s="330"/>
      <c r="AK71" s="330"/>
      <c r="AL71" s="330"/>
      <c r="AM71" s="330"/>
      <c r="AN71" s="330"/>
      <c r="AO71" s="330"/>
      <c r="AP71" s="330"/>
      <c r="AQ71" s="330"/>
      <c r="AR71" s="330"/>
      <c r="AS71" s="330"/>
      <c r="AT71" s="330"/>
      <c r="AU71" s="330"/>
      <c r="AV71" s="330"/>
      <c r="AW71" s="330"/>
      <c r="AX71" s="330"/>
      <c r="AY71" s="330"/>
      <c r="AZ71" s="330"/>
      <c r="BA71" s="330"/>
      <c r="BB71" s="330"/>
      <c r="BC71" s="330"/>
      <c r="BD71" s="330"/>
      <c r="BE71" s="330"/>
      <c r="BF71" s="330"/>
      <c r="BG71" s="330"/>
      <c r="BH71" s="330"/>
      <c r="BI71" s="330"/>
      <c r="BJ71" s="330"/>
      <c r="BK71" s="330"/>
      <c r="BL71" s="330"/>
      <c r="BM71" s="330"/>
      <c r="BN71" s="330"/>
      <c r="BO71" s="330"/>
      <c r="BP71" s="330"/>
      <c r="BQ71" s="330"/>
      <c r="BR71" s="330"/>
      <c r="BS71" s="330"/>
      <c r="BT71" s="330"/>
      <c r="BU71" s="330"/>
      <c r="BV71" s="330"/>
      <c r="BW71" s="330"/>
      <c r="BX71" s="330"/>
      <c r="BY71" s="330"/>
      <c r="BZ71" s="330"/>
      <c r="CA71" s="330"/>
      <c r="CB71" s="330"/>
      <c r="CC71" s="330"/>
      <c r="CD71" s="330"/>
      <c r="CE71" s="330"/>
      <c r="CF71" s="330"/>
      <c r="CG71" s="330"/>
      <c r="CH71" s="330"/>
      <c r="CI71" s="330"/>
    </row>
    <row r="72" spans="1:87" x14ac:dyDescent="0.25">
      <c r="A72" s="313"/>
      <c r="B72" s="295" t="s">
        <v>71</v>
      </c>
      <c r="C72" s="366" t="s">
        <v>176</v>
      </c>
      <c r="D72" s="251">
        <v>41795.550000000003</v>
      </c>
      <c r="E72" s="251">
        <v>41337.629999999997</v>
      </c>
      <c r="F72" s="251">
        <v>40111.26</v>
      </c>
      <c r="G72" s="251">
        <v>44241.38</v>
      </c>
      <c r="H72" s="251">
        <v>37030.639999999999</v>
      </c>
      <c r="I72" s="251">
        <v>31635.93</v>
      </c>
      <c r="J72" s="251">
        <v>27763.06</v>
      </c>
      <c r="K72" s="251">
        <v>27731.27</v>
      </c>
      <c r="L72" s="251">
        <v>27329.200000000001</v>
      </c>
      <c r="M72" s="251">
        <v>27049.73</v>
      </c>
      <c r="N72" s="207"/>
      <c r="O72" s="251">
        <v>437.73</v>
      </c>
      <c r="P72" s="287">
        <v>4695.21</v>
      </c>
      <c r="Q72" s="374"/>
      <c r="S72" s="334"/>
      <c r="T72" s="337"/>
      <c r="U72" s="337"/>
      <c r="V72" s="330"/>
      <c r="W72" s="330"/>
      <c r="X72" s="330"/>
      <c r="Y72" s="330"/>
      <c r="Z72" s="330"/>
      <c r="AA72" s="330"/>
      <c r="AC72" s="330"/>
      <c r="AD72" s="330"/>
      <c r="AE72" s="330"/>
      <c r="AF72" s="330"/>
      <c r="AG72" s="330"/>
      <c r="AH72" s="330"/>
      <c r="AI72" s="330"/>
      <c r="AJ72" s="330"/>
      <c r="AK72" s="330"/>
      <c r="AL72" s="330"/>
      <c r="AM72" s="330"/>
      <c r="AN72" s="330"/>
      <c r="AO72" s="330"/>
      <c r="AP72" s="330"/>
      <c r="AQ72" s="330"/>
      <c r="AR72" s="330"/>
      <c r="AS72" s="330"/>
      <c r="AT72" s="330"/>
      <c r="AU72" s="330"/>
      <c r="AV72" s="330"/>
      <c r="AW72" s="330"/>
      <c r="AX72" s="330"/>
      <c r="AY72" s="330"/>
      <c r="AZ72" s="330"/>
      <c r="BA72" s="330"/>
      <c r="BB72" s="330"/>
      <c r="BC72" s="330"/>
      <c r="BD72" s="330"/>
      <c r="BE72" s="330"/>
      <c r="BF72" s="330"/>
      <c r="BG72" s="330"/>
      <c r="BH72" s="330"/>
      <c r="BI72" s="330"/>
      <c r="BJ72" s="330"/>
      <c r="BK72" s="330"/>
      <c r="BL72" s="330"/>
      <c r="BM72" s="330"/>
      <c r="BN72" s="330"/>
      <c r="BO72" s="330"/>
      <c r="BP72" s="330"/>
      <c r="BQ72" s="330"/>
      <c r="BR72" s="330"/>
      <c r="BS72" s="330"/>
      <c r="BT72" s="330"/>
      <c r="BU72" s="330"/>
      <c r="BV72" s="330"/>
      <c r="BW72" s="330"/>
      <c r="BX72" s="330"/>
      <c r="BY72" s="330"/>
      <c r="BZ72" s="330"/>
      <c r="CA72" s="330"/>
      <c r="CB72" s="330"/>
      <c r="CC72" s="330"/>
      <c r="CD72" s="330"/>
      <c r="CE72" s="330"/>
      <c r="CF72" s="330"/>
      <c r="CG72" s="330"/>
      <c r="CH72" s="330"/>
      <c r="CI72" s="330"/>
    </row>
    <row r="73" spans="1:87" x14ac:dyDescent="0.25">
      <c r="A73" s="313"/>
      <c r="B73" s="295" t="s">
        <v>71</v>
      </c>
      <c r="C73" s="366" t="s">
        <v>177</v>
      </c>
      <c r="D73" s="251">
        <v>31678.16</v>
      </c>
      <c r="E73" s="251">
        <v>34423.99</v>
      </c>
      <c r="F73" s="251">
        <v>31526.86</v>
      </c>
      <c r="G73" s="251">
        <v>42051.57</v>
      </c>
      <c r="H73" s="251">
        <v>32546.26</v>
      </c>
      <c r="I73" s="251">
        <v>19928.150000000001</v>
      </c>
      <c r="J73" s="251">
        <v>13678.68</v>
      </c>
      <c r="K73" s="251">
        <v>12426.16</v>
      </c>
      <c r="L73" s="251">
        <v>11223.95</v>
      </c>
      <c r="M73" s="251">
        <v>10743.46</v>
      </c>
      <c r="N73" s="207"/>
      <c r="O73" s="251"/>
      <c r="P73" s="287"/>
      <c r="Q73" s="374"/>
      <c r="S73" s="334"/>
      <c r="T73" s="337"/>
      <c r="U73" s="337"/>
      <c r="V73" s="330"/>
      <c r="W73" s="330"/>
      <c r="X73" s="330"/>
      <c r="Y73" s="330"/>
      <c r="Z73" s="330"/>
      <c r="AA73" s="330"/>
      <c r="AB73" s="330"/>
      <c r="AC73" s="330"/>
      <c r="AD73" s="330"/>
      <c r="AE73" s="330"/>
      <c r="AF73" s="330"/>
      <c r="AG73" s="330"/>
      <c r="AH73" s="330"/>
      <c r="AI73" s="330"/>
      <c r="AJ73" s="330"/>
      <c r="AK73" s="330"/>
      <c r="AL73" s="330"/>
      <c r="AM73" s="330"/>
      <c r="AN73" s="330"/>
      <c r="AO73" s="330"/>
      <c r="AP73" s="330"/>
      <c r="AQ73" s="330"/>
      <c r="AR73" s="330"/>
      <c r="AS73" s="330"/>
      <c r="AT73" s="330"/>
      <c r="AU73" s="330"/>
      <c r="AV73" s="330"/>
      <c r="AW73" s="330"/>
      <c r="AX73" s="330"/>
      <c r="AY73" s="330"/>
      <c r="AZ73" s="330"/>
      <c r="BA73" s="330"/>
      <c r="BB73" s="330"/>
      <c r="BC73" s="330"/>
      <c r="BD73" s="330"/>
      <c r="BE73" s="330"/>
      <c r="BF73" s="330"/>
      <c r="BG73" s="330"/>
      <c r="BH73" s="330"/>
      <c r="BI73" s="330"/>
      <c r="BJ73" s="330"/>
      <c r="BK73" s="330"/>
      <c r="BL73" s="330"/>
      <c r="BM73" s="330"/>
      <c r="BN73" s="330"/>
      <c r="BO73" s="330"/>
      <c r="BP73" s="330"/>
      <c r="BQ73" s="330"/>
      <c r="BR73" s="330"/>
      <c r="BS73" s="330"/>
      <c r="BT73" s="330"/>
      <c r="BU73" s="330"/>
      <c r="BV73" s="330"/>
      <c r="BW73" s="330"/>
      <c r="BX73" s="330"/>
      <c r="BY73" s="330"/>
      <c r="BZ73" s="330"/>
      <c r="CA73" s="330"/>
      <c r="CB73" s="330"/>
      <c r="CC73" s="330"/>
      <c r="CD73" s="330"/>
      <c r="CE73" s="330"/>
      <c r="CF73" s="330"/>
      <c r="CG73" s="330"/>
      <c r="CH73" s="330"/>
      <c r="CI73" s="330"/>
    </row>
    <row r="74" spans="1:87" x14ac:dyDescent="0.25">
      <c r="A74" s="313"/>
      <c r="B74" s="295" t="s">
        <v>72</v>
      </c>
      <c r="C74" s="318" t="s">
        <v>206</v>
      </c>
      <c r="D74" s="276">
        <v>19499.55</v>
      </c>
      <c r="E74" s="276">
        <v>19032.68</v>
      </c>
      <c r="F74" s="276">
        <v>21164.26</v>
      </c>
      <c r="G74" s="276">
        <v>20485.259999999998</v>
      </c>
      <c r="H74" s="276">
        <v>19295.150000000001</v>
      </c>
      <c r="I74" s="276">
        <v>14918.06</v>
      </c>
      <c r="J74" s="276">
        <v>14182.49</v>
      </c>
      <c r="K74" s="276">
        <v>13834.62</v>
      </c>
      <c r="L74" s="276">
        <v>13931.46</v>
      </c>
      <c r="M74" s="276">
        <v>4903.67</v>
      </c>
      <c r="N74" s="207"/>
      <c r="O74" s="276">
        <v>5690.47</v>
      </c>
      <c r="P74" s="285">
        <v>6270.7</v>
      </c>
      <c r="Q74" s="374"/>
      <c r="S74" s="334"/>
      <c r="T74" s="337"/>
      <c r="U74" s="337"/>
      <c r="V74" s="330"/>
      <c r="W74" s="330"/>
      <c r="X74" s="330"/>
      <c r="Y74" s="330"/>
      <c r="Z74" s="330"/>
      <c r="AA74" s="330"/>
      <c r="AB74" s="330"/>
      <c r="AC74" s="330"/>
      <c r="AD74" s="330"/>
      <c r="AE74" s="330"/>
      <c r="AF74" s="330"/>
      <c r="AG74" s="330"/>
      <c r="AH74" s="330"/>
      <c r="AI74" s="330"/>
      <c r="AJ74" s="330"/>
      <c r="AK74" s="330"/>
      <c r="AL74" s="330"/>
      <c r="AM74" s="330"/>
      <c r="AN74" s="330"/>
      <c r="AO74" s="330"/>
      <c r="AP74" s="330"/>
      <c r="AQ74" s="330"/>
      <c r="AR74" s="330"/>
      <c r="AS74" s="330"/>
      <c r="AT74" s="330"/>
      <c r="AU74" s="330"/>
      <c r="AV74" s="330"/>
      <c r="AW74" s="330"/>
      <c r="AX74" s="330"/>
      <c r="AY74" s="330"/>
      <c r="AZ74" s="330"/>
      <c r="BA74" s="330"/>
      <c r="BB74" s="330"/>
      <c r="BC74" s="330"/>
      <c r="BD74" s="330"/>
      <c r="BE74" s="330"/>
      <c r="BF74" s="330"/>
      <c r="BG74" s="330"/>
      <c r="BH74" s="330"/>
      <c r="BI74" s="330"/>
      <c r="BJ74" s="330"/>
      <c r="BK74" s="330"/>
      <c r="BL74" s="330"/>
      <c r="BM74" s="330"/>
      <c r="BN74" s="330"/>
      <c r="BO74" s="330"/>
      <c r="BP74" s="330"/>
      <c r="BQ74" s="330"/>
      <c r="BR74" s="330"/>
      <c r="BS74" s="330"/>
      <c r="BT74" s="330"/>
      <c r="BU74" s="330"/>
      <c r="BV74" s="330"/>
      <c r="BW74" s="330"/>
      <c r="BX74" s="330"/>
      <c r="BY74" s="330"/>
      <c r="BZ74" s="330"/>
      <c r="CA74" s="330"/>
      <c r="CB74" s="330"/>
      <c r="CC74" s="330"/>
      <c r="CD74" s="330"/>
      <c r="CE74" s="330"/>
      <c r="CF74" s="330"/>
      <c r="CG74" s="330"/>
      <c r="CH74" s="330"/>
      <c r="CI74" s="330"/>
    </row>
    <row r="75" spans="1:87" x14ac:dyDescent="0.25">
      <c r="A75" s="313"/>
      <c r="B75" s="295" t="s">
        <v>72</v>
      </c>
      <c r="C75" s="318" t="s">
        <v>207</v>
      </c>
      <c r="D75" s="276">
        <v>41337.629999999997</v>
      </c>
      <c r="E75" s="276">
        <v>40111.26</v>
      </c>
      <c r="F75" s="276">
        <v>44241.38</v>
      </c>
      <c r="G75" s="276">
        <v>37030.639999999999</v>
      </c>
      <c r="H75" s="276">
        <v>31635.93</v>
      </c>
      <c r="I75" s="276">
        <v>27763.06</v>
      </c>
      <c r="J75" s="276">
        <v>27731.27</v>
      </c>
      <c r="K75" s="276">
        <v>27329.200000000001</v>
      </c>
      <c r="L75" s="276">
        <v>27049.73</v>
      </c>
      <c r="M75" s="276">
        <v>437.73</v>
      </c>
      <c r="N75" s="207"/>
      <c r="O75" s="276">
        <v>4695.21</v>
      </c>
      <c r="P75" s="285">
        <v>7164.96</v>
      </c>
      <c r="Q75" s="374"/>
      <c r="S75" s="334"/>
      <c r="T75" s="337"/>
      <c r="U75" s="337"/>
      <c r="V75" s="330"/>
      <c r="W75" s="330"/>
      <c r="X75" s="330"/>
      <c r="Y75" s="330"/>
      <c r="Z75" s="330"/>
      <c r="AA75" s="330"/>
      <c r="AB75" s="330"/>
      <c r="AC75" s="330"/>
      <c r="AD75" s="330"/>
      <c r="AE75" s="330"/>
      <c r="AF75" s="330"/>
      <c r="AG75" s="330"/>
      <c r="AH75" s="330"/>
      <c r="AI75" s="330"/>
      <c r="AJ75" s="330"/>
      <c r="AK75" s="330"/>
      <c r="AL75" s="330"/>
      <c r="AM75" s="330"/>
      <c r="AN75" s="330"/>
      <c r="AO75" s="330"/>
      <c r="AP75" s="330"/>
      <c r="AQ75" s="330"/>
      <c r="AR75" s="330"/>
      <c r="AS75" s="330"/>
      <c r="AT75" s="330"/>
      <c r="AU75" s="330"/>
      <c r="AV75" s="330"/>
      <c r="AW75" s="330"/>
      <c r="AX75" s="330"/>
      <c r="AY75" s="330"/>
      <c r="AZ75" s="330"/>
      <c r="BA75" s="330"/>
      <c r="BB75" s="330"/>
      <c r="BC75" s="330"/>
      <c r="BD75" s="330"/>
      <c r="BE75" s="330"/>
      <c r="BF75" s="330"/>
      <c r="BG75" s="330"/>
      <c r="BH75" s="330"/>
      <c r="BI75" s="330"/>
      <c r="BJ75" s="330"/>
      <c r="BK75" s="330"/>
      <c r="BL75" s="330"/>
      <c r="BM75" s="330"/>
      <c r="BN75" s="330"/>
      <c r="BO75" s="330"/>
      <c r="BP75" s="330"/>
      <c r="BQ75" s="330"/>
      <c r="BR75" s="330"/>
      <c r="BS75" s="330"/>
      <c r="BT75" s="330"/>
      <c r="BU75" s="330"/>
      <c r="BV75" s="330"/>
      <c r="BW75" s="330"/>
      <c r="BX75" s="330"/>
      <c r="BY75" s="330"/>
      <c r="BZ75" s="330"/>
      <c r="CA75" s="330"/>
      <c r="CB75" s="330"/>
      <c r="CC75" s="330"/>
      <c r="CD75" s="330"/>
      <c r="CE75" s="330"/>
      <c r="CF75" s="330"/>
      <c r="CG75" s="330"/>
      <c r="CH75" s="330"/>
      <c r="CI75" s="330"/>
    </row>
    <row r="76" spans="1:87" x14ac:dyDescent="0.25">
      <c r="A76" s="313"/>
      <c r="B76" s="376" t="s">
        <v>72</v>
      </c>
      <c r="C76" s="319" t="s">
        <v>208</v>
      </c>
      <c r="D76" s="350">
        <v>34423.99</v>
      </c>
      <c r="E76" s="351">
        <v>31526.86</v>
      </c>
      <c r="F76" s="276">
        <v>42051.57</v>
      </c>
      <c r="G76" s="276">
        <v>32546.26</v>
      </c>
      <c r="H76" s="276">
        <v>19928.150000000001</v>
      </c>
      <c r="I76" s="276">
        <v>13678.68</v>
      </c>
      <c r="J76" s="276">
        <v>12426.16</v>
      </c>
      <c r="K76" s="276">
        <v>11223.95</v>
      </c>
      <c r="L76" s="276">
        <v>10743.46</v>
      </c>
      <c r="M76" s="276"/>
      <c r="N76" s="207"/>
      <c r="O76" s="276"/>
      <c r="P76" s="285"/>
      <c r="Q76" s="374"/>
      <c r="S76" s="334"/>
      <c r="T76" s="337"/>
      <c r="U76" s="337"/>
      <c r="V76" s="330"/>
      <c r="W76" s="330"/>
      <c r="X76" s="330"/>
      <c r="Y76" s="330"/>
      <c r="Z76" s="330"/>
      <c r="AA76" s="330"/>
      <c r="AB76" s="330"/>
      <c r="AC76" s="330"/>
      <c r="AD76" s="330"/>
      <c r="AE76" s="330"/>
      <c r="AF76" s="330"/>
      <c r="AG76" s="330"/>
      <c r="AH76" s="330"/>
      <c r="AI76" s="330"/>
      <c r="AJ76" s="330"/>
      <c r="AK76" s="330"/>
      <c r="AL76" s="330"/>
      <c r="AM76" s="330"/>
      <c r="AN76" s="330"/>
      <c r="AO76" s="330"/>
      <c r="AP76" s="330"/>
      <c r="AQ76" s="330"/>
      <c r="AR76" s="330"/>
      <c r="AS76" s="330"/>
      <c r="AT76" s="330"/>
      <c r="AU76" s="330"/>
      <c r="AV76" s="330"/>
      <c r="AW76" s="330"/>
      <c r="AX76" s="330"/>
      <c r="AY76" s="330"/>
      <c r="AZ76" s="330"/>
      <c r="BA76" s="330"/>
      <c r="BB76" s="330"/>
      <c r="BC76" s="330"/>
      <c r="BD76" s="330"/>
      <c r="BE76" s="330"/>
      <c r="BF76" s="330"/>
      <c r="BG76" s="330"/>
      <c r="BH76" s="330"/>
      <c r="BI76" s="330"/>
      <c r="BJ76" s="330"/>
      <c r="BK76" s="330"/>
      <c r="BL76" s="330"/>
      <c r="BM76" s="330"/>
      <c r="BN76" s="330"/>
      <c r="BO76" s="330"/>
      <c r="BP76" s="330"/>
      <c r="BQ76" s="330"/>
      <c r="BR76" s="330"/>
      <c r="BS76" s="330"/>
      <c r="BT76" s="330"/>
      <c r="BU76" s="330"/>
      <c r="BV76" s="330"/>
      <c r="BW76" s="330"/>
      <c r="BX76" s="330"/>
      <c r="BY76" s="330"/>
      <c r="BZ76" s="330"/>
      <c r="CA76" s="330"/>
      <c r="CB76" s="330"/>
      <c r="CC76" s="330"/>
      <c r="CD76" s="330"/>
      <c r="CE76" s="330"/>
      <c r="CF76" s="330"/>
      <c r="CG76" s="330"/>
      <c r="CH76" s="330"/>
      <c r="CI76" s="330"/>
    </row>
    <row r="77" spans="1:87" x14ac:dyDescent="0.25">
      <c r="A77" s="313"/>
      <c r="B77" s="295" t="s">
        <v>72</v>
      </c>
      <c r="C77" s="320" t="s">
        <v>179</v>
      </c>
      <c r="D77" s="189">
        <f>-'WACAP 2019'!P84-'WACAP 2019'!P85-'WACAP 2019'!P86</f>
        <v>-93409.46</v>
      </c>
      <c r="E77" s="189">
        <f>-D74-D75-D76</f>
        <v>-95261.169999999984</v>
      </c>
      <c r="F77" s="375">
        <f t="shared" ref="F77:P77" si="38">-E74-E75-E76</f>
        <v>-90670.8</v>
      </c>
      <c r="G77" s="189">
        <f t="shared" si="38"/>
        <v>-107457.20999999999</v>
      </c>
      <c r="H77" s="189">
        <f t="shared" si="38"/>
        <v>-90062.159999999989</v>
      </c>
      <c r="I77" s="189">
        <f t="shared" si="38"/>
        <v>-70859.23000000001</v>
      </c>
      <c r="J77" s="189">
        <f t="shared" si="38"/>
        <v>-56359.8</v>
      </c>
      <c r="K77" s="189">
        <f t="shared" si="38"/>
        <v>-54339.92</v>
      </c>
      <c r="L77" s="189">
        <f t="shared" si="38"/>
        <v>-52387.770000000004</v>
      </c>
      <c r="M77" s="189">
        <f t="shared" si="38"/>
        <v>-51724.65</v>
      </c>
      <c r="N77" s="208"/>
      <c r="O77" s="189">
        <f>-M74-M75-M76</f>
        <v>-5341.4</v>
      </c>
      <c r="P77" s="189">
        <f t="shared" si="38"/>
        <v>-10385.68</v>
      </c>
      <c r="Q77" s="324"/>
      <c r="S77" s="334"/>
      <c r="T77" s="337"/>
      <c r="U77" s="337"/>
      <c r="V77" s="330"/>
      <c r="W77" s="330"/>
      <c r="X77" s="330"/>
      <c r="Y77" s="330"/>
      <c r="Z77" s="330"/>
      <c r="AA77" s="330"/>
      <c r="AB77" s="330"/>
      <c r="AC77" s="330"/>
      <c r="AD77" s="330"/>
      <c r="AE77" s="330"/>
      <c r="AF77" s="330"/>
      <c r="AG77" s="330"/>
      <c r="AH77" s="330"/>
      <c r="AI77" s="330"/>
      <c r="AJ77" s="330"/>
      <c r="AK77" s="330"/>
      <c r="AL77" s="330"/>
      <c r="AM77" s="330"/>
      <c r="AN77" s="330"/>
      <c r="AO77" s="330"/>
      <c r="AP77" s="330"/>
      <c r="AQ77" s="330"/>
      <c r="AR77" s="330"/>
      <c r="AS77" s="330"/>
      <c r="AT77" s="330"/>
      <c r="AU77" s="330"/>
      <c r="AV77" s="330"/>
      <c r="AW77" s="330"/>
      <c r="AX77" s="330"/>
      <c r="AY77" s="330"/>
      <c r="AZ77" s="330"/>
      <c r="BA77" s="330"/>
      <c r="BB77" s="330"/>
      <c r="BC77" s="330"/>
      <c r="BD77" s="330"/>
      <c r="BE77" s="330"/>
      <c r="BF77" s="330"/>
      <c r="BG77" s="330"/>
      <c r="BH77" s="330"/>
      <c r="BI77" s="330"/>
      <c r="BJ77" s="330"/>
      <c r="BK77" s="330"/>
      <c r="BL77" s="330"/>
      <c r="BM77" s="330"/>
      <c r="BN77" s="330"/>
      <c r="BO77" s="330"/>
      <c r="BP77" s="330"/>
      <c r="BQ77" s="330"/>
      <c r="BR77" s="330"/>
      <c r="BS77" s="330"/>
      <c r="BT77" s="330"/>
      <c r="BU77" s="330"/>
      <c r="BV77" s="330"/>
      <c r="BW77" s="330"/>
      <c r="BX77" s="330"/>
      <c r="BY77" s="330"/>
      <c r="BZ77" s="330"/>
      <c r="CA77" s="330"/>
      <c r="CB77" s="330"/>
      <c r="CC77" s="330"/>
      <c r="CD77" s="330"/>
      <c r="CE77" s="330"/>
      <c r="CF77" s="330"/>
      <c r="CG77" s="330"/>
      <c r="CH77" s="330"/>
      <c r="CI77" s="330"/>
    </row>
    <row r="78" spans="1:87" x14ac:dyDescent="0.25">
      <c r="A78" s="313"/>
      <c r="B78" s="295"/>
      <c r="C78" s="311" t="s">
        <v>74</v>
      </c>
      <c r="D78" s="108">
        <f t="shared" ref="D78:L78" si="39">SUM(D71:D77)</f>
        <v>95261.17</v>
      </c>
      <c r="E78" s="108">
        <f t="shared" si="39"/>
        <v>90670.799999999988</v>
      </c>
      <c r="F78" s="108">
        <f t="shared" si="39"/>
        <v>107457.21</v>
      </c>
      <c r="G78" s="108">
        <f t="shared" si="39"/>
        <v>90062.16</v>
      </c>
      <c r="H78" s="108">
        <f t="shared" si="39"/>
        <v>70859.23</v>
      </c>
      <c r="I78" s="108">
        <f t="shared" si="39"/>
        <v>56359.799999999988</v>
      </c>
      <c r="J78" s="108">
        <f t="shared" si="39"/>
        <v>54339.920000000013</v>
      </c>
      <c r="K78" s="108">
        <f t="shared" si="39"/>
        <v>52387.76999999999</v>
      </c>
      <c r="L78" s="108">
        <f t="shared" si="39"/>
        <v>51724.650000000009</v>
      </c>
      <c r="M78" s="187">
        <f>SUM(M71:M77)</f>
        <v>5341.4000000000015</v>
      </c>
      <c r="N78" s="304"/>
      <c r="O78" s="397">
        <f>SUM(O71:O77)</f>
        <v>10385.679999999998</v>
      </c>
      <c r="P78" s="188">
        <f>SUM(P71:P77)</f>
        <v>13435.66</v>
      </c>
      <c r="R78" s="358"/>
      <c r="S78" s="334"/>
      <c r="T78" s="337"/>
      <c r="U78" s="337"/>
      <c r="V78" s="330"/>
      <c r="W78" s="330"/>
      <c r="X78" s="330"/>
      <c r="Y78" s="330"/>
      <c r="Z78" s="330"/>
      <c r="AA78" s="330"/>
      <c r="AB78" s="330"/>
      <c r="AC78" s="330"/>
      <c r="AD78" s="330"/>
      <c r="AE78" s="330"/>
      <c r="AF78" s="330"/>
      <c r="AG78" s="330"/>
      <c r="AH78" s="330"/>
      <c r="AI78" s="330"/>
      <c r="AJ78" s="330"/>
      <c r="AK78" s="330"/>
      <c r="AL78" s="330"/>
      <c r="AM78" s="330"/>
      <c r="AN78" s="330"/>
      <c r="AO78" s="330"/>
      <c r="AP78" s="330"/>
      <c r="AQ78" s="330"/>
      <c r="AR78" s="330"/>
      <c r="AS78" s="330"/>
      <c r="AT78" s="330"/>
      <c r="AU78" s="330"/>
      <c r="AV78" s="330"/>
      <c r="AW78" s="330"/>
      <c r="AX78" s="330"/>
      <c r="AY78" s="330"/>
      <c r="AZ78" s="330"/>
      <c r="BA78" s="330"/>
      <c r="BB78" s="330"/>
      <c r="BC78" s="330"/>
      <c r="BD78" s="330"/>
      <c r="BE78" s="330"/>
      <c r="BF78" s="330"/>
      <c r="BG78" s="330"/>
      <c r="BH78" s="330"/>
      <c r="BI78" s="330"/>
      <c r="BJ78" s="330"/>
      <c r="BK78" s="330"/>
      <c r="BL78" s="330"/>
      <c r="BM78" s="330"/>
      <c r="BN78" s="330"/>
      <c r="BO78" s="330"/>
      <c r="BP78" s="330"/>
      <c r="BQ78" s="330"/>
      <c r="BR78" s="330"/>
      <c r="BS78" s="330"/>
      <c r="BT78" s="330"/>
      <c r="BU78" s="330"/>
      <c r="BV78" s="330"/>
      <c r="BW78" s="330"/>
      <c r="BX78" s="330"/>
      <c r="BY78" s="330"/>
      <c r="BZ78" s="330"/>
      <c r="CA78" s="330"/>
      <c r="CB78" s="330"/>
      <c r="CC78" s="330"/>
      <c r="CD78" s="330"/>
      <c r="CE78" s="330"/>
      <c r="CF78" s="330"/>
      <c r="CG78" s="330"/>
      <c r="CH78" s="330"/>
      <c r="CI78" s="330"/>
    </row>
    <row r="79" spans="1:87" x14ac:dyDescent="0.25">
      <c r="A79" s="313"/>
      <c r="B79" s="295"/>
      <c r="C79" s="436" t="s">
        <v>73</v>
      </c>
      <c r="D79" s="309">
        <f>ROUND(-'Authorized Margins 2019'!J16*'WACAP 2020'!D70,2)</f>
        <v>-14788.62</v>
      </c>
      <c r="E79" s="88">
        <f>ROUND(-'Authorized Margins 2019'!K16*'WACAP 2020'!E70,2)</f>
        <v>-11921.7</v>
      </c>
      <c r="F79" s="421">
        <f>ROUND(-'Authorized Margins 2020'!F13*'WACAP 2020'!F70,2)</f>
        <v>-19240.830000000002</v>
      </c>
      <c r="G79" s="88">
        <f>ROUND(-'Authorized Margins 2020'!G13*'WACAP 2020'!G70,2)</f>
        <v>-16197.86</v>
      </c>
      <c r="H79" s="88">
        <f>ROUND(-'Authorized Margins 2020'!H13*'WACAP 2020'!H70,2)</f>
        <v>-12362.7</v>
      </c>
      <c r="I79" s="88">
        <f>ROUND(-'Authorized Margins 2020'!I13*'WACAP 2020'!I70,2)</f>
        <v>-8821.5400000000009</v>
      </c>
      <c r="J79" s="88">
        <f>ROUND(-'Authorized Margins 2020'!J13*'WACAP 2020'!J70,2)</f>
        <v>-7642.95</v>
      </c>
      <c r="K79" s="88">
        <f>ROUND(-'Authorized Margins 2020'!K13*'WACAP 2020'!K70,2)</f>
        <v>-7723.03</v>
      </c>
      <c r="L79" s="88">
        <f>ROUND(-'Authorized Margins 2020'!L13*'WACAP 2020'!L70,2)</f>
        <v>-7279.3</v>
      </c>
      <c r="M79" s="189">
        <f>ROUND(-'Authorized Margins 2020'!M13*'WACAP 2020'!M70,2)</f>
        <v>-3512.24</v>
      </c>
      <c r="N79" s="209"/>
      <c r="O79" s="189">
        <f>ROUND(-'Authorized Margins 2020'!O13*'WACAP 2020'!O70,2)</f>
        <v>-3236.1</v>
      </c>
      <c r="P79" s="190">
        <f>ROUND(-'Authorized Margins 2020'!P13*'WACAP 2020'!P70,2)</f>
        <v>-3595.54</v>
      </c>
      <c r="Q79" s="324"/>
      <c r="S79" s="334"/>
      <c r="T79" s="337"/>
      <c r="U79" s="337"/>
      <c r="V79" s="330"/>
      <c r="W79" s="330"/>
      <c r="X79" s="330"/>
      <c r="Y79" s="330"/>
      <c r="Z79" s="330"/>
      <c r="AA79" s="330"/>
      <c r="AB79" s="330"/>
      <c r="AC79" s="330"/>
      <c r="AD79" s="330"/>
      <c r="AE79" s="330"/>
      <c r="AF79" s="330"/>
      <c r="AG79" s="330"/>
      <c r="AH79" s="330"/>
      <c r="AI79" s="330"/>
      <c r="AJ79" s="330"/>
      <c r="AK79" s="330"/>
      <c r="AL79" s="330"/>
      <c r="AM79" s="330"/>
      <c r="AN79" s="330"/>
      <c r="AO79" s="330"/>
      <c r="AP79" s="330"/>
      <c r="AQ79" s="330"/>
      <c r="AR79" s="330"/>
      <c r="AS79" s="330"/>
      <c r="AT79" s="330"/>
      <c r="AU79" s="330"/>
      <c r="AV79" s="330"/>
      <c r="AW79" s="330"/>
      <c r="AX79" s="330"/>
      <c r="AY79" s="330"/>
      <c r="AZ79" s="330"/>
      <c r="BA79" s="330"/>
      <c r="BB79" s="330"/>
      <c r="BC79" s="330"/>
      <c r="BD79" s="330"/>
      <c r="BE79" s="330"/>
      <c r="BF79" s="330"/>
      <c r="BG79" s="330"/>
      <c r="BH79" s="330"/>
      <c r="BI79" s="330"/>
      <c r="BJ79" s="330"/>
      <c r="BK79" s="330"/>
      <c r="BL79" s="330"/>
      <c r="BM79" s="330"/>
      <c r="BN79" s="330"/>
      <c r="BO79" s="330"/>
      <c r="BP79" s="330"/>
      <c r="BQ79" s="330"/>
      <c r="BR79" s="330"/>
      <c r="BS79" s="330"/>
      <c r="BT79" s="330"/>
      <c r="BU79" s="330"/>
      <c r="BV79" s="330"/>
      <c r="BW79" s="330"/>
      <c r="BX79" s="330"/>
      <c r="BY79" s="330"/>
      <c r="BZ79" s="330"/>
      <c r="CA79" s="330"/>
      <c r="CB79" s="330"/>
      <c r="CC79" s="330"/>
      <c r="CD79" s="330"/>
      <c r="CE79" s="330"/>
      <c r="CF79" s="330"/>
      <c r="CG79" s="330"/>
      <c r="CH79" s="330"/>
      <c r="CI79" s="330"/>
    </row>
    <row r="80" spans="1:87" x14ac:dyDescent="0.25">
      <c r="A80" s="313"/>
      <c r="B80" s="295"/>
      <c r="C80" s="364" t="s">
        <v>201</v>
      </c>
      <c r="D80" s="90">
        <f t="shared" ref="D80:M80" si="40">SUM(D78:D79)</f>
        <v>80472.55</v>
      </c>
      <c r="E80" s="187">
        <f t="shared" si="40"/>
        <v>78749.099999999991</v>
      </c>
      <c r="F80" s="187">
        <f t="shared" si="40"/>
        <v>88216.38</v>
      </c>
      <c r="G80" s="90">
        <f t="shared" si="40"/>
        <v>73864.3</v>
      </c>
      <c r="H80" s="90">
        <f t="shared" si="40"/>
        <v>58496.53</v>
      </c>
      <c r="I80" s="90">
        <f t="shared" si="40"/>
        <v>47538.259999999987</v>
      </c>
      <c r="J80" s="90">
        <f t="shared" si="40"/>
        <v>46696.970000000016</v>
      </c>
      <c r="K80" s="90">
        <f t="shared" si="40"/>
        <v>44664.739999999991</v>
      </c>
      <c r="L80" s="90">
        <f t="shared" si="40"/>
        <v>44445.350000000006</v>
      </c>
      <c r="M80" s="187">
        <f t="shared" si="40"/>
        <v>1829.1600000000017</v>
      </c>
      <c r="N80" s="302">
        <f>-'WACAP 2019'!R92</f>
        <v>-231584.88</v>
      </c>
      <c r="O80" s="187">
        <f t="shared" ref="O80:P80" si="41">SUM(O78:O79)</f>
        <v>7149.5799999999981</v>
      </c>
      <c r="P80" s="188">
        <f t="shared" si="41"/>
        <v>9840.119999999999</v>
      </c>
      <c r="Q80" s="374">
        <f>SUM(D80:P80)-N80</f>
        <v>581963.04</v>
      </c>
      <c r="S80" s="334"/>
      <c r="T80" s="337"/>
      <c r="U80" s="337"/>
      <c r="V80" s="330"/>
      <c r="W80" s="330"/>
      <c r="X80" s="330"/>
      <c r="Y80" s="330"/>
      <c r="Z80" s="330"/>
      <c r="AA80" s="330"/>
      <c r="AB80" s="330"/>
      <c r="AC80" s="330"/>
      <c r="AD80" s="330"/>
      <c r="AE80" s="330"/>
      <c r="AF80" s="330"/>
      <c r="AG80" s="330"/>
      <c r="AH80" s="330"/>
      <c r="AI80" s="330"/>
      <c r="AJ80" s="330"/>
      <c r="AK80" s="330"/>
      <c r="AL80" s="330"/>
      <c r="AM80" s="330"/>
      <c r="AN80" s="330"/>
      <c r="AO80" s="330"/>
      <c r="AP80" s="330"/>
      <c r="AQ80" s="330"/>
      <c r="AR80" s="330"/>
      <c r="AS80" s="330"/>
      <c r="AT80" s="330"/>
      <c r="AU80" s="330"/>
      <c r="AV80" s="330"/>
      <c r="AW80" s="330"/>
      <c r="AX80" s="330"/>
      <c r="AY80" s="330"/>
      <c r="AZ80" s="330"/>
      <c r="BA80" s="330"/>
      <c r="BB80" s="330"/>
      <c r="BC80" s="330"/>
      <c r="BD80" s="330"/>
      <c r="BE80" s="330"/>
      <c r="BF80" s="330"/>
      <c r="BG80" s="330"/>
      <c r="BH80" s="330"/>
      <c r="BI80" s="330"/>
      <c r="BJ80" s="330"/>
      <c r="BK80" s="330"/>
      <c r="BL80" s="330"/>
      <c r="BM80" s="330"/>
      <c r="BN80" s="330"/>
      <c r="BO80" s="330"/>
      <c r="BP80" s="330"/>
      <c r="BQ80" s="330"/>
      <c r="BR80" s="330"/>
      <c r="BS80" s="330"/>
      <c r="BT80" s="330"/>
      <c r="BU80" s="330"/>
      <c r="BV80" s="330"/>
      <c r="BW80" s="330"/>
      <c r="BX80" s="330"/>
      <c r="BY80" s="330"/>
      <c r="BZ80" s="330"/>
      <c r="CA80" s="330"/>
      <c r="CB80" s="330"/>
      <c r="CC80" s="330"/>
      <c r="CD80" s="330"/>
      <c r="CE80" s="330"/>
      <c r="CF80" s="330"/>
      <c r="CG80" s="330"/>
      <c r="CH80" s="330"/>
      <c r="CI80" s="330"/>
    </row>
    <row r="81" spans="1:87" x14ac:dyDescent="0.25">
      <c r="A81" s="313"/>
      <c r="B81" s="295"/>
      <c r="C81" s="436" t="s">
        <v>137</v>
      </c>
      <c r="D81" s="308">
        <f>ROUND(ROUND('WACAP 2019'!P93*D$6,2)/365*D$7,2)</f>
        <v>975.58</v>
      </c>
      <c r="E81" s="187">
        <f>ROUND(ROUND(D83*E$6,2)/365*E$7,2)</f>
        <v>1233.6099999999999</v>
      </c>
      <c r="F81" s="187">
        <f t="shared" ref="F81:M81" si="42">ROUND(ROUND(E83*F$6,2)/365*F$7,2)</f>
        <v>1655.62</v>
      </c>
      <c r="G81" s="187">
        <f t="shared" si="42"/>
        <v>1885.25</v>
      </c>
      <c r="H81" s="187">
        <f t="shared" si="42"/>
        <v>2253.6799999999998</v>
      </c>
      <c r="I81" s="187">
        <f t="shared" si="42"/>
        <v>2418.16</v>
      </c>
      <c r="J81" s="187">
        <f t="shared" si="42"/>
        <v>1949.9</v>
      </c>
      <c r="K81" s="187">
        <f t="shared" si="42"/>
        <v>2091.62</v>
      </c>
      <c r="L81" s="187">
        <f t="shared" si="42"/>
        <v>2155.96</v>
      </c>
      <c r="M81" s="187">
        <f t="shared" si="42"/>
        <v>2239.54</v>
      </c>
      <c r="N81" s="231">
        <f>'Ammort Split 2020'!N91</f>
        <v>-8380.76</v>
      </c>
      <c r="O81" s="187">
        <f>ROUND(ROUND(N83*O$6,2)/365*O$7,2)</f>
        <v>1537.16</v>
      </c>
      <c r="P81" s="188">
        <f>ROUND(ROUND(O83*P$6,2)/365*P$7,2)</f>
        <v>1612.38</v>
      </c>
      <c r="Q81" s="388">
        <f>SUM(D81:P81)</f>
        <v>13627.699999999997</v>
      </c>
      <c r="S81" s="334"/>
      <c r="T81" s="337"/>
      <c r="U81" s="337"/>
      <c r="V81" s="330"/>
      <c r="W81" s="330"/>
      <c r="X81" s="330"/>
      <c r="Y81" s="330"/>
      <c r="Z81" s="330"/>
      <c r="AA81" s="330"/>
      <c r="AB81" s="330"/>
      <c r="AC81" s="330"/>
      <c r="AD81" s="330"/>
      <c r="AE81" s="330"/>
      <c r="AF81" s="330"/>
      <c r="AH81" s="330"/>
      <c r="AI81" s="330"/>
      <c r="AJ81" s="330"/>
      <c r="AK81" s="330"/>
      <c r="AL81" s="330"/>
      <c r="AM81" s="330"/>
      <c r="AN81" s="330"/>
      <c r="AO81" s="330"/>
      <c r="AP81" s="330"/>
      <c r="AQ81" s="330"/>
      <c r="AR81" s="330"/>
      <c r="AS81" s="330"/>
      <c r="AT81" s="330"/>
      <c r="AU81" s="330"/>
      <c r="AV81" s="330"/>
      <c r="AW81" s="330"/>
      <c r="AX81" s="330"/>
      <c r="AY81" s="330"/>
      <c r="AZ81" s="330"/>
      <c r="BA81" s="330"/>
      <c r="BB81" s="330"/>
      <c r="BC81" s="330"/>
      <c r="BD81" s="330"/>
      <c r="BE81" s="330"/>
      <c r="BF81" s="330"/>
      <c r="BG81" s="330"/>
      <c r="BH81" s="330"/>
      <c r="BI81" s="330"/>
      <c r="BJ81" s="330"/>
      <c r="BK81" s="330"/>
      <c r="BL81" s="330"/>
      <c r="BM81" s="330"/>
      <c r="BN81" s="330"/>
      <c r="BO81" s="330"/>
      <c r="BP81" s="330"/>
      <c r="BQ81" s="330"/>
      <c r="BR81" s="330"/>
      <c r="BS81" s="330"/>
      <c r="BT81" s="330"/>
      <c r="BU81" s="330"/>
      <c r="BV81" s="330"/>
      <c r="BW81" s="330"/>
      <c r="BX81" s="330"/>
      <c r="BY81" s="330"/>
      <c r="BZ81" s="330"/>
      <c r="CA81" s="330"/>
      <c r="CB81" s="330"/>
      <c r="CC81" s="330"/>
      <c r="CD81" s="330"/>
      <c r="CE81" s="330"/>
      <c r="CF81" s="330"/>
      <c r="CG81" s="330"/>
      <c r="CH81" s="330"/>
      <c r="CI81" s="330"/>
    </row>
    <row r="82" spans="1:87" x14ac:dyDescent="0.25">
      <c r="A82" s="313"/>
      <c r="B82" s="295"/>
      <c r="C82" s="364" t="s">
        <v>138</v>
      </c>
      <c r="D82" s="189">
        <f t="shared" ref="D82:P82" si="43">SUM(D80:D81)</f>
        <v>81448.13</v>
      </c>
      <c r="E82" s="189">
        <f t="shared" si="43"/>
        <v>79982.709999999992</v>
      </c>
      <c r="F82" s="189">
        <f t="shared" si="43"/>
        <v>89872</v>
      </c>
      <c r="G82" s="189">
        <f t="shared" si="43"/>
        <v>75749.55</v>
      </c>
      <c r="H82" s="189">
        <f t="shared" si="43"/>
        <v>60750.21</v>
      </c>
      <c r="I82" s="189">
        <f t="shared" si="43"/>
        <v>49956.419999999984</v>
      </c>
      <c r="J82" s="189">
        <f t="shared" si="43"/>
        <v>48646.870000000017</v>
      </c>
      <c r="K82" s="189">
        <f t="shared" si="43"/>
        <v>46756.359999999993</v>
      </c>
      <c r="L82" s="189">
        <f t="shared" si="43"/>
        <v>46601.310000000005</v>
      </c>
      <c r="M82" s="189">
        <f t="shared" si="43"/>
        <v>4068.7000000000016</v>
      </c>
      <c r="N82" s="209">
        <f t="shared" si="43"/>
        <v>-239965.64</v>
      </c>
      <c r="O82" s="189">
        <f t="shared" si="43"/>
        <v>8686.739999999998</v>
      </c>
      <c r="P82" s="190">
        <f t="shared" si="43"/>
        <v>11452.5</v>
      </c>
      <c r="Q82" s="389">
        <f>SUM(Q80:Q81)</f>
        <v>595590.74</v>
      </c>
      <c r="S82" s="334"/>
      <c r="T82" s="337"/>
      <c r="U82" s="337"/>
      <c r="V82" s="330"/>
      <c r="W82" s="330"/>
      <c r="X82" s="330"/>
      <c r="Y82" s="330"/>
      <c r="Z82" s="330"/>
      <c r="AA82" s="330"/>
      <c r="AB82" s="330"/>
      <c r="AC82" s="330"/>
      <c r="AD82" s="330"/>
      <c r="AE82" s="330"/>
      <c r="AF82" s="330"/>
      <c r="AH82" s="330"/>
      <c r="AI82" s="330"/>
      <c r="AJ82" s="330"/>
      <c r="AK82" s="330"/>
      <c r="AL82" s="330"/>
      <c r="AM82" s="330"/>
      <c r="AN82" s="330"/>
      <c r="AO82" s="330"/>
      <c r="AP82" s="330"/>
      <c r="AQ82" s="330"/>
      <c r="AR82" s="330"/>
      <c r="AS82" s="330"/>
      <c r="AT82" s="330"/>
      <c r="AU82" s="330"/>
      <c r="AV82" s="330"/>
      <c r="AW82" s="330"/>
      <c r="AX82" s="330"/>
      <c r="AY82" s="330"/>
      <c r="AZ82" s="330"/>
      <c r="BA82" s="330"/>
      <c r="BB82" s="330"/>
      <c r="BC82" s="330"/>
      <c r="BD82" s="330"/>
      <c r="BE82" s="330"/>
      <c r="BF82" s="330"/>
      <c r="BG82" s="330"/>
      <c r="BH82" s="330"/>
      <c r="BI82" s="330"/>
      <c r="BJ82" s="330"/>
      <c r="BK82" s="330"/>
      <c r="BL82" s="330"/>
      <c r="BM82" s="330"/>
      <c r="BN82" s="330"/>
      <c r="BO82" s="330"/>
      <c r="BP82" s="330"/>
      <c r="BQ82" s="330"/>
      <c r="BR82" s="330"/>
      <c r="BS82" s="330"/>
      <c r="BT82" s="330"/>
      <c r="BU82" s="330"/>
      <c r="BV82" s="330"/>
      <c r="BW82" s="330"/>
      <c r="BX82" s="330"/>
      <c r="BY82" s="330"/>
      <c r="BZ82" s="330"/>
      <c r="CA82" s="330"/>
      <c r="CB82" s="330"/>
      <c r="CC82" s="330"/>
      <c r="CD82" s="330"/>
      <c r="CE82" s="330"/>
      <c r="CF82" s="330"/>
      <c r="CG82" s="330"/>
      <c r="CH82" s="330"/>
      <c r="CI82" s="330"/>
    </row>
    <row r="83" spans="1:87" x14ac:dyDescent="0.25">
      <c r="A83" s="313"/>
      <c r="B83" s="295"/>
      <c r="C83" s="436" t="s">
        <v>139</v>
      </c>
      <c r="D83" s="308">
        <f>'WACAP 2019'!P93+'WACAP 2020'!D82</f>
        <v>313033.01</v>
      </c>
      <c r="E83" s="187">
        <f>D83+E82</f>
        <v>393015.72</v>
      </c>
      <c r="F83" s="187">
        <f t="shared" ref="F83:P83" si="44">E83+F82</f>
        <v>482887.72</v>
      </c>
      <c r="G83" s="187">
        <f t="shared" si="44"/>
        <v>558637.27</v>
      </c>
      <c r="H83" s="187">
        <f t="shared" si="44"/>
        <v>619387.48</v>
      </c>
      <c r="I83" s="187">
        <f t="shared" si="44"/>
        <v>669343.89999999991</v>
      </c>
      <c r="J83" s="187">
        <f t="shared" si="44"/>
        <v>717990.7699999999</v>
      </c>
      <c r="K83" s="187">
        <f t="shared" si="44"/>
        <v>764747.12999999989</v>
      </c>
      <c r="L83" s="187">
        <f t="shared" si="44"/>
        <v>811348.44</v>
      </c>
      <c r="M83" s="187">
        <f t="shared" si="44"/>
        <v>815417.1399999999</v>
      </c>
      <c r="N83" s="208">
        <f t="shared" si="44"/>
        <v>575451.49999999988</v>
      </c>
      <c r="O83" s="187">
        <f t="shared" si="44"/>
        <v>584138.23999999987</v>
      </c>
      <c r="P83" s="301">
        <f t="shared" si="44"/>
        <v>595590.73999999987</v>
      </c>
      <c r="Q83" s="324"/>
      <c r="S83" s="334"/>
      <c r="T83" s="337"/>
      <c r="U83" s="337">
        <f>ROUND(T87/Y87,0)</f>
        <v>979891</v>
      </c>
      <c r="V83" s="330"/>
      <c r="W83" s="330"/>
      <c r="X83" s="330"/>
      <c r="Y83" s="330"/>
      <c r="Z83" s="330"/>
      <c r="AA83" s="330"/>
      <c r="AB83" s="330"/>
      <c r="AC83" s="330"/>
      <c r="AD83" s="330"/>
      <c r="AE83" s="330"/>
      <c r="AF83" s="330"/>
      <c r="AG83" s="330"/>
      <c r="AH83" s="330"/>
      <c r="AI83" s="330"/>
      <c r="AJ83" s="330"/>
      <c r="AK83" s="330"/>
      <c r="AL83" s="330"/>
      <c r="AM83" s="330"/>
      <c r="AN83" s="330"/>
      <c r="AO83" s="330"/>
      <c r="AP83" s="330"/>
      <c r="AQ83" s="330"/>
      <c r="AR83" s="330"/>
      <c r="AS83" s="330"/>
      <c r="AT83" s="330"/>
      <c r="AU83" s="330"/>
      <c r="AV83" s="330"/>
      <c r="AW83" s="330"/>
      <c r="AX83" s="330"/>
      <c r="AY83" s="330"/>
      <c r="AZ83" s="330"/>
      <c r="BA83" s="330"/>
      <c r="BB83" s="330"/>
      <c r="BC83" s="330"/>
      <c r="BD83" s="330"/>
      <c r="BE83" s="330"/>
      <c r="BF83" s="330"/>
      <c r="BG83" s="330"/>
      <c r="BH83" s="330"/>
      <c r="BI83" s="330"/>
      <c r="BJ83" s="330"/>
      <c r="BK83" s="330"/>
      <c r="BL83" s="330"/>
      <c r="BM83" s="330"/>
      <c r="BN83" s="330"/>
      <c r="BO83" s="330"/>
      <c r="BP83" s="330"/>
      <c r="BQ83" s="330"/>
      <c r="BR83" s="330"/>
      <c r="BS83" s="330"/>
      <c r="BT83" s="330"/>
      <c r="BU83" s="330"/>
      <c r="BV83" s="330"/>
      <c r="BW83" s="330"/>
      <c r="BX83" s="330"/>
      <c r="BY83" s="330"/>
      <c r="BZ83" s="330"/>
      <c r="CA83" s="330"/>
      <c r="CB83" s="330"/>
      <c r="CC83" s="330"/>
      <c r="CD83" s="330"/>
      <c r="CE83" s="330"/>
      <c r="CF83" s="330"/>
      <c r="CG83" s="330"/>
      <c r="CH83" s="330"/>
      <c r="CI83" s="330"/>
    </row>
    <row r="84" spans="1:87" x14ac:dyDescent="0.25">
      <c r="A84" s="313"/>
      <c r="B84" s="295"/>
      <c r="C84" s="315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204"/>
      <c r="O84" s="90"/>
      <c r="P84" s="111"/>
      <c r="Q84" s="324"/>
      <c r="S84" s="334"/>
      <c r="T84" s="337"/>
      <c r="U84" s="337">
        <f>ROUND(T88/Y88,0)</f>
        <v>384282</v>
      </c>
      <c r="V84" s="330"/>
      <c r="W84" s="330"/>
      <c r="X84" s="330"/>
      <c r="Y84" s="330"/>
      <c r="Z84" s="330"/>
      <c r="AA84" s="330"/>
      <c r="AB84" s="330"/>
      <c r="AC84" s="330"/>
      <c r="AD84" s="330"/>
      <c r="AE84" s="330"/>
      <c r="AF84" s="330"/>
      <c r="AG84" s="330"/>
      <c r="AH84" s="330"/>
      <c r="AI84" s="330"/>
      <c r="AJ84" s="330"/>
      <c r="AK84" s="330"/>
      <c r="AL84" s="330"/>
      <c r="AM84" s="330"/>
      <c r="AN84" s="330"/>
      <c r="AO84" s="330"/>
      <c r="AP84" s="330"/>
      <c r="AQ84" s="330"/>
      <c r="AR84" s="330"/>
      <c r="AS84" s="330"/>
      <c r="AT84" s="330"/>
      <c r="AU84" s="330"/>
      <c r="AV84" s="330"/>
      <c r="AW84" s="330"/>
      <c r="AX84" s="330"/>
      <c r="AY84" s="330"/>
      <c r="AZ84" s="330"/>
      <c r="BA84" s="330"/>
      <c r="BB84" s="330"/>
      <c r="BC84" s="330"/>
      <c r="BD84" s="330"/>
      <c r="BE84" s="330"/>
      <c r="BF84" s="330"/>
      <c r="BG84" s="330"/>
      <c r="BH84" s="330"/>
      <c r="BI84" s="330"/>
      <c r="BJ84" s="330"/>
      <c r="BK84" s="330"/>
      <c r="BL84" s="330"/>
      <c r="BM84" s="330"/>
      <c r="BN84" s="330"/>
      <c r="BO84" s="330"/>
      <c r="BP84" s="330"/>
      <c r="BQ84" s="330"/>
      <c r="BR84" s="330"/>
      <c r="BS84" s="330"/>
      <c r="BT84" s="330"/>
      <c r="BU84" s="330"/>
      <c r="BV84" s="330"/>
      <c r="BW84" s="330"/>
      <c r="BX84" s="330"/>
      <c r="BY84" s="330"/>
      <c r="BZ84" s="330"/>
      <c r="CA84" s="330"/>
      <c r="CB84" s="330"/>
      <c r="CC84" s="330"/>
      <c r="CD84" s="330"/>
      <c r="CE84" s="330"/>
      <c r="CF84" s="330"/>
      <c r="CG84" s="330"/>
      <c r="CH84" s="330"/>
      <c r="CI84" s="330"/>
    </row>
    <row r="85" spans="1:87" x14ac:dyDescent="0.25">
      <c r="A85" s="313"/>
      <c r="B85" t="s">
        <v>86</v>
      </c>
      <c r="C85" s="312" t="s">
        <v>193</v>
      </c>
      <c r="D85" s="113"/>
      <c r="E85" s="113"/>
      <c r="F85" s="108"/>
      <c r="G85" s="113"/>
      <c r="H85" s="113"/>
      <c r="I85" s="113"/>
      <c r="J85" s="113"/>
      <c r="K85" s="113"/>
      <c r="L85" s="113"/>
      <c r="M85" s="113"/>
      <c r="N85" s="204"/>
      <c r="O85" s="113"/>
      <c r="P85" s="115"/>
      <c r="Q85" s="324"/>
      <c r="S85" s="330"/>
      <c r="T85" s="337"/>
      <c r="U85" s="337">
        <f>ROUND(T89/Y89,0)</f>
        <v>250551</v>
      </c>
      <c r="V85" s="337">
        <f>SUM(U64:U85)</f>
        <v>1614724</v>
      </c>
      <c r="W85" s="330"/>
      <c r="X85" s="330"/>
      <c r="Y85" s="330"/>
      <c r="Z85" s="330"/>
      <c r="AA85" s="330"/>
      <c r="AB85" s="330"/>
      <c r="AC85" s="330"/>
      <c r="AD85" s="330"/>
      <c r="AE85" s="330"/>
      <c r="AF85" s="330"/>
      <c r="AG85" s="330"/>
      <c r="AH85" s="330"/>
      <c r="AI85" s="330"/>
      <c r="AJ85" s="330"/>
      <c r="AK85" s="330"/>
      <c r="AL85" s="330"/>
      <c r="AM85" s="330"/>
      <c r="AN85" s="330"/>
      <c r="AO85" s="330"/>
      <c r="AP85" s="330"/>
      <c r="AQ85" s="330"/>
      <c r="AR85" s="330"/>
      <c r="AS85" s="330"/>
      <c r="AT85" s="330"/>
      <c r="AU85" s="330"/>
      <c r="AV85" s="330"/>
      <c r="AW85" s="330"/>
      <c r="AX85" s="330"/>
      <c r="AY85" s="330"/>
      <c r="AZ85" s="330"/>
      <c r="BA85" s="330"/>
      <c r="BB85" s="330"/>
      <c r="BC85" s="330"/>
      <c r="BD85" s="330"/>
      <c r="BE85" s="330"/>
      <c r="BF85" s="330"/>
      <c r="BG85" s="330"/>
      <c r="BH85" s="330"/>
      <c r="BI85" s="330"/>
      <c r="BJ85" s="330"/>
      <c r="BK85" s="330"/>
      <c r="BL85" s="330"/>
      <c r="BM85" s="330"/>
      <c r="BN85" s="330"/>
      <c r="BO85" s="330"/>
      <c r="BP85" s="330"/>
      <c r="BQ85" s="330"/>
      <c r="BR85" s="330"/>
      <c r="BS85" s="330"/>
      <c r="BT85" s="330"/>
      <c r="BU85" s="330"/>
      <c r="BV85" s="330"/>
      <c r="BW85" s="330"/>
      <c r="BX85" s="330"/>
      <c r="BY85" s="330"/>
      <c r="BZ85" s="330"/>
      <c r="CA85" s="330"/>
      <c r="CB85" s="330"/>
      <c r="CC85" s="330"/>
      <c r="CD85" s="330"/>
      <c r="CE85" s="330"/>
      <c r="CF85" s="330"/>
      <c r="CG85" s="330"/>
      <c r="CH85" s="330"/>
      <c r="CI85" s="330"/>
    </row>
    <row r="86" spans="1:87" ht="15.75" x14ac:dyDescent="0.25">
      <c r="A86" s="313"/>
      <c r="B86" s="295" t="s">
        <v>64</v>
      </c>
      <c r="C86" s="313" t="s">
        <v>172</v>
      </c>
      <c r="D86" s="250">
        <v>76</v>
      </c>
      <c r="E86" s="250">
        <v>75</v>
      </c>
      <c r="F86" s="250">
        <v>75</v>
      </c>
      <c r="G86" s="250">
        <v>75</v>
      </c>
      <c r="H86" s="250">
        <v>75</v>
      </c>
      <c r="I86" s="250">
        <v>75</v>
      </c>
      <c r="J86" s="250">
        <v>75</v>
      </c>
      <c r="K86" s="250">
        <v>75</v>
      </c>
      <c r="L86" s="250">
        <v>75</v>
      </c>
      <c r="M86" s="250">
        <v>73</v>
      </c>
      <c r="N86" s="274"/>
      <c r="O86" s="250">
        <v>73</v>
      </c>
      <c r="P86" s="250">
        <v>73</v>
      </c>
      <c r="Q86" s="373"/>
      <c r="S86" s="432">
        <v>4810</v>
      </c>
      <c r="T86" s="430">
        <v>511</v>
      </c>
      <c r="U86" s="332">
        <v>1405863</v>
      </c>
      <c r="V86" s="330" t="s">
        <v>92</v>
      </c>
      <c r="W86" s="333"/>
      <c r="X86" s="330"/>
      <c r="Y86" s="425" t="s">
        <v>90</v>
      </c>
      <c r="Z86" s="330"/>
      <c r="AA86" s="330"/>
      <c r="AB86" s="330"/>
      <c r="AC86" s="330"/>
      <c r="AD86" s="330"/>
      <c r="AE86" s="330"/>
      <c r="AF86" s="330"/>
      <c r="AG86" s="330"/>
      <c r="AH86" s="330"/>
      <c r="AI86" s="330"/>
      <c r="AJ86" s="330"/>
      <c r="AK86" s="330"/>
      <c r="AL86" s="330"/>
      <c r="AM86" s="330"/>
      <c r="AN86" s="330"/>
      <c r="AO86" s="330"/>
      <c r="AP86" s="330"/>
      <c r="AQ86" s="330"/>
      <c r="AR86" s="330"/>
      <c r="AS86" s="330"/>
      <c r="AT86" s="330"/>
      <c r="AU86" s="330"/>
      <c r="AV86" s="330"/>
      <c r="AW86" s="330"/>
      <c r="AX86" s="330"/>
      <c r="AY86" s="330"/>
      <c r="AZ86" s="330"/>
      <c r="BA86" s="330"/>
      <c r="BB86" s="330"/>
      <c r="BC86" s="330"/>
      <c r="BD86" s="330"/>
      <c r="BE86" s="330"/>
      <c r="BF86" s="330"/>
      <c r="BG86" s="330"/>
      <c r="BH86" s="330"/>
      <c r="BI86" s="330"/>
      <c r="BJ86" s="330"/>
      <c r="BK86" s="330"/>
      <c r="BL86" s="330"/>
      <c r="BM86" s="330"/>
      <c r="BN86" s="330"/>
      <c r="BO86" s="330"/>
      <c r="BP86" s="330"/>
      <c r="BQ86" s="330"/>
      <c r="BR86" s="330"/>
      <c r="BS86" s="330"/>
      <c r="BT86" s="330"/>
      <c r="BU86" s="330"/>
      <c r="BV86" s="330"/>
      <c r="BW86" s="330"/>
      <c r="BX86" s="330"/>
      <c r="BY86" s="330"/>
      <c r="BZ86" s="330"/>
      <c r="CA86" s="330"/>
      <c r="CB86" s="330"/>
      <c r="CC86" s="330"/>
      <c r="CD86" s="330"/>
      <c r="CE86" s="330"/>
      <c r="CF86" s="330"/>
      <c r="CG86" s="330"/>
      <c r="CH86" s="330"/>
      <c r="CI86" s="330"/>
    </row>
    <row r="87" spans="1:87" ht="15.75" x14ac:dyDescent="0.25">
      <c r="A87" s="313"/>
      <c r="B87" s="295" t="s">
        <v>71</v>
      </c>
      <c r="C87" s="314" t="s">
        <v>175</v>
      </c>
      <c r="D87" s="251">
        <v>141553.95000000001</v>
      </c>
      <c r="E87" s="251">
        <v>124528.55</v>
      </c>
      <c r="F87" s="251">
        <v>133603.89000000001</v>
      </c>
      <c r="G87" s="251">
        <v>115184.13</v>
      </c>
      <c r="H87" s="251">
        <v>63743.48</v>
      </c>
      <c r="I87" s="251">
        <v>54814.76</v>
      </c>
      <c r="J87" s="251">
        <v>59524.27</v>
      </c>
      <c r="K87" s="251">
        <v>37275.69</v>
      </c>
      <c r="L87" s="251">
        <v>38459.160000000003</v>
      </c>
      <c r="M87" s="251">
        <v>52723.8</v>
      </c>
      <c r="N87" s="207"/>
      <c r="O87" s="251">
        <v>90356.07</v>
      </c>
      <c r="P87" s="287">
        <v>140418.32</v>
      </c>
      <c r="Q87" s="374"/>
      <c r="S87" s="334" t="s">
        <v>90</v>
      </c>
      <c r="T87" s="335">
        <v>140418.32</v>
      </c>
      <c r="U87" s="336">
        <f>T87/U83</f>
        <v>0.1432999384625433</v>
      </c>
      <c r="V87" s="330"/>
      <c r="W87" s="336">
        <f>T87/U83</f>
        <v>0.1432999384625433</v>
      </c>
      <c r="X87" s="330"/>
      <c r="Y87" s="338">
        <v>0.14330000000000001</v>
      </c>
      <c r="Z87" s="330"/>
      <c r="AA87" s="336">
        <f>Y87-W87</f>
        <v>6.1537456713667282E-8</v>
      </c>
      <c r="AB87" s="330"/>
      <c r="AC87" s="330"/>
      <c r="AD87" s="330"/>
      <c r="AE87" s="330"/>
      <c r="AF87" s="330"/>
      <c r="AG87" s="330"/>
      <c r="AH87" s="330"/>
      <c r="AI87" s="330"/>
      <c r="AJ87" s="330"/>
      <c r="AK87" s="330"/>
      <c r="AL87" s="330"/>
      <c r="AM87" s="330"/>
      <c r="AN87" s="330"/>
      <c r="AO87" s="330"/>
      <c r="AP87" s="330"/>
      <c r="AQ87" s="330"/>
      <c r="AR87" s="330"/>
      <c r="AS87" s="330"/>
      <c r="AT87" s="330"/>
      <c r="AU87" s="330"/>
      <c r="AV87" s="330"/>
      <c r="AW87" s="330"/>
      <c r="AX87" s="330"/>
      <c r="AY87" s="330"/>
      <c r="AZ87" s="330"/>
      <c r="BA87" s="330"/>
      <c r="BB87" s="330"/>
      <c r="BC87" s="330"/>
      <c r="BD87" s="330"/>
      <c r="BE87" s="330"/>
      <c r="BF87" s="330"/>
      <c r="BG87" s="330"/>
      <c r="BH87" s="330"/>
      <c r="BI87" s="330"/>
      <c r="BJ87" s="330"/>
      <c r="BK87" s="330"/>
      <c r="BL87" s="330"/>
      <c r="BM87" s="330"/>
      <c r="BN87" s="330"/>
      <c r="BO87" s="330"/>
      <c r="BP87" s="330"/>
      <c r="BQ87" s="330"/>
      <c r="BR87" s="330"/>
      <c r="BS87" s="330"/>
      <c r="BT87" s="330"/>
      <c r="BU87" s="330"/>
      <c r="BV87" s="330"/>
      <c r="BW87" s="330"/>
      <c r="BX87" s="330"/>
      <c r="BY87" s="330"/>
      <c r="BZ87" s="330"/>
      <c r="CA87" s="330"/>
      <c r="CB87" s="330"/>
      <c r="CC87" s="330"/>
      <c r="CD87" s="330"/>
      <c r="CE87" s="330"/>
      <c r="CF87" s="330"/>
      <c r="CG87" s="330"/>
      <c r="CH87" s="330"/>
      <c r="CI87" s="330"/>
    </row>
    <row r="88" spans="1:87" ht="15.75" x14ac:dyDescent="0.25">
      <c r="A88" s="313"/>
      <c r="B88" s="295" t="s">
        <v>71</v>
      </c>
      <c r="C88" s="314" t="s">
        <v>176</v>
      </c>
      <c r="D88" s="251">
        <v>44374.91</v>
      </c>
      <c r="E88" s="251">
        <v>31429.95</v>
      </c>
      <c r="F88" s="251">
        <v>39312.01</v>
      </c>
      <c r="G88" s="251">
        <v>26958.38</v>
      </c>
      <c r="H88" s="251">
        <v>15120.59</v>
      </c>
      <c r="I88" s="251">
        <v>18254.55</v>
      </c>
      <c r="J88" s="251">
        <v>21851.68</v>
      </c>
      <c r="K88" s="251">
        <v>12044.62</v>
      </c>
      <c r="L88" s="251">
        <v>10147.27</v>
      </c>
      <c r="M88" s="251">
        <v>18119.86</v>
      </c>
      <c r="N88" s="207"/>
      <c r="O88" s="251">
        <v>28883.7</v>
      </c>
      <c r="P88" s="287">
        <v>42209.48</v>
      </c>
      <c r="Q88" s="374"/>
      <c r="S88" s="334" t="s">
        <v>90</v>
      </c>
      <c r="T88" s="335">
        <v>42209.48</v>
      </c>
      <c r="U88" s="336">
        <f>T88/U84</f>
        <v>0.10983985718821075</v>
      </c>
      <c r="V88" s="330"/>
      <c r="W88" s="336">
        <f>T88/U84</f>
        <v>0.10983985718821075</v>
      </c>
      <c r="X88" s="330"/>
      <c r="Y88" s="330">
        <v>0.10983999999999999</v>
      </c>
      <c r="Z88" s="330"/>
      <c r="AA88" s="336">
        <f>Y88-W88</f>
        <v>1.4281178924158144E-7</v>
      </c>
      <c r="AB88" s="330"/>
      <c r="AC88" s="330"/>
      <c r="AD88" s="330"/>
      <c r="AE88" s="330"/>
      <c r="AF88" s="330"/>
      <c r="AG88" s="330"/>
      <c r="AH88" s="330"/>
      <c r="AI88" s="330"/>
      <c r="AJ88" s="330"/>
      <c r="AK88" s="330"/>
      <c r="AL88" s="330"/>
      <c r="AM88" s="330"/>
      <c r="AN88" s="330"/>
      <c r="AO88" s="330"/>
      <c r="AP88" s="330"/>
      <c r="AQ88" s="330"/>
      <c r="AR88" s="330"/>
      <c r="AS88" s="330"/>
      <c r="AT88" s="330"/>
      <c r="AU88" s="330"/>
      <c r="AV88" s="330"/>
      <c r="AW88" s="330"/>
      <c r="AX88" s="330"/>
      <c r="AY88" s="330"/>
      <c r="AZ88" s="330"/>
      <c r="BA88" s="330"/>
      <c r="BB88" s="330"/>
      <c r="BC88" s="330"/>
      <c r="BD88" s="330"/>
      <c r="BE88" s="330"/>
      <c r="BF88" s="330"/>
      <c r="BG88" s="330"/>
      <c r="BH88" s="330"/>
      <c r="BI88" s="330"/>
      <c r="BJ88" s="330"/>
      <c r="BK88" s="330"/>
      <c r="BL88" s="330"/>
      <c r="BM88" s="330"/>
      <c r="BN88" s="330"/>
      <c r="BO88" s="330"/>
      <c r="BP88" s="330"/>
      <c r="BQ88" s="330"/>
      <c r="BR88" s="330"/>
      <c r="BS88" s="330"/>
      <c r="BT88" s="330"/>
      <c r="BU88" s="330"/>
      <c r="BV88" s="330"/>
      <c r="BW88" s="330"/>
      <c r="BX88" s="330"/>
      <c r="BY88" s="330"/>
      <c r="BZ88" s="330"/>
      <c r="CA88" s="330"/>
      <c r="CB88" s="330"/>
      <c r="CC88" s="330"/>
      <c r="CD88" s="330"/>
      <c r="CE88" s="330"/>
      <c r="CF88" s="330"/>
      <c r="CG88" s="330"/>
      <c r="CH88" s="330"/>
      <c r="CI88" s="330"/>
    </row>
    <row r="89" spans="1:87" ht="15.75" x14ac:dyDescent="0.25">
      <c r="A89" s="313"/>
      <c r="B89" s="295" t="s">
        <v>71</v>
      </c>
      <c r="C89" s="314" t="s">
        <v>177</v>
      </c>
      <c r="D89" s="251">
        <v>3645.15</v>
      </c>
      <c r="E89" s="251">
        <v>1965.27</v>
      </c>
      <c r="F89" s="251">
        <v>2992.4</v>
      </c>
      <c r="G89" s="251">
        <v>2839.34</v>
      </c>
      <c r="H89" s="251">
        <v>835.1</v>
      </c>
      <c r="I89" s="251">
        <v>678.42</v>
      </c>
      <c r="J89" s="251"/>
      <c r="K89" s="251"/>
      <c r="L89" s="251"/>
      <c r="M89" s="251"/>
      <c r="N89" s="207"/>
      <c r="O89" s="251">
        <v>1616.72</v>
      </c>
      <c r="P89" s="287">
        <v>6787.44</v>
      </c>
      <c r="Q89" s="374"/>
      <c r="S89" s="334" t="s">
        <v>90</v>
      </c>
      <c r="T89" s="335">
        <v>6787.44</v>
      </c>
      <c r="U89" s="336">
        <f>T89/U85</f>
        <v>2.7090053522037427E-2</v>
      </c>
      <c r="V89" s="330"/>
      <c r="W89" s="336">
        <f>T89/U85</f>
        <v>2.7090053522037427E-2</v>
      </c>
      <c r="X89" s="330"/>
      <c r="Y89" s="330">
        <v>2.7089999999999999E-2</v>
      </c>
      <c r="Z89" s="330"/>
      <c r="AA89" s="336">
        <f t="shared" ref="AA89" si="45">Y89-W89</f>
        <v>-5.3522037427033986E-8</v>
      </c>
      <c r="AB89" s="330"/>
      <c r="AC89" s="330"/>
      <c r="AD89" s="330"/>
      <c r="AE89" s="330"/>
      <c r="AF89" s="330"/>
      <c r="AG89" s="330"/>
      <c r="AH89" s="330"/>
      <c r="AI89" s="330"/>
      <c r="AJ89" s="330"/>
      <c r="AK89" s="330"/>
      <c r="AL89" s="330"/>
      <c r="AM89" s="330"/>
      <c r="AN89" s="330"/>
      <c r="AO89" s="330"/>
      <c r="AP89" s="330"/>
      <c r="AQ89" s="330"/>
      <c r="AR89" s="330"/>
      <c r="AS89" s="330"/>
      <c r="AT89" s="330"/>
      <c r="AU89" s="330"/>
      <c r="AV89" s="330"/>
      <c r="AW89" s="330"/>
      <c r="AX89" s="330"/>
      <c r="AY89" s="330"/>
      <c r="AZ89" s="330"/>
      <c r="BA89" s="330"/>
      <c r="BB89" s="330"/>
      <c r="BC89" s="330"/>
      <c r="BD89" s="330"/>
      <c r="BE89" s="330"/>
      <c r="BF89" s="330"/>
      <c r="BG89" s="330"/>
      <c r="BH89" s="330"/>
      <c r="BI89" s="330"/>
      <c r="BJ89" s="330"/>
      <c r="BK89" s="330"/>
      <c r="BL89" s="330"/>
      <c r="BM89" s="330"/>
      <c r="BN89" s="330"/>
      <c r="BO89" s="330"/>
      <c r="BP89" s="330"/>
      <c r="BQ89" s="330"/>
      <c r="BR89" s="330"/>
      <c r="BS89" s="330"/>
      <c r="BT89" s="330"/>
      <c r="BU89" s="330"/>
      <c r="BV89" s="330"/>
      <c r="BW89" s="330"/>
      <c r="BX89" s="330"/>
      <c r="BY89" s="330"/>
      <c r="BZ89" s="330"/>
      <c r="CA89" s="330"/>
      <c r="CB89" s="330"/>
      <c r="CC89" s="330"/>
      <c r="CD89" s="330"/>
      <c r="CE89" s="330"/>
      <c r="CF89" s="330"/>
      <c r="CG89" s="330"/>
      <c r="CH89" s="330"/>
      <c r="CI89" s="330"/>
    </row>
    <row r="90" spans="1:87" ht="15.75" x14ac:dyDescent="0.25">
      <c r="A90" s="313"/>
      <c r="B90" s="376" t="s">
        <v>72</v>
      </c>
      <c r="C90" s="317" t="s">
        <v>183</v>
      </c>
      <c r="D90" s="348">
        <f>ROUND(ROUND(9522833*0.0954,0)*0.10984,2)</f>
        <v>99787.22</v>
      </c>
      <c r="E90" s="349">
        <f>ROUND(ROUND(9324558*0.093,0)*0.10984,2)</f>
        <v>95251.49</v>
      </c>
      <c r="F90" s="349">
        <f>ROUND(ROUND(7368968*0.1014,0)*0.12471,2)</f>
        <v>93184.93</v>
      </c>
      <c r="G90" s="349">
        <f>ROUND(ROUND(2944986*0.106,0)*0.12471,2)</f>
        <v>38930.6</v>
      </c>
      <c r="H90" s="349">
        <f>ROUND(ROUND(1984707*0.1159,0)*0.12471,2)</f>
        <v>28686.79</v>
      </c>
      <c r="I90" s="349">
        <f>ROUND(ROUND(1103980*0.1381,0)*0.12471,2)</f>
        <v>19013.29</v>
      </c>
      <c r="J90" s="349">
        <f>ROUND(ROUND(801207*0.162,0)*0.12471,2)</f>
        <v>16186.86</v>
      </c>
      <c r="K90" s="349">
        <f>ROUND(ROUND(1497403*0.1315,0)*0.12471,2)</f>
        <v>24556.400000000001</v>
      </c>
      <c r="L90" s="349">
        <f>ROUND(ROUND(2130040*0.1155,0)*0.12471,2)</f>
        <v>30681.15</v>
      </c>
      <c r="M90" s="349">
        <f>ROUND(ROUND(5961158*0.1292,0)*0.12471,2)</f>
        <v>96049.4</v>
      </c>
      <c r="N90" s="207"/>
      <c r="O90" s="349">
        <f>ROUND(ROUND(8615743*0.1145,0)*0.12471,2)</f>
        <v>123026.79</v>
      </c>
      <c r="P90" s="349">
        <f>ROUND(ROUND(9569772*0.1049,0)*0.12471,2)</f>
        <v>125192.5</v>
      </c>
      <c r="Q90" s="374"/>
      <c r="S90" s="334" t="s">
        <v>91</v>
      </c>
      <c r="T90" s="335">
        <v>589294.09</v>
      </c>
      <c r="U90" s="336">
        <f>T90/U86</f>
        <v>0.41916893040075737</v>
      </c>
      <c r="V90" s="330"/>
      <c r="W90" s="336">
        <f>T90/U86</f>
        <v>0.41916893040075737</v>
      </c>
      <c r="X90" s="330"/>
      <c r="Y90" s="338">
        <f>+Y37</f>
        <v>0.41911999999999999</v>
      </c>
      <c r="Z90" s="330"/>
      <c r="AA90" s="336">
        <f>Y90-W90</f>
        <v>-4.8930400757374315E-5</v>
      </c>
      <c r="AB90" s="330"/>
      <c r="AC90" s="330"/>
      <c r="AD90" s="330"/>
      <c r="AE90" s="330"/>
      <c r="AF90" s="330"/>
      <c r="AG90" s="330"/>
      <c r="AH90" s="330"/>
      <c r="AI90" s="330"/>
      <c r="AJ90" s="330"/>
      <c r="AK90" s="330"/>
      <c r="AL90" s="330"/>
      <c r="AM90" s="330"/>
      <c r="AN90" s="330"/>
      <c r="AO90" s="330"/>
      <c r="AP90" s="330"/>
      <c r="AQ90" s="330"/>
      <c r="AR90" s="330"/>
      <c r="AS90" s="330"/>
      <c r="AT90" s="330"/>
      <c r="AU90" s="330"/>
      <c r="AV90" s="330"/>
      <c r="AW90" s="330"/>
      <c r="AX90" s="330"/>
      <c r="AY90" s="330"/>
      <c r="AZ90" s="330"/>
      <c r="BA90" s="330"/>
      <c r="BB90" s="330"/>
      <c r="BC90" s="330"/>
      <c r="BD90" s="330"/>
      <c r="BE90" s="330"/>
      <c r="BF90" s="330"/>
      <c r="BG90" s="330"/>
      <c r="BH90" s="330"/>
      <c r="BI90" s="330"/>
      <c r="BJ90" s="330"/>
      <c r="BK90" s="330"/>
      <c r="BL90" s="330"/>
      <c r="BM90" s="330"/>
      <c r="BN90" s="330"/>
      <c r="BO90" s="330"/>
      <c r="BP90" s="330"/>
      <c r="BQ90" s="330"/>
      <c r="BR90" s="330"/>
      <c r="BS90" s="330"/>
      <c r="BT90" s="330"/>
      <c r="BU90" s="330"/>
      <c r="BV90" s="330"/>
      <c r="BW90" s="330"/>
      <c r="BX90" s="330"/>
      <c r="BY90" s="330"/>
      <c r="BZ90" s="330"/>
      <c r="CA90" s="330"/>
      <c r="CB90" s="330"/>
      <c r="CC90" s="330"/>
      <c r="CD90" s="330"/>
      <c r="CE90" s="330"/>
      <c r="CF90" s="330"/>
      <c r="CG90" s="330"/>
      <c r="CH90" s="330"/>
      <c r="CI90" s="330"/>
    </row>
    <row r="91" spans="1:87" x14ac:dyDescent="0.25">
      <c r="A91" s="313"/>
      <c r="B91" s="295" t="s">
        <v>72</v>
      </c>
      <c r="C91" s="320" t="s">
        <v>184</v>
      </c>
      <c r="D91" s="189">
        <f>-'WACAP 2019'!P101</f>
        <v>-121207.67</v>
      </c>
      <c r="E91" s="189">
        <f t="shared" ref="E91:F91" si="46">-D90</f>
        <v>-99787.22</v>
      </c>
      <c r="F91" s="189">
        <f t="shared" si="46"/>
        <v>-95251.49</v>
      </c>
      <c r="G91" s="189">
        <f>-F90</f>
        <v>-93184.93</v>
      </c>
      <c r="H91" s="189">
        <f>-G90</f>
        <v>-38930.6</v>
      </c>
      <c r="I91" s="189">
        <f>-H90</f>
        <v>-28686.79</v>
      </c>
      <c r="J91" s="189">
        <f>-I90</f>
        <v>-19013.29</v>
      </c>
      <c r="K91" s="189">
        <f t="shared" ref="K91:M91" si="47">-J90</f>
        <v>-16186.86</v>
      </c>
      <c r="L91" s="189">
        <f t="shared" si="47"/>
        <v>-24556.400000000001</v>
      </c>
      <c r="M91" s="189">
        <f t="shared" si="47"/>
        <v>-30681.15</v>
      </c>
      <c r="N91" s="209"/>
      <c r="O91" s="189">
        <f>-M90</f>
        <v>-96049.4</v>
      </c>
      <c r="P91" s="190">
        <f>-O90</f>
        <v>-123026.79</v>
      </c>
      <c r="Q91" s="374"/>
      <c r="S91" s="334"/>
      <c r="T91" s="337"/>
      <c r="U91" s="336"/>
      <c r="V91" s="330"/>
      <c r="W91" s="336"/>
      <c r="X91" s="330"/>
      <c r="Y91" s="330"/>
      <c r="Z91" s="330"/>
      <c r="AA91" s="336"/>
      <c r="AB91" s="330"/>
      <c r="AC91" s="330"/>
      <c r="AD91" s="330"/>
      <c r="AE91" s="330"/>
      <c r="AF91" s="330"/>
      <c r="AG91" s="330"/>
      <c r="AH91" s="330"/>
      <c r="AI91" s="330"/>
      <c r="AJ91" s="330"/>
      <c r="AK91" s="330"/>
      <c r="AL91" s="330"/>
      <c r="AM91" s="330"/>
      <c r="AN91" s="330"/>
      <c r="AO91" s="330"/>
      <c r="AP91" s="330"/>
      <c r="AQ91" s="330"/>
      <c r="AR91" s="330"/>
      <c r="AS91" s="330"/>
      <c r="AT91" s="330"/>
      <c r="AU91" s="330"/>
      <c r="AV91" s="330"/>
      <c r="AW91" s="330"/>
      <c r="AX91" s="330"/>
      <c r="AY91" s="330"/>
      <c r="AZ91" s="330"/>
      <c r="BA91" s="330"/>
      <c r="BB91" s="330"/>
      <c r="BC91" s="330"/>
      <c r="BD91" s="330"/>
      <c r="BE91" s="330"/>
      <c r="BF91" s="330"/>
      <c r="BG91" s="330"/>
      <c r="BH91" s="330"/>
      <c r="BI91" s="330"/>
      <c r="BJ91" s="330"/>
      <c r="BK91" s="330"/>
      <c r="BL91" s="330"/>
      <c r="BM91" s="330"/>
      <c r="BN91" s="330"/>
      <c r="BO91" s="330"/>
      <c r="BP91" s="330"/>
      <c r="BQ91" s="330"/>
      <c r="BR91" s="330"/>
      <c r="BS91" s="330"/>
      <c r="BT91" s="330"/>
      <c r="BU91" s="330"/>
      <c r="BV91" s="330"/>
      <c r="BW91" s="330"/>
      <c r="BX91" s="330"/>
      <c r="BY91" s="330"/>
      <c r="BZ91" s="330"/>
      <c r="CA91" s="330"/>
      <c r="CB91" s="330"/>
      <c r="CC91" s="330"/>
      <c r="CD91" s="330"/>
      <c r="CE91" s="330"/>
      <c r="CF91" s="330"/>
      <c r="CG91" s="330"/>
      <c r="CH91" s="330"/>
      <c r="CI91" s="330"/>
    </row>
    <row r="92" spans="1:87" x14ac:dyDescent="0.25">
      <c r="A92" s="313"/>
      <c r="B92" s="295"/>
      <c r="C92" s="311" t="s">
        <v>74</v>
      </c>
      <c r="D92" s="187">
        <f t="shared" ref="D92:M92" si="48">SUM(D87:D91)</f>
        <v>168153.56</v>
      </c>
      <c r="E92" s="187">
        <f t="shared" si="48"/>
        <v>153388.04</v>
      </c>
      <c r="F92" s="187">
        <f t="shared" si="48"/>
        <v>173841.74</v>
      </c>
      <c r="G92" s="187">
        <f t="shared" si="48"/>
        <v>90727.520000000019</v>
      </c>
      <c r="H92" s="187">
        <f t="shared" si="48"/>
        <v>69455.360000000015</v>
      </c>
      <c r="I92" s="187">
        <f t="shared" si="48"/>
        <v>64074.229999999989</v>
      </c>
      <c r="J92" s="187">
        <f t="shared" si="48"/>
        <v>78549.51999999999</v>
      </c>
      <c r="K92" s="187">
        <f t="shared" si="48"/>
        <v>57689.850000000006</v>
      </c>
      <c r="L92" s="187">
        <f t="shared" si="48"/>
        <v>54731.180000000015</v>
      </c>
      <c r="M92" s="187">
        <f t="shared" si="48"/>
        <v>136211.91</v>
      </c>
      <c r="N92" s="208"/>
      <c r="O92" s="187">
        <f>SUM(O87:O91)</f>
        <v>147833.88</v>
      </c>
      <c r="P92" s="301">
        <f>SUM(P87:P91)</f>
        <v>191580.95</v>
      </c>
      <c r="Q92" s="324"/>
      <c r="S92" s="330"/>
      <c r="T92" s="330"/>
      <c r="U92" s="330"/>
      <c r="V92" s="330"/>
      <c r="W92" s="330"/>
      <c r="X92" s="330"/>
      <c r="Y92" s="330"/>
      <c r="Z92" s="330"/>
      <c r="AA92" s="330"/>
      <c r="AB92" s="330"/>
      <c r="AC92" s="330"/>
      <c r="AD92" s="330"/>
      <c r="AE92" s="330"/>
      <c r="AF92" s="330"/>
      <c r="AG92" s="330"/>
      <c r="AH92" s="330"/>
      <c r="AI92" s="330"/>
      <c r="AJ92" s="330"/>
      <c r="AK92" s="330"/>
      <c r="AL92" s="330"/>
      <c r="AM92" s="330"/>
      <c r="AN92" s="330"/>
      <c r="AO92" s="330"/>
      <c r="AP92" s="330"/>
      <c r="AQ92" s="330"/>
      <c r="AR92" s="330"/>
      <c r="AS92" s="330"/>
      <c r="AT92" s="330"/>
      <c r="AU92" s="330"/>
      <c r="AV92" s="330"/>
      <c r="AW92" s="330"/>
      <c r="AX92" s="330"/>
      <c r="AY92" s="330"/>
      <c r="AZ92" s="330"/>
      <c r="BA92" s="330"/>
      <c r="BB92" s="330"/>
      <c r="BC92" s="330"/>
      <c r="BD92" s="330"/>
      <c r="BE92" s="330"/>
      <c r="BF92" s="330"/>
      <c r="BG92" s="330"/>
      <c r="BH92" s="330"/>
      <c r="BI92" s="330"/>
      <c r="BJ92" s="330"/>
      <c r="BK92" s="330"/>
      <c r="BL92" s="330"/>
      <c r="BM92" s="330"/>
      <c r="BN92" s="330"/>
      <c r="BO92" s="330"/>
      <c r="BP92" s="330"/>
      <c r="BQ92" s="330"/>
      <c r="BR92" s="330"/>
      <c r="BS92" s="330"/>
      <c r="BT92" s="330"/>
      <c r="BU92" s="330"/>
      <c r="BV92" s="330"/>
      <c r="BW92" s="330"/>
      <c r="BX92" s="330"/>
      <c r="BY92" s="330"/>
      <c r="BZ92" s="330"/>
      <c r="CA92" s="330"/>
      <c r="CB92" s="330"/>
      <c r="CC92" s="330"/>
      <c r="CD92" s="330"/>
      <c r="CE92" s="330"/>
      <c r="CF92" s="330"/>
      <c r="CG92" s="330"/>
      <c r="CH92" s="330"/>
      <c r="CI92" s="330"/>
    </row>
    <row r="93" spans="1:87" x14ac:dyDescent="0.25">
      <c r="A93" s="313"/>
      <c r="B93" s="295"/>
      <c r="C93" s="436" t="s">
        <v>73</v>
      </c>
      <c r="D93" s="307">
        <f>ROUND(-'Authorized Margins 2019'!J16*'WACAP 2020'!D86,2)</f>
        <v>-160562.16</v>
      </c>
      <c r="E93" s="189">
        <f>ROUND(-'Authorized Margins 2019'!K16*'WACAP 2020'!E86,2)</f>
        <v>-127732.5</v>
      </c>
      <c r="F93" s="422">
        <f>ROUND(-'Authorized Margins 2020'!F13*'WACAP 2020'!F86,2)</f>
        <v>-206151.75</v>
      </c>
      <c r="G93" s="189">
        <f>ROUND(-'Authorized Margins 2020'!G13*'WACAP 2020'!G86,2)</f>
        <v>-173548.5</v>
      </c>
      <c r="H93" s="189">
        <f>ROUND(-'Authorized Margins 2020'!H13*'WACAP 2020'!H86,2)</f>
        <v>-132457.5</v>
      </c>
      <c r="I93" s="189">
        <f>ROUND(-'Authorized Margins 2020'!I13*'WACAP 2020'!I86,2)</f>
        <v>-94516.5</v>
      </c>
      <c r="J93" s="189">
        <f>ROUND(-'Authorized Margins 2020'!J13*'WACAP 2020'!J86,2)</f>
        <v>-81888.75</v>
      </c>
      <c r="K93" s="189">
        <f>ROUND(-'Authorized Margins 2020'!K13*'WACAP 2020'!K86,2)</f>
        <v>-82746.75</v>
      </c>
      <c r="L93" s="189">
        <f>ROUND(-'Authorized Margins 2020'!L13*'WACAP 2020'!L86,2)</f>
        <v>-77992.5</v>
      </c>
      <c r="M93" s="189">
        <f>ROUND(-'Authorized Margins 2020'!M13*'WACAP 2020'!M86,2)</f>
        <v>-128196.76</v>
      </c>
      <c r="N93" s="209"/>
      <c r="O93" s="189">
        <f>ROUND(-'Authorized Margins 2020'!O13*'WACAP 2020'!O86,2)</f>
        <v>-118117.65</v>
      </c>
      <c r="P93" s="190">
        <f>ROUND(-'Authorized Margins 2020'!P13*'WACAP 2020'!P86,2)</f>
        <v>-131237.21</v>
      </c>
      <c r="Q93" s="324"/>
      <c r="S93" s="330"/>
      <c r="T93" s="330"/>
      <c r="U93" s="330"/>
      <c r="V93" s="330"/>
      <c r="W93" s="330"/>
      <c r="X93" s="330"/>
      <c r="Y93" s="330"/>
      <c r="Z93" s="330"/>
      <c r="AA93" s="330"/>
      <c r="AB93" s="330"/>
      <c r="AC93" s="330"/>
      <c r="AD93" s="330"/>
      <c r="AE93" s="330"/>
      <c r="AF93" s="330"/>
      <c r="AG93" s="330"/>
      <c r="AH93" s="330"/>
      <c r="AI93" s="330"/>
      <c r="AJ93" s="330"/>
      <c r="AK93" s="330"/>
      <c r="AL93" s="330"/>
      <c r="AM93" s="330"/>
      <c r="AN93" s="330"/>
      <c r="AO93" s="330"/>
      <c r="AP93" s="330"/>
      <c r="AQ93" s="330"/>
      <c r="AR93" s="330"/>
      <c r="AS93" s="330"/>
      <c r="AT93" s="330"/>
      <c r="AU93" s="330"/>
      <c r="AV93" s="330"/>
      <c r="AW93" s="330"/>
      <c r="AX93" s="330"/>
      <c r="AY93" s="330"/>
      <c r="AZ93" s="330"/>
      <c r="BA93" s="330"/>
      <c r="BB93" s="330"/>
      <c r="BC93" s="330"/>
      <c r="BD93" s="330"/>
      <c r="BE93" s="330"/>
      <c r="BF93" s="330"/>
      <c r="BG93" s="330"/>
      <c r="BH93" s="330"/>
      <c r="BI93" s="330"/>
      <c r="BJ93" s="330"/>
      <c r="BK93" s="330"/>
      <c r="BL93" s="330"/>
      <c r="BM93" s="330"/>
      <c r="BN93" s="330"/>
      <c r="BO93" s="330"/>
      <c r="BP93" s="330"/>
      <c r="BQ93" s="330"/>
      <c r="BR93" s="330"/>
      <c r="BS93" s="330"/>
      <c r="BT93" s="330"/>
      <c r="BU93" s="330"/>
      <c r="BV93" s="330"/>
      <c r="BW93" s="330"/>
      <c r="BX93" s="330"/>
      <c r="BY93" s="330"/>
      <c r="BZ93" s="330"/>
      <c r="CA93" s="330"/>
      <c r="CB93" s="330"/>
      <c r="CC93" s="330"/>
      <c r="CD93" s="330"/>
      <c r="CE93" s="330"/>
      <c r="CF93" s="330"/>
      <c r="CG93" s="330"/>
      <c r="CH93" s="330"/>
      <c r="CI93" s="330"/>
    </row>
    <row r="94" spans="1:87" x14ac:dyDescent="0.25">
      <c r="A94" s="313"/>
      <c r="B94" s="295"/>
      <c r="C94" s="364" t="s">
        <v>201</v>
      </c>
      <c r="D94" s="187">
        <f t="shared" ref="D94:P94" si="49">SUM(D92:D93)</f>
        <v>7591.3999999999942</v>
      </c>
      <c r="E94" s="187">
        <f t="shared" si="49"/>
        <v>25655.540000000008</v>
      </c>
      <c r="F94" s="187">
        <f t="shared" si="49"/>
        <v>-32310.010000000009</v>
      </c>
      <c r="G94" s="187">
        <f t="shared" si="49"/>
        <v>-82820.979999999981</v>
      </c>
      <c r="H94" s="187">
        <f t="shared" si="49"/>
        <v>-63002.139999999985</v>
      </c>
      <c r="I94" s="187">
        <f t="shared" si="49"/>
        <v>-30442.270000000011</v>
      </c>
      <c r="J94" s="187">
        <f t="shared" si="49"/>
        <v>-3339.2300000000105</v>
      </c>
      <c r="K94" s="187">
        <f t="shared" si="49"/>
        <v>-25056.899999999994</v>
      </c>
      <c r="L94" s="187">
        <f t="shared" si="49"/>
        <v>-23261.319999999985</v>
      </c>
      <c r="M94" s="187">
        <f t="shared" si="49"/>
        <v>8015.1500000000087</v>
      </c>
      <c r="N94" s="302">
        <f>-'WACAP 2019'!R107</f>
        <v>-284826.75000000006</v>
      </c>
      <c r="O94" s="187">
        <f t="shared" si="49"/>
        <v>29716.23000000001</v>
      </c>
      <c r="P94" s="188">
        <f t="shared" si="49"/>
        <v>60343.74000000002</v>
      </c>
      <c r="Q94" s="374">
        <f>SUM(D94:P94)-N94</f>
        <v>-128910.78999999998</v>
      </c>
      <c r="T94" s="330"/>
      <c r="U94" s="330"/>
      <c r="V94" s="330"/>
      <c r="W94" s="330"/>
      <c r="X94" s="330"/>
      <c r="Y94" s="330"/>
      <c r="Z94" s="330"/>
      <c r="AA94" s="330"/>
      <c r="AB94" s="330"/>
      <c r="AC94" s="330"/>
      <c r="AD94" s="330"/>
      <c r="AE94" s="330"/>
      <c r="AF94" s="330"/>
      <c r="AG94" s="330"/>
      <c r="AH94" s="330"/>
      <c r="AI94" s="330"/>
      <c r="AJ94" s="330"/>
      <c r="AK94" s="330"/>
      <c r="AL94" s="330"/>
      <c r="AM94" s="330"/>
      <c r="AN94" s="330"/>
      <c r="AO94" s="330"/>
      <c r="AP94" s="330"/>
      <c r="AQ94" s="330"/>
      <c r="AR94" s="330"/>
      <c r="AS94" s="330"/>
      <c r="AT94" s="330"/>
      <c r="AU94" s="330"/>
      <c r="AV94" s="330"/>
      <c r="AW94" s="330"/>
      <c r="AX94" s="330"/>
      <c r="AY94" s="330"/>
      <c r="AZ94" s="330"/>
      <c r="BA94" s="330"/>
      <c r="BB94" s="330"/>
      <c r="BC94" s="330"/>
      <c r="BD94" s="330"/>
      <c r="BE94" s="330"/>
      <c r="BF94" s="330"/>
      <c r="BG94" s="330"/>
      <c r="BH94" s="330"/>
      <c r="BI94" s="330"/>
      <c r="BJ94" s="330"/>
      <c r="BK94" s="330"/>
      <c r="BL94" s="330"/>
      <c r="BM94" s="330"/>
      <c r="BN94" s="330"/>
      <c r="BO94" s="330"/>
      <c r="BP94" s="330"/>
      <c r="BQ94" s="330"/>
      <c r="BR94" s="330"/>
      <c r="BS94" s="330"/>
      <c r="BT94" s="330"/>
      <c r="BU94" s="330"/>
      <c r="BV94" s="330"/>
      <c r="BW94" s="330"/>
      <c r="BX94" s="330"/>
      <c r="BY94" s="330"/>
      <c r="BZ94" s="330"/>
      <c r="CA94" s="330"/>
      <c r="CB94" s="330"/>
      <c r="CC94" s="330"/>
      <c r="CD94" s="330"/>
      <c r="CE94" s="330"/>
      <c r="CF94" s="330"/>
      <c r="CG94" s="330"/>
      <c r="CH94" s="330"/>
      <c r="CI94" s="330"/>
    </row>
    <row r="95" spans="1:87" x14ac:dyDescent="0.25">
      <c r="A95" s="313"/>
      <c r="B95" s="295"/>
      <c r="C95" s="436" t="s">
        <v>137</v>
      </c>
      <c r="D95" s="308">
        <f>ROUND(ROUND('WACAP 2019'!P108*D$6,2)/365*D$7,2)</f>
        <v>1199.8599999999999</v>
      </c>
      <c r="E95" s="187">
        <f>ROUND(ROUND(D97*E$6,2)/365*E$7,2)</f>
        <v>1157.0999999999999</v>
      </c>
      <c r="F95" s="187">
        <f t="shared" ref="F95:P95" si="50">ROUND(ROUND(E97*F$6,2)/365*F$7,2)</f>
        <v>1349.85</v>
      </c>
      <c r="G95" s="187">
        <f t="shared" si="50"/>
        <v>1130.1199999999999</v>
      </c>
      <c r="H95" s="187">
        <f t="shared" si="50"/>
        <v>838.23</v>
      </c>
      <c r="I95" s="187">
        <f t="shared" si="50"/>
        <v>568.5</v>
      </c>
      <c r="J95" s="187">
        <f t="shared" si="50"/>
        <v>337.17</v>
      </c>
      <c r="K95" s="187">
        <f t="shared" si="50"/>
        <v>328.43</v>
      </c>
      <c r="L95" s="187">
        <f t="shared" si="50"/>
        <v>248.12</v>
      </c>
      <c r="M95" s="187">
        <f t="shared" si="50"/>
        <v>179.41</v>
      </c>
      <c r="N95" s="231">
        <f>'Ammort Split 2020'!N106</f>
        <v>-10307.5</v>
      </c>
      <c r="O95" s="187">
        <f>ROUND(ROUND(N97*O$6,2)/365*O$7,2)</f>
        <v>-592.86</v>
      </c>
      <c r="P95" s="188">
        <f t="shared" si="50"/>
        <v>-532.23</v>
      </c>
      <c r="Q95" s="388">
        <f>SUM(D95:P95)</f>
        <v>-4095.8</v>
      </c>
      <c r="U95" s="330"/>
      <c r="V95" s="330"/>
      <c r="W95" s="330"/>
      <c r="X95" s="330"/>
      <c r="Y95" s="330"/>
      <c r="Z95" s="330"/>
      <c r="AA95" s="330"/>
      <c r="AB95" s="330"/>
      <c r="AC95" s="330"/>
      <c r="AD95" s="330"/>
      <c r="AE95" s="330"/>
      <c r="AF95" s="330"/>
      <c r="AG95" s="330"/>
      <c r="AH95" s="330"/>
      <c r="AI95" s="330"/>
      <c r="AJ95" s="330"/>
      <c r="AK95" s="330"/>
      <c r="AL95" s="330"/>
      <c r="AM95" s="330"/>
      <c r="AN95" s="330"/>
      <c r="AO95" s="330"/>
      <c r="AP95" s="330"/>
      <c r="AQ95" s="330"/>
      <c r="AR95" s="330"/>
      <c r="AS95" s="330"/>
      <c r="AT95" s="330"/>
      <c r="AU95" s="330"/>
      <c r="AV95" s="330"/>
      <c r="AW95" s="330"/>
      <c r="AX95" s="330"/>
      <c r="AY95" s="330"/>
      <c r="AZ95" s="330"/>
      <c r="BA95" s="330"/>
      <c r="BB95" s="330"/>
      <c r="BC95" s="330"/>
      <c r="BD95" s="330"/>
      <c r="BE95" s="330"/>
      <c r="BF95" s="330"/>
      <c r="BG95" s="330"/>
      <c r="BH95" s="330"/>
      <c r="BI95" s="330"/>
      <c r="BJ95" s="330"/>
      <c r="BK95" s="330"/>
      <c r="BL95" s="330"/>
      <c r="BM95" s="330"/>
      <c r="BN95" s="330"/>
      <c r="BO95" s="330"/>
      <c r="BP95" s="330"/>
      <c r="BQ95" s="330"/>
      <c r="BR95" s="330"/>
      <c r="BS95" s="330"/>
      <c r="BT95" s="330"/>
      <c r="BU95" s="330"/>
      <c r="BV95" s="330"/>
      <c r="BW95" s="330"/>
      <c r="BX95" s="330"/>
      <c r="BY95" s="330"/>
      <c r="BZ95" s="330"/>
      <c r="CA95" s="330"/>
      <c r="CB95" s="330"/>
      <c r="CC95" s="330"/>
      <c r="CD95" s="330"/>
      <c r="CE95" s="330"/>
      <c r="CF95" s="330"/>
      <c r="CG95" s="330"/>
      <c r="CH95" s="330"/>
      <c r="CI95" s="330"/>
    </row>
    <row r="96" spans="1:87" x14ac:dyDescent="0.25">
      <c r="A96" s="313"/>
      <c r="B96" s="295"/>
      <c r="C96" s="364" t="s">
        <v>138</v>
      </c>
      <c r="D96" s="189">
        <f t="shared" ref="D96:P96" si="51">SUM(D94:D95)</f>
        <v>8791.2599999999948</v>
      </c>
      <c r="E96" s="189">
        <f t="shared" si="51"/>
        <v>26812.640000000007</v>
      </c>
      <c r="F96" s="189">
        <f t="shared" si="51"/>
        <v>-30960.160000000011</v>
      </c>
      <c r="G96" s="189">
        <f t="shared" si="51"/>
        <v>-81690.859999999986</v>
      </c>
      <c r="H96" s="189">
        <f t="shared" si="51"/>
        <v>-62163.909999999982</v>
      </c>
      <c r="I96" s="189">
        <f t="shared" si="51"/>
        <v>-29873.770000000011</v>
      </c>
      <c r="J96" s="189">
        <f t="shared" si="51"/>
        <v>-3002.0600000000104</v>
      </c>
      <c r="K96" s="189">
        <f t="shared" si="51"/>
        <v>-24728.469999999994</v>
      </c>
      <c r="L96" s="189">
        <f t="shared" si="51"/>
        <v>-23013.199999999986</v>
      </c>
      <c r="M96" s="189">
        <f t="shared" si="51"/>
        <v>8194.5600000000086</v>
      </c>
      <c r="N96" s="209">
        <f>SUM(N94:N95)</f>
        <v>-295134.25000000006</v>
      </c>
      <c r="O96" s="189">
        <f t="shared" si="51"/>
        <v>29123.37000000001</v>
      </c>
      <c r="P96" s="190">
        <f t="shared" si="51"/>
        <v>59811.510000000017</v>
      </c>
      <c r="Q96" s="389">
        <f>SUM(Q94:Q95)</f>
        <v>-133006.58999999997</v>
      </c>
      <c r="S96" s="330"/>
      <c r="T96" s="330"/>
      <c r="U96" s="330"/>
      <c r="V96" s="330"/>
      <c r="W96" s="330"/>
      <c r="X96" s="330"/>
      <c r="Y96" s="330"/>
      <c r="Z96" s="330"/>
      <c r="AA96" s="330"/>
      <c r="AB96" s="330"/>
      <c r="AC96" s="330"/>
      <c r="AD96" s="330"/>
      <c r="AE96" s="330"/>
      <c r="AF96" s="330"/>
      <c r="AG96" s="330"/>
      <c r="AH96" s="330"/>
      <c r="AI96" s="330"/>
      <c r="AJ96" s="330"/>
      <c r="AK96" s="330"/>
      <c r="AL96" s="330"/>
      <c r="AM96" s="330"/>
      <c r="AN96" s="330"/>
      <c r="AO96" s="330"/>
      <c r="AP96" s="330"/>
      <c r="AQ96" s="330"/>
      <c r="AR96" s="330"/>
      <c r="AS96" s="330"/>
      <c r="AT96" s="330"/>
      <c r="AU96" s="330"/>
      <c r="AV96" s="330"/>
      <c r="AW96" s="330"/>
      <c r="AX96" s="330"/>
      <c r="AY96" s="330"/>
      <c r="AZ96" s="330"/>
      <c r="BA96" s="330"/>
      <c r="BB96" s="330"/>
      <c r="BC96" s="330"/>
      <c r="BD96" s="330"/>
      <c r="BE96" s="330"/>
      <c r="BF96" s="330"/>
      <c r="BG96" s="330"/>
      <c r="BH96" s="330"/>
      <c r="BI96" s="330"/>
      <c r="BJ96" s="330"/>
      <c r="BK96" s="330"/>
      <c r="BL96" s="330"/>
      <c r="BM96" s="330"/>
      <c r="BN96" s="330"/>
      <c r="BO96" s="330"/>
      <c r="BP96" s="330"/>
      <c r="BQ96" s="330"/>
      <c r="BR96" s="330"/>
      <c r="BS96" s="330"/>
      <c r="BT96" s="330"/>
      <c r="BU96" s="330"/>
      <c r="BV96" s="330"/>
      <c r="BW96" s="330"/>
      <c r="BX96" s="330"/>
      <c r="BY96" s="330"/>
      <c r="BZ96" s="330"/>
      <c r="CA96" s="330"/>
      <c r="CB96" s="330"/>
      <c r="CC96" s="330"/>
      <c r="CD96" s="330"/>
      <c r="CE96" s="330"/>
      <c r="CF96" s="330"/>
      <c r="CG96" s="330"/>
      <c r="CH96" s="330"/>
      <c r="CI96" s="330"/>
    </row>
    <row r="97" spans="1:87" x14ac:dyDescent="0.25">
      <c r="A97" s="313"/>
      <c r="B97" s="295"/>
      <c r="C97" s="436" t="s">
        <v>139</v>
      </c>
      <c r="D97" s="308">
        <f>'WACAP 2019'!P108+'WACAP 2020'!D96</f>
        <v>293618.01000000013</v>
      </c>
      <c r="E97" s="187">
        <f t="shared" ref="E97:O97" si="52">D97+E96</f>
        <v>320430.65000000014</v>
      </c>
      <c r="F97" s="187">
        <f t="shared" si="52"/>
        <v>289470.49000000011</v>
      </c>
      <c r="G97" s="187">
        <f t="shared" si="52"/>
        <v>207779.63000000012</v>
      </c>
      <c r="H97" s="187">
        <f t="shared" si="52"/>
        <v>145615.72000000015</v>
      </c>
      <c r="I97" s="187">
        <f t="shared" si="52"/>
        <v>115741.95000000013</v>
      </c>
      <c r="J97" s="187">
        <f t="shared" si="52"/>
        <v>112739.89000000012</v>
      </c>
      <c r="K97" s="187">
        <f t="shared" si="52"/>
        <v>88011.420000000129</v>
      </c>
      <c r="L97" s="187">
        <f t="shared" si="52"/>
        <v>64998.220000000147</v>
      </c>
      <c r="M97" s="187">
        <f t="shared" si="52"/>
        <v>73192.780000000159</v>
      </c>
      <c r="N97" s="208">
        <f t="shared" si="52"/>
        <v>-221941.46999999991</v>
      </c>
      <c r="O97" s="187">
        <f t="shared" si="52"/>
        <v>-192818.09999999992</v>
      </c>
      <c r="P97" s="301">
        <f>O97+P96</f>
        <v>-133006.58999999991</v>
      </c>
      <c r="Q97" s="324"/>
      <c r="S97" s="330"/>
      <c r="T97" s="330"/>
      <c r="U97" s="330"/>
      <c r="V97" s="330"/>
      <c r="W97" s="330"/>
      <c r="X97" s="330"/>
      <c r="Y97" s="330"/>
      <c r="Z97" s="330"/>
      <c r="AA97" s="330"/>
      <c r="AB97" s="330"/>
      <c r="AC97" s="330"/>
      <c r="AD97" s="330"/>
      <c r="AE97" s="330"/>
      <c r="AF97" s="330"/>
      <c r="AG97" s="330"/>
      <c r="AH97" s="330"/>
      <c r="AI97" s="330"/>
      <c r="AJ97" s="330"/>
      <c r="AK97" s="330"/>
      <c r="AL97" s="330"/>
      <c r="AM97" s="330"/>
      <c r="AN97" s="330"/>
      <c r="AO97" s="330"/>
      <c r="AP97" s="330"/>
      <c r="AQ97" s="330"/>
      <c r="AR97" s="330"/>
      <c r="AS97" s="330"/>
      <c r="AT97" s="330"/>
      <c r="AU97" s="330"/>
      <c r="AV97" s="330"/>
      <c r="AW97" s="330"/>
      <c r="AX97" s="330"/>
      <c r="AY97" s="330"/>
      <c r="AZ97" s="330"/>
      <c r="BA97" s="330"/>
      <c r="BB97" s="330"/>
      <c r="BC97" s="330"/>
      <c r="BD97" s="330"/>
      <c r="BE97" s="330"/>
      <c r="BF97" s="330"/>
      <c r="BG97" s="330"/>
      <c r="BH97" s="330"/>
      <c r="BI97" s="330"/>
      <c r="BJ97" s="330"/>
      <c r="BK97" s="330"/>
      <c r="BL97" s="330"/>
      <c r="BM97" s="330"/>
      <c r="BN97" s="330"/>
      <c r="BO97" s="330"/>
      <c r="BP97" s="330"/>
      <c r="BQ97" s="330"/>
      <c r="BR97" s="330"/>
      <c r="BS97" s="330"/>
      <c r="BT97" s="330"/>
      <c r="BU97" s="330"/>
      <c r="BV97" s="330"/>
      <c r="BW97" s="330"/>
      <c r="BX97" s="330"/>
      <c r="BY97" s="330"/>
      <c r="BZ97" s="330"/>
      <c r="CA97" s="330"/>
      <c r="CB97" s="330"/>
      <c r="CC97" s="330"/>
      <c r="CD97" s="330"/>
      <c r="CE97" s="330"/>
      <c r="CF97" s="330"/>
      <c r="CG97" s="330"/>
      <c r="CH97" s="330"/>
      <c r="CI97" s="330"/>
    </row>
    <row r="98" spans="1:87" x14ac:dyDescent="0.25">
      <c r="A98" s="313"/>
      <c r="B98" s="271"/>
      <c r="C98" s="313"/>
      <c r="D98" s="192"/>
      <c r="E98" s="192"/>
      <c r="F98" s="187"/>
      <c r="G98" s="192"/>
      <c r="H98" s="192"/>
      <c r="I98" s="192"/>
      <c r="J98" s="192"/>
      <c r="K98" s="192"/>
      <c r="L98" s="192"/>
      <c r="M98" s="192"/>
      <c r="N98" s="202"/>
      <c r="O98" s="192"/>
      <c r="P98" s="195"/>
      <c r="Q98" s="324"/>
      <c r="S98" s="330"/>
      <c r="T98" s="333"/>
      <c r="U98" s="333"/>
      <c r="V98" s="330"/>
      <c r="W98" s="330"/>
      <c r="X98" s="330"/>
      <c r="Y98" s="330"/>
      <c r="Z98" s="330"/>
      <c r="AA98" s="330"/>
      <c r="AB98" s="330"/>
      <c r="AC98" s="330"/>
      <c r="AD98" s="330"/>
      <c r="AE98" s="330"/>
      <c r="AF98" s="330"/>
      <c r="AG98" s="330"/>
      <c r="AH98" s="330"/>
      <c r="AI98" s="330"/>
      <c r="AJ98" s="330"/>
      <c r="AK98" s="330"/>
      <c r="AL98" s="330"/>
      <c r="AM98" s="330"/>
      <c r="AN98" s="330"/>
      <c r="AO98" s="330"/>
      <c r="AP98" s="330"/>
      <c r="AQ98" s="330"/>
      <c r="AR98" s="330"/>
      <c r="AS98" s="330"/>
      <c r="AT98" s="330"/>
      <c r="AU98" s="330"/>
      <c r="AV98" s="330"/>
      <c r="AW98" s="330"/>
      <c r="AX98" s="330"/>
      <c r="AY98" s="330"/>
      <c r="AZ98" s="330"/>
      <c r="BA98" s="330"/>
      <c r="BB98" s="330"/>
      <c r="BC98" s="330"/>
      <c r="BD98" s="330"/>
      <c r="BE98" s="330"/>
      <c r="BF98" s="330"/>
      <c r="BG98" s="330"/>
      <c r="BH98" s="330"/>
      <c r="BI98" s="330"/>
      <c r="BJ98" s="330"/>
      <c r="BK98" s="330"/>
      <c r="BL98" s="330"/>
      <c r="BM98" s="330"/>
      <c r="BN98" s="330"/>
      <c r="BO98" s="330"/>
      <c r="BP98" s="330"/>
      <c r="BQ98" s="330"/>
      <c r="BR98" s="330"/>
      <c r="BS98" s="330"/>
      <c r="BT98" s="330"/>
      <c r="BU98" s="330"/>
      <c r="BV98" s="330"/>
      <c r="BW98" s="330"/>
      <c r="BX98" s="330"/>
      <c r="BY98" s="330"/>
      <c r="BZ98" s="330"/>
      <c r="CA98" s="330"/>
      <c r="CB98" s="330"/>
      <c r="CC98" s="330"/>
      <c r="CD98" s="330"/>
      <c r="CE98" s="330"/>
      <c r="CF98" s="330"/>
      <c r="CG98" s="330"/>
      <c r="CH98" s="330"/>
      <c r="CI98" s="330"/>
    </row>
    <row r="99" spans="1:87" x14ac:dyDescent="0.25">
      <c r="A99" s="313"/>
      <c r="B99" t="s">
        <v>87</v>
      </c>
      <c r="C99" s="312" t="s">
        <v>192</v>
      </c>
      <c r="D99" s="192"/>
      <c r="E99" s="192"/>
      <c r="F99" s="187"/>
      <c r="G99" s="192"/>
      <c r="H99" s="192"/>
      <c r="I99" s="192"/>
      <c r="J99" s="192"/>
      <c r="K99" s="192"/>
      <c r="L99" s="192"/>
      <c r="M99" s="192"/>
      <c r="N99" s="202"/>
      <c r="O99" s="192"/>
      <c r="P99" s="195"/>
      <c r="Q99" s="324"/>
      <c r="S99" s="330"/>
      <c r="T99" s="337">
        <f>ROUND(T103/Y103,0)</f>
        <v>0</v>
      </c>
      <c r="U99" s="337"/>
      <c r="V99" s="330"/>
      <c r="W99" s="330"/>
      <c r="X99" s="330"/>
      <c r="Y99" s="330"/>
      <c r="Z99" s="330"/>
      <c r="AA99" s="330"/>
      <c r="AB99" s="330"/>
      <c r="AC99" s="330"/>
      <c r="AD99" s="330"/>
      <c r="AE99" s="330"/>
      <c r="AF99" s="330"/>
      <c r="AG99" s="330"/>
      <c r="AH99" s="330"/>
      <c r="AI99" s="330"/>
      <c r="AJ99" s="330"/>
      <c r="AK99" s="330"/>
      <c r="AL99" s="330"/>
      <c r="AM99" s="330"/>
      <c r="AN99" s="330"/>
      <c r="AO99" s="330"/>
      <c r="AP99" s="330"/>
      <c r="AQ99" s="330"/>
      <c r="AR99" s="330"/>
      <c r="AS99" s="330"/>
      <c r="AT99" s="330"/>
      <c r="AU99" s="330"/>
      <c r="AV99" s="330"/>
      <c r="AW99" s="330"/>
      <c r="AX99" s="330"/>
      <c r="AY99" s="330"/>
      <c r="AZ99" s="330"/>
      <c r="BA99" s="330"/>
      <c r="BB99" s="330"/>
      <c r="BC99" s="330"/>
      <c r="BD99" s="330"/>
      <c r="BE99" s="330"/>
      <c r="BF99" s="330"/>
      <c r="BG99" s="330"/>
      <c r="BH99" s="330"/>
      <c r="BI99" s="330"/>
      <c r="BJ99" s="330"/>
      <c r="BK99" s="330"/>
      <c r="BL99" s="330"/>
      <c r="BM99" s="330"/>
      <c r="BN99" s="330"/>
      <c r="BO99" s="330"/>
      <c r="BP99" s="330"/>
      <c r="BQ99" s="330"/>
      <c r="BR99" s="330"/>
      <c r="BS99" s="330"/>
      <c r="BT99" s="330"/>
      <c r="BU99" s="330"/>
      <c r="BV99" s="330"/>
      <c r="BW99" s="330"/>
      <c r="BX99" s="330"/>
      <c r="BY99" s="330"/>
      <c r="BZ99" s="330"/>
      <c r="CA99" s="330"/>
      <c r="CB99" s="330"/>
      <c r="CC99" s="330"/>
      <c r="CD99" s="330"/>
      <c r="CE99" s="330"/>
      <c r="CF99" s="330"/>
      <c r="CG99" s="330"/>
      <c r="CH99" s="330"/>
      <c r="CI99" s="330"/>
    </row>
    <row r="100" spans="1:87" ht="15.75" x14ac:dyDescent="0.25">
      <c r="A100" s="313"/>
      <c r="B100" s="295" t="s">
        <v>64</v>
      </c>
      <c r="C100" s="313" t="s">
        <v>172</v>
      </c>
      <c r="D100" s="250">
        <v>1</v>
      </c>
      <c r="E100" s="250">
        <v>1</v>
      </c>
      <c r="F100" s="250">
        <v>1</v>
      </c>
      <c r="G100" s="250">
        <v>1</v>
      </c>
      <c r="H100" s="250">
        <v>1</v>
      </c>
      <c r="I100" s="250">
        <v>1</v>
      </c>
      <c r="J100" s="250">
        <v>1</v>
      </c>
      <c r="K100" s="250">
        <v>1</v>
      </c>
      <c r="L100" s="250">
        <v>1</v>
      </c>
      <c r="M100" s="250">
        <v>1</v>
      </c>
      <c r="N100" s="274"/>
      <c r="O100" s="250">
        <v>1</v>
      </c>
      <c r="P100" s="250">
        <v>1</v>
      </c>
      <c r="Q100" s="373"/>
      <c r="S100" s="330"/>
      <c r="T100" s="430"/>
      <c r="U100" s="337">
        <f>ROUND(T104/Y104,0)</f>
        <v>0</v>
      </c>
      <c r="V100" s="337">
        <f>SUM(U100:U100)</f>
        <v>0</v>
      </c>
      <c r="W100" s="330"/>
      <c r="X100" s="330"/>
      <c r="Y100" s="330"/>
      <c r="Z100" s="330"/>
      <c r="AA100" s="330"/>
      <c r="AB100" s="330"/>
      <c r="AC100" s="330"/>
      <c r="AD100" s="330"/>
      <c r="AE100" s="330"/>
      <c r="AF100" s="330"/>
      <c r="AG100" s="330"/>
      <c r="AH100" s="330"/>
      <c r="AI100" s="330"/>
      <c r="AJ100" s="330"/>
      <c r="AK100" s="330"/>
      <c r="AL100" s="330"/>
      <c r="AM100" s="330"/>
      <c r="AN100" s="330"/>
      <c r="AO100" s="330"/>
      <c r="AP100" s="330"/>
      <c r="AQ100" s="330"/>
      <c r="AR100" s="330"/>
      <c r="AS100" s="330"/>
      <c r="AT100" s="330"/>
      <c r="AU100" s="330"/>
      <c r="AV100" s="330"/>
      <c r="AW100" s="330"/>
      <c r="AX100" s="330"/>
      <c r="AY100" s="330"/>
      <c r="AZ100" s="330"/>
      <c r="BA100" s="330"/>
      <c r="BB100" s="330"/>
      <c r="BC100" s="330"/>
      <c r="BD100" s="330"/>
      <c r="BE100" s="330"/>
      <c r="BF100" s="330"/>
      <c r="BG100" s="330"/>
      <c r="BH100" s="330"/>
      <c r="BI100" s="330"/>
      <c r="BJ100" s="330"/>
      <c r="BK100" s="330"/>
      <c r="BL100" s="330"/>
      <c r="BM100" s="330"/>
      <c r="BN100" s="330"/>
      <c r="BO100" s="330"/>
      <c r="BP100" s="330"/>
      <c r="BQ100" s="330"/>
      <c r="BR100" s="330"/>
      <c r="BS100" s="330"/>
      <c r="BT100" s="330"/>
      <c r="BU100" s="330"/>
      <c r="BV100" s="330"/>
      <c r="BW100" s="330"/>
      <c r="BX100" s="330"/>
      <c r="BY100" s="330"/>
      <c r="BZ100" s="330"/>
      <c r="CA100" s="330"/>
      <c r="CB100" s="330"/>
      <c r="CC100" s="330"/>
      <c r="CD100" s="330"/>
      <c r="CE100" s="330"/>
      <c r="CF100" s="330"/>
      <c r="CG100" s="330"/>
      <c r="CH100" s="330"/>
      <c r="CI100" s="330"/>
    </row>
    <row r="101" spans="1:87" ht="15.75" x14ac:dyDescent="0.25">
      <c r="A101" s="313"/>
      <c r="B101" s="295" t="s">
        <v>71</v>
      </c>
      <c r="C101" s="314" t="s">
        <v>180</v>
      </c>
      <c r="D101" s="251">
        <v>46.59</v>
      </c>
      <c r="E101" s="251">
        <v>15.17</v>
      </c>
      <c r="F101" s="251">
        <v>60.87</v>
      </c>
      <c r="G101" s="251">
        <v>36.72</v>
      </c>
      <c r="H101" s="251">
        <v>38.94</v>
      </c>
      <c r="I101" s="251"/>
      <c r="J101" s="251"/>
      <c r="K101" s="251"/>
      <c r="L101" s="251"/>
      <c r="M101" s="251"/>
      <c r="N101" s="207"/>
      <c r="O101" s="251"/>
      <c r="P101" s="287"/>
      <c r="Q101" s="374"/>
      <c r="S101" s="334"/>
      <c r="T101" s="430">
        <v>505</v>
      </c>
      <c r="U101" s="332">
        <v>0</v>
      </c>
      <c r="V101" s="330" t="s">
        <v>92</v>
      </c>
      <c r="W101" s="333"/>
      <c r="X101" s="330"/>
      <c r="Y101" s="425" t="s">
        <v>90</v>
      </c>
      <c r="Z101" s="330"/>
      <c r="AA101" s="336"/>
      <c r="AB101" s="330"/>
      <c r="AC101" s="330"/>
      <c r="AD101" s="330"/>
      <c r="AE101" s="330"/>
      <c r="AF101" s="330"/>
      <c r="AG101" s="330"/>
      <c r="AH101" s="330"/>
      <c r="AI101" s="330"/>
      <c r="AJ101" s="330"/>
      <c r="AK101" s="330"/>
      <c r="AL101" s="330"/>
      <c r="AM101" s="330"/>
      <c r="AN101" s="330"/>
      <c r="AO101" s="330"/>
      <c r="AP101" s="330"/>
      <c r="AQ101" s="330"/>
      <c r="AR101" s="330"/>
      <c r="AS101" s="330"/>
      <c r="AT101" s="330"/>
      <c r="AU101" s="330"/>
      <c r="AV101" s="330"/>
      <c r="AW101" s="330"/>
      <c r="AX101" s="330"/>
      <c r="AY101" s="330"/>
      <c r="AZ101" s="330"/>
      <c r="BA101" s="330"/>
      <c r="BB101" s="330"/>
      <c r="BC101" s="330"/>
      <c r="BD101" s="330"/>
      <c r="BE101" s="330"/>
      <c r="BF101" s="330"/>
      <c r="BG101" s="330"/>
      <c r="BH101" s="330"/>
      <c r="BI101" s="330"/>
      <c r="BJ101" s="330"/>
      <c r="BK101" s="330"/>
      <c r="BL101" s="330"/>
      <c r="BM101" s="330"/>
      <c r="BN101" s="330"/>
      <c r="BO101" s="330"/>
      <c r="BP101" s="330"/>
      <c r="BQ101" s="330"/>
      <c r="BR101" s="330"/>
      <c r="BS101" s="330"/>
      <c r="BT101" s="330"/>
      <c r="BU101" s="330"/>
      <c r="BV101" s="330"/>
      <c r="BW101" s="330"/>
      <c r="BX101" s="330"/>
      <c r="BY101" s="330"/>
      <c r="BZ101" s="330"/>
      <c r="CA101" s="330"/>
      <c r="CB101" s="330"/>
      <c r="CC101" s="330"/>
      <c r="CD101" s="330"/>
      <c r="CE101" s="330"/>
      <c r="CF101" s="330"/>
      <c r="CG101" s="330"/>
      <c r="CH101" s="330"/>
      <c r="CI101" s="330"/>
    </row>
    <row r="102" spans="1:87" ht="15.75" x14ac:dyDescent="0.25">
      <c r="A102" s="313"/>
      <c r="B102" s="295" t="s">
        <v>71</v>
      </c>
      <c r="C102" s="314" t="s">
        <v>181</v>
      </c>
      <c r="D102" s="298"/>
      <c r="E102" s="298">
        <v>0</v>
      </c>
      <c r="F102" s="298">
        <v>0</v>
      </c>
      <c r="G102" s="251"/>
      <c r="H102" s="251"/>
      <c r="I102" s="251"/>
      <c r="J102" s="251"/>
      <c r="K102" s="251"/>
      <c r="L102" s="251"/>
      <c r="M102" s="251"/>
      <c r="N102" s="207"/>
      <c r="O102" s="251"/>
      <c r="P102" s="287"/>
      <c r="Q102" s="374"/>
      <c r="S102" s="334" t="s">
        <v>90</v>
      </c>
      <c r="T102" s="335">
        <v>0</v>
      </c>
      <c r="U102" s="336" t="e">
        <f>T102/U101</f>
        <v>#DIV/0!</v>
      </c>
      <c r="V102" s="330"/>
      <c r="W102" s="336" t="e">
        <f>T102/U101</f>
        <v>#DIV/0!</v>
      </c>
      <c r="X102" s="330"/>
      <c r="Y102" s="330">
        <v>0.16113</v>
      </c>
      <c r="Z102" s="330"/>
      <c r="AA102" s="336" t="e">
        <f>Y102-W102</f>
        <v>#DIV/0!</v>
      </c>
      <c r="AB102" s="330"/>
      <c r="AC102" s="330"/>
      <c r="AD102" s="330"/>
      <c r="AE102" s="330"/>
      <c r="AF102" s="330"/>
      <c r="AG102" s="330"/>
      <c r="AH102" s="330"/>
      <c r="AI102" s="330"/>
      <c r="AJ102" s="330"/>
      <c r="AK102" s="330"/>
      <c r="AL102" s="330"/>
      <c r="AM102" s="330"/>
      <c r="AN102" s="330"/>
      <c r="AO102" s="330"/>
      <c r="AP102" s="330"/>
      <c r="AQ102" s="330"/>
      <c r="AR102" s="330"/>
      <c r="AS102" s="330"/>
      <c r="AT102" s="330"/>
      <c r="AU102" s="330"/>
      <c r="AV102" s="330"/>
      <c r="AW102" s="330"/>
      <c r="AX102" s="330"/>
      <c r="AY102" s="330"/>
      <c r="AZ102" s="330"/>
      <c r="BA102" s="330"/>
      <c r="BB102" s="330"/>
      <c r="BC102" s="330"/>
      <c r="BD102" s="330"/>
      <c r="BE102" s="330"/>
      <c r="BF102" s="330"/>
      <c r="BG102" s="330"/>
      <c r="BH102" s="330"/>
      <c r="BI102" s="330"/>
      <c r="BJ102" s="330"/>
      <c r="BK102" s="330"/>
      <c r="BL102" s="330"/>
      <c r="BM102" s="330"/>
      <c r="BN102" s="330"/>
      <c r="BO102" s="330"/>
      <c r="BP102" s="330"/>
      <c r="BQ102" s="330"/>
      <c r="BR102" s="330"/>
      <c r="BS102" s="330"/>
      <c r="BT102" s="330"/>
      <c r="BU102" s="330"/>
      <c r="BV102" s="330"/>
      <c r="BW102" s="330"/>
      <c r="BX102" s="330"/>
      <c r="BY102" s="330"/>
      <c r="BZ102" s="330"/>
      <c r="CA102" s="330"/>
      <c r="CB102" s="330"/>
      <c r="CC102" s="330"/>
      <c r="CD102" s="330"/>
      <c r="CE102" s="330"/>
      <c r="CF102" s="330"/>
      <c r="CG102" s="330"/>
      <c r="CH102" s="330"/>
      <c r="CI102" s="330"/>
    </row>
    <row r="103" spans="1:87" ht="15.75" x14ac:dyDescent="0.25">
      <c r="A103" s="313"/>
      <c r="B103" s="295" t="s">
        <v>72</v>
      </c>
      <c r="C103" s="318" t="s">
        <v>204</v>
      </c>
      <c r="D103" s="276">
        <v>15.17</v>
      </c>
      <c r="E103" s="276">
        <v>60.87</v>
      </c>
      <c r="F103" s="276">
        <v>36.72</v>
      </c>
      <c r="G103" s="276">
        <v>38.94</v>
      </c>
      <c r="H103" s="276">
        <v>0</v>
      </c>
      <c r="I103" s="276"/>
      <c r="J103" s="276"/>
      <c r="K103" s="276"/>
      <c r="L103" s="276"/>
      <c r="M103" s="276"/>
      <c r="N103" s="207"/>
      <c r="O103" s="276"/>
      <c r="P103" s="285"/>
      <c r="Q103" s="374"/>
      <c r="S103" s="334" t="s">
        <v>90</v>
      </c>
      <c r="T103" s="335">
        <v>0</v>
      </c>
      <c r="U103" s="336" t="e">
        <f>T103/T99</f>
        <v>#DIV/0!</v>
      </c>
      <c r="V103" s="330"/>
      <c r="W103" s="336" t="e">
        <f>T103/T99</f>
        <v>#DIV/0!</v>
      </c>
      <c r="X103" s="330"/>
      <c r="Y103" s="330">
        <v>0.12471</v>
      </c>
      <c r="Z103" s="330"/>
      <c r="AA103" s="336" t="e">
        <f>Y103-W103</f>
        <v>#DIV/0!</v>
      </c>
      <c r="AB103" s="330"/>
      <c r="AC103" s="330"/>
      <c r="AD103" s="330"/>
      <c r="AE103" s="330"/>
      <c r="AF103" s="330"/>
      <c r="AG103" s="330"/>
      <c r="AH103" s="330"/>
      <c r="AI103" s="330"/>
      <c r="AJ103" s="330"/>
      <c r="AK103" s="330"/>
      <c r="AL103" s="330"/>
      <c r="AM103" s="330"/>
      <c r="AN103" s="330"/>
      <c r="AO103" s="330"/>
      <c r="AP103" s="330"/>
      <c r="AQ103" s="330"/>
      <c r="AR103" s="330"/>
      <c r="AS103" s="330"/>
      <c r="AT103" s="330"/>
      <c r="AU103" s="330"/>
      <c r="AV103" s="330"/>
      <c r="AW103" s="330"/>
      <c r="AX103" s="330"/>
      <c r="AY103" s="330"/>
      <c r="AZ103" s="330"/>
      <c r="BA103" s="330"/>
      <c r="BB103" s="330"/>
      <c r="BC103" s="330"/>
      <c r="BD103" s="330"/>
      <c r="BE103" s="330"/>
      <c r="BF103" s="330"/>
      <c r="BG103" s="330"/>
      <c r="BH103" s="330"/>
      <c r="BI103" s="330"/>
      <c r="BJ103" s="330"/>
      <c r="BK103" s="330"/>
      <c r="BL103" s="330"/>
      <c r="BM103" s="330"/>
      <c r="BN103" s="330"/>
      <c r="BO103" s="330"/>
      <c r="BP103" s="330"/>
      <c r="BQ103" s="330"/>
      <c r="BR103" s="330"/>
      <c r="BS103" s="330"/>
      <c r="BT103" s="330"/>
      <c r="BU103" s="330"/>
      <c r="BV103" s="330"/>
      <c r="BW103" s="330"/>
      <c r="BX103" s="330"/>
      <c r="BY103" s="330"/>
      <c r="BZ103" s="330"/>
      <c r="CA103" s="330"/>
      <c r="CB103" s="330"/>
      <c r="CC103" s="330"/>
      <c r="CD103" s="330"/>
      <c r="CE103" s="330"/>
      <c r="CF103" s="330"/>
      <c r="CG103" s="330"/>
      <c r="CH103" s="330"/>
      <c r="CI103" s="330"/>
    </row>
    <row r="104" spans="1:87" ht="15.75" x14ac:dyDescent="0.25">
      <c r="A104" s="313"/>
      <c r="B104" s="376" t="s">
        <v>72</v>
      </c>
      <c r="C104" s="319" t="s">
        <v>205</v>
      </c>
      <c r="D104" s="352"/>
      <c r="E104" s="353">
        <v>0</v>
      </c>
      <c r="F104" s="303"/>
      <c r="G104" s="351"/>
      <c r="H104" s="351"/>
      <c r="I104" s="351"/>
      <c r="J104" s="351"/>
      <c r="K104" s="351"/>
      <c r="L104" s="351"/>
      <c r="M104" s="351"/>
      <c r="N104" s="398"/>
      <c r="O104" s="351"/>
      <c r="P104" s="424"/>
      <c r="Q104" s="374"/>
      <c r="S104" s="334" t="s">
        <v>90</v>
      </c>
      <c r="T104" s="335">
        <v>0</v>
      </c>
      <c r="U104" s="336" t="e">
        <f>T104/U100</f>
        <v>#DIV/0!</v>
      </c>
      <c r="V104" s="330"/>
      <c r="W104" s="336" t="e">
        <f>T104/U100</f>
        <v>#DIV/0!</v>
      </c>
      <c r="X104" s="330"/>
      <c r="Y104" s="330">
        <v>3.4639999999999997E-2</v>
      </c>
      <c r="Z104" s="330"/>
      <c r="AA104" s="336" t="e">
        <f>Y104-W104</f>
        <v>#DIV/0!</v>
      </c>
      <c r="AB104" s="330"/>
      <c r="AC104" s="330"/>
      <c r="AD104" s="330"/>
      <c r="AE104" s="330"/>
      <c r="AF104" s="330"/>
      <c r="AG104" s="330"/>
      <c r="AH104" s="330"/>
      <c r="AI104" s="330"/>
      <c r="AJ104" s="330"/>
      <c r="AK104" s="330"/>
      <c r="AL104" s="330"/>
      <c r="AM104" s="330"/>
      <c r="AN104" s="330"/>
      <c r="AO104" s="330"/>
      <c r="AP104" s="330"/>
      <c r="AQ104" s="330"/>
      <c r="AR104" s="330"/>
      <c r="AS104" s="330"/>
      <c r="AT104" s="330"/>
      <c r="AU104" s="330"/>
      <c r="AV104" s="330"/>
      <c r="AW104" s="330"/>
      <c r="AX104" s="330"/>
      <c r="AY104" s="330"/>
      <c r="AZ104" s="330"/>
      <c r="BA104" s="330"/>
      <c r="BB104" s="330"/>
      <c r="BC104" s="330"/>
      <c r="BD104" s="330"/>
      <c r="BE104" s="330"/>
      <c r="BF104" s="330"/>
      <c r="BG104" s="330"/>
      <c r="BH104" s="330"/>
      <c r="BI104" s="330"/>
      <c r="BJ104" s="330"/>
      <c r="BK104" s="330"/>
      <c r="BL104" s="330"/>
      <c r="BM104" s="330"/>
      <c r="BN104" s="330"/>
      <c r="BO104" s="330"/>
      <c r="BP104" s="330"/>
      <c r="BQ104" s="330"/>
      <c r="BR104" s="330"/>
      <c r="BS104" s="330"/>
      <c r="BT104" s="330"/>
      <c r="BU104" s="330"/>
      <c r="BV104" s="330"/>
      <c r="BW104" s="330"/>
      <c r="BX104" s="330"/>
      <c r="BY104" s="330"/>
      <c r="BZ104" s="330"/>
      <c r="CA104" s="330"/>
      <c r="CB104" s="330"/>
      <c r="CC104" s="330"/>
      <c r="CD104" s="330"/>
      <c r="CE104" s="330"/>
      <c r="CF104" s="330"/>
      <c r="CG104" s="330"/>
      <c r="CH104" s="330"/>
      <c r="CI104" s="330"/>
    </row>
    <row r="105" spans="1:87" ht="15.75" x14ac:dyDescent="0.25">
      <c r="A105" s="313"/>
      <c r="B105" s="295" t="s">
        <v>72</v>
      </c>
      <c r="C105" s="320" t="s">
        <v>185</v>
      </c>
      <c r="D105" s="187">
        <f>+-'WACAP 2019'!P124</f>
        <v>-46.59</v>
      </c>
      <c r="E105" s="187">
        <f t="shared" ref="E105:P106" si="53">-D103</f>
        <v>-15.17</v>
      </c>
      <c r="F105" s="397">
        <f t="shared" si="53"/>
        <v>-60.87</v>
      </c>
      <c r="G105" s="187">
        <f t="shared" si="53"/>
        <v>-36.72</v>
      </c>
      <c r="H105" s="187">
        <f t="shared" si="53"/>
        <v>-38.94</v>
      </c>
      <c r="I105" s="187">
        <f t="shared" si="53"/>
        <v>0</v>
      </c>
      <c r="J105" s="187">
        <f t="shared" si="53"/>
        <v>0</v>
      </c>
      <c r="K105" s="187">
        <f>-J103</f>
        <v>0</v>
      </c>
      <c r="L105" s="187">
        <f>-K103</f>
        <v>0</v>
      </c>
      <c r="M105" s="187">
        <f t="shared" si="53"/>
        <v>0</v>
      </c>
      <c r="N105" s="208"/>
      <c r="O105" s="187">
        <f>-M103</f>
        <v>0</v>
      </c>
      <c r="P105" s="188">
        <f t="shared" si="53"/>
        <v>0</v>
      </c>
      <c r="Q105" s="374"/>
      <c r="S105" s="334" t="s">
        <v>91</v>
      </c>
      <c r="T105" s="335">
        <v>0</v>
      </c>
      <c r="U105" s="336" t="e">
        <f>T105/U101</f>
        <v>#DIV/0!</v>
      </c>
      <c r="V105" s="330"/>
      <c r="W105" s="336" t="e">
        <f>T105/U101</f>
        <v>#DIV/0!</v>
      </c>
      <c r="X105" s="330"/>
      <c r="Y105" s="338">
        <f>+Y25</f>
        <v>0.41911999999999999</v>
      </c>
      <c r="Z105" s="330"/>
      <c r="AA105" s="336" t="e">
        <f>Y105-W105</f>
        <v>#DIV/0!</v>
      </c>
      <c r="AB105" s="330"/>
      <c r="AC105" s="330"/>
      <c r="AD105" s="330"/>
      <c r="AE105" s="330"/>
      <c r="AF105" s="330"/>
      <c r="AG105" s="330"/>
      <c r="AH105" s="330"/>
      <c r="AI105" s="330"/>
      <c r="AJ105" s="330"/>
      <c r="AK105" s="330"/>
      <c r="AL105" s="330"/>
      <c r="AM105" s="330"/>
      <c r="AN105" s="330"/>
      <c r="AO105" s="330"/>
      <c r="AP105" s="330"/>
      <c r="AQ105" s="330"/>
      <c r="AR105" s="330"/>
      <c r="AS105" s="330"/>
      <c r="AT105" s="330"/>
      <c r="AU105" s="330"/>
      <c r="AV105" s="330"/>
      <c r="AW105" s="330"/>
      <c r="AX105" s="330"/>
      <c r="AY105" s="330"/>
      <c r="AZ105" s="330"/>
      <c r="BA105" s="330"/>
      <c r="BB105" s="330"/>
      <c r="BC105" s="330"/>
      <c r="BD105" s="330"/>
      <c r="BE105" s="330"/>
      <c r="BF105" s="330"/>
      <c r="BG105" s="330"/>
      <c r="BH105" s="330"/>
      <c r="BI105" s="330"/>
      <c r="BJ105" s="330"/>
      <c r="BK105" s="330"/>
      <c r="BL105" s="330"/>
      <c r="BM105" s="330"/>
      <c r="BN105" s="330"/>
      <c r="BO105" s="330"/>
      <c r="BP105" s="330"/>
      <c r="BQ105" s="330"/>
      <c r="BR105" s="330"/>
      <c r="BS105" s="330"/>
      <c r="BT105" s="330"/>
      <c r="BU105" s="330"/>
      <c r="BV105" s="330"/>
      <c r="BW105" s="330"/>
      <c r="BX105" s="330"/>
      <c r="BY105" s="330"/>
      <c r="BZ105" s="330"/>
      <c r="CA105" s="330"/>
      <c r="CB105" s="330"/>
      <c r="CC105" s="330"/>
      <c r="CD105" s="330"/>
      <c r="CE105" s="330"/>
      <c r="CF105" s="330"/>
      <c r="CG105" s="330"/>
      <c r="CH105" s="330"/>
      <c r="CI105" s="330"/>
    </row>
    <row r="106" spans="1:87" x14ac:dyDescent="0.25">
      <c r="A106" s="313"/>
      <c r="B106" s="295" t="s">
        <v>72</v>
      </c>
      <c r="C106" s="314" t="s">
        <v>186</v>
      </c>
      <c r="D106" s="189">
        <f>-'WACAP 2019'!P125</f>
        <v>0</v>
      </c>
      <c r="E106" s="189">
        <f t="shared" si="53"/>
        <v>0</v>
      </c>
      <c r="F106" s="189">
        <f t="shared" si="53"/>
        <v>0</v>
      </c>
      <c r="G106" s="189">
        <f t="shared" si="53"/>
        <v>0</v>
      </c>
      <c r="H106" s="189">
        <f t="shared" si="53"/>
        <v>0</v>
      </c>
      <c r="I106" s="189">
        <f t="shared" si="53"/>
        <v>0</v>
      </c>
      <c r="J106" s="189">
        <f t="shared" si="53"/>
        <v>0</v>
      </c>
      <c r="K106" s="189">
        <f t="shared" si="53"/>
        <v>0</v>
      </c>
      <c r="L106" s="189">
        <f>-K104</f>
        <v>0</v>
      </c>
      <c r="M106" s="189">
        <f t="shared" si="53"/>
        <v>0</v>
      </c>
      <c r="N106" s="209"/>
      <c r="O106" s="189">
        <f>-M104</f>
        <v>0</v>
      </c>
      <c r="P106" s="190">
        <f t="shared" si="53"/>
        <v>0</v>
      </c>
      <c r="Q106" s="374"/>
      <c r="S106" s="330"/>
      <c r="T106" s="330"/>
      <c r="U106" s="330"/>
      <c r="V106" s="330"/>
      <c r="W106" s="330"/>
      <c r="X106" s="330"/>
      <c r="Y106" s="330"/>
      <c r="Z106" s="330"/>
      <c r="AA106" s="330"/>
      <c r="AB106" s="330"/>
      <c r="AC106" s="330"/>
      <c r="AD106" s="330"/>
      <c r="AE106" s="330"/>
      <c r="AF106" s="330"/>
      <c r="AG106" s="330"/>
      <c r="AH106" s="330"/>
      <c r="AI106" s="330"/>
      <c r="AJ106" s="330"/>
      <c r="AK106" s="330"/>
      <c r="AL106" s="330"/>
      <c r="AM106" s="330"/>
      <c r="AN106" s="330"/>
      <c r="AO106" s="330"/>
      <c r="AP106" s="330"/>
      <c r="AQ106" s="330"/>
      <c r="AR106" s="330"/>
      <c r="AS106" s="330"/>
      <c r="AT106" s="330"/>
      <c r="AU106" s="330"/>
      <c r="AV106" s="330"/>
      <c r="AW106" s="330"/>
      <c r="AX106" s="330"/>
      <c r="AY106" s="330"/>
      <c r="AZ106" s="330"/>
      <c r="BA106" s="330"/>
      <c r="BB106" s="330"/>
      <c r="BC106" s="330"/>
      <c r="BD106" s="330"/>
      <c r="BE106" s="330"/>
      <c r="BF106" s="330"/>
      <c r="BG106" s="330"/>
      <c r="BH106" s="330"/>
      <c r="BI106" s="330"/>
      <c r="BJ106" s="330"/>
      <c r="BK106" s="330"/>
      <c r="BL106" s="330"/>
      <c r="BM106" s="330"/>
      <c r="BN106" s="330"/>
      <c r="BO106" s="330"/>
      <c r="BP106" s="330"/>
      <c r="BQ106" s="330"/>
      <c r="BR106" s="330"/>
      <c r="BS106" s="330"/>
      <c r="BT106" s="330"/>
      <c r="BU106" s="330"/>
      <c r="BV106" s="330"/>
      <c r="BW106" s="330"/>
      <c r="BX106" s="330"/>
      <c r="BY106" s="330"/>
      <c r="BZ106" s="330"/>
      <c r="CA106" s="330"/>
      <c r="CB106" s="330"/>
      <c r="CC106" s="330"/>
      <c r="CD106" s="330"/>
      <c r="CE106" s="330"/>
      <c r="CF106" s="330"/>
      <c r="CG106" s="330"/>
      <c r="CH106" s="330"/>
      <c r="CI106" s="330"/>
    </row>
    <row r="107" spans="1:87" x14ac:dyDescent="0.25">
      <c r="A107" s="313"/>
      <c r="B107" s="271"/>
      <c r="C107" s="311" t="s">
        <v>74</v>
      </c>
      <c r="D107" s="187">
        <f t="shared" ref="D107:P107" si="54">SUM(D101:D106)</f>
        <v>15.170000000000002</v>
      </c>
      <c r="E107" s="187">
        <f t="shared" si="54"/>
        <v>60.86999999999999</v>
      </c>
      <c r="F107" s="187">
        <f t="shared" si="54"/>
        <v>36.720000000000006</v>
      </c>
      <c r="G107" s="187">
        <f t="shared" si="54"/>
        <v>38.94</v>
      </c>
      <c r="H107" s="187">
        <f t="shared" si="54"/>
        <v>0</v>
      </c>
      <c r="I107" s="187">
        <f t="shared" si="54"/>
        <v>0</v>
      </c>
      <c r="J107" s="187">
        <f t="shared" si="54"/>
        <v>0</v>
      </c>
      <c r="K107" s="187">
        <f t="shared" si="54"/>
        <v>0</v>
      </c>
      <c r="L107" s="187">
        <f t="shared" si="54"/>
        <v>0</v>
      </c>
      <c r="M107" s="187">
        <f t="shared" si="54"/>
        <v>0</v>
      </c>
      <c r="N107" s="208"/>
      <c r="O107" s="187">
        <f t="shared" si="54"/>
        <v>0</v>
      </c>
      <c r="P107" s="188">
        <f t="shared" si="54"/>
        <v>0</v>
      </c>
      <c r="Q107" s="324"/>
      <c r="S107" s="330"/>
      <c r="T107" s="330"/>
      <c r="U107" s="330"/>
      <c r="V107" s="330"/>
      <c r="W107" s="330"/>
      <c r="X107" s="330"/>
      <c r="Y107" s="330"/>
      <c r="Z107" s="330"/>
      <c r="AA107" s="330"/>
      <c r="AB107" s="330"/>
      <c r="AC107" s="330"/>
      <c r="AD107" s="330"/>
      <c r="AE107" s="330"/>
      <c r="AF107" s="330"/>
      <c r="AG107" s="330"/>
      <c r="AH107" s="330"/>
      <c r="AI107" s="330"/>
      <c r="AJ107" s="330"/>
      <c r="AK107" s="330"/>
      <c r="AL107" s="330"/>
      <c r="AM107" s="330"/>
      <c r="AN107" s="330"/>
      <c r="AO107" s="330"/>
      <c r="AP107" s="330"/>
      <c r="AQ107" s="330"/>
      <c r="AR107" s="330"/>
      <c r="AS107" s="330"/>
      <c r="AT107" s="330"/>
      <c r="AU107" s="330"/>
      <c r="AV107" s="330"/>
      <c r="AW107" s="330"/>
      <c r="AX107" s="330"/>
      <c r="AY107" s="330"/>
      <c r="AZ107" s="330"/>
      <c r="BA107" s="330"/>
      <c r="BB107" s="330"/>
      <c r="BC107" s="330"/>
      <c r="BD107" s="330"/>
      <c r="BE107" s="330"/>
      <c r="BF107" s="330"/>
      <c r="BG107" s="330"/>
      <c r="BH107" s="330"/>
      <c r="BI107" s="330"/>
      <c r="BJ107" s="330"/>
      <c r="BK107" s="330"/>
      <c r="BL107" s="330"/>
      <c r="BM107" s="330"/>
      <c r="BN107" s="330"/>
      <c r="BO107" s="330"/>
      <c r="BP107" s="330"/>
      <c r="BQ107" s="330"/>
      <c r="BR107" s="330"/>
      <c r="BS107" s="330"/>
      <c r="BT107" s="330"/>
      <c r="BU107" s="330"/>
      <c r="BV107" s="330"/>
      <c r="BW107" s="330"/>
      <c r="BX107" s="330"/>
      <c r="BY107" s="330"/>
      <c r="BZ107" s="330"/>
      <c r="CA107" s="330"/>
      <c r="CB107" s="330"/>
      <c r="CC107" s="330"/>
      <c r="CD107" s="330"/>
      <c r="CE107" s="330"/>
      <c r="CF107" s="330"/>
      <c r="CG107" s="330"/>
      <c r="CH107" s="330"/>
      <c r="CI107" s="330"/>
    </row>
    <row r="108" spans="1:87" x14ac:dyDescent="0.25">
      <c r="A108" s="313"/>
      <c r="B108" s="271"/>
      <c r="C108" s="436" t="s">
        <v>73</v>
      </c>
      <c r="D108" s="307">
        <f>ROUND(-'Authorized Margins 2019'!J14*'WACAP 2020'!D100,2)</f>
        <v>-498.23</v>
      </c>
      <c r="E108" s="189">
        <f>ROUND(-'Authorized Margins 2019'!K14*'WACAP 2020'!E100,2)</f>
        <v>-423.12</v>
      </c>
      <c r="F108" s="422">
        <f>ROUND(-'Authorized Margins 2020'!F11*'WACAP 2020'!F100,2)</f>
        <v>-500.28</v>
      </c>
      <c r="G108" s="189">
        <f>ROUND(-'Authorized Margins 2020'!G11*'WACAP 2020'!G100,2)</f>
        <v>-392.85</v>
      </c>
      <c r="H108" s="189">
        <f>ROUND(-'Authorized Margins 2020'!H11*'WACAP 2020'!H100,2)</f>
        <v>-285.11</v>
      </c>
      <c r="I108" s="189">
        <f>ROUND(-'Authorized Margins 2020'!I11*'WACAP 2020'!I100,2)</f>
        <v>-211.79</v>
      </c>
      <c r="J108" s="189">
        <f>ROUND(-'Authorized Margins 2020'!J11*'WACAP 2020'!J100,2)</f>
        <v>-187.39</v>
      </c>
      <c r="K108" s="189">
        <f>ROUND(-'Authorized Margins 2020'!K11*'WACAP 2020'!K100,2)</f>
        <v>-198.78</v>
      </c>
      <c r="L108" s="189">
        <f>ROUND(-'Authorized Margins 2020'!L11*'WACAP 2020'!L100,2)</f>
        <v>-227.75</v>
      </c>
      <c r="M108" s="189">
        <f>ROUND(-'Authorized Margins 2020'!M11*'WACAP 2020'!M100,2)</f>
        <v>-364.68</v>
      </c>
      <c r="N108" s="209"/>
      <c r="O108" s="189">
        <f>ROUND(-'Authorized Margins 2020'!O11*'WACAP 2020'!O100,2)</f>
        <v>-347.5</v>
      </c>
      <c r="P108" s="190">
        <f>ROUND(-'Authorized Margins 2020'!P11*'WACAP 2020'!P100,2)</f>
        <v>-516.03</v>
      </c>
      <c r="Q108" s="324"/>
      <c r="S108" s="330"/>
      <c r="T108" s="330"/>
      <c r="U108" s="330"/>
      <c r="V108" s="330"/>
      <c r="W108" s="330"/>
      <c r="X108" s="330"/>
      <c r="Y108" s="330"/>
      <c r="Z108" s="330"/>
      <c r="AA108" s="330"/>
      <c r="AB108" s="330"/>
      <c r="AC108" s="330"/>
      <c r="AD108" s="330"/>
      <c r="AE108" s="330"/>
      <c r="AF108" s="330"/>
      <c r="AG108" s="330"/>
      <c r="AH108" s="330"/>
      <c r="AI108" s="330"/>
      <c r="AJ108" s="330"/>
      <c r="AK108" s="330"/>
      <c r="AL108" s="330"/>
      <c r="AM108" s="330"/>
      <c r="AN108" s="330"/>
      <c r="AO108" s="330"/>
      <c r="AP108" s="330"/>
      <c r="AQ108" s="330"/>
      <c r="AR108" s="330"/>
      <c r="AS108" s="330"/>
      <c r="AT108" s="330"/>
      <c r="AU108" s="330"/>
      <c r="AV108" s="330"/>
      <c r="AW108" s="330"/>
      <c r="AX108" s="330"/>
      <c r="AY108" s="330"/>
      <c r="AZ108" s="330"/>
      <c r="BA108" s="330"/>
      <c r="BB108" s="330"/>
      <c r="BC108" s="330"/>
      <c r="BD108" s="330"/>
      <c r="BE108" s="330"/>
      <c r="BF108" s="330"/>
      <c r="BG108" s="330"/>
      <c r="BH108" s="330"/>
      <c r="BI108" s="330"/>
      <c r="BJ108" s="330"/>
      <c r="BK108" s="330"/>
      <c r="BL108" s="330"/>
      <c r="BM108" s="330"/>
      <c r="BN108" s="330"/>
      <c r="BO108" s="330"/>
      <c r="BP108" s="330"/>
      <c r="BQ108" s="330"/>
      <c r="BR108" s="330"/>
      <c r="BS108" s="330"/>
      <c r="BT108" s="330"/>
      <c r="BU108" s="330"/>
      <c r="BV108" s="330"/>
      <c r="BW108" s="330"/>
      <c r="BX108" s="330"/>
      <c r="BY108" s="330"/>
      <c r="BZ108" s="330"/>
      <c r="CA108" s="330"/>
      <c r="CB108" s="330"/>
      <c r="CC108" s="330"/>
      <c r="CD108" s="330"/>
      <c r="CE108" s="330"/>
      <c r="CF108" s="330"/>
      <c r="CG108" s="330"/>
      <c r="CH108" s="330"/>
      <c r="CI108" s="330"/>
    </row>
    <row r="109" spans="1:87" x14ac:dyDescent="0.25">
      <c r="A109" s="313"/>
      <c r="B109" s="271"/>
      <c r="C109" s="364" t="s">
        <v>201</v>
      </c>
      <c r="D109" s="187">
        <f t="shared" ref="D109:P109" si="55">SUM(D107:D108)</f>
        <v>-483.06</v>
      </c>
      <c r="E109" s="187">
        <f t="shared" si="55"/>
        <v>-362.25</v>
      </c>
      <c r="F109" s="187">
        <f t="shared" si="55"/>
        <v>-463.55999999999995</v>
      </c>
      <c r="G109" s="187">
        <f t="shared" si="55"/>
        <v>-353.91</v>
      </c>
      <c r="H109" s="187">
        <f t="shared" si="55"/>
        <v>-285.11</v>
      </c>
      <c r="I109" s="187">
        <f t="shared" si="55"/>
        <v>-211.79</v>
      </c>
      <c r="J109" s="187">
        <f t="shared" si="55"/>
        <v>-187.39</v>
      </c>
      <c r="K109" s="187">
        <f t="shared" si="55"/>
        <v>-198.78</v>
      </c>
      <c r="L109" s="187">
        <f t="shared" si="55"/>
        <v>-227.75</v>
      </c>
      <c r="M109" s="187">
        <f t="shared" si="55"/>
        <v>-364.68</v>
      </c>
      <c r="N109" s="302">
        <f>-'WACAP 2019'!R132</f>
        <v>3451.1799999999994</v>
      </c>
      <c r="O109" s="187">
        <f t="shared" si="55"/>
        <v>-347.5</v>
      </c>
      <c r="P109" s="188">
        <f t="shared" si="55"/>
        <v>-516.03</v>
      </c>
      <c r="Q109" s="374">
        <f>SUM(D109:P109)-N109</f>
        <v>-4001.8099999999995</v>
      </c>
      <c r="S109" s="330"/>
      <c r="T109" s="330"/>
      <c r="U109" s="330"/>
      <c r="V109" s="330"/>
      <c r="W109" s="330"/>
      <c r="X109" s="330"/>
      <c r="Y109" s="330"/>
      <c r="Z109" s="330"/>
      <c r="AA109" s="330"/>
      <c r="AB109" s="330"/>
      <c r="AC109" s="330"/>
      <c r="AD109" s="330"/>
      <c r="AE109" s="330"/>
      <c r="AF109" s="330"/>
      <c r="AG109" s="330"/>
      <c r="AH109" s="330"/>
      <c r="AI109" s="330"/>
      <c r="AJ109" s="330"/>
      <c r="AK109" s="330"/>
      <c r="AL109" s="330"/>
      <c r="AM109" s="330"/>
      <c r="AN109" s="330"/>
      <c r="AO109" s="330"/>
      <c r="AP109" s="330"/>
      <c r="AQ109" s="330"/>
      <c r="AR109" s="330"/>
      <c r="AS109" s="330"/>
      <c r="AT109" s="330"/>
      <c r="AU109" s="330"/>
      <c r="AV109" s="330"/>
      <c r="AW109" s="330"/>
      <c r="AX109" s="330"/>
      <c r="AY109" s="330"/>
      <c r="AZ109" s="330"/>
      <c r="BA109" s="330"/>
      <c r="BB109" s="330"/>
      <c r="BC109" s="330"/>
      <c r="BD109" s="330"/>
      <c r="BE109" s="330"/>
      <c r="BF109" s="330"/>
      <c r="BG109" s="330"/>
      <c r="BH109" s="330"/>
      <c r="BI109" s="330"/>
      <c r="BJ109" s="330"/>
      <c r="BK109" s="330"/>
      <c r="BL109" s="330"/>
      <c r="BM109" s="330"/>
      <c r="BN109" s="330"/>
      <c r="BO109" s="330"/>
      <c r="BP109" s="330"/>
      <c r="BQ109" s="330"/>
      <c r="BR109" s="330"/>
      <c r="BS109" s="330"/>
      <c r="BT109" s="330"/>
      <c r="BU109" s="330"/>
      <c r="BV109" s="330"/>
      <c r="BW109" s="330"/>
      <c r="BX109" s="330"/>
      <c r="BY109" s="330"/>
      <c r="BZ109" s="330"/>
      <c r="CA109" s="330"/>
      <c r="CB109" s="330"/>
      <c r="CC109" s="330"/>
      <c r="CD109" s="330"/>
      <c r="CE109" s="330"/>
      <c r="CF109" s="330"/>
      <c r="CG109" s="330"/>
      <c r="CH109" s="330"/>
      <c r="CI109" s="330"/>
    </row>
    <row r="110" spans="1:87" x14ac:dyDescent="0.25">
      <c r="A110" s="313"/>
      <c r="B110" s="295"/>
      <c r="C110" s="436" t="s">
        <v>137</v>
      </c>
      <c r="D110" s="308">
        <f>ROUND(ROUND('WACAP 2019'!P133*D$6,2)/365*D$7,2)</f>
        <v>-14.54</v>
      </c>
      <c r="E110" s="187">
        <f>ROUND(ROUND(D112*E$6,2)/365*E$7,2)</f>
        <v>-15.56</v>
      </c>
      <c r="F110" s="187">
        <f t="shared" ref="F110:P110" si="56">ROUND(ROUND(E112*F$6,2)/365*F$7,2)</f>
        <v>-18.23</v>
      </c>
      <c r="G110" s="187">
        <f t="shared" si="56"/>
        <v>-18.77</v>
      </c>
      <c r="H110" s="187">
        <f t="shared" si="56"/>
        <v>-20.9</v>
      </c>
      <c r="I110" s="187">
        <f t="shared" si="56"/>
        <v>-21.42</v>
      </c>
      <c r="J110" s="187">
        <f t="shared" si="56"/>
        <v>-16.66</v>
      </c>
      <c r="K110" s="187">
        <f t="shared" si="56"/>
        <v>-17.260000000000002</v>
      </c>
      <c r="L110" s="187">
        <f t="shared" si="56"/>
        <v>-17.309999999999999</v>
      </c>
      <c r="M110" s="187">
        <f t="shared" si="56"/>
        <v>-17.63</v>
      </c>
      <c r="N110" s="231">
        <f>'Ammort Split 2020'!N131</f>
        <v>124.9</v>
      </c>
      <c r="O110" s="187">
        <f>ROUND(ROUND(N112*O$6,2)/365*O$7,2)</f>
        <v>-8.5299999999999994</v>
      </c>
      <c r="P110" s="188">
        <f t="shared" si="56"/>
        <v>-9.7899999999999991</v>
      </c>
      <c r="Q110" s="388">
        <f>SUM(D110:P110)</f>
        <v>-71.699999999999989</v>
      </c>
      <c r="S110" s="330"/>
      <c r="T110" s="330"/>
      <c r="U110" s="330"/>
      <c r="V110" s="330"/>
      <c r="W110" s="330"/>
      <c r="X110" s="330"/>
      <c r="Y110" s="330"/>
      <c r="Z110" s="330"/>
      <c r="AA110" s="330"/>
      <c r="AB110" s="330"/>
      <c r="AC110" s="330"/>
      <c r="AD110" s="330"/>
      <c r="AE110" s="330"/>
      <c r="AF110" s="330"/>
      <c r="AG110" s="330"/>
      <c r="AH110" s="330"/>
      <c r="AI110" s="330"/>
      <c r="AJ110" s="330"/>
      <c r="AK110" s="330"/>
      <c r="AL110" s="330"/>
      <c r="AM110" s="330"/>
      <c r="AN110" s="330"/>
      <c r="AO110" s="330"/>
      <c r="AP110" s="330"/>
      <c r="AQ110" s="330"/>
      <c r="AR110" s="330"/>
      <c r="AS110" s="330"/>
      <c r="AT110" s="330"/>
      <c r="AU110" s="330"/>
      <c r="AV110" s="330"/>
      <c r="AW110" s="330"/>
      <c r="AX110" s="330"/>
      <c r="AY110" s="330"/>
      <c r="AZ110" s="330"/>
      <c r="BA110" s="330"/>
      <c r="BB110" s="330"/>
      <c r="BC110" s="330"/>
      <c r="BD110" s="330"/>
      <c r="BE110" s="330"/>
      <c r="BF110" s="330"/>
      <c r="BG110" s="330"/>
      <c r="BH110" s="330"/>
      <c r="BI110" s="330"/>
      <c r="BJ110" s="330"/>
      <c r="BK110" s="330"/>
      <c r="BL110" s="330"/>
      <c r="BM110" s="330"/>
      <c r="BN110" s="330"/>
      <c r="BO110" s="330"/>
      <c r="BP110" s="330"/>
      <c r="BQ110" s="330"/>
      <c r="BR110" s="330"/>
      <c r="BS110" s="330"/>
      <c r="BT110" s="330"/>
      <c r="BU110" s="330"/>
      <c r="BV110" s="330"/>
      <c r="BW110" s="330"/>
      <c r="BX110" s="330"/>
      <c r="BY110" s="330"/>
      <c r="BZ110" s="330"/>
      <c r="CA110" s="330"/>
      <c r="CB110" s="330"/>
      <c r="CC110" s="330"/>
      <c r="CD110" s="330"/>
      <c r="CE110" s="330"/>
      <c r="CF110" s="330"/>
      <c r="CG110" s="330"/>
      <c r="CH110" s="330"/>
      <c r="CI110" s="330"/>
    </row>
    <row r="111" spans="1:87" x14ac:dyDescent="0.25">
      <c r="A111" s="313"/>
      <c r="B111" s="295"/>
      <c r="C111" s="364" t="s">
        <v>138</v>
      </c>
      <c r="D111" s="189">
        <f>SUM(D109:D110)</f>
        <v>-497.6</v>
      </c>
      <c r="E111" s="189">
        <f t="shared" ref="E111:P111" si="57">SUM(E109:E110)</f>
        <v>-377.81</v>
      </c>
      <c r="F111" s="189">
        <f t="shared" si="57"/>
        <v>-481.78999999999996</v>
      </c>
      <c r="G111" s="189">
        <f t="shared" si="57"/>
        <v>-372.68</v>
      </c>
      <c r="H111" s="189">
        <f t="shared" si="57"/>
        <v>-306.01</v>
      </c>
      <c r="I111" s="189">
        <f t="shared" si="57"/>
        <v>-233.20999999999998</v>
      </c>
      <c r="J111" s="189">
        <f t="shared" si="57"/>
        <v>-204.04999999999998</v>
      </c>
      <c r="K111" s="189">
        <f t="shared" si="57"/>
        <v>-216.04</v>
      </c>
      <c r="L111" s="189">
        <f t="shared" si="57"/>
        <v>-245.06</v>
      </c>
      <c r="M111" s="189">
        <f t="shared" si="57"/>
        <v>-382.31</v>
      </c>
      <c r="N111" s="209">
        <f>SUM(N109:N110)</f>
        <v>3576.0799999999995</v>
      </c>
      <c r="O111" s="189">
        <f t="shared" si="57"/>
        <v>-356.03</v>
      </c>
      <c r="P111" s="190">
        <f t="shared" si="57"/>
        <v>-525.81999999999994</v>
      </c>
      <c r="Q111" s="392">
        <f>SUM(Q109:Q110)</f>
        <v>-4073.5099999999993</v>
      </c>
      <c r="S111" s="330"/>
      <c r="T111" s="330"/>
      <c r="U111" s="330"/>
      <c r="V111" s="330"/>
      <c r="W111" s="330"/>
      <c r="X111" s="330"/>
      <c r="Y111" s="330"/>
      <c r="Z111" s="330"/>
      <c r="AA111" s="330"/>
      <c r="AB111" s="330"/>
      <c r="AC111" s="330"/>
      <c r="AD111" s="330"/>
      <c r="AE111" s="330"/>
      <c r="AF111" s="330"/>
      <c r="AG111" s="330"/>
      <c r="AH111" s="330"/>
      <c r="AI111" s="330"/>
      <c r="AJ111" s="330"/>
      <c r="AK111" s="330"/>
      <c r="AL111" s="330"/>
      <c r="AM111" s="330"/>
      <c r="AN111" s="330"/>
      <c r="AO111" s="330"/>
      <c r="AP111" s="330"/>
      <c r="AQ111" s="330"/>
      <c r="AR111" s="330"/>
      <c r="AS111" s="330"/>
      <c r="AT111" s="330"/>
      <c r="AU111" s="330"/>
      <c r="AV111" s="330"/>
      <c r="AW111" s="330"/>
      <c r="AX111" s="330"/>
      <c r="AY111" s="330"/>
      <c r="AZ111" s="330"/>
      <c r="BA111" s="330"/>
      <c r="BB111" s="330"/>
      <c r="BC111" s="330"/>
      <c r="BD111" s="330"/>
      <c r="BE111" s="330"/>
      <c r="BF111" s="330"/>
      <c r="BG111" s="330"/>
      <c r="BH111" s="330"/>
      <c r="BI111" s="330"/>
      <c r="BJ111" s="330"/>
      <c r="BK111" s="330"/>
      <c r="BL111" s="330"/>
      <c r="BM111" s="330"/>
      <c r="BN111" s="330"/>
      <c r="BO111" s="330"/>
      <c r="BP111" s="330"/>
      <c r="BQ111" s="330"/>
      <c r="BR111" s="330"/>
      <c r="BS111" s="330"/>
      <c r="BT111" s="330"/>
      <c r="BU111" s="330"/>
      <c r="BV111" s="330"/>
      <c r="BW111" s="330"/>
      <c r="BX111" s="330"/>
      <c r="BY111" s="330"/>
      <c r="BZ111" s="330"/>
      <c r="CA111" s="330"/>
      <c r="CB111" s="330"/>
      <c r="CC111" s="330"/>
      <c r="CD111" s="330"/>
      <c r="CE111" s="330"/>
      <c r="CF111" s="330"/>
      <c r="CG111" s="330"/>
      <c r="CH111" s="330"/>
      <c r="CI111" s="330"/>
    </row>
    <row r="112" spans="1:87" x14ac:dyDescent="0.25">
      <c r="A112" s="313"/>
      <c r="B112" s="295"/>
      <c r="C112" s="436" t="s">
        <v>139</v>
      </c>
      <c r="D112" s="308">
        <f>'WACAP 2019'!P133+'WACAP 2020'!D111</f>
        <v>-3948.7799999999966</v>
      </c>
      <c r="E112" s="187">
        <f t="shared" ref="E112:P112" si="58">D112+E111</f>
        <v>-4326.5899999999965</v>
      </c>
      <c r="F112" s="187">
        <f t="shared" si="58"/>
        <v>-4808.3799999999965</v>
      </c>
      <c r="G112" s="187">
        <f t="shared" si="58"/>
        <v>-5181.0599999999968</v>
      </c>
      <c r="H112" s="187">
        <f t="shared" si="58"/>
        <v>-5487.069999999997</v>
      </c>
      <c r="I112" s="187">
        <f t="shared" si="58"/>
        <v>-5720.279999999997</v>
      </c>
      <c r="J112" s="187">
        <f t="shared" si="58"/>
        <v>-5924.3299999999972</v>
      </c>
      <c r="K112" s="187">
        <f t="shared" si="58"/>
        <v>-6140.3699999999972</v>
      </c>
      <c r="L112" s="187">
        <f t="shared" si="58"/>
        <v>-6385.4299999999976</v>
      </c>
      <c r="M112" s="187">
        <f t="shared" si="58"/>
        <v>-6767.739999999998</v>
      </c>
      <c r="N112" s="208">
        <f t="shared" si="58"/>
        <v>-3191.6599999999985</v>
      </c>
      <c r="O112" s="187">
        <f t="shared" si="58"/>
        <v>-3547.6899999999987</v>
      </c>
      <c r="P112" s="301">
        <f t="shared" si="58"/>
        <v>-4073.5099999999984</v>
      </c>
      <c r="Q112" s="324"/>
      <c r="S112" s="330"/>
      <c r="T112" s="330"/>
      <c r="U112" s="330"/>
      <c r="V112" s="330"/>
      <c r="W112" s="330"/>
      <c r="X112" s="330"/>
      <c r="Y112" s="330"/>
      <c r="Z112" s="330"/>
      <c r="AA112" s="330"/>
      <c r="AB112" s="330"/>
      <c r="AC112" s="330"/>
      <c r="AD112" s="330"/>
      <c r="AE112" s="330"/>
      <c r="AF112" s="330"/>
      <c r="AG112" s="330"/>
      <c r="AH112" s="330"/>
      <c r="AI112" s="330"/>
      <c r="AJ112" s="330"/>
      <c r="AK112" s="330"/>
      <c r="AL112" s="330"/>
      <c r="AM112" s="330"/>
      <c r="AN112" s="330"/>
      <c r="AO112" s="330"/>
      <c r="AP112" s="330"/>
      <c r="AQ112" s="330"/>
      <c r="AR112" s="330"/>
      <c r="AS112" s="330"/>
      <c r="AT112" s="330"/>
      <c r="AU112" s="330"/>
      <c r="AV112" s="330"/>
      <c r="AW112" s="330"/>
      <c r="AX112" s="330"/>
      <c r="AY112" s="330"/>
      <c r="AZ112" s="330"/>
      <c r="BA112" s="330"/>
      <c r="BB112" s="330"/>
      <c r="BC112" s="330"/>
      <c r="BD112" s="330"/>
      <c r="BE112" s="330"/>
      <c r="BF112" s="330"/>
      <c r="BG112" s="330"/>
      <c r="BH112" s="330"/>
      <c r="BI112" s="330"/>
      <c r="BJ112" s="330"/>
      <c r="BK112" s="330"/>
      <c r="BL112" s="330"/>
      <c r="BM112" s="330"/>
      <c r="BN112" s="330"/>
      <c r="BO112" s="330"/>
      <c r="BP112" s="330"/>
      <c r="BQ112" s="330"/>
      <c r="BR112" s="330"/>
      <c r="BS112" s="330"/>
      <c r="BT112" s="330"/>
      <c r="BU112" s="330"/>
      <c r="BV112" s="330"/>
      <c r="BW112" s="330"/>
      <c r="BX112" s="330"/>
      <c r="BY112" s="330"/>
      <c r="BZ112" s="330"/>
      <c r="CA112" s="330"/>
      <c r="CB112" s="330"/>
      <c r="CC112" s="330"/>
      <c r="CD112" s="330"/>
      <c r="CE112" s="330"/>
      <c r="CF112" s="330"/>
      <c r="CG112" s="330"/>
      <c r="CH112" s="330"/>
      <c r="CI112" s="330"/>
    </row>
    <row r="113" spans="1:87" x14ac:dyDescent="0.25">
      <c r="A113" s="313"/>
      <c r="B113" s="271"/>
      <c r="C113" s="427"/>
      <c r="D113" s="375"/>
      <c r="E113" s="375"/>
      <c r="F113" s="375"/>
      <c r="G113" s="375"/>
      <c r="H113" s="375"/>
      <c r="I113" s="375"/>
      <c r="J113" s="375"/>
      <c r="K113" s="375"/>
      <c r="L113" s="375"/>
      <c r="M113" s="375"/>
      <c r="N113" s="386"/>
      <c r="O113" s="375"/>
      <c r="P113" s="387"/>
      <c r="Q113" s="428"/>
      <c r="S113" s="334"/>
      <c r="T113" s="337"/>
      <c r="U113" s="337">
        <f>ROUND(T117/Y117,0)</f>
        <v>101432</v>
      </c>
      <c r="V113" s="330"/>
      <c r="W113" s="330"/>
      <c r="X113" s="330"/>
      <c r="Y113" s="330"/>
      <c r="Z113" s="330"/>
      <c r="AA113" s="330"/>
      <c r="AB113" s="330"/>
      <c r="AC113" s="330"/>
      <c r="AD113" s="330"/>
      <c r="AE113" s="330"/>
      <c r="AF113" s="330"/>
      <c r="AG113" s="330"/>
      <c r="AH113" s="330"/>
      <c r="AI113" s="330"/>
      <c r="AJ113" s="330"/>
      <c r="AK113" s="330"/>
      <c r="AL113" s="330"/>
      <c r="AM113" s="330"/>
      <c r="AN113" s="330"/>
      <c r="AO113" s="330"/>
      <c r="AP113" s="330"/>
      <c r="AQ113" s="330"/>
      <c r="AR113" s="330"/>
      <c r="AS113" s="330"/>
      <c r="AT113" s="330"/>
      <c r="AU113" s="330"/>
      <c r="AV113" s="330"/>
      <c r="AW113" s="330"/>
      <c r="AX113" s="330"/>
      <c r="AY113" s="330"/>
      <c r="AZ113" s="330"/>
      <c r="BA113" s="330"/>
      <c r="BB113" s="330"/>
      <c r="BC113" s="330"/>
      <c r="BD113" s="330"/>
      <c r="BE113" s="330"/>
      <c r="BF113" s="330"/>
      <c r="BG113" s="330"/>
      <c r="BH113" s="330"/>
      <c r="BI113" s="330"/>
      <c r="BJ113" s="330"/>
      <c r="BK113" s="330"/>
      <c r="BL113" s="330"/>
      <c r="BM113" s="330"/>
      <c r="BN113" s="330"/>
      <c r="BO113" s="330"/>
      <c r="BP113" s="330"/>
      <c r="BQ113" s="330"/>
      <c r="BR113" s="330"/>
      <c r="BS113" s="330"/>
      <c r="BT113" s="330"/>
      <c r="BU113" s="330"/>
      <c r="BV113" s="330"/>
      <c r="BW113" s="330"/>
      <c r="BX113" s="330"/>
      <c r="BY113" s="330"/>
      <c r="BZ113" s="330"/>
      <c r="CA113" s="330"/>
      <c r="CB113" s="330"/>
      <c r="CC113" s="330"/>
      <c r="CD113" s="330"/>
      <c r="CE113" s="330"/>
      <c r="CF113" s="330"/>
      <c r="CG113" s="330"/>
      <c r="CH113" s="330"/>
      <c r="CI113" s="330"/>
    </row>
    <row r="114" spans="1:87" x14ac:dyDescent="0.25">
      <c r="A114" s="313"/>
      <c r="B114" s="271"/>
      <c r="C114" s="429"/>
      <c r="D114" s="375"/>
      <c r="E114" s="375"/>
      <c r="F114" s="375"/>
      <c r="G114" s="375"/>
      <c r="H114" s="375"/>
      <c r="I114" s="375"/>
      <c r="J114" s="375"/>
      <c r="K114" s="375"/>
      <c r="L114" s="375"/>
      <c r="M114" s="375"/>
      <c r="N114" s="386"/>
      <c r="O114" s="375"/>
      <c r="P114" s="387"/>
      <c r="Q114" s="428"/>
      <c r="S114" s="334"/>
      <c r="T114" s="337"/>
      <c r="U114" s="337"/>
      <c r="V114" s="330"/>
      <c r="W114" s="330"/>
      <c r="X114" s="330"/>
      <c r="Y114" s="330"/>
      <c r="Z114" s="330"/>
      <c r="AA114" s="330"/>
      <c r="AB114" s="330"/>
      <c r="AC114" s="330"/>
      <c r="AD114" s="330"/>
      <c r="AE114" s="330"/>
      <c r="AF114" s="330"/>
      <c r="AG114" s="330"/>
      <c r="AH114" s="330"/>
      <c r="AI114" s="330"/>
      <c r="AJ114" s="330"/>
      <c r="AK114" s="330"/>
      <c r="AL114" s="330"/>
      <c r="AM114" s="330"/>
      <c r="AN114" s="330"/>
      <c r="AO114" s="330"/>
      <c r="AP114" s="330"/>
      <c r="AQ114" s="330"/>
      <c r="AR114" s="330"/>
      <c r="AS114" s="330"/>
      <c r="AT114" s="330"/>
      <c r="AU114" s="330"/>
      <c r="AV114" s="330"/>
      <c r="AW114" s="330"/>
      <c r="AX114" s="330"/>
      <c r="AY114" s="330"/>
      <c r="AZ114" s="330"/>
      <c r="BA114" s="330"/>
      <c r="BB114" s="330"/>
      <c r="BC114" s="330"/>
      <c r="BD114" s="330"/>
      <c r="BE114" s="330"/>
      <c r="BF114" s="330"/>
      <c r="BG114" s="330"/>
      <c r="BH114" s="330"/>
      <c r="BI114" s="330"/>
      <c r="BJ114" s="330"/>
      <c r="BK114" s="330"/>
      <c r="BL114" s="330"/>
      <c r="BM114" s="330"/>
      <c r="BN114" s="330"/>
      <c r="BO114" s="330"/>
      <c r="BP114" s="330"/>
      <c r="BQ114" s="330"/>
      <c r="BR114" s="330"/>
      <c r="BS114" s="330"/>
      <c r="BT114" s="330"/>
      <c r="BU114" s="330"/>
      <c r="BV114" s="330"/>
      <c r="BW114" s="330"/>
      <c r="BX114" s="330"/>
      <c r="BY114" s="330"/>
      <c r="BZ114" s="330"/>
      <c r="CA114" s="330"/>
      <c r="CB114" s="330"/>
      <c r="CC114" s="330"/>
      <c r="CD114" s="330"/>
      <c r="CE114" s="330"/>
      <c r="CF114" s="330"/>
      <c r="CG114" s="330"/>
      <c r="CH114" s="330"/>
      <c r="CI114" s="330"/>
    </row>
    <row r="115" spans="1:87" ht="15.75" x14ac:dyDescent="0.25">
      <c r="A115" s="313"/>
      <c r="B115" t="s">
        <v>88</v>
      </c>
      <c r="C115" s="321" t="s">
        <v>191</v>
      </c>
      <c r="D115" s="192"/>
      <c r="E115" s="192"/>
      <c r="F115" s="187"/>
      <c r="G115" s="192"/>
      <c r="H115" s="192"/>
      <c r="I115" s="192"/>
      <c r="J115" s="192"/>
      <c r="K115" s="192"/>
      <c r="L115" s="192"/>
      <c r="M115" s="192"/>
      <c r="N115" s="202"/>
      <c r="O115" s="192"/>
      <c r="P115" s="195"/>
      <c r="Q115" s="324"/>
      <c r="S115" s="330"/>
      <c r="T115" s="430"/>
      <c r="U115" s="337">
        <f>ROUND(T118/Y118,0)</f>
        <v>118886</v>
      </c>
      <c r="V115" s="337">
        <f>SUM(U113:U115)</f>
        <v>220318</v>
      </c>
      <c r="W115" s="330"/>
      <c r="X115" s="330"/>
      <c r="Y115" s="330"/>
      <c r="Z115" s="330"/>
      <c r="AA115" s="330"/>
      <c r="AB115" s="330"/>
      <c r="AC115" s="330"/>
      <c r="AD115" s="330"/>
      <c r="AE115" s="330"/>
      <c r="AF115" s="330"/>
      <c r="AG115" s="330"/>
      <c r="AH115" s="330"/>
      <c r="AI115" s="330"/>
      <c r="AJ115" s="330"/>
      <c r="AK115" s="330"/>
      <c r="AL115" s="330"/>
      <c r="AM115" s="330"/>
      <c r="AN115" s="330"/>
      <c r="AO115" s="330"/>
      <c r="AP115" s="330"/>
      <c r="AQ115" s="330"/>
      <c r="AR115" s="330"/>
      <c r="AS115" s="330"/>
      <c r="AT115" s="330"/>
      <c r="AU115" s="330"/>
      <c r="AV115" s="330"/>
      <c r="AW115" s="330"/>
      <c r="AX115" s="330"/>
      <c r="AY115" s="330"/>
      <c r="AZ115" s="330"/>
      <c r="BA115" s="330"/>
      <c r="BB115" s="330"/>
      <c r="BC115" s="330"/>
      <c r="BD115" s="330"/>
      <c r="BE115" s="330"/>
      <c r="BF115" s="330"/>
      <c r="BG115" s="330"/>
      <c r="BH115" s="330"/>
      <c r="BI115" s="330"/>
      <c r="BJ115" s="330"/>
      <c r="BK115" s="330"/>
      <c r="BL115" s="330"/>
      <c r="BM115" s="330"/>
      <c r="BN115" s="330"/>
      <c r="BO115" s="330"/>
      <c r="BP115" s="330"/>
      <c r="BQ115" s="330"/>
      <c r="BR115" s="330"/>
      <c r="BS115" s="330"/>
      <c r="BT115" s="330"/>
      <c r="BU115" s="330"/>
      <c r="BV115" s="330"/>
      <c r="BW115" s="330"/>
      <c r="BX115" s="330"/>
      <c r="BY115" s="330"/>
      <c r="BZ115" s="330"/>
      <c r="CA115" s="330"/>
      <c r="CB115" s="330"/>
      <c r="CC115" s="330"/>
      <c r="CD115" s="330"/>
      <c r="CE115" s="330"/>
      <c r="CF115" s="330"/>
      <c r="CG115" s="330"/>
      <c r="CH115" s="330"/>
      <c r="CI115" s="330"/>
    </row>
    <row r="116" spans="1:87" ht="15.75" x14ac:dyDescent="0.25">
      <c r="A116" s="313"/>
      <c r="B116" s="295" t="s">
        <v>64</v>
      </c>
      <c r="C116" s="313" t="s">
        <v>172</v>
      </c>
      <c r="D116" s="250">
        <v>8</v>
      </c>
      <c r="E116" s="250">
        <v>8</v>
      </c>
      <c r="F116" s="250">
        <v>8</v>
      </c>
      <c r="G116" s="250">
        <v>8</v>
      </c>
      <c r="H116" s="250">
        <v>8</v>
      </c>
      <c r="I116" s="250">
        <v>7</v>
      </c>
      <c r="J116" s="250">
        <v>7</v>
      </c>
      <c r="K116" s="250">
        <v>7</v>
      </c>
      <c r="L116" s="250">
        <v>7</v>
      </c>
      <c r="M116" s="250">
        <v>7</v>
      </c>
      <c r="N116" s="274"/>
      <c r="O116" s="250">
        <v>7</v>
      </c>
      <c r="P116" s="250">
        <v>7</v>
      </c>
      <c r="Q116" s="373"/>
      <c r="S116" s="433">
        <v>4811</v>
      </c>
      <c r="T116" s="430">
        <v>570</v>
      </c>
      <c r="U116" s="332">
        <v>220318</v>
      </c>
      <c r="V116" s="330" t="s">
        <v>92</v>
      </c>
      <c r="W116" s="333">
        <f>U116</f>
        <v>220318</v>
      </c>
      <c r="X116" s="330"/>
      <c r="Y116" s="425" t="s">
        <v>90</v>
      </c>
      <c r="Z116" s="330"/>
      <c r="AA116" s="330"/>
      <c r="AB116" s="330"/>
      <c r="AC116" s="330"/>
      <c r="AD116" s="330"/>
      <c r="AE116" s="330"/>
      <c r="AF116" s="330"/>
      <c r="AG116" s="330"/>
      <c r="AH116" s="330"/>
      <c r="AI116" s="330"/>
      <c r="AJ116" s="330"/>
      <c r="AK116" s="330"/>
      <c r="AL116" s="330"/>
      <c r="AM116" s="330"/>
      <c r="AN116" s="330"/>
      <c r="AO116" s="330"/>
      <c r="AP116" s="330"/>
      <c r="AQ116" s="330"/>
      <c r="AR116" s="330"/>
      <c r="AS116" s="330"/>
      <c r="AT116" s="330"/>
      <c r="AU116" s="330"/>
      <c r="AV116" s="330"/>
      <c r="AW116" s="330"/>
      <c r="AX116" s="330"/>
      <c r="AY116" s="330"/>
      <c r="AZ116" s="330"/>
      <c r="BA116" s="330"/>
      <c r="BB116" s="330"/>
      <c r="BC116" s="330"/>
      <c r="BD116" s="330"/>
      <c r="BE116" s="330"/>
      <c r="BF116" s="330"/>
      <c r="BG116" s="330"/>
      <c r="BH116" s="330"/>
      <c r="BI116" s="330"/>
      <c r="BJ116" s="330"/>
      <c r="BK116" s="330"/>
      <c r="BL116" s="330"/>
      <c r="BM116" s="330"/>
      <c r="BN116" s="330"/>
      <c r="BO116" s="330"/>
      <c r="BP116" s="330"/>
      <c r="BQ116" s="330"/>
      <c r="BR116" s="330"/>
      <c r="BS116" s="330"/>
      <c r="BT116" s="330"/>
      <c r="BU116" s="330"/>
      <c r="BV116" s="330"/>
      <c r="BW116" s="330"/>
      <c r="BX116" s="330"/>
      <c r="BY116" s="330"/>
      <c r="BZ116" s="330"/>
      <c r="CA116" s="330"/>
      <c r="CB116" s="330"/>
      <c r="CC116" s="330"/>
      <c r="CD116" s="330"/>
      <c r="CE116" s="330"/>
      <c r="CF116" s="330"/>
      <c r="CG116" s="330"/>
      <c r="CH116" s="330"/>
      <c r="CI116" s="330"/>
    </row>
    <row r="117" spans="1:87" ht="15.75" x14ac:dyDescent="0.25">
      <c r="A117" s="313"/>
      <c r="B117" s="295" t="s">
        <v>71</v>
      </c>
      <c r="C117" s="314" t="s">
        <v>187</v>
      </c>
      <c r="D117" s="251">
        <v>9570.31</v>
      </c>
      <c r="E117" s="251">
        <v>9150.39</v>
      </c>
      <c r="F117" s="251">
        <v>8394.2000000000007</v>
      </c>
      <c r="G117" s="251">
        <v>9583.86</v>
      </c>
      <c r="H117" s="251">
        <v>8673.0300000000007</v>
      </c>
      <c r="I117" s="251">
        <v>7743.01</v>
      </c>
      <c r="J117" s="251">
        <v>6903.17</v>
      </c>
      <c r="K117" s="251">
        <v>7448.82</v>
      </c>
      <c r="L117" s="251">
        <v>7314.08</v>
      </c>
      <c r="M117" s="251">
        <v>6614.88</v>
      </c>
      <c r="N117" s="207"/>
      <c r="O117" s="251">
        <v>10139.36</v>
      </c>
      <c r="P117" s="287">
        <v>9092.36</v>
      </c>
      <c r="Q117" s="374"/>
      <c r="S117" s="334" t="s">
        <v>90</v>
      </c>
      <c r="T117" s="335">
        <v>9092.36</v>
      </c>
      <c r="U117" s="336">
        <f>T117/U113</f>
        <v>8.9639955832478913E-2</v>
      </c>
      <c r="V117" s="330"/>
      <c r="W117" s="336">
        <f>T117/U113</f>
        <v>8.9639955832478913E-2</v>
      </c>
      <c r="X117" s="330"/>
      <c r="Y117" s="330">
        <v>8.9639999999999997E-2</v>
      </c>
      <c r="Z117" s="330"/>
      <c r="AA117" s="336">
        <f>Y117-W117</f>
        <v>4.4167521084936823E-8</v>
      </c>
      <c r="AB117" s="330"/>
      <c r="AC117" s="330"/>
      <c r="AD117" s="330"/>
      <c r="AF117" s="330"/>
      <c r="AG117" s="330"/>
      <c r="AH117" s="330"/>
      <c r="AI117" s="330"/>
      <c r="AJ117" s="330"/>
      <c r="AK117" s="330"/>
      <c r="AL117" s="330"/>
      <c r="AM117" s="330"/>
      <c r="AN117" s="330"/>
      <c r="AO117" s="330"/>
      <c r="AP117" s="330"/>
      <c r="AQ117" s="330"/>
      <c r="AR117" s="330"/>
      <c r="AS117" s="330"/>
      <c r="AT117" s="330"/>
      <c r="AU117" s="330"/>
      <c r="AV117" s="330"/>
      <c r="AW117" s="330"/>
      <c r="AX117" s="330"/>
      <c r="AY117" s="330"/>
      <c r="AZ117" s="330"/>
      <c r="BA117" s="330"/>
      <c r="BB117" s="330"/>
      <c r="BC117" s="330"/>
      <c r="BD117" s="330"/>
      <c r="BE117" s="330"/>
      <c r="BF117" s="330"/>
      <c r="BG117" s="330"/>
      <c r="BH117" s="330"/>
      <c r="BI117" s="330"/>
      <c r="BJ117" s="330"/>
      <c r="BK117" s="330"/>
      <c r="BL117" s="330"/>
      <c r="BM117" s="330"/>
      <c r="BN117" s="330"/>
      <c r="BO117" s="330"/>
      <c r="BP117" s="330"/>
      <c r="BQ117" s="330"/>
      <c r="BR117" s="330"/>
      <c r="BS117" s="330"/>
      <c r="BT117" s="330"/>
      <c r="BU117" s="330"/>
      <c r="BV117" s="330"/>
      <c r="BW117" s="330"/>
      <c r="BX117" s="330"/>
      <c r="BY117" s="330"/>
      <c r="BZ117" s="330"/>
      <c r="CA117" s="330"/>
      <c r="CB117" s="330"/>
      <c r="CC117" s="330"/>
      <c r="CD117" s="330"/>
      <c r="CE117" s="330"/>
      <c r="CF117" s="330"/>
      <c r="CG117" s="330"/>
      <c r="CH117" s="330"/>
      <c r="CI117" s="330"/>
    </row>
    <row r="118" spans="1:87" ht="15.75" x14ac:dyDescent="0.25">
      <c r="A118" s="313"/>
      <c r="B118" s="295" t="s">
        <v>71</v>
      </c>
      <c r="C118" s="314" t="s">
        <v>188</v>
      </c>
      <c r="D118" s="251">
        <v>2985.23</v>
      </c>
      <c r="E118" s="251">
        <v>3153.98</v>
      </c>
      <c r="F118" s="251">
        <v>2757.58</v>
      </c>
      <c r="G118" s="251">
        <v>3446.6</v>
      </c>
      <c r="H118" s="251">
        <v>2613.25</v>
      </c>
      <c r="I118" s="251">
        <v>1498.92</v>
      </c>
      <c r="J118" s="251">
        <v>912.14</v>
      </c>
      <c r="K118" s="251">
        <v>655.97</v>
      </c>
      <c r="L118" s="251">
        <v>532.58000000000004</v>
      </c>
      <c r="M118" s="251">
        <v>584.95000000000005</v>
      </c>
      <c r="N118" s="207"/>
      <c r="O118" s="251">
        <v>1851.56</v>
      </c>
      <c r="P118" s="287">
        <v>3349.01</v>
      </c>
      <c r="Q118" s="374"/>
      <c r="S118" s="334" t="s">
        <v>90</v>
      </c>
      <c r="T118" s="335">
        <v>3349.01</v>
      </c>
      <c r="U118" s="336">
        <f>T118/U115</f>
        <v>2.8169927493565266E-2</v>
      </c>
      <c r="V118" s="330"/>
      <c r="W118" s="336">
        <f>T118/U115</f>
        <v>2.8169927493565266E-2</v>
      </c>
      <c r="X118" s="330"/>
      <c r="Y118" s="330">
        <v>2.8170000000000001E-2</v>
      </c>
      <c r="Z118" s="330"/>
      <c r="AA118" s="336">
        <f>Y118-W118</f>
        <v>7.2506434734692649E-8</v>
      </c>
      <c r="AB118" s="330"/>
      <c r="AC118" s="330"/>
      <c r="AD118" s="330"/>
      <c r="AE118" s="330"/>
      <c r="AF118" s="330"/>
      <c r="AG118" s="330"/>
      <c r="AH118" s="330"/>
      <c r="AI118" s="330"/>
      <c r="AJ118" s="330"/>
      <c r="AK118" s="330"/>
      <c r="AL118" s="330"/>
      <c r="AM118" s="330"/>
      <c r="AN118" s="330"/>
      <c r="AO118" s="330"/>
      <c r="AP118" s="330"/>
      <c r="AQ118" s="330"/>
      <c r="AR118" s="330"/>
      <c r="AS118" s="330"/>
      <c r="AT118" s="330"/>
      <c r="AU118" s="330"/>
      <c r="AV118" s="330"/>
      <c r="AW118" s="330"/>
      <c r="AX118" s="330"/>
      <c r="AY118" s="330"/>
      <c r="AZ118" s="330"/>
      <c r="BA118" s="330"/>
      <c r="BB118" s="330"/>
      <c r="BC118" s="330"/>
      <c r="BD118" s="330"/>
      <c r="BE118" s="330"/>
      <c r="BF118" s="330"/>
      <c r="BG118" s="330"/>
      <c r="BH118" s="330"/>
      <c r="BI118" s="330"/>
      <c r="BJ118" s="330"/>
      <c r="BK118" s="330"/>
      <c r="BL118" s="330"/>
      <c r="BM118" s="330"/>
      <c r="BN118" s="330"/>
      <c r="BO118" s="330"/>
      <c r="BP118" s="330"/>
      <c r="BQ118" s="330"/>
      <c r="BR118" s="330"/>
      <c r="BS118" s="330"/>
      <c r="BT118" s="330"/>
      <c r="BU118" s="330"/>
      <c r="BV118" s="330"/>
      <c r="BW118" s="330"/>
      <c r="BX118" s="330"/>
      <c r="BY118" s="330"/>
      <c r="BZ118" s="330"/>
      <c r="CA118" s="330"/>
      <c r="CB118" s="330"/>
      <c r="CC118" s="330"/>
      <c r="CD118" s="330"/>
      <c r="CE118" s="330"/>
      <c r="CF118" s="330"/>
      <c r="CG118" s="330"/>
      <c r="CH118" s="330"/>
      <c r="CI118" s="330"/>
    </row>
    <row r="119" spans="1:87" ht="15.75" x14ac:dyDescent="0.25">
      <c r="A119" s="313"/>
      <c r="B119" s="295" t="s">
        <v>72</v>
      </c>
      <c r="C119" s="316" t="s">
        <v>202</v>
      </c>
      <c r="D119" s="276">
        <v>9150.39</v>
      </c>
      <c r="E119" s="276">
        <v>8394.2000000000007</v>
      </c>
      <c r="F119" s="276">
        <v>9583.86</v>
      </c>
      <c r="G119" s="276">
        <v>8673.0300000000007</v>
      </c>
      <c r="H119" s="276">
        <v>7732.7</v>
      </c>
      <c r="I119" s="276">
        <v>6903.17</v>
      </c>
      <c r="J119" s="276">
        <v>7448.82</v>
      </c>
      <c r="K119" s="276">
        <v>7314.08</v>
      </c>
      <c r="L119" s="276">
        <v>6614.88</v>
      </c>
      <c r="M119" s="276">
        <v>10139.36</v>
      </c>
      <c r="N119" s="207"/>
      <c r="O119" s="276">
        <v>9092.36</v>
      </c>
      <c r="P119" s="285">
        <v>9501.48</v>
      </c>
      <c r="Q119" s="374"/>
      <c r="S119" s="334" t="s">
        <v>91</v>
      </c>
      <c r="T119" s="335">
        <v>89501.98</v>
      </c>
      <c r="U119" s="336">
        <f>T119/U116</f>
        <v>0.40623998039197884</v>
      </c>
      <c r="V119" s="330"/>
      <c r="W119" s="336">
        <f>T119/W116</f>
        <v>0.40623998039197884</v>
      </c>
      <c r="X119" s="330"/>
      <c r="Y119" s="338">
        <v>0.40623999999999999</v>
      </c>
      <c r="Z119" s="330"/>
      <c r="AA119" s="426">
        <f>Y119-W119</f>
        <v>1.9608021151196198E-8</v>
      </c>
      <c r="AB119" s="330"/>
      <c r="AC119" s="330"/>
      <c r="AD119" s="330"/>
      <c r="AE119" s="330"/>
      <c r="AF119" s="330"/>
      <c r="AG119" s="330"/>
      <c r="AH119" s="330"/>
      <c r="AI119" s="330"/>
      <c r="AJ119" s="330"/>
      <c r="AK119" s="330"/>
      <c r="AL119" s="330"/>
      <c r="AM119" s="330"/>
      <c r="AN119" s="330"/>
      <c r="AO119" s="330"/>
      <c r="AP119" s="330"/>
      <c r="AQ119" s="330"/>
      <c r="AR119" s="330"/>
      <c r="AS119" s="330"/>
      <c r="AT119" s="330"/>
      <c r="AU119" s="330"/>
      <c r="AV119" s="330"/>
      <c r="AW119" s="330"/>
      <c r="AX119" s="330"/>
      <c r="AY119" s="330"/>
      <c r="AZ119" s="330"/>
      <c r="BA119" s="330"/>
      <c r="BB119" s="330"/>
      <c r="BC119" s="330"/>
      <c r="BD119" s="330"/>
      <c r="BE119" s="330"/>
      <c r="BF119" s="330"/>
      <c r="BG119" s="330"/>
      <c r="BH119" s="330"/>
      <c r="BI119" s="330"/>
      <c r="BJ119" s="330"/>
      <c r="BK119" s="330"/>
      <c r="BL119" s="330"/>
      <c r="BM119" s="330"/>
      <c r="BN119" s="330"/>
      <c r="BO119" s="330"/>
      <c r="BP119" s="330"/>
      <c r="BQ119" s="330"/>
      <c r="BR119" s="330"/>
      <c r="BS119" s="330"/>
      <c r="BT119" s="330"/>
      <c r="BU119" s="330"/>
      <c r="BV119" s="330"/>
      <c r="BW119" s="330"/>
      <c r="BX119" s="330"/>
      <c r="BY119" s="330"/>
      <c r="BZ119" s="330"/>
      <c r="CA119" s="330"/>
      <c r="CB119" s="330"/>
      <c r="CC119" s="330"/>
      <c r="CD119" s="330"/>
      <c r="CE119" s="330"/>
      <c r="CF119" s="330"/>
      <c r="CG119" s="330"/>
      <c r="CH119" s="330"/>
      <c r="CI119" s="330"/>
    </row>
    <row r="120" spans="1:87" x14ac:dyDescent="0.25">
      <c r="A120" s="313"/>
      <c r="B120" s="376" t="s">
        <v>72</v>
      </c>
      <c r="C120" s="322" t="s">
        <v>203</v>
      </c>
      <c r="D120" s="350">
        <v>3153.98</v>
      </c>
      <c r="E120" s="351">
        <v>2757.58</v>
      </c>
      <c r="F120" s="276">
        <v>3446.6</v>
      </c>
      <c r="G120" s="351">
        <v>2613.25</v>
      </c>
      <c r="H120" s="351">
        <v>1498.92</v>
      </c>
      <c r="I120" s="351">
        <v>912.14</v>
      </c>
      <c r="J120" s="351">
        <v>655.97</v>
      </c>
      <c r="K120" s="351">
        <v>532.58000000000004</v>
      </c>
      <c r="L120" s="351">
        <v>584.95000000000005</v>
      </c>
      <c r="M120" s="351">
        <v>1851.56</v>
      </c>
      <c r="N120" s="398"/>
      <c r="O120" s="351">
        <v>3349.01</v>
      </c>
      <c r="P120" s="424">
        <v>3900.78</v>
      </c>
      <c r="Q120" s="374"/>
      <c r="S120" s="330"/>
      <c r="T120" s="339"/>
      <c r="U120" s="330"/>
      <c r="V120" s="330"/>
      <c r="W120" s="330"/>
      <c r="X120" s="330"/>
      <c r="Y120" s="330"/>
      <c r="Z120" s="330"/>
      <c r="AA120" s="336"/>
      <c r="AB120" s="330"/>
      <c r="AC120" s="330"/>
      <c r="AD120" s="330"/>
      <c r="AE120" s="330"/>
      <c r="AF120" s="330"/>
      <c r="AG120" s="330"/>
      <c r="AH120" s="330"/>
      <c r="AI120" s="330"/>
      <c r="AJ120" s="330"/>
      <c r="AK120" s="330"/>
      <c r="AL120" s="330"/>
      <c r="AM120" s="330"/>
      <c r="AN120" s="330"/>
      <c r="AO120" s="330"/>
      <c r="AP120" s="330"/>
      <c r="AQ120" s="330"/>
      <c r="AR120" s="330"/>
      <c r="AS120" s="330"/>
      <c r="AT120" s="330"/>
      <c r="AU120" s="330"/>
      <c r="AV120" s="330"/>
      <c r="AW120" s="330"/>
      <c r="AX120" s="330"/>
      <c r="AY120" s="330"/>
      <c r="AZ120" s="330"/>
      <c r="BA120" s="330"/>
      <c r="BB120" s="330"/>
      <c r="BC120" s="330"/>
      <c r="BD120" s="330"/>
      <c r="BE120" s="330"/>
      <c r="BF120" s="330"/>
      <c r="BG120" s="330"/>
      <c r="BH120" s="330"/>
      <c r="BI120" s="330"/>
      <c r="BJ120" s="330"/>
      <c r="BK120" s="330"/>
      <c r="BL120" s="330"/>
      <c r="BM120" s="330"/>
      <c r="BN120" s="330"/>
      <c r="BO120" s="330"/>
      <c r="BP120" s="330"/>
      <c r="BQ120" s="330"/>
      <c r="BR120" s="330"/>
      <c r="BS120" s="330"/>
      <c r="BT120" s="330"/>
      <c r="BU120" s="330"/>
      <c r="BV120" s="330"/>
      <c r="BW120" s="330"/>
      <c r="BX120" s="330"/>
      <c r="BY120" s="330"/>
      <c r="BZ120" s="330"/>
      <c r="CA120" s="330"/>
      <c r="CB120" s="330"/>
      <c r="CC120" s="330"/>
      <c r="CD120" s="330"/>
      <c r="CE120" s="330"/>
      <c r="CF120" s="330"/>
      <c r="CG120" s="330"/>
      <c r="CH120" s="330"/>
      <c r="CI120" s="330"/>
    </row>
    <row r="121" spans="1:87" x14ac:dyDescent="0.25">
      <c r="A121" s="313"/>
      <c r="B121" s="295" t="s">
        <v>72</v>
      </c>
      <c r="C121" s="314" t="s">
        <v>189</v>
      </c>
      <c r="D121" s="308">
        <f>+-'WACAP 2019'!P139</f>
        <v>-9570.31</v>
      </c>
      <c r="E121" s="187">
        <f>-D119</f>
        <v>-9150.39</v>
      </c>
      <c r="F121" s="397">
        <f t="shared" ref="E121:M122" si="59">-E119</f>
        <v>-8394.2000000000007</v>
      </c>
      <c r="G121" s="187">
        <f t="shared" si="59"/>
        <v>-9583.86</v>
      </c>
      <c r="H121" s="187">
        <f t="shared" si="59"/>
        <v>-8673.0300000000007</v>
      </c>
      <c r="I121" s="187">
        <f t="shared" si="59"/>
        <v>-7732.7</v>
      </c>
      <c r="J121" s="187">
        <f t="shared" si="59"/>
        <v>-6903.17</v>
      </c>
      <c r="K121" s="187">
        <f t="shared" si="59"/>
        <v>-7448.82</v>
      </c>
      <c r="L121" s="187">
        <f>-K119</f>
        <v>-7314.08</v>
      </c>
      <c r="M121" s="187">
        <f t="shared" si="59"/>
        <v>-6614.88</v>
      </c>
      <c r="N121" s="208"/>
      <c r="O121" s="187">
        <f t="shared" ref="O121:O122" si="60">-M119</f>
        <v>-10139.36</v>
      </c>
      <c r="P121" s="301">
        <f>-O119</f>
        <v>-9092.36</v>
      </c>
      <c r="Q121" s="374"/>
      <c r="S121" s="330"/>
      <c r="T121" s="330"/>
      <c r="U121" s="330"/>
      <c r="V121" s="330"/>
      <c r="W121" s="330"/>
      <c r="X121" s="330"/>
      <c r="Y121" s="330"/>
      <c r="Z121" s="330"/>
      <c r="AA121" s="330"/>
      <c r="AB121" s="330"/>
      <c r="AC121" s="330"/>
      <c r="AD121" s="330"/>
      <c r="AE121" s="330"/>
      <c r="AF121" s="330"/>
      <c r="AG121" s="330"/>
      <c r="AH121" s="330"/>
      <c r="AI121" s="330"/>
      <c r="AJ121" s="330"/>
      <c r="AK121" s="330"/>
      <c r="AL121" s="330"/>
      <c r="AM121" s="330"/>
      <c r="AN121" s="330"/>
      <c r="AO121" s="330"/>
      <c r="AP121" s="330"/>
      <c r="AQ121" s="330"/>
      <c r="AR121" s="330"/>
      <c r="AS121" s="330"/>
      <c r="AT121" s="330"/>
      <c r="AU121" s="330"/>
      <c r="AV121" s="330"/>
      <c r="AW121" s="330"/>
      <c r="AX121" s="330"/>
      <c r="AY121" s="330"/>
      <c r="AZ121" s="330"/>
      <c r="BA121" s="330"/>
      <c r="BB121" s="330"/>
      <c r="BC121" s="330"/>
      <c r="BD121" s="330"/>
      <c r="BE121" s="330"/>
      <c r="BF121" s="330"/>
      <c r="BG121" s="330"/>
      <c r="BH121" s="330"/>
      <c r="BI121" s="330"/>
      <c r="BJ121" s="330"/>
      <c r="BK121" s="330"/>
      <c r="BL121" s="330"/>
      <c r="BM121" s="330"/>
      <c r="BN121" s="330"/>
      <c r="BO121" s="330"/>
      <c r="BP121" s="330"/>
      <c r="BQ121" s="330"/>
      <c r="BR121" s="330"/>
      <c r="BS121" s="330"/>
      <c r="BT121" s="330"/>
      <c r="BU121" s="330"/>
      <c r="BV121" s="330"/>
      <c r="BW121" s="330"/>
      <c r="BX121" s="330"/>
      <c r="BY121" s="330"/>
      <c r="BZ121" s="330"/>
      <c r="CA121" s="330"/>
      <c r="CB121" s="330"/>
      <c r="CC121" s="330"/>
      <c r="CD121" s="330"/>
      <c r="CE121" s="330"/>
      <c r="CF121" s="330"/>
      <c r="CG121" s="330"/>
      <c r="CH121" s="330"/>
      <c r="CI121" s="330"/>
    </row>
    <row r="122" spans="1:87" x14ac:dyDescent="0.25">
      <c r="A122" s="313"/>
      <c r="B122" s="295" t="s">
        <v>72</v>
      </c>
      <c r="C122" s="314" t="s">
        <v>190</v>
      </c>
      <c r="D122" s="307">
        <f>+-'WACAP 2019'!P140</f>
        <v>-2985.23</v>
      </c>
      <c r="E122" s="189">
        <f t="shared" si="59"/>
        <v>-3153.98</v>
      </c>
      <c r="F122" s="189">
        <f t="shared" si="59"/>
        <v>-2757.58</v>
      </c>
      <c r="G122" s="189">
        <f t="shared" si="59"/>
        <v>-3446.6</v>
      </c>
      <c r="H122" s="189">
        <f t="shared" si="59"/>
        <v>-2613.25</v>
      </c>
      <c r="I122" s="189">
        <f t="shared" si="59"/>
        <v>-1498.92</v>
      </c>
      <c r="J122" s="189">
        <f t="shared" si="59"/>
        <v>-912.14</v>
      </c>
      <c r="K122" s="189">
        <f t="shared" si="59"/>
        <v>-655.97</v>
      </c>
      <c r="L122" s="189">
        <f>-K120</f>
        <v>-532.58000000000004</v>
      </c>
      <c r="M122" s="189">
        <f t="shared" si="59"/>
        <v>-584.95000000000005</v>
      </c>
      <c r="N122" s="209"/>
      <c r="O122" s="189">
        <f t="shared" si="60"/>
        <v>-1851.56</v>
      </c>
      <c r="P122" s="190">
        <f>-O120</f>
        <v>-3349.01</v>
      </c>
      <c r="Q122" s="374"/>
      <c r="S122" s="330"/>
      <c r="T122" s="330"/>
      <c r="U122" s="330"/>
      <c r="V122" s="330"/>
      <c r="W122" s="330"/>
      <c r="X122" s="330"/>
      <c r="Y122" s="330"/>
      <c r="Z122" s="330"/>
      <c r="AA122" s="330"/>
      <c r="AB122" s="330"/>
      <c r="AC122" s="330"/>
      <c r="AD122" s="330"/>
      <c r="AE122" s="330"/>
      <c r="AF122" s="330"/>
      <c r="AG122" s="330"/>
      <c r="AH122" s="330"/>
      <c r="AI122" s="330"/>
      <c r="AJ122" s="330"/>
      <c r="AK122" s="330"/>
      <c r="AL122" s="330"/>
      <c r="AM122" s="330"/>
      <c r="AN122" s="330"/>
      <c r="AO122" s="330"/>
      <c r="AP122" s="330"/>
      <c r="AQ122" s="330"/>
      <c r="AR122" s="330"/>
      <c r="AS122" s="330"/>
      <c r="AT122" s="330"/>
      <c r="AU122" s="330"/>
      <c r="AV122" s="330"/>
      <c r="AW122" s="330"/>
      <c r="AX122" s="330"/>
      <c r="AY122" s="330"/>
      <c r="AZ122" s="330"/>
      <c r="BA122" s="330"/>
      <c r="BB122" s="330"/>
      <c r="BC122" s="330"/>
      <c r="BD122" s="330"/>
      <c r="BE122" s="330"/>
      <c r="BF122" s="330"/>
      <c r="BG122" s="330"/>
      <c r="BH122" s="330"/>
      <c r="BI122" s="330"/>
      <c r="BJ122" s="330"/>
      <c r="BK122" s="330"/>
      <c r="BL122" s="330"/>
      <c r="BM122" s="330"/>
      <c r="BN122" s="330"/>
      <c r="BO122" s="330"/>
      <c r="BP122" s="330"/>
      <c r="BQ122" s="330"/>
      <c r="BR122" s="330"/>
      <c r="BS122" s="330"/>
      <c r="BT122" s="330"/>
      <c r="BU122" s="330"/>
      <c r="BV122" s="330"/>
      <c r="BW122" s="330"/>
      <c r="BX122" s="330"/>
      <c r="BY122" s="330"/>
      <c r="BZ122" s="330"/>
      <c r="CA122" s="330"/>
      <c r="CB122" s="330"/>
      <c r="CC122" s="330"/>
      <c r="CD122" s="330"/>
      <c r="CE122" s="330"/>
      <c r="CF122" s="330"/>
      <c r="CG122" s="330"/>
      <c r="CH122" s="330"/>
      <c r="CI122" s="330"/>
    </row>
    <row r="123" spans="1:87" x14ac:dyDescent="0.25">
      <c r="A123" s="313"/>
      <c r="B123" s="295"/>
      <c r="C123" s="311" t="s">
        <v>74</v>
      </c>
      <c r="D123" s="187">
        <f t="shared" ref="D123:F123" si="61">SUM(D117:D122)</f>
        <v>12304.37</v>
      </c>
      <c r="E123" s="187">
        <f t="shared" si="61"/>
        <v>11151.780000000002</v>
      </c>
      <c r="F123" s="187">
        <f t="shared" si="61"/>
        <v>13030.459999999997</v>
      </c>
      <c r="G123" s="187">
        <f>SUM(G117:G122)</f>
        <v>11286.28</v>
      </c>
      <c r="H123" s="187">
        <f t="shared" ref="H123:P123" si="62">SUM(H117:H122)</f>
        <v>9231.6200000000008</v>
      </c>
      <c r="I123" s="187">
        <f t="shared" si="62"/>
        <v>7825.6200000000008</v>
      </c>
      <c r="J123" s="187">
        <f t="shared" si="62"/>
        <v>8104.79</v>
      </c>
      <c r="K123" s="187">
        <f t="shared" si="62"/>
        <v>7846.6599999999989</v>
      </c>
      <c r="L123" s="187">
        <f t="shared" si="62"/>
        <v>7199.8300000000017</v>
      </c>
      <c r="M123" s="187">
        <f t="shared" si="62"/>
        <v>11990.920000000002</v>
      </c>
      <c r="N123" s="208"/>
      <c r="O123" s="187">
        <f t="shared" si="62"/>
        <v>12441.37</v>
      </c>
      <c r="P123" s="188">
        <f t="shared" si="62"/>
        <v>13402.259999999997</v>
      </c>
      <c r="Q123" s="324"/>
      <c r="S123" s="330"/>
      <c r="T123" s="330"/>
      <c r="U123" s="330"/>
      <c r="V123" s="330"/>
      <c r="W123" s="330"/>
      <c r="X123" s="330"/>
      <c r="Y123" s="330"/>
      <c r="Z123" s="330"/>
      <c r="AA123" s="330"/>
      <c r="AB123" s="330"/>
      <c r="AC123" s="330"/>
      <c r="AD123" s="330"/>
      <c r="AE123" s="330"/>
      <c r="AF123" s="330"/>
      <c r="AG123" s="330"/>
      <c r="AH123" s="330"/>
      <c r="AI123" s="330"/>
      <c r="AJ123" s="330"/>
      <c r="AK123" s="330"/>
      <c r="AL123" s="330"/>
      <c r="AM123" s="330"/>
      <c r="AN123" s="330"/>
      <c r="AO123" s="330"/>
      <c r="AP123" s="330"/>
      <c r="AQ123" s="330"/>
      <c r="AR123" s="330"/>
      <c r="AS123" s="330"/>
      <c r="AT123" s="330"/>
      <c r="AU123" s="330"/>
      <c r="AV123" s="330"/>
      <c r="AW123" s="330"/>
      <c r="AX123" s="330"/>
      <c r="AY123" s="330"/>
      <c r="AZ123" s="330"/>
      <c r="BA123" s="330"/>
      <c r="BB123" s="330"/>
      <c r="BC123" s="330"/>
      <c r="BD123" s="330"/>
      <c r="BE123" s="330"/>
      <c r="BF123" s="330"/>
      <c r="BG123" s="330"/>
      <c r="BH123" s="330"/>
      <c r="BI123" s="330"/>
      <c r="BJ123" s="330"/>
      <c r="BK123" s="330"/>
      <c r="BL123" s="330"/>
      <c r="BM123" s="330"/>
      <c r="BN123" s="330"/>
      <c r="BO123" s="330"/>
      <c r="BP123" s="330"/>
      <c r="BQ123" s="330"/>
      <c r="BR123" s="330"/>
      <c r="BS123" s="330"/>
      <c r="BT123" s="330"/>
      <c r="BU123" s="330"/>
      <c r="BV123" s="330"/>
      <c r="BW123" s="330"/>
      <c r="BX123" s="330"/>
      <c r="BY123" s="330"/>
      <c r="BZ123" s="330"/>
      <c r="CA123" s="330"/>
      <c r="CB123" s="330"/>
      <c r="CC123" s="330"/>
      <c r="CD123" s="330"/>
      <c r="CE123" s="330"/>
      <c r="CF123" s="330"/>
      <c r="CG123" s="330"/>
      <c r="CH123" s="330"/>
      <c r="CI123" s="330"/>
    </row>
    <row r="124" spans="1:87" x14ac:dyDescent="0.25">
      <c r="A124" s="313"/>
      <c r="B124" s="295"/>
      <c r="C124" s="436" t="s">
        <v>73</v>
      </c>
      <c r="D124" s="307">
        <f>ROUND(-'Authorized Margins 2019'!J18*'WACAP 2020'!D116,2)</f>
        <v>-18824.16</v>
      </c>
      <c r="E124" s="189">
        <f>ROUND(-'Authorized Margins 2019'!K18*'WACAP 2020'!E116,2)</f>
        <v>-18920.32</v>
      </c>
      <c r="F124" s="422">
        <f>ROUND(-'Authorized Margins 2020'!F15*'WACAP 2020'!F116,2)</f>
        <v>-13637.12</v>
      </c>
      <c r="G124" s="189">
        <f>ROUND(-'Authorized Margins 2020'!G15*'WACAP 2020'!G116,2)</f>
        <v>-13531.36</v>
      </c>
      <c r="H124" s="189">
        <f>ROUND(-'Authorized Margins 2020'!H15*'WACAP 2020'!H116,2)</f>
        <v>-11273.36</v>
      </c>
      <c r="I124" s="189">
        <f>ROUND(-'Authorized Margins 2020'!I15*'WACAP 2020'!I116,2)</f>
        <v>-7121.59</v>
      </c>
      <c r="J124" s="189">
        <f>ROUND(-'Authorized Margins 2020'!J15*'WACAP 2020'!J116,2)</f>
        <v>-5711.86</v>
      </c>
      <c r="K124" s="189">
        <f>ROUND(-'Authorized Margins 2020'!K15*'WACAP 2020'!K116,2)</f>
        <v>-6110.58</v>
      </c>
      <c r="L124" s="189">
        <f>ROUND(-'Authorized Margins 2020'!L15*'WACAP 2020'!L116,2)</f>
        <v>-5177.13</v>
      </c>
      <c r="M124" s="189">
        <f>ROUND(-'Authorized Margins 2020'!M15*'WACAP 2020'!M116,2)</f>
        <v>-6577.06</v>
      </c>
      <c r="N124" s="209"/>
      <c r="O124" s="189">
        <f>ROUND(-'Authorized Margins 2020'!O15*'WACAP 2020'!O116,2)</f>
        <v>-10961.79</v>
      </c>
      <c r="P124" s="190">
        <f>ROUND(-'Authorized Margins 2020'!P15*'WACAP 2020'!P116,2)</f>
        <v>-12067.51</v>
      </c>
      <c r="Q124" s="324"/>
      <c r="S124" s="330"/>
      <c r="T124" s="330"/>
      <c r="U124" s="330"/>
      <c r="V124" s="330"/>
      <c r="W124" s="330"/>
      <c r="X124" s="330"/>
      <c r="Y124" s="330"/>
      <c r="Z124" s="330"/>
      <c r="AA124" s="330"/>
      <c r="AB124" s="330"/>
      <c r="AC124" s="330"/>
      <c r="AD124" s="330"/>
      <c r="AE124" s="330"/>
      <c r="AF124" s="330"/>
      <c r="AG124" s="330"/>
      <c r="AH124" s="330"/>
      <c r="AI124" s="330"/>
      <c r="AJ124" s="330"/>
      <c r="AK124" s="330"/>
      <c r="AL124" s="330"/>
      <c r="AM124" s="330"/>
      <c r="AN124" s="330"/>
      <c r="AO124" s="330"/>
      <c r="AP124" s="330"/>
      <c r="AQ124" s="330"/>
      <c r="AR124" s="330"/>
      <c r="AS124" s="330"/>
      <c r="AT124" s="330"/>
      <c r="AU124" s="330"/>
      <c r="AV124" s="330"/>
      <c r="AW124" s="330"/>
      <c r="AX124" s="330"/>
      <c r="AY124" s="330"/>
      <c r="AZ124" s="330"/>
      <c r="BA124" s="330"/>
      <c r="BB124" s="330"/>
      <c r="BC124" s="330"/>
      <c r="BD124" s="330"/>
      <c r="BE124" s="330"/>
      <c r="BF124" s="330"/>
      <c r="BG124" s="330"/>
      <c r="BH124" s="330"/>
      <c r="BI124" s="330"/>
      <c r="BJ124" s="330"/>
      <c r="BK124" s="330"/>
      <c r="BL124" s="330"/>
      <c r="BM124" s="330"/>
      <c r="BN124" s="330"/>
      <c r="BO124" s="330"/>
      <c r="BP124" s="330"/>
      <c r="BQ124" s="330"/>
      <c r="BR124" s="330"/>
      <c r="BS124" s="330"/>
      <c r="BT124" s="330"/>
      <c r="BU124" s="330"/>
      <c r="BV124" s="330"/>
      <c r="BW124" s="330"/>
      <c r="BX124" s="330"/>
      <c r="BY124" s="330"/>
      <c r="BZ124" s="330"/>
      <c r="CA124" s="330"/>
      <c r="CB124" s="330"/>
      <c r="CC124" s="330"/>
      <c r="CD124" s="330"/>
      <c r="CE124" s="330"/>
      <c r="CF124" s="330"/>
      <c r="CG124" s="330"/>
      <c r="CH124" s="330"/>
      <c r="CI124" s="330"/>
    </row>
    <row r="125" spans="1:87" x14ac:dyDescent="0.25">
      <c r="A125" s="313"/>
      <c r="B125" s="295"/>
      <c r="C125" s="364" t="s">
        <v>75</v>
      </c>
      <c r="D125" s="187">
        <f t="shared" ref="D125:P125" si="63">SUM(D123:D124)</f>
        <v>-6519.7899999999991</v>
      </c>
      <c r="E125" s="187">
        <f t="shared" si="63"/>
        <v>-7768.5399999999972</v>
      </c>
      <c r="F125" s="187">
        <f t="shared" si="63"/>
        <v>-606.66000000000349</v>
      </c>
      <c r="G125" s="187">
        <f t="shared" si="63"/>
        <v>-2245.08</v>
      </c>
      <c r="H125" s="187">
        <f t="shared" si="63"/>
        <v>-2041.7399999999998</v>
      </c>
      <c r="I125" s="187">
        <f t="shared" si="63"/>
        <v>704.03000000000065</v>
      </c>
      <c r="J125" s="187">
        <f t="shared" si="63"/>
        <v>2392.9300000000003</v>
      </c>
      <c r="K125" s="187">
        <f t="shared" si="63"/>
        <v>1736.079999999999</v>
      </c>
      <c r="L125" s="187">
        <f t="shared" si="63"/>
        <v>2022.7000000000016</v>
      </c>
      <c r="M125" s="187">
        <f t="shared" si="63"/>
        <v>5413.8600000000015</v>
      </c>
      <c r="N125" s="302">
        <f>-'WACAP 2019'!R147</f>
        <v>20894.48</v>
      </c>
      <c r="O125" s="187">
        <f t="shared" si="63"/>
        <v>1479.58</v>
      </c>
      <c r="P125" s="188">
        <f t="shared" si="63"/>
        <v>1334.7499999999964</v>
      </c>
      <c r="Q125" s="374">
        <f>SUM(D125:P125)-N125</f>
        <v>-4097.880000000001</v>
      </c>
      <c r="S125" s="330"/>
      <c r="T125" s="330"/>
      <c r="U125" s="330"/>
      <c r="V125" s="330"/>
      <c r="W125" s="330"/>
      <c r="X125" s="330"/>
      <c r="Y125" s="330"/>
      <c r="Z125" s="330"/>
      <c r="AA125" s="330"/>
      <c r="AB125" s="330"/>
      <c r="AC125" s="330"/>
      <c r="AD125" s="330"/>
      <c r="AE125" s="330"/>
      <c r="AF125" s="330"/>
      <c r="AG125" s="330"/>
      <c r="AH125" s="330"/>
      <c r="AI125" s="330"/>
      <c r="AJ125" s="330"/>
      <c r="AK125" s="330"/>
      <c r="AL125" s="330"/>
      <c r="AM125" s="330"/>
      <c r="AN125" s="330"/>
      <c r="AO125" s="330"/>
      <c r="AP125" s="330"/>
      <c r="AQ125" s="330"/>
      <c r="AR125" s="330"/>
      <c r="AS125" s="330"/>
      <c r="AT125" s="330"/>
      <c r="AU125" s="330"/>
      <c r="AV125" s="330"/>
      <c r="AW125" s="330"/>
      <c r="AX125" s="330"/>
      <c r="AY125" s="330"/>
      <c r="AZ125" s="330"/>
      <c r="BA125" s="330"/>
      <c r="BB125" s="330"/>
      <c r="BC125" s="330"/>
      <c r="BD125" s="330"/>
      <c r="BE125" s="330"/>
      <c r="BF125" s="330"/>
      <c r="BG125" s="330"/>
      <c r="BH125" s="330"/>
      <c r="BI125" s="330"/>
      <c r="BJ125" s="330"/>
      <c r="BK125" s="330"/>
      <c r="BL125" s="330"/>
      <c r="BM125" s="330"/>
      <c r="BN125" s="330"/>
      <c r="BO125" s="330"/>
      <c r="BP125" s="330"/>
      <c r="BQ125" s="330"/>
      <c r="BR125" s="330"/>
      <c r="BS125" s="330"/>
      <c r="BT125" s="330"/>
      <c r="BU125" s="330"/>
      <c r="BV125" s="330"/>
      <c r="BW125" s="330"/>
      <c r="BX125" s="330"/>
      <c r="BY125" s="330"/>
      <c r="BZ125" s="330"/>
      <c r="CA125" s="330"/>
      <c r="CB125" s="330"/>
      <c r="CC125" s="330"/>
      <c r="CD125" s="330"/>
      <c r="CE125" s="330"/>
      <c r="CF125" s="330"/>
      <c r="CG125" s="330"/>
      <c r="CH125" s="330"/>
      <c r="CI125" s="330"/>
    </row>
    <row r="126" spans="1:87" x14ac:dyDescent="0.25">
      <c r="A126" s="313"/>
      <c r="B126" s="295"/>
      <c r="C126" s="436" t="s">
        <v>137</v>
      </c>
      <c r="D126" s="308">
        <f>ROUND(ROUND('WACAP 2019'!P148*D$6,2)/365*D$7,2)</f>
        <v>-88.02</v>
      </c>
      <c r="E126" s="187">
        <f>ROUND(ROUND(D128*E$6,2)/365*E$7,2)</f>
        <v>-108.38</v>
      </c>
      <c r="F126" s="187">
        <f t="shared" ref="F126:P126" si="64">ROUND(ROUND(E128*F$6,2)/365*F$7,2)</f>
        <v>-149.04</v>
      </c>
      <c r="G126" s="187">
        <f t="shared" si="64"/>
        <v>-141.07</v>
      </c>
      <c r="H126" s="187">
        <f t="shared" si="64"/>
        <v>-155.4</v>
      </c>
      <c r="I126" s="187">
        <f t="shared" si="64"/>
        <v>-158.97</v>
      </c>
      <c r="J126" s="187">
        <f t="shared" si="64"/>
        <v>-117.03</v>
      </c>
      <c r="K126" s="187">
        <f t="shared" si="64"/>
        <v>-110.4</v>
      </c>
      <c r="L126" s="187">
        <f t="shared" si="64"/>
        <v>-102.26</v>
      </c>
      <c r="M126" s="187">
        <f t="shared" si="64"/>
        <v>-94.82</v>
      </c>
      <c r="N126" s="231">
        <f>'Ammort Split 2020'!N146</f>
        <v>756.15</v>
      </c>
      <c r="O126" s="187">
        <f>ROUND(ROUND(N128*O$6,2)/365*O$7,2)</f>
        <v>-19.72</v>
      </c>
      <c r="P126" s="188">
        <f t="shared" si="64"/>
        <v>-16.350000000000001</v>
      </c>
      <c r="Q126" s="388">
        <f>SUM(D126:P126)</f>
        <v>-505.30999999999995</v>
      </c>
      <c r="S126" s="330"/>
      <c r="T126" s="330"/>
      <c r="U126" s="330"/>
      <c r="V126" s="330"/>
      <c r="W126" s="330"/>
      <c r="X126" s="330"/>
      <c r="Y126" s="330"/>
      <c r="Z126" s="330"/>
      <c r="AA126" s="330"/>
      <c r="AB126" s="330"/>
      <c r="AC126" s="330"/>
      <c r="AD126" s="330"/>
      <c r="AE126" s="330"/>
      <c r="AF126" s="330"/>
      <c r="AG126" s="330"/>
      <c r="AH126" s="330"/>
      <c r="AI126" s="330"/>
      <c r="AJ126" s="330"/>
      <c r="AK126" s="330"/>
      <c r="AL126" s="330"/>
      <c r="AM126" s="330"/>
      <c r="AN126" s="330"/>
      <c r="AO126" s="330"/>
      <c r="AP126" s="330"/>
      <c r="AQ126" s="330"/>
      <c r="AR126" s="330"/>
      <c r="AS126" s="330"/>
      <c r="AT126" s="330"/>
      <c r="AU126" s="330"/>
      <c r="AV126" s="330"/>
      <c r="AW126" s="330"/>
      <c r="AX126" s="330"/>
      <c r="AY126" s="330"/>
      <c r="AZ126" s="330"/>
      <c r="BA126" s="330"/>
      <c r="BB126" s="330"/>
      <c r="BC126" s="330"/>
      <c r="BD126" s="330"/>
      <c r="BE126" s="330"/>
      <c r="BF126" s="330"/>
      <c r="BG126" s="330"/>
      <c r="BH126" s="330"/>
      <c r="BI126" s="330"/>
      <c r="BJ126" s="330"/>
      <c r="BK126" s="330"/>
      <c r="BL126" s="330"/>
      <c r="BM126" s="330"/>
      <c r="BN126" s="330"/>
      <c r="BO126" s="330"/>
      <c r="BP126" s="330"/>
      <c r="BQ126" s="330"/>
      <c r="BR126" s="330"/>
      <c r="BS126" s="330"/>
      <c r="BT126" s="330"/>
      <c r="BU126" s="330"/>
      <c r="BV126" s="330"/>
      <c r="BW126" s="330"/>
      <c r="BX126" s="330"/>
      <c r="BY126" s="330"/>
      <c r="BZ126" s="330"/>
      <c r="CA126" s="330"/>
      <c r="CB126" s="330"/>
      <c r="CC126" s="330"/>
      <c r="CD126" s="330"/>
      <c r="CE126" s="330"/>
      <c r="CF126" s="330"/>
      <c r="CG126" s="330"/>
      <c r="CH126" s="330"/>
      <c r="CI126" s="330"/>
    </row>
    <row r="127" spans="1:87" x14ac:dyDescent="0.25">
      <c r="A127" s="313"/>
      <c r="B127" s="295"/>
      <c r="C127" s="364" t="s">
        <v>138</v>
      </c>
      <c r="D127" s="189">
        <f>SUM(D125:D126)</f>
        <v>-6607.8099999999995</v>
      </c>
      <c r="E127" s="189">
        <f t="shared" ref="E127:P127" si="65">SUM(E125:E126)</f>
        <v>-7876.9199999999973</v>
      </c>
      <c r="F127" s="189">
        <f t="shared" si="65"/>
        <v>-755.70000000000346</v>
      </c>
      <c r="G127" s="189">
        <f t="shared" si="65"/>
        <v>-2386.15</v>
      </c>
      <c r="H127" s="189">
        <f t="shared" si="65"/>
        <v>-2197.14</v>
      </c>
      <c r="I127" s="189">
        <f t="shared" si="65"/>
        <v>545.06000000000063</v>
      </c>
      <c r="J127" s="189">
        <f t="shared" si="65"/>
        <v>2275.9</v>
      </c>
      <c r="K127" s="189">
        <f t="shared" si="65"/>
        <v>1625.6799999999989</v>
      </c>
      <c r="L127" s="189">
        <f t="shared" si="65"/>
        <v>1920.4400000000016</v>
      </c>
      <c r="M127" s="189">
        <f t="shared" si="65"/>
        <v>5319.0400000000018</v>
      </c>
      <c r="N127" s="209">
        <f>SUM(N125:N126)</f>
        <v>21650.63</v>
      </c>
      <c r="O127" s="189">
        <f t="shared" si="65"/>
        <v>1459.86</v>
      </c>
      <c r="P127" s="190">
        <f t="shared" si="65"/>
        <v>1318.3999999999965</v>
      </c>
      <c r="Q127" s="389">
        <f>SUM(Q125:Q126)</f>
        <v>-4603.1900000000005</v>
      </c>
      <c r="S127" s="330"/>
      <c r="T127" s="330"/>
      <c r="U127" s="330"/>
      <c r="V127" s="330"/>
      <c r="W127" s="330"/>
      <c r="X127" s="330"/>
      <c r="Y127" s="330"/>
      <c r="Z127" s="330"/>
      <c r="AA127" s="330"/>
      <c r="AB127" s="330"/>
      <c r="AC127" s="330"/>
      <c r="AD127" s="330"/>
      <c r="AE127" s="330"/>
      <c r="AF127" s="330"/>
      <c r="AG127" s="330"/>
      <c r="AH127" s="330"/>
      <c r="AI127" s="330"/>
      <c r="AJ127" s="330"/>
      <c r="AK127" s="330"/>
      <c r="AL127" s="330"/>
      <c r="AM127" s="330"/>
      <c r="AN127" s="330"/>
      <c r="AO127" s="330"/>
      <c r="AP127" s="330"/>
      <c r="AQ127" s="330"/>
      <c r="AR127" s="330"/>
      <c r="AS127" s="330"/>
      <c r="AT127" s="330"/>
      <c r="AU127" s="330"/>
      <c r="AV127" s="330"/>
      <c r="AW127" s="330"/>
      <c r="AX127" s="330"/>
      <c r="AY127" s="330"/>
      <c r="AZ127" s="330"/>
      <c r="BA127" s="330"/>
      <c r="BB127" s="330"/>
      <c r="BC127" s="330"/>
      <c r="BD127" s="330"/>
      <c r="BE127" s="330"/>
      <c r="BF127" s="330"/>
      <c r="BG127" s="330"/>
      <c r="BH127" s="330"/>
      <c r="BI127" s="330"/>
      <c r="BJ127" s="330"/>
      <c r="BK127" s="330"/>
      <c r="BL127" s="330"/>
      <c r="BM127" s="330"/>
      <c r="BN127" s="330"/>
      <c r="BO127" s="330"/>
      <c r="BP127" s="330"/>
      <c r="BQ127" s="330"/>
      <c r="BR127" s="330"/>
      <c r="BS127" s="330"/>
      <c r="BT127" s="330"/>
      <c r="BU127" s="330"/>
      <c r="BV127" s="330"/>
      <c r="BW127" s="330"/>
      <c r="BX127" s="330"/>
      <c r="BY127" s="330"/>
      <c r="BZ127" s="330"/>
      <c r="CA127" s="330"/>
      <c r="CB127" s="330"/>
      <c r="CC127" s="330"/>
      <c r="CD127" s="330"/>
      <c r="CE127" s="330"/>
      <c r="CF127" s="330"/>
      <c r="CG127" s="330"/>
      <c r="CH127" s="330"/>
      <c r="CI127" s="330"/>
    </row>
    <row r="128" spans="1:87" ht="15.75" thickBot="1" x14ac:dyDescent="0.3">
      <c r="A128" s="313"/>
      <c r="B128" s="295"/>
      <c r="C128" s="436" t="s">
        <v>139</v>
      </c>
      <c r="D128" s="384">
        <f>'WACAP 2019'!P148+'WACAP 2020'!D127</f>
        <v>-27502.289999999994</v>
      </c>
      <c r="E128" s="375">
        <f t="shared" ref="E128:P128" si="66">D128+E127</f>
        <v>-35379.209999999992</v>
      </c>
      <c r="F128" s="375">
        <f t="shared" si="66"/>
        <v>-36134.909999999996</v>
      </c>
      <c r="G128" s="375">
        <f t="shared" si="66"/>
        <v>-38521.06</v>
      </c>
      <c r="H128" s="375">
        <f t="shared" si="66"/>
        <v>-40718.199999999997</v>
      </c>
      <c r="I128" s="375">
        <f t="shared" si="66"/>
        <v>-40173.14</v>
      </c>
      <c r="J128" s="375">
        <f t="shared" si="66"/>
        <v>-37897.24</v>
      </c>
      <c r="K128" s="375">
        <f t="shared" si="66"/>
        <v>-36271.56</v>
      </c>
      <c r="L128" s="375">
        <f t="shared" si="66"/>
        <v>-34351.119999999995</v>
      </c>
      <c r="M128" s="375">
        <f t="shared" si="66"/>
        <v>-29032.079999999994</v>
      </c>
      <c r="N128" s="386">
        <f>M128+N127</f>
        <v>-7381.4499999999935</v>
      </c>
      <c r="O128" s="375">
        <f t="shared" si="66"/>
        <v>-5921.5899999999938</v>
      </c>
      <c r="P128" s="387">
        <f t="shared" si="66"/>
        <v>-4603.1899999999969</v>
      </c>
      <c r="Q128" s="390"/>
      <c r="S128" s="330"/>
      <c r="T128" s="330"/>
      <c r="U128" s="330"/>
      <c r="V128" s="330"/>
      <c r="W128" s="330"/>
      <c r="X128" s="330"/>
      <c r="Y128" s="330"/>
      <c r="Z128" s="330"/>
      <c r="AA128" s="330"/>
      <c r="AB128" s="330"/>
      <c r="AC128" s="330"/>
      <c r="AD128" s="330"/>
      <c r="AE128" s="330"/>
      <c r="AF128" s="330"/>
      <c r="AG128" s="330"/>
      <c r="AH128" s="330"/>
      <c r="AI128" s="330"/>
      <c r="AJ128" s="330"/>
      <c r="AK128" s="330"/>
      <c r="AL128" s="330"/>
      <c r="AM128" s="330"/>
      <c r="AN128" s="330"/>
      <c r="AO128" s="330"/>
      <c r="AP128" s="330"/>
      <c r="AQ128" s="330"/>
      <c r="AR128" s="330"/>
      <c r="AS128" s="330"/>
      <c r="AT128" s="330"/>
      <c r="AU128" s="330"/>
      <c r="AV128" s="330"/>
      <c r="AW128" s="330"/>
      <c r="AX128" s="330"/>
      <c r="AY128" s="330"/>
      <c r="AZ128" s="330"/>
      <c r="BA128" s="330"/>
      <c r="BB128" s="330"/>
      <c r="BC128" s="330"/>
      <c r="BD128" s="330"/>
      <c r="BE128" s="330"/>
      <c r="BF128" s="330"/>
      <c r="BG128" s="330"/>
      <c r="BH128" s="330"/>
      <c r="BI128" s="330"/>
      <c r="BJ128" s="330"/>
      <c r="BK128" s="330"/>
      <c r="BL128" s="330"/>
      <c r="BM128" s="330"/>
      <c r="BN128" s="330"/>
      <c r="BO128" s="330"/>
      <c r="BP128" s="330"/>
      <c r="BQ128" s="330"/>
      <c r="BR128" s="330"/>
      <c r="BS128" s="330"/>
      <c r="BT128" s="330"/>
      <c r="BU128" s="330"/>
      <c r="BV128" s="330"/>
      <c r="BW128" s="330"/>
      <c r="BX128" s="330"/>
      <c r="BY128" s="330"/>
      <c r="BZ128" s="330"/>
      <c r="CA128" s="330"/>
      <c r="CB128" s="330"/>
      <c r="CC128" s="330"/>
      <c r="CD128" s="330"/>
      <c r="CE128" s="330"/>
      <c r="CF128" s="330"/>
      <c r="CG128" s="330"/>
      <c r="CH128" s="330"/>
      <c r="CI128" s="330"/>
    </row>
    <row r="129" spans="1:87" ht="15.75" hidden="1" thickBot="1" x14ac:dyDescent="0.3">
      <c r="A129" s="313"/>
      <c r="B129" s="271"/>
      <c r="D129" s="192"/>
      <c r="E129" s="192"/>
      <c r="F129" s="187"/>
      <c r="G129" s="192"/>
      <c r="H129" s="192"/>
      <c r="I129" s="192"/>
      <c r="J129" s="192"/>
      <c r="K129" s="192"/>
      <c r="L129" s="192"/>
      <c r="M129" s="192"/>
      <c r="N129" s="192"/>
      <c r="O129" s="192"/>
      <c r="P129" s="195"/>
      <c r="Q129" s="178"/>
      <c r="S129" s="334"/>
      <c r="T129" s="337"/>
      <c r="U129" s="337"/>
      <c r="V129" s="330"/>
      <c r="W129" s="330"/>
      <c r="X129" s="330"/>
      <c r="Y129" s="330"/>
      <c r="Z129" s="330"/>
      <c r="AA129" s="330"/>
      <c r="AB129" s="330"/>
      <c r="AC129" s="330"/>
      <c r="AD129" s="330"/>
      <c r="AE129" s="330"/>
      <c r="AF129" s="330"/>
      <c r="AG129" s="330"/>
      <c r="AH129" s="330"/>
      <c r="AI129" s="330"/>
      <c r="AJ129" s="330"/>
      <c r="AK129" s="330"/>
      <c r="AL129" s="330"/>
      <c r="AM129" s="330"/>
      <c r="AN129" s="330"/>
      <c r="AO129" s="330"/>
      <c r="AP129" s="330"/>
      <c r="AQ129" s="330"/>
      <c r="AR129" s="330"/>
      <c r="AS129" s="330"/>
      <c r="AT129" s="330"/>
      <c r="AU129" s="330"/>
      <c r="AV129" s="330"/>
      <c r="AW129" s="330"/>
      <c r="AX129" s="330"/>
      <c r="AY129" s="330"/>
      <c r="AZ129" s="330"/>
      <c r="BA129" s="330"/>
      <c r="BB129" s="330"/>
      <c r="BC129" s="330"/>
      <c r="BD129" s="330"/>
      <c r="BE129" s="330"/>
      <c r="BF129" s="330"/>
      <c r="BG129" s="330"/>
      <c r="BH129" s="330"/>
      <c r="BI129" s="330"/>
      <c r="BJ129" s="330"/>
      <c r="BK129" s="330"/>
      <c r="BL129" s="330"/>
      <c r="BM129" s="330"/>
      <c r="BN129" s="330"/>
      <c r="BO129" s="330"/>
      <c r="BP129" s="330"/>
      <c r="BQ129" s="330"/>
      <c r="BR129" s="330"/>
      <c r="BS129" s="330"/>
      <c r="BT129" s="330"/>
      <c r="BU129" s="330"/>
      <c r="BV129" s="330"/>
      <c r="BW129" s="330"/>
      <c r="BX129" s="330"/>
      <c r="BY129" s="330"/>
      <c r="BZ129" s="330"/>
      <c r="CA129" s="330"/>
      <c r="CB129" s="330"/>
      <c r="CC129" s="330"/>
      <c r="CD129" s="330"/>
      <c r="CE129" s="330"/>
      <c r="CF129" s="330"/>
      <c r="CG129" s="330"/>
      <c r="CH129" s="330"/>
      <c r="CI129" s="330"/>
    </row>
    <row r="130" spans="1:87" ht="15.75" hidden="1" thickBot="1" x14ac:dyDescent="0.3">
      <c r="A130" s="313"/>
      <c r="B130" s="104" t="s">
        <v>88</v>
      </c>
      <c r="C130" s="271">
        <v>577</v>
      </c>
      <c r="D130" s="229" t="s">
        <v>149</v>
      </c>
      <c r="F130" s="187"/>
      <c r="G130" s="192"/>
      <c r="H130" s="192"/>
      <c r="I130" s="192"/>
      <c r="J130" s="192"/>
      <c r="L130" s="192"/>
      <c r="M130" s="192"/>
      <c r="N130" s="202"/>
      <c r="O130" s="192"/>
      <c r="P130" s="195"/>
      <c r="Q130" s="178"/>
      <c r="S130" s="330"/>
      <c r="T130" s="330"/>
      <c r="U130" s="337"/>
      <c r="V130" s="337"/>
      <c r="W130" s="330"/>
      <c r="X130" s="330"/>
      <c r="Y130" s="330"/>
      <c r="Z130" s="330"/>
      <c r="AA130" s="330"/>
      <c r="AB130" s="330"/>
      <c r="AC130" s="330"/>
      <c r="AD130" s="330"/>
      <c r="AE130" s="330"/>
      <c r="AF130" s="330"/>
      <c r="AG130" s="330"/>
      <c r="AH130" s="330"/>
      <c r="AI130" s="330"/>
      <c r="AJ130" s="330"/>
      <c r="AK130" s="330"/>
      <c r="AL130" s="330"/>
      <c r="AM130" s="330"/>
      <c r="AN130" s="330"/>
      <c r="AO130" s="330"/>
      <c r="AP130" s="330"/>
      <c r="AQ130" s="330"/>
      <c r="AR130" s="330"/>
      <c r="AS130" s="330"/>
      <c r="AT130" s="330"/>
      <c r="AU130" s="330"/>
      <c r="AV130" s="330"/>
      <c r="AW130" s="330"/>
      <c r="AX130" s="330"/>
      <c r="AY130" s="330"/>
      <c r="AZ130" s="330"/>
      <c r="BA130" s="330"/>
      <c r="BB130" s="330"/>
      <c r="BC130" s="330"/>
      <c r="BD130" s="330"/>
      <c r="BE130" s="330"/>
      <c r="BF130" s="330"/>
      <c r="BG130" s="330"/>
      <c r="BH130" s="330"/>
      <c r="BI130" s="330"/>
      <c r="BJ130" s="330"/>
      <c r="BK130" s="330"/>
      <c r="BL130" s="330"/>
      <c r="BM130" s="330"/>
      <c r="BN130" s="330"/>
      <c r="BO130" s="330"/>
      <c r="BP130" s="330"/>
      <c r="BQ130" s="330"/>
      <c r="BR130" s="330"/>
      <c r="BS130" s="330"/>
      <c r="BT130" s="330"/>
      <c r="BU130" s="330"/>
      <c r="BV130" s="330"/>
      <c r="BW130" s="330"/>
      <c r="BX130" s="330"/>
      <c r="BY130" s="330"/>
      <c r="BZ130" s="330"/>
      <c r="CA130" s="330"/>
      <c r="CB130" s="330"/>
      <c r="CC130" s="330"/>
      <c r="CD130" s="330"/>
      <c r="CE130" s="330"/>
      <c r="CF130" s="330"/>
      <c r="CG130" s="330"/>
      <c r="CH130" s="330"/>
      <c r="CI130" s="330"/>
    </row>
    <row r="131" spans="1:87" ht="15.75" hidden="1" thickBot="1" x14ac:dyDescent="0.3">
      <c r="A131" s="313"/>
      <c r="B131" s="295" t="s">
        <v>64</v>
      </c>
      <c r="C131" t="s">
        <v>172</v>
      </c>
      <c r="D131" s="296"/>
      <c r="E131" s="296"/>
      <c r="F131" s="296"/>
      <c r="G131" s="296"/>
      <c r="H131" s="296"/>
      <c r="I131" s="296"/>
      <c r="J131" s="296"/>
      <c r="K131" s="296"/>
      <c r="L131" s="296"/>
      <c r="M131" s="296"/>
      <c r="N131" s="202"/>
      <c r="O131" s="296"/>
      <c r="P131" s="297"/>
      <c r="Q131" s="179"/>
      <c r="S131" s="330"/>
      <c r="T131" s="330"/>
      <c r="U131" s="333"/>
      <c r="V131" s="330"/>
      <c r="W131" s="333"/>
      <c r="X131" s="330"/>
      <c r="Y131" s="330"/>
      <c r="Z131" s="330"/>
      <c r="AA131" s="330"/>
      <c r="AB131" s="330"/>
      <c r="AC131" s="330"/>
      <c r="AD131" s="330"/>
      <c r="AE131" s="330"/>
      <c r="AF131" s="330"/>
      <c r="AG131" s="330"/>
      <c r="AH131" s="330"/>
      <c r="AI131" s="330"/>
      <c r="AJ131" s="330"/>
      <c r="AK131" s="330"/>
      <c r="AL131" s="330"/>
      <c r="AM131" s="330"/>
      <c r="AN131" s="330"/>
      <c r="AO131" s="330"/>
      <c r="AP131" s="330"/>
      <c r="AQ131" s="330"/>
      <c r="AR131" s="330"/>
      <c r="AS131" s="330"/>
      <c r="AT131" s="330"/>
      <c r="AU131" s="330"/>
      <c r="AV131" s="330"/>
      <c r="AW131" s="330"/>
      <c r="AX131" s="330"/>
      <c r="AY131" s="330"/>
      <c r="AZ131" s="330"/>
      <c r="BA131" s="330"/>
      <c r="BB131" s="330"/>
      <c r="BC131" s="330"/>
      <c r="BD131" s="330"/>
      <c r="BE131" s="330"/>
      <c r="BF131" s="330"/>
      <c r="BG131" s="330"/>
      <c r="BH131" s="330"/>
      <c r="BI131" s="330"/>
      <c r="BJ131" s="330"/>
      <c r="BK131" s="330"/>
      <c r="BL131" s="330"/>
      <c r="BM131" s="330"/>
      <c r="BN131" s="330"/>
      <c r="BO131" s="330"/>
      <c r="BP131" s="330"/>
      <c r="BQ131" s="330"/>
      <c r="BR131" s="330"/>
      <c r="BS131" s="330"/>
      <c r="BT131" s="330"/>
      <c r="BU131" s="330"/>
      <c r="BV131" s="330"/>
      <c r="BW131" s="330"/>
      <c r="BX131" s="330"/>
      <c r="BY131" s="330"/>
      <c r="BZ131" s="330"/>
      <c r="CA131" s="330"/>
      <c r="CB131" s="330"/>
      <c r="CC131" s="330"/>
      <c r="CD131" s="330"/>
      <c r="CE131" s="330"/>
      <c r="CF131" s="330"/>
      <c r="CG131" s="330"/>
      <c r="CH131" s="330"/>
      <c r="CI131" s="330"/>
    </row>
    <row r="132" spans="1:87" ht="15.75" hidden="1" thickBot="1" x14ac:dyDescent="0.3">
      <c r="A132" s="313"/>
      <c r="B132" s="295" t="s">
        <v>71</v>
      </c>
      <c r="C132" t="s">
        <v>109</v>
      </c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08"/>
      <c r="O132" s="298"/>
      <c r="P132" s="299"/>
      <c r="Q132" s="180"/>
      <c r="S132" s="334"/>
      <c r="T132" s="337"/>
      <c r="U132" s="336"/>
      <c r="V132" s="330"/>
      <c r="W132" s="336"/>
      <c r="X132" s="330"/>
      <c r="Y132" s="330"/>
      <c r="Z132" s="330"/>
      <c r="AA132" s="336"/>
      <c r="AB132" s="330"/>
      <c r="AC132" s="330"/>
      <c r="AD132" s="330"/>
      <c r="AE132" s="330"/>
      <c r="AF132" s="330"/>
      <c r="AG132" s="330"/>
      <c r="AH132" s="330"/>
      <c r="AI132" s="330"/>
      <c r="AJ132" s="330"/>
      <c r="AK132" s="330"/>
      <c r="AL132" s="330"/>
      <c r="AM132" s="330"/>
      <c r="AN132" s="330"/>
      <c r="AO132" s="330"/>
      <c r="AP132" s="330"/>
      <c r="AQ132" s="330"/>
      <c r="AR132" s="330"/>
      <c r="AS132" s="330"/>
      <c r="AT132" s="330"/>
      <c r="AU132" s="330"/>
      <c r="AV132" s="330"/>
      <c r="AW132" s="330"/>
      <c r="AX132" s="330"/>
      <c r="AY132" s="330"/>
      <c r="AZ132" s="330"/>
      <c r="BA132" s="330"/>
      <c r="BB132" s="330"/>
      <c r="BC132" s="330"/>
      <c r="BD132" s="330"/>
      <c r="BE132" s="330"/>
      <c r="BF132" s="330"/>
      <c r="BG132" s="330"/>
      <c r="BH132" s="330"/>
      <c r="BI132" s="330"/>
      <c r="BJ132" s="330"/>
      <c r="BK132" s="330"/>
      <c r="BL132" s="330"/>
      <c r="BM132" s="330"/>
      <c r="BN132" s="330"/>
      <c r="BO132" s="330"/>
      <c r="BP132" s="330"/>
      <c r="BQ132" s="330"/>
      <c r="BR132" s="330"/>
      <c r="BS132" s="330"/>
      <c r="BT132" s="330"/>
      <c r="BU132" s="330"/>
      <c r="BV132" s="330"/>
      <c r="BW132" s="330"/>
      <c r="BX132" s="330"/>
      <c r="BY132" s="330"/>
      <c r="BZ132" s="330"/>
      <c r="CA132" s="330"/>
      <c r="CB132" s="330"/>
      <c r="CC132" s="330"/>
      <c r="CD132" s="330"/>
      <c r="CE132" s="330"/>
      <c r="CF132" s="330"/>
      <c r="CG132" s="330"/>
      <c r="CH132" s="330"/>
      <c r="CI132" s="330"/>
    </row>
    <row r="133" spans="1:87" ht="15.75" hidden="1" thickBot="1" x14ac:dyDescent="0.3">
      <c r="A133" s="313"/>
      <c r="B133" s="295" t="s">
        <v>71</v>
      </c>
      <c r="C133" t="s">
        <v>96</v>
      </c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08"/>
      <c r="O133" s="298"/>
      <c r="P133" s="299"/>
      <c r="Q133" s="180"/>
      <c r="S133" s="334"/>
      <c r="T133" s="337"/>
      <c r="U133" s="336"/>
      <c r="V133" s="330"/>
      <c r="W133" s="336"/>
      <c r="X133" s="330"/>
      <c r="Y133" s="330"/>
      <c r="Z133" s="330"/>
      <c r="AA133" s="336"/>
      <c r="AB133" s="330"/>
      <c r="AC133" s="330"/>
      <c r="AD133" s="330"/>
      <c r="AE133" s="330"/>
      <c r="AF133" s="330"/>
      <c r="AG133" s="330"/>
      <c r="AH133" s="330"/>
      <c r="AI133" s="330"/>
      <c r="AJ133" s="330"/>
      <c r="AK133" s="330"/>
      <c r="AL133" s="330"/>
      <c r="AM133" s="330"/>
      <c r="AN133" s="330"/>
      <c r="AO133" s="330"/>
      <c r="AP133" s="330"/>
      <c r="AQ133" s="330"/>
      <c r="AR133" s="330"/>
      <c r="AS133" s="330"/>
      <c r="AT133" s="330"/>
      <c r="AU133" s="330"/>
      <c r="AV133" s="330"/>
      <c r="AW133" s="330"/>
      <c r="AX133" s="330"/>
      <c r="AY133" s="330"/>
      <c r="AZ133" s="330"/>
      <c r="BA133" s="330"/>
      <c r="BB133" s="330"/>
      <c r="BC133" s="330"/>
      <c r="BD133" s="330"/>
      <c r="BE133" s="330"/>
      <c r="BF133" s="330"/>
      <c r="BG133" s="330"/>
      <c r="BH133" s="330"/>
      <c r="BI133" s="330"/>
      <c r="BJ133" s="330"/>
      <c r="BK133" s="330"/>
      <c r="BL133" s="330"/>
      <c r="BM133" s="330"/>
      <c r="BN133" s="330"/>
      <c r="BO133" s="330"/>
      <c r="BP133" s="330"/>
      <c r="BQ133" s="330"/>
      <c r="BR133" s="330"/>
      <c r="BS133" s="330"/>
      <c r="BT133" s="330"/>
      <c r="BU133" s="330"/>
      <c r="BV133" s="330"/>
      <c r="BW133" s="330"/>
      <c r="BX133" s="330"/>
      <c r="BY133" s="330"/>
      <c r="BZ133" s="330"/>
      <c r="CA133" s="330"/>
      <c r="CB133" s="330"/>
      <c r="CC133" s="330"/>
      <c r="CD133" s="330"/>
      <c r="CE133" s="330"/>
      <c r="CF133" s="330"/>
      <c r="CG133" s="330"/>
      <c r="CH133" s="330"/>
      <c r="CI133" s="330"/>
    </row>
    <row r="134" spans="1:87" ht="15.75" hidden="1" thickBot="1" x14ac:dyDescent="0.3">
      <c r="A134" s="313"/>
      <c r="B134" s="295" t="s">
        <v>72</v>
      </c>
      <c r="C134" t="s">
        <v>110</v>
      </c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08"/>
      <c r="O134" s="298"/>
      <c r="P134" s="299"/>
      <c r="Q134" s="180"/>
      <c r="S134" s="334"/>
      <c r="T134" s="337"/>
      <c r="U134" s="336"/>
      <c r="V134" s="330"/>
      <c r="W134" s="336"/>
      <c r="X134" s="330"/>
      <c r="Y134" s="330"/>
      <c r="Z134" s="330"/>
      <c r="AA134" s="336"/>
      <c r="AB134" s="330"/>
      <c r="AC134" s="330"/>
      <c r="AD134" s="330"/>
      <c r="AE134" s="330"/>
      <c r="AF134" s="330"/>
      <c r="AG134" s="330"/>
      <c r="AH134" s="330"/>
      <c r="AI134" s="330"/>
      <c r="AJ134" s="330"/>
      <c r="AK134" s="330"/>
      <c r="AL134" s="330"/>
      <c r="AM134" s="330"/>
      <c r="AN134" s="330"/>
      <c r="AO134" s="330"/>
      <c r="AP134" s="330"/>
      <c r="AQ134" s="330"/>
      <c r="AR134" s="330"/>
      <c r="AS134" s="330"/>
      <c r="AT134" s="330"/>
      <c r="AU134" s="330"/>
      <c r="AV134" s="330"/>
      <c r="AW134" s="330"/>
      <c r="AX134" s="330"/>
      <c r="AY134" s="330"/>
      <c r="AZ134" s="330"/>
      <c r="BA134" s="330"/>
      <c r="BB134" s="330"/>
      <c r="BC134" s="330"/>
      <c r="BD134" s="330"/>
      <c r="BE134" s="330"/>
      <c r="BF134" s="330"/>
      <c r="BG134" s="330"/>
      <c r="BH134" s="330"/>
      <c r="BI134" s="330"/>
      <c r="BJ134" s="330"/>
      <c r="BK134" s="330"/>
      <c r="BL134" s="330"/>
      <c r="BM134" s="330"/>
      <c r="BN134" s="330"/>
      <c r="BO134" s="330"/>
      <c r="BP134" s="330"/>
      <c r="BQ134" s="330"/>
      <c r="BR134" s="330"/>
      <c r="BS134" s="330"/>
      <c r="BT134" s="330"/>
      <c r="BU134" s="330"/>
      <c r="BV134" s="330"/>
      <c r="BW134" s="330"/>
      <c r="BX134" s="330"/>
      <c r="BY134" s="330"/>
      <c r="BZ134" s="330"/>
      <c r="CA134" s="330"/>
      <c r="CB134" s="330"/>
      <c r="CC134" s="330"/>
      <c r="CD134" s="330"/>
      <c r="CE134" s="330"/>
      <c r="CF134" s="330"/>
      <c r="CG134" s="330"/>
      <c r="CH134" s="330"/>
      <c r="CI134" s="330"/>
    </row>
    <row r="135" spans="1:87" ht="15.75" hidden="1" thickBot="1" x14ac:dyDescent="0.3">
      <c r="A135" s="313"/>
      <c r="B135" s="295" t="s">
        <v>72</v>
      </c>
      <c r="C135" t="s">
        <v>111</v>
      </c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08"/>
      <c r="O135" s="298"/>
      <c r="P135" s="299"/>
      <c r="Q135" s="180"/>
      <c r="S135" s="330"/>
      <c r="T135" s="330"/>
      <c r="U135" s="330"/>
      <c r="V135" s="330"/>
      <c r="W135" s="330"/>
      <c r="X135" s="330"/>
      <c r="Y135" s="330"/>
      <c r="Z135" s="330"/>
      <c r="AA135" s="336"/>
      <c r="AB135" s="330"/>
      <c r="AC135" s="330"/>
      <c r="AD135" s="330"/>
      <c r="AE135" s="330"/>
      <c r="AF135" s="330"/>
      <c r="AG135" s="330"/>
      <c r="AH135" s="330"/>
      <c r="AI135" s="330"/>
      <c r="AJ135" s="330"/>
      <c r="AK135" s="330"/>
      <c r="AL135" s="330"/>
      <c r="AM135" s="330"/>
      <c r="AN135" s="330"/>
      <c r="AO135" s="330"/>
      <c r="AP135" s="330"/>
      <c r="AQ135" s="330"/>
      <c r="AR135" s="330"/>
      <c r="AS135" s="330"/>
      <c r="AT135" s="330"/>
      <c r="AU135" s="330"/>
      <c r="AV135" s="330"/>
      <c r="AW135" s="330"/>
      <c r="AX135" s="330"/>
      <c r="AY135" s="330"/>
      <c r="AZ135" s="330"/>
      <c r="BA135" s="330"/>
      <c r="BB135" s="330"/>
      <c r="BC135" s="330"/>
      <c r="BD135" s="330"/>
      <c r="BE135" s="330"/>
      <c r="BF135" s="330"/>
      <c r="BG135" s="330"/>
      <c r="BH135" s="330"/>
      <c r="BI135" s="330"/>
      <c r="BJ135" s="330"/>
      <c r="BK135" s="330"/>
      <c r="BL135" s="330"/>
      <c r="BM135" s="330"/>
      <c r="BN135" s="330"/>
      <c r="BO135" s="330"/>
      <c r="BP135" s="330"/>
      <c r="BQ135" s="330"/>
      <c r="BR135" s="330"/>
      <c r="BS135" s="330"/>
      <c r="BT135" s="330"/>
      <c r="BU135" s="330"/>
      <c r="BV135" s="330"/>
      <c r="BW135" s="330"/>
      <c r="BX135" s="330"/>
      <c r="BY135" s="330"/>
      <c r="BZ135" s="330"/>
      <c r="CA135" s="330"/>
      <c r="CB135" s="330"/>
      <c r="CC135" s="330"/>
      <c r="CD135" s="330"/>
      <c r="CE135" s="330"/>
      <c r="CF135" s="330"/>
      <c r="CG135" s="330"/>
      <c r="CH135" s="330"/>
      <c r="CI135" s="330"/>
    </row>
    <row r="136" spans="1:87" ht="15.75" hidden="1" thickBot="1" x14ac:dyDescent="0.3">
      <c r="A136" s="313"/>
      <c r="B136" s="295" t="s">
        <v>72</v>
      </c>
      <c r="C136" t="s">
        <v>112</v>
      </c>
      <c r="D136" s="187">
        <f>-'WACAP 2018'!O138</f>
        <v>0</v>
      </c>
      <c r="E136" s="187">
        <f>-D134</f>
        <v>0</v>
      </c>
      <c r="F136" s="187">
        <f>-E134</f>
        <v>0</v>
      </c>
      <c r="G136" s="187">
        <f>-F134</f>
        <v>0</v>
      </c>
      <c r="H136" s="187">
        <f t="shared" ref="E136:M137" si="67">-G134</f>
        <v>0</v>
      </c>
      <c r="I136" s="187">
        <f t="shared" si="67"/>
        <v>0</v>
      </c>
      <c r="J136" s="187">
        <f t="shared" si="67"/>
        <v>0</v>
      </c>
      <c r="K136" s="187">
        <f t="shared" si="67"/>
        <v>0</v>
      </c>
      <c r="L136" s="187">
        <f t="shared" si="67"/>
        <v>0</v>
      </c>
      <c r="M136" s="187">
        <f t="shared" si="67"/>
        <v>0</v>
      </c>
      <c r="N136" s="208"/>
      <c r="O136" s="187">
        <f t="shared" ref="O136:O137" si="68">-M134</f>
        <v>0</v>
      </c>
      <c r="P136" s="188">
        <f>-O134</f>
        <v>0</v>
      </c>
      <c r="Q136" s="180"/>
      <c r="S136" s="330"/>
      <c r="T136" s="330"/>
      <c r="U136" s="330"/>
      <c r="V136" s="330"/>
      <c r="W136" s="330"/>
      <c r="X136" s="330"/>
      <c r="Y136" s="330"/>
      <c r="Z136" s="330"/>
      <c r="AA136" s="330"/>
      <c r="AB136" s="330"/>
      <c r="AC136" s="330"/>
      <c r="AD136" s="330"/>
      <c r="AE136" s="330"/>
      <c r="AF136" s="330"/>
      <c r="AG136" s="330"/>
      <c r="AH136" s="330"/>
      <c r="AI136" s="330"/>
      <c r="AJ136" s="330"/>
      <c r="AK136" s="330"/>
      <c r="AL136" s="330"/>
      <c r="AM136" s="330"/>
      <c r="AN136" s="330"/>
      <c r="AO136" s="330"/>
      <c r="AP136" s="330"/>
      <c r="AQ136" s="330"/>
      <c r="AR136" s="330"/>
      <c r="AS136" s="330"/>
      <c r="AT136" s="330"/>
      <c r="AU136" s="330"/>
      <c r="AV136" s="330"/>
      <c r="AW136" s="330"/>
      <c r="AX136" s="330"/>
      <c r="AY136" s="330"/>
      <c r="AZ136" s="330"/>
      <c r="BA136" s="330"/>
      <c r="BB136" s="330"/>
      <c r="BC136" s="330"/>
      <c r="BD136" s="330"/>
      <c r="BE136" s="330"/>
      <c r="BF136" s="330"/>
      <c r="BG136" s="330"/>
      <c r="BH136" s="330"/>
      <c r="BI136" s="330"/>
      <c r="BJ136" s="330"/>
      <c r="BK136" s="330"/>
      <c r="BL136" s="330"/>
      <c r="BM136" s="330"/>
      <c r="BN136" s="330"/>
      <c r="BO136" s="330"/>
      <c r="BP136" s="330"/>
      <c r="BQ136" s="330"/>
      <c r="BR136" s="330"/>
      <c r="BS136" s="330"/>
      <c r="BT136" s="330"/>
      <c r="BU136" s="330"/>
      <c r="BV136" s="330"/>
      <c r="BW136" s="330"/>
      <c r="BX136" s="330"/>
      <c r="BY136" s="330"/>
      <c r="BZ136" s="330"/>
      <c r="CA136" s="330"/>
      <c r="CB136" s="330"/>
      <c r="CC136" s="330"/>
      <c r="CD136" s="330"/>
      <c r="CE136" s="330"/>
      <c r="CF136" s="330"/>
      <c r="CG136" s="330"/>
      <c r="CH136" s="330"/>
      <c r="CI136" s="330"/>
    </row>
    <row r="137" spans="1:87" ht="15.75" hidden="1" thickBot="1" x14ac:dyDescent="0.3">
      <c r="A137" s="313"/>
      <c r="B137" s="295" t="s">
        <v>72</v>
      </c>
      <c r="C137" t="s">
        <v>113</v>
      </c>
      <c r="D137" s="189">
        <f>-'WACAP 2018'!O139</f>
        <v>0</v>
      </c>
      <c r="E137" s="189">
        <f t="shared" si="67"/>
        <v>0</v>
      </c>
      <c r="F137" s="189">
        <f t="shared" si="67"/>
        <v>0</v>
      </c>
      <c r="G137" s="189">
        <f t="shared" si="67"/>
        <v>0</v>
      </c>
      <c r="H137" s="189">
        <f t="shared" si="67"/>
        <v>0</v>
      </c>
      <c r="I137" s="189">
        <f t="shared" si="67"/>
        <v>0</v>
      </c>
      <c r="J137" s="189">
        <f t="shared" si="67"/>
        <v>0</v>
      </c>
      <c r="K137" s="189">
        <f t="shared" si="67"/>
        <v>0</v>
      </c>
      <c r="L137" s="189">
        <f t="shared" si="67"/>
        <v>0</v>
      </c>
      <c r="M137" s="189">
        <f t="shared" si="67"/>
        <v>0</v>
      </c>
      <c r="N137" s="209"/>
      <c r="O137" s="189">
        <f t="shared" si="68"/>
        <v>0</v>
      </c>
      <c r="P137" s="190">
        <f>-O135</f>
        <v>0</v>
      </c>
      <c r="Q137" s="180"/>
      <c r="S137" s="330"/>
      <c r="T137" s="330"/>
      <c r="U137" s="330"/>
      <c r="V137" s="330"/>
      <c r="W137" s="330"/>
      <c r="X137" s="330"/>
      <c r="Y137" s="330"/>
      <c r="Z137" s="330"/>
      <c r="AA137" s="330"/>
      <c r="AB137" s="330"/>
      <c r="AC137" s="330"/>
      <c r="AD137" s="330"/>
      <c r="AE137" s="330"/>
      <c r="AF137" s="330"/>
      <c r="AG137" s="330"/>
      <c r="AH137" s="330"/>
      <c r="AI137" s="330"/>
      <c r="AJ137" s="330"/>
      <c r="AK137" s="330"/>
      <c r="AL137" s="330"/>
      <c r="AM137" s="330"/>
      <c r="AN137" s="330"/>
      <c r="AO137" s="330"/>
      <c r="AP137" s="330"/>
      <c r="AQ137" s="330"/>
      <c r="AR137" s="330"/>
      <c r="AS137" s="330"/>
      <c r="AT137" s="330"/>
      <c r="AU137" s="330"/>
      <c r="AV137" s="330"/>
      <c r="AW137" s="330"/>
      <c r="AX137" s="330"/>
      <c r="AY137" s="330"/>
      <c r="AZ137" s="330"/>
      <c r="BA137" s="330"/>
      <c r="BB137" s="330"/>
      <c r="BC137" s="330"/>
      <c r="BD137" s="330"/>
      <c r="BE137" s="330"/>
      <c r="BF137" s="330"/>
      <c r="BG137" s="330"/>
      <c r="BH137" s="330"/>
      <c r="BI137" s="330"/>
      <c r="BJ137" s="330"/>
      <c r="BK137" s="330"/>
      <c r="BL137" s="330"/>
      <c r="BM137" s="330"/>
      <c r="BN137" s="330"/>
      <c r="BO137" s="330"/>
      <c r="BP137" s="330"/>
      <c r="BQ137" s="330"/>
      <c r="BR137" s="330"/>
      <c r="BS137" s="330"/>
      <c r="BT137" s="330"/>
      <c r="BU137" s="330"/>
      <c r="BV137" s="330"/>
      <c r="BW137" s="330"/>
      <c r="BX137" s="330"/>
      <c r="BY137" s="330"/>
      <c r="BZ137" s="330"/>
      <c r="CA137" s="330"/>
      <c r="CB137" s="330"/>
      <c r="CC137" s="330"/>
      <c r="CD137" s="330"/>
      <c r="CE137" s="330"/>
      <c r="CF137" s="330"/>
      <c r="CG137" s="330"/>
      <c r="CH137" s="330"/>
      <c r="CI137" s="330"/>
    </row>
    <row r="138" spans="1:87" ht="15.75" hidden="1" thickBot="1" x14ac:dyDescent="0.3">
      <c r="A138" s="313"/>
      <c r="B138" s="360"/>
      <c r="C138" s="122" t="s">
        <v>74</v>
      </c>
      <c r="D138" s="187">
        <f t="shared" ref="D138:F138" si="69">SUM(D132:D137)</f>
        <v>0</v>
      </c>
      <c r="E138" s="187">
        <f t="shared" si="69"/>
        <v>0</v>
      </c>
      <c r="F138" s="187">
        <f t="shared" si="69"/>
        <v>0</v>
      </c>
      <c r="G138" s="187">
        <f>SUM(G132:G137)</f>
        <v>0</v>
      </c>
      <c r="H138" s="187">
        <f t="shared" ref="H138:P138" si="70">SUM(H132:H137)</f>
        <v>0</v>
      </c>
      <c r="I138" s="187">
        <f t="shared" si="70"/>
        <v>0</v>
      </c>
      <c r="J138" s="187">
        <f t="shared" si="70"/>
        <v>0</v>
      </c>
      <c r="K138" s="187">
        <f t="shared" si="70"/>
        <v>0</v>
      </c>
      <c r="L138" s="187">
        <f t="shared" si="70"/>
        <v>0</v>
      </c>
      <c r="M138" s="187">
        <f t="shared" si="70"/>
        <v>0</v>
      </c>
      <c r="N138" s="208"/>
      <c r="O138" s="187">
        <f t="shared" si="70"/>
        <v>0</v>
      </c>
      <c r="P138" s="188">
        <f t="shared" si="70"/>
        <v>0</v>
      </c>
      <c r="Q138" s="178"/>
      <c r="S138" s="330"/>
      <c r="T138" s="330"/>
      <c r="U138" s="330"/>
      <c r="V138" s="330"/>
      <c r="W138" s="330"/>
      <c r="X138" s="330"/>
      <c r="Y138" s="330"/>
      <c r="Z138" s="330"/>
      <c r="AA138" s="330"/>
      <c r="AB138" s="330"/>
      <c r="AC138" s="330"/>
      <c r="AD138" s="330"/>
      <c r="AE138" s="330"/>
      <c r="AF138" s="330"/>
      <c r="AG138" s="330"/>
      <c r="AH138" s="330"/>
      <c r="AI138" s="330"/>
      <c r="AJ138" s="330"/>
      <c r="AK138" s="330"/>
      <c r="AL138" s="330"/>
      <c r="AM138" s="330"/>
      <c r="AN138" s="330"/>
      <c r="AO138" s="330"/>
      <c r="AP138" s="330"/>
      <c r="AQ138" s="330"/>
      <c r="AR138" s="330"/>
      <c r="AS138" s="330"/>
      <c r="AT138" s="330"/>
      <c r="AU138" s="330"/>
      <c r="AV138" s="330"/>
      <c r="AW138" s="330"/>
      <c r="AX138" s="330"/>
      <c r="AY138" s="330"/>
      <c r="AZ138" s="330"/>
      <c r="BA138" s="330"/>
      <c r="BB138" s="330"/>
      <c r="BC138" s="330"/>
      <c r="BD138" s="330"/>
      <c r="BE138" s="330"/>
      <c r="BF138" s="330"/>
      <c r="BG138" s="330"/>
      <c r="BH138" s="330"/>
      <c r="BI138" s="330"/>
      <c r="BJ138" s="330"/>
      <c r="BK138" s="330"/>
      <c r="BL138" s="330"/>
      <c r="BM138" s="330"/>
      <c r="BN138" s="330"/>
      <c r="BO138" s="330"/>
      <c r="BP138" s="330"/>
      <c r="BQ138" s="330"/>
      <c r="BR138" s="330"/>
      <c r="BS138" s="330"/>
      <c r="BT138" s="330"/>
      <c r="BU138" s="330"/>
      <c r="BV138" s="330"/>
      <c r="BW138" s="330"/>
      <c r="BX138" s="330"/>
      <c r="BY138" s="330"/>
      <c r="BZ138" s="330"/>
      <c r="CA138" s="330"/>
      <c r="CB138" s="330"/>
      <c r="CC138" s="330"/>
      <c r="CD138" s="330"/>
      <c r="CE138" s="330"/>
      <c r="CF138" s="330"/>
      <c r="CG138" s="330"/>
      <c r="CH138" s="330"/>
      <c r="CI138" s="330"/>
    </row>
    <row r="139" spans="1:87" ht="15.75" hidden="1" thickBot="1" x14ac:dyDescent="0.3">
      <c r="A139" s="313"/>
      <c r="B139" s="360"/>
      <c r="C139" s="122" t="s">
        <v>73</v>
      </c>
      <c r="D139" s="189">
        <v>0</v>
      </c>
      <c r="E139" s="189">
        <v>0</v>
      </c>
      <c r="F139" s="189">
        <v>0</v>
      </c>
      <c r="G139" s="189">
        <v>0</v>
      </c>
      <c r="H139" s="189">
        <v>0</v>
      </c>
      <c r="I139" s="189">
        <v>0</v>
      </c>
      <c r="J139" s="189">
        <v>0</v>
      </c>
      <c r="K139" s="189">
        <v>0</v>
      </c>
      <c r="L139" s="189">
        <v>0</v>
      </c>
      <c r="M139" s="189">
        <v>0</v>
      </c>
      <c r="N139" s="209"/>
      <c r="O139" s="189">
        <v>0</v>
      </c>
      <c r="P139" s="190">
        <v>0</v>
      </c>
      <c r="Q139" s="178"/>
      <c r="S139" s="330"/>
      <c r="T139" s="330"/>
      <c r="U139" s="330"/>
      <c r="V139" s="330"/>
      <c r="W139" s="330"/>
      <c r="X139" s="330"/>
      <c r="Y139" s="330"/>
      <c r="Z139" s="330"/>
      <c r="AA139" s="330"/>
      <c r="AB139" s="330"/>
      <c r="AC139" s="330"/>
      <c r="AD139" s="330"/>
      <c r="AE139" s="330"/>
      <c r="AF139" s="330"/>
      <c r="AG139" s="330"/>
      <c r="AH139" s="330"/>
      <c r="AI139" s="330"/>
      <c r="AJ139" s="330"/>
      <c r="AK139" s="330"/>
      <c r="AL139" s="330"/>
      <c r="AM139" s="330"/>
      <c r="AN139" s="330"/>
      <c r="AO139" s="330"/>
      <c r="AP139" s="330"/>
      <c r="AQ139" s="330"/>
      <c r="AR139" s="330"/>
      <c r="AS139" s="330"/>
      <c r="AT139" s="330"/>
      <c r="AU139" s="330"/>
      <c r="AV139" s="330"/>
      <c r="AW139" s="330"/>
      <c r="AX139" s="330"/>
      <c r="AY139" s="330"/>
      <c r="AZ139" s="330"/>
      <c r="BA139" s="330"/>
      <c r="BB139" s="330"/>
      <c r="BC139" s="330"/>
      <c r="BD139" s="330"/>
      <c r="BE139" s="330"/>
      <c r="BF139" s="330"/>
      <c r="BG139" s="330"/>
      <c r="BH139" s="330"/>
      <c r="BI139" s="330"/>
      <c r="BJ139" s="330"/>
      <c r="BK139" s="330"/>
      <c r="BL139" s="330"/>
      <c r="BM139" s="330"/>
      <c r="BN139" s="330"/>
      <c r="BO139" s="330"/>
      <c r="BP139" s="330"/>
      <c r="BQ139" s="330"/>
      <c r="BR139" s="330"/>
      <c r="BS139" s="330"/>
      <c r="BT139" s="330"/>
      <c r="BU139" s="330"/>
      <c r="BV139" s="330"/>
      <c r="BW139" s="330"/>
      <c r="BX139" s="330"/>
      <c r="BY139" s="330"/>
      <c r="BZ139" s="330"/>
      <c r="CA139" s="330"/>
      <c r="CB139" s="330"/>
      <c r="CC139" s="330"/>
      <c r="CD139" s="330"/>
      <c r="CE139" s="330"/>
      <c r="CF139" s="330"/>
      <c r="CG139" s="330"/>
      <c r="CH139" s="330"/>
      <c r="CI139" s="330"/>
    </row>
    <row r="140" spans="1:87" ht="15.75" hidden="1" thickBot="1" x14ac:dyDescent="0.3">
      <c r="A140" s="313"/>
      <c r="B140" s="360"/>
      <c r="C140" s="122" t="s">
        <v>75</v>
      </c>
      <c r="D140" s="187">
        <f t="shared" ref="D140:P140" si="71">SUM(D138:D139)</f>
        <v>0</v>
      </c>
      <c r="E140" s="187">
        <f t="shared" si="71"/>
        <v>0</v>
      </c>
      <c r="F140" s="187">
        <f t="shared" si="71"/>
        <v>0</v>
      </c>
      <c r="G140" s="187">
        <f t="shared" si="71"/>
        <v>0</v>
      </c>
      <c r="H140" s="187">
        <f t="shared" si="71"/>
        <v>0</v>
      </c>
      <c r="I140" s="187">
        <f t="shared" si="71"/>
        <v>0</v>
      </c>
      <c r="J140" s="187">
        <f t="shared" si="71"/>
        <v>0</v>
      </c>
      <c r="K140" s="187">
        <f t="shared" si="71"/>
        <v>0</v>
      </c>
      <c r="L140" s="187">
        <f t="shared" si="71"/>
        <v>0</v>
      </c>
      <c r="M140" s="187">
        <f t="shared" si="71"/>
        <v>0</v>
      </c>
      <c r="N140" s="302"/>
      <c r="O140" s="187">
        <f t="shared" si="71"/>
        <v>0</v>
      </c>
      <c r="P140" s="188">
        <f t="shared" si="71"/>
        <v>0</v>
      </c>
      <c r="Q140" s="180">
        <f>SUM(D140:P140)-N140</f>
        <v>0</v>
      </c>
      <c r="S140" s="330"/>
      <c r="T140" s="330"/>
      <c r="U140" s="330"/>
      <c r="V140" s="330"/>
      <c r="W140" s="330"/>
      <c r="X140" s="330"/>
      <c r="Y140" s="330"/>
      <c r="Z140" s="330"/>
      <c r="AA140" s="330"/>
      <c r="AB140" s="330"/>
      <c r="AC140" s="330"/>
      <c r="AD140" s="330"/>
      <c r="AE140" s="330"/>
      <c r="AF140" s="330"/>
      <c r="AG140" s="330"/>
      <c r="AH140" s="330"/>
      <c r="AI140" s="330"/>
      <c r="AJ140" s="330"/>
      <c r="AK140" s="330"/>
      <c r="AL140" s="330"/>
      <c r="AM140" s="330"/>
      <c r="AN140" s="330"/>
      <c r="AO140" s="330"/>
      <c r="AP140" s="330"/>
      <c r="AQ140" s="330"/>
      <c r="AR140" s="330"/>
      <c r="AS140" s="330"/>
      <c r="AT140" s="330"/>
      <c r="AU140" s="330"/>
      <c r="AV140" s="330"/>
      <c r="AW140" s="330"/>
      <c r="AX140" s="330"/>
      <c r="AY140" s="330"/>
      <c r="AZ140" s="330"/>
      <c r="BA140" s="330"/>
      <c r="BB140" s="330"/>
      <c r="BC140" s="330"/>
      <c r="BD140" s="330"/>
      <c r="BE140" s="330"/>
      <c r="BF140" s="330"/>
      <c r="BG140" s="330"/>
      <c r="BH140" s="330"/>
      <c r="BI140" s="330"/>
      <c r="BJ140" s="330"/>
      <c r="BK140" s="330"/>
      <c r="BL140" s="330"/>
      <c r="BM140" s="330"/>
      <c r="BN140" s="330"/>
      <c r="BO140" s="330"/>
      <c r="BP140" s="330"/>
      <c r="BQ140" s="330"/>
      <c r="BR140" s="330"/>
      <c r="BS140" s="330"/>
      <c r="BT140" s="330"/>
      <c r="BU140" s="330"/>
      <c r="BV140" s="330"/>
      <c r="BW140" s="330"/>
      <c r="BX140" s="330"/>
      <c r="BY140" s="330"/>
      <c r="BZ140" s="330"/>
      <c r="CA140" s="330"/>
      <c r="CB140" s="330"/>
      <c r="CC140" s="330"/>
      <c r="CD140" s="330"/>
      <c r="CE140" s="330"/>
      <c r="CF140" s="330"/>
      <c r="CG140" s="330"/>
      <c r="CH140" s="330"/>
      <c r="CI140" s="330"/>
    </row>
    <row r="141" spans="1:87" ht="15.75" hidden="1" thickBot="1" x14ac:dyDescent="0.3">
      <c r="A141" s="313"/>
      <c r="B141" s="295"/>
      <c r="C141" s="122" t="s">
        <v>137</v>
      </c>
      <c r="D141" s="300">
        <f>ROUND(ROUND('WACAP 2019'!P163*D$6,2)/365*D$7,2)</f>
        <v>0</v>
      </c>
      <c r="E141" s="187">
        <f>ROUND(ROUND(D143*E$6,2)/365*E$7,2)</f>
        <v>0</v>
      </c>
      <c r="F141" s="187">
        <f t="shared" ref="F141:P141" si="72">ROUND(ROUND(E143*F$6,2)/365*F$7,2)</f>
        <v>0</v>
      </c>
      <c r="G141" s="187">
        <f t="shared" si="72"/>
        <v>0</v>
      </c>
      <c r="H141" s="187">
        <f t="shared" si="72"/>
        <v>0</v>
      </c>
      <c r="I141" s="187">
        <f t="shared" si="72"/>
        <v>0</v>
      </c>
      <c r="J141" s="187">
        <f t="shared" si="72"/>
        <v>0</v>
      </c>
      <c r="K141" s="187">
        <f t="shared" si="72"/>
        <v>0</v>
      </c>
      <c r="L141" s="187">
        <f t="shared" si="72"/>
        <v>0</v>
      </c>
      <c r="M141" s="187">
        <f>ROUND(ROUND(L143*M$6,2)/365*M$7,2)</f>
        <v>0</v>
      </c>
      <c r="N141" s="231"/>
      <c r="O141" s="187">
        <f>ROUND(ROUND(N143*O$6,2)/365*O$7,2)</f>
        <v>0</v>
      </c>
      <c r="P141" s="188">
        <f t="shared" si="72"/>
        <v>0</v>
      </c>
      <c r="Q141" s="180">
        <f>SUM(D141:P141)</f>
        <v>0</v>
      </c>
      <c r="S141" s="330"/>
      <c r="T141" s="330"/>
      <c r="U141" s="330"/>
      <c r="V141" s="330"/>
      <c r="W141" s="330"/>
      <c r="X141" s="330"/>
      <c r="Y141" s="330"/>
      <c r="Z141" s="330"/>
      <c r="AA141" s="330"/>
      <c r="AB141" s="330"/>
      <c r="AC141" s="330"/>
      <c r="AD141" s="330"/>
      <c r="AE141" s="330"/>
      <c r="AF141" s="330"/>
      <c r="AG141" s="330"/>
      <c r="AH141" s="330"/>
      <c r="AI141" s="330"/>
      <c r="AJ141" s="330"/>
      <c r="AK141" s="330"/>
      <c r="AL141" s="330"/>
      <c r="AM141" s="330"/>
      <c r="AN141" s="330"/>
      <c r="AO141" s="330"/>
      <c r="AP141" s="330"/>
      <c r="AQ141" s="330"/>
      <c r="AR141" s="330"/>
      <c r="AS141" s="330"/>
      <c r="AT141" s="330"/>
      <c r="AU141" s="330"/>
      <c r="AV141" s="330"/>
      <c r="AW141" s="330"/>
      <c r="AX141" s="330"/>
      <c r="AY141" s="330"/>
      <c r="AZ141" s="330"/>
      <c r="BA141" s="330"/>
      <c r="BB141" s="330"/>
      <c r="BC141" s="330"/>
      <c r="BD141" s="330"/>
      <c r="BE141" s="330"/>
      <c r="BF141" s="330"/>
      <c r="BG141" s="330"/>
      <c r="BH141" s="330"/>
      <c r="BI141" s="330"/>
      <c r="BJ141" s="330"/>
      <c r="BK141" s="330"/>
      <c r="BL141" s="330"/>
      <c r="BM141" s="330"/>
      <c r="BN141" s="330"/>
      <c r="BO141" s="330"/>
      <c r="BP141" s="330"/>
      <c r="BQ141" s="330"/>
      <c r="BR141" s="330"/>
      <c r="BS141" s="330"/>
      <c r="BT141" s="330"/>
      <c r="BU141" s="330"/>
      <c r="BV141" s="330"/>
      <c r="BW141" s="330"/>
      <c r="BX141" s="330"/>
      <c r="BY141" s="330"/>
      <c r="BZ141" s="330"/>
      <c r="CA141" s="330"/>
      <c r="CB141" s="330"/>
      <c r="CC141" s="330"/>
      <c r="CD141" s="330"/>
      <c r="CE141" s="330"/>
      <c r="CF141" s="330"/>
      <c r="CG141" s="330"/>
      <c r="CH141" s="330"/>
      <c r="CI141" s="330"/>
    </row>
    <row r="142" spans="1:87" ht="15.75" hidden="1" thickBot="1" x14ac:dyDescent="0.3">
      <c r="A142" s="313"/>
      <c r="B142" s="295"/>
      <c r="C142" s="122" t="s">
        <v>138</v>
      </c>
      <c r="D142" s="189">
        <f t="shared" ref="D142:P142" si="73">SUM(D140:D141)</f>
        <v>0</v>
      </c>
      <c r="E142" s="189">
        <f t="shared" si="73"/>
        <v>0</v>
      </c>
      <c r="F142" s="189">
        <f t="shared" si="73"/>
        <v>0</v>
      </c>
      <c r="G142" s="189">
        <f t="shared" si="73"/>
        <v>0</v>
      </c>
      <c r="H142" s="189">
        <f t="shared" si="73"/>
        <v>0</v>
      </c>
      <c r="I142" s="189">
        <f t="shared" si="73"/>
        <v>0</v>
      </c>
      <c r="J142" s="189">
        <f t="shared" si="73"/>
        <v>0</v>
      </c>
      <c r="K142" s="189">
        <f t="shared" si="73"/>
        <v>0</v>
      </c>
      <c r="L142" s="189">
        <f t="shared" si="73"/>
        <v>0</v>
      </c>
      <c r="M142" s="189">
        <f t="shared" si="73"/>
        <v>0</v>
      </c>
      <c r="N142" s="209"/>
      <c r="O142" s="189">
        <f t="shared" si="73"/>
        <v>0</v>
      </c>
      <c r="P142" s="190">
        <f t="shared" si="73"/>
        <v>0</v>
      </c>
      <c r="Q142" s="306">
        <f>SUM(Q140:Q141)</f>
        <v>0</v>
      </c>
      <c r="S142" s="330"/>
      <c r="T142" s="330"/>
      <c r="U142" s="330"/>
      <c r="V142" s="330"/>
      <c r="W142" s="330"/>
      <c r="X142" s="330"/>
      <c r="Y142" s="330"/>
      <c r="Z142" s="330"/>
      <c r="AA142" s="330"/>
      <c r="AB142" s="330"/>
      <c r="AC142" s="330"/>
      <c r="AD142" s="330"/>
      <c r="AE142" s="330"/>
      <c r="AF142" s="330"/>
      <c r="AG142" s="330"/>
      <c r="AH142" s="330"/>
      <c r="AI142" s="330"/>
      <c r="AJ142" s="330"/>
      <c r="AK142" s="330"/>
      <c r="AL142" s="330"/>
      <c r="AM142" s="330"/>
      <c r="AN142" s="330"/>
      <c r="AO142" s="330"/>
      <c r="AP142" s="330"/>
      <c r="AQ142" s="330"/>
      <c r="AR142" s="330"/>
      <c r="AS142" s="330"/>
      <c r="AT142" s="330"/>
      <c r="AU142" s="330"/>
      <c r="AV142" s="330"/>
      <c r="AW142" s="330"/>
      <c r="AX142" s="330"/>
      <c r="AY142" s="330"/>
      <c r="AZ142" s="330"/>
      <c r="BA142" s="330"/>
      <c r="BB142" s="330"/>
      <c r="BC142" s="330"/>
      <c r="BD142" s="330"/>
      <c r="BE142" s="330"/>
      <c r="BF142" s="330"/>
      <c r="BG142" s="330"/>
      <c r="BH142" s="330"/>
      <c r="BI142" s="330"/>
      <c r="BJ142" s="330"/>
      <c r="BK142" s="330"/>
      <c r="BL142" s="330"/>
      <c r="BM142" s="330"/>
      <c r="BN142" s="330"/>
      <c r="BO142" s="330"/>
      <c r="BP142" s="330"/>
      <c r="BQ142" s="330"/>
      <c r="BR142" s="330"/>
      <c r="BS142" s="330"/>
      <c r="BT142" s="330"/>
      <c r="BU142" s="330"/>
      <c r="BV142" s="330"/>
      <c r="BW142" s="330"/>
      <c r="BX142" s="330"/>
      <c r="BY142" s="330"/>
      <c r="BZ142" s="330"/>
      <c r="CA142" s="330"/>
      <c r="CB142" s="330"/>
      <c r="CC142" s="330"/>
      <c r="CD142" s="330"/>
      <c r="CE142" s="330"/>
      <c r="CF142" s="330"/>
      <c r="CG142" s="330"/>
      <c r="CH142" s="330"/>
      <c r="CI142" s="330"/>
    </row>
    <row r="143" spans="1:87" ht="15.75" hidden="1" thickBot="1" x14ac:dyDescent="0.3">
      <c r="A143" s="313"/>
      <c r="B143" s="295"/>
      <c r="C143" s="122" t="s">
        <v>139</v>
      </c>
      <c r="D143" s="300">
        <f>'WACAP 2018'!P163+'WACAP 2020'!D142</f>
        <v>0</v>
      </c>
      <c r="E143" s="187">
        <f t="shared" ref="E143:P143" si="74">D143+E142</f>
        <v>0</v>
      </c>
      <c r="F143" s="187">
        <f t="shared" si="74"/>
        <v>0</v>
      </c>
      <c r="G143" s="187">
        <f t="shared" si="74"/>
        <v>0</v>
      </c>
      <c r="H143" s="187">
        <f t="shared" si="74"/>
        <v>0</v>
      </c>
      <c r="I143" s="187">
        <f t="shared" si="74"/>
        <v>0</v>
      </c>
      <c r="J143" s="187">
        <f t="shared" si="74"/>
        <v>0</v>
      </c>
      <c r="K143" s="187">
        <f t="shared" si="74"/>
        <v>0</v>
      </c>
      <c r="L143" s="187">
        <f t="shared" si="74"/>
        <v>0</v>
      </c>
      <c r="M143" s="187">
        <f t="shared" si="74"/>
        <v>0</v>
      </c>
      <c r="N143" s="208"/>
      <c r="O143" s="187">
        <f t="shared" si="74"/>
        <v>0</v>
      </c>
      <c r="P143" s="301">
        <f t="shared" si="74"/>
        <v>0</v>
      </c>
      <c r="Q143" s="178"/>
      <c r="S143" s="330"/>
      <c r="T143" s="330"/>
      <c r="U143" s="330"/>
      <c r="V143" s="330"/>
      <c r="W143" s="330"/>
      <c r="X143" s="330"/>
      <c r="Y143" s="330"/>
      <c r="Z143" s="330"/>
      <c r="AA143" s="330"/>
      <c r="AB143" s="330"/>
      <c r="AC143" s="330"/>
      <c r="AD143" s="330"/>
      <c r="AE143" s="330"/>
      <c r="AF143" s="330"/>
      <c r="AG143" s="330"/>
      <c r="AH143" s="330"/>
      <c r="AI143" s="330"/>
      <c r="AJ143" s="330"/>
      <c r="AK143" s="330"/>
      <c r="AL143" s="330"/>
      <c r="AM143" s="330"/>
      <c r="AN143" s="330"/>
      <c r="AO143" s="330"/>
      <c r="AP143" s="330"/>
      <c r="AQ143" s="330"/>
      <c r="AR143" s="330"/>
      <c r="AS143" s="330"/>
      <c r="AT143" s="330"/>
      <c r="AU143" s="330"/>
      <c r="AV143" s="330"/>
      <c r="AW143" s="330"/>
      <c r="AX143" s="330"/>
      <c r="AY143" s="330"/>
      <c r="AZ143" s="330"/>
      <c r="BA143" s="330"/>
      <c r="BB143" s="330"/>
      <c r="BC143" s="330"/>
      <c r="BD143" s="330"/>
      <c r="BE143" s="330"/>
      <c r="BF143" s="330"/>
      <c r="BG143" s="330"/>
      <c r="BH143" s="330"/>
      <c r="BI143" s="330"/>
      <c r="BJ143" s="330"/>
      <c r="BK143" s="330"/>
      <c r="BL143" s="330"/>
      <c r="BM143" s="330"/>
      <c r="BN143" s="330"/>
      <c r="BO143" s="330"/>
      <c r="BP143" s="330"/>
      <c r="BQ143" s="330"/>
      <c r="BR143" s="330"/>
      <c r="BS143" s="330"/>
      <c r="BT143" s="330"/>
      <c r="BU143" s="330"/>
      <c r="BV143" s="330"/>
      <c r="BW143" s="330"/>
      <c r="BX143" s="330"/>
      <c r="BY143" s="330"/>
      <c r="BZ143" s="330"/>
      <c r="CA143" s="330"/>
      <c r="CB143" s="330"/>
      <c r="CC143" s="330"/>
      <c r="CD143" s="330"/>
      <c r="CE143" s="330"/>
      <c r="CF143" s="330"/>
      <c r="CG143" s="330"/>
      <c r="CH143" s="330"/>
      <c r="CI143" s="330"/>
    </row>
    <row r="144" spans="1:87" ht="15.75" hidden="1" thickBot="1" x14ac:dyDescent="0.3">
      <c r="A144" s="313"/>
      <c r="B144" s="383"/>
      <c r="D144" s="119"/>
      <c r="F144" s="176"/>
      <c r="G144" s="119"/>
      <c r="H144" s="119"/>
      <c r="I144" s="119"/>
      <c r="J144" s="119"/>
      <c r="K144" s="119"/>
      <c r="L144" s="119"/>
      <c r="M144" s="119"/>
      <c r="N144" s="119"/>
      <c r="O144" s="119"/>
      <c r="P144" s="120"/>
      <c r="Q144" s="178"/>
      <c r="S144" s="330"/>
      <c r="T144" s="330"/>
      <c r="U144" s="330"/>
      <c r="V144" s="330"/>
      <c r="W144" s="330"/>
      <c r="X144" s="330"/>
      <c r="Y144" s="330"/>
      <c r="Z144" s="330"/>
      <c r="AA144" s="330"/>
      <c r="AB144" s="330"/>
      <c r="AC144" s="330"/>
      <c r="AD144" s="330"/>
      <c r="AE144" s="330"/>
      <c r="AF144" s="330"/>
      <c r="AG144" s="330"/>
      <c r="AH144" s="330"/>
      <c r="AI144" s="330"/>
      <c r="AJ144" s="330"/>
      <c r="AK144" s="330"/>
      <c r="AL144" s="330"/>
      <c r="AM144" s="330"/>
      <c r="AN144" s="330"/>
      <c r="AO144" s="330"/>
      <c r="AP144" s="330"/>
      <c r="AQ144" s="330"/>
      <c r="AR144" s="330"/>
      <c r="AS144" s="330"/>
      <c r="AT144" s="330"/>
      <c r="AU144" s="330"/>
      <c r="AV144" s="330"/>
      <c r="AW144" s="330"/>
      <c r="AX144" s="330"/>
      <c r="AY144" s="330"/>
      <c r="AZ144" s="330"/>
      <c r="BA144" s="330"/>
      <c r="BB144" s="330"/>
      <c r="BC144" s="330"/>
      <c r="BD144" s="330"/>
      <c r="BE144" s="330"/>
      <c r="BF144" s="330"/>
      <c r="BG144" s="330"/>
      <c r="BH144" s="330"/>
      <c r="BI144" s="330"/>
      <c r="BJ144" s="330"/>
      <c r="BK144" s="330"/>
      <c r="BL144" s="330"/>
      <c r="BM144" s="330"/>
      <c r="BN144" s="330"/>
      <c r="BO144" s="330"/>
      <c r="BP144" s="330"/>
      <c r="BQ144" s="330"/>
      <c r="BR144" s="330"/>
      <c r="BS144" s="330"/>
      <c r="BT144" s="330"/>
      <c r="BU144" s="330"/>
      <c r="BV144" s="330"/>
      <c r="BW144" s="330"/>
      <c r="BX144" s="330"/>
      <c r="BY144" s="330"/>
      <c r="BZ144" s="330"/>
      <c r="CA144" s="330"/>
      <c r="CB144" s="330"/>
      <c r="CC144" s="330"/>
      <c r="CD144" s="330"/>
      <c r="CE144" s="330"/>
      <c r="CF144" s="330"/>
      <c r="CG144" s="330"/>
      <c r="CH144" s="330"/>
      <c r="CI144" s="330"/>
    </row>
    <row r="145" spans="2:87" x14ac:dyDescent="0.25">
      <c r="B145" s="240"/>
      <c r="C145" s="385"/>
      <c r="E145" s="385"/>
      <c r="F145" s="108"/>
      <c r="Q145" s="385"/>
      <c r="S145" s="330"/>
      <c r="T145" s="330"/>
      <c r="U145" s="330"/>
      <c r="V145" s="330"/>
      <c r="W145" s="330"/>
      <c r="X145" s="330"/>
      <c r="Y145" s="330"/>
      <c r="Z145" s="330"/>
      <c r="AA145" s="330"/>
      <c r="AB145" s="330"/>
      <c r="AC145" s="330"/>
      <c r="AD145" s="330"/>
      <c r="AE145" s="330"/>
      <c r="AF145" s="330"/>
      <c r="AG145" s="330"/>
      <c r="AH145" s="330"/>
      <c r="AI145" s="330"/>
      <c r="AJ145" s="330"/>
      <c r="AK145" s="330"/>
      <c r="AL145" s="330"/>
      <c r="AM145" s="330"/>
      <c r="AN145" s="330"/>
      <c r="AO145" s="330"/>
      <c r="AP145" s="330"/>
      <c r="AQ145" s="330"/>
      <c r="AR145" s="330"/>
      <c r="AS145" s="330"/>
      <c r="AT145" s="330"/>
      <c r="AU145" s="330"/>
      <c r="AV145" s="330"/>
      <c r="AW145" s="330"/>
      <c r="AX145" s="330"/>
      <c r="AY145" s="330"/>
      <c r="AZ145" s="330"/>
      <c r="BA145" s="330"/>
      <c r="BB145" s="330"/>
      <c r="BC145" s="330"/>
      <c r="BD145" s="330"/>
      <c r="BE145" s="330"/>
      <c r="BF145" s="330"/>
      <c r="BG145" s="330"/>
      <c r="BH145" s="330"/>
      <c r="BI145" s="330"/>
      <c r="BJ145" s="330"/>
      <c r="BK145" s="330"/>
      <c r="BL145" s="330"/>
      <c r="BM145" s="330"/>
      <c r="BN145" s="330"/>
      <c r="BO145" s="330"/>
      <c r="BP145" s="330"/>
      <c r="BQ145" s="330"/>
      <c r="BR145" s="330"/>
      <c r="BS145" s="330"/>
      <c r="BT145" s="330"/>
      <c r="BU145" s="330"/>
      <c r="BV145" s="330"/>
      <c r="BW145" s="330"/>
      <c r="BX145" s="330"/>
      <c r="BY145" s="330"/>
      <c r="BZ145" s="330"/>
      <c r="CA145" s="330"/>
      <c r="CB145" s="330"/>
      <c r="CC145" s="330"/>
      <c r="CD145" s="330"/>
      <c r="CE145" s="330"/>
      <c r="CF145" s="330"/>
      <c r="CG145" s="330"/>
      <c r="CH145" s="330"/>
      <c r="CI145" s="330"/>
    </row>
    <row r="146" spans="2:87" x14ac:dyDescent="0.25">
      <c r="C146" s="122" t="s">
        <v>89</v>
      </c>
      <c r="D146" s="187">
        <f t="shared" ref="D146:N146" si="75">+D15+D51+D63+D27+D109+D39+D94+D125+D140+D80</f>
        <v>-500433.38000000076</v>
      </c>
      <c r="E146" s="187">
        <f t="shared" si="75"/>
        <v>569740.23000000056</v>
      </c>
      <c r="F146" s="187">
        <f t="shared" si="75"/>
        <v>482236.63999999978</v>
      </c>
      <c r="G146" s="187">
        <f t="shared" si="75"/>
        <v>-1019179.9799999997</v>
      </c>
      <c r="H146" s="187">
        <f t="shared" si="75"/>
        <v>-375263.27999999991</v>
      </c>
      <c r="I146" s="187">
        <f t="shared" si="75"/>
        <v>-182095.13</v>
      </c>
      <c r="J146" s="187">
        <f t="shared" si="75"/>
        <v>205920.70999999996</v>
      </c>
      <c r="K146" s="187">
        <f t="shared" si="75"/>
        <v>906718.23</v>
      </c>
      <c r="L146" s="187">
        <f t="shared" si="75"/>
        <v>-430261.07999999996</v>
      </c>
      <c r="M146" s="187">
        <f t="shared" si="75"/>
        <v>-329062.47999999957</v>
      </c>
      <c r="N146" s="208">
        <f t="shared" si="75"/>
        <v>-4410222.47</v>
      </c>
      <c r="O146" s="187">
        <f>+O15+O51+O63+O27+O109+O39+O94+O125+O140+O80</f>
        <v>-951120.64999999956</v>
      </c>
      <c r="P146" s="187">
        <f>+P15+P51+P63+P27+P109+P39+P94+P125+P140+P80</f>
        <v>-1681193.7699999986</v>
      </c>
      <c r="Q146" s="187">
        <f>+Q15+Q63+Q80+Q27+Q109+Q39+Q94+Q125+Q140+Q51</f>
        <v>-3303993.9399999985</v>
      </c>
      <c r="S146" s="337"/>
      <c r="T146" s="330"/>
      <c r="U146" s="330"/>
      <c r="V146" s="330"/>
      <c r="W146" s="330"/>
      <c r="X146" s="330"/>
      <c r="Y146" s="330"/>
      <c r="Z146" s="330"/>
      <c r="AA146" s="330"/>
      <c r="AB146" s="330"/>
      <c r="AC146" s="330"/>
      <c r="AD146" s="330"/>
      <c r="AE146" s="330"/>
      <c r="AF146" s="330"/>
      <c r="AG146" s="330"/>
      <c r="AH146" s="330"/>
      <c r="AI146" s="330"/>
      <c r="AJ146" s="330"/>
      <c r="AK146" s="330"/>
      <c r="AL146" s="330"/>
      <c r="AM146" s="330"/>
      <c r="AN146" s="330"/>
      <c r="AO146" s="330"/>
      <c r="AP146" s="330"/>
      <c r="AQ146" s="330"/>
      <c r="AR146" s="330"/>
      <c r="AS146" s="330"/>
      <c r="AT146" s="330"/>
      <c r="AU146" s="330"/>
      <c r="AV146" s="330"/>
      <c r="AW146" s="330"/>
      <c r="AX146" s="330"/>
      <c r="AY146" s="330"/>
      <c r="AZ146" s="330"/>
      <c r="BA146" s="330"/>
      <c r="BB146" s="330"/>
      <c r="BC146" s="330"/>
      <c r="BD146" s="330"/>
      <c r="BE146" s="330"/>
      <c r="BF146" s="330"/>
      <c r="BG146" s="330"/>
      <c r="BH146" s="330"/>
      <c r="BI146" s="330"/>
      <c r="BJ146" s="330"/>
      <c r="BK146" s="330"/>
      <c r="BL146" s="330"/>
      <c r="BM146" s="330"/>
      <c r="BN146" s="330"/>
      <c r="BO146" s="330"/>
      <c r="BP146" s="330"/>
      <c r="BQ146" s="330"/>
      <c r="BR146" s="330"/>
      <c r="BS146" s="330"/>
      <c r="BT146" s="330"/>
      <c r="BU146" s="330"/>
      <c r="BV146" s="330"/>
      <c r="BW146" s="330"/>
      <c r="BX146" s="330"/>
      <c r="BY146" s="330"/>
      <c r="BZ146" s="330"/>
      <c r="CA146" s="330"/>
      <c r="CB146" s="330"/>
      <c r="CC146" s="330"/>
      <c r="CD146" s="330"/>
      <c r="CE146" s="330"/>
      <c r="CF146" s="330"/>
      <c r="CG146" s="330"/>
      <c r="CH146" s="330"/>
      <c r="CI146" s="330"/>
    </row>
    <row r="147" spans="2:87" x14ac:dyDescent="0.25">
      <c r="C147" s="122" t="s">
        <v>170</v>
      </c>
      <c r="D147" s="216">
        <f t="shared" ref="D147:N147" si="76">+D16+D52+D64+D28+D110+D40+D95+D126+D141+D81</f>
        <v>18578.52</v>
      </c>
      <c r="E147" s="199">
        <f>+E16+E52+E64+E28+E110+E40+E95+E126+E141+E81-0.01</f>
        <v>15481.000000000002</v>
      </c>
      <c r="F147" s="216">
        <f t="shared" si="76"/>
        <v>19013.96</v>
      </c>
      <c r="G147" s="216">
        <f t="shared" si="76"/>
        <v>19578.48</v>
      </c>
      <c r="H147" s="216">
        <f t="shared" si="76"/>
        <v>16198.460000000001</v>
      </c>
      <c r="I147" s="216">
        <f t="shared" si="76"/>
        <v>14274.1</v>
      </c>
      <c r="J147" s="216">
        <f t="shared" si="76"/>
        <v>10162.099999999999</v>
      </c>
      <c r="K147" s="216">
        <f t="shared" si="76"/>
        <v>10791.580000000002</v>
      </c>
      <c r="L147" s="199">
        <f>+L16+L52+L64+L28+L110+L40+L95+L126+L141+L81-0.01</f>
        <v>13030.090000000002</v>
      </c>
      <c r="M147" s="199">
        <f>+M16+M52+M64+M28+M110+M40+M95+M126+M141+M81+0.01</f>
        <v>11606.160000000002</v>
      </c>
      <c r="N147" s="208">
        <f t="shared" si="76"/>
        <v>-159600.07000000004</v>
      </c>
      <c r="O147" s="199">
        <f>+O16+O52+O64+O28+O110+O40+O95+O126+O141+O81+0.02</f>
        <v>-1823.2900000000002</v>
      </c>
      <c r="P147" s="216">
        <f>+P16+P52+P64+P28+P110+P40+P95+P126+P141+P81</f>
        <v>-4514.45</v>
      </c>
      <c r="Q147" s="189">
        <f>+Q16+Q64+Q81+Q28+Q110+Q40+Q95+Q126+Q141+Q52</f>
        <v>-17223.370000000014</v>
      </c>
      <c r="S147" s="337"/>
      <c r="T147" s="330"/>
      <c r="U147" s="330"/>
      <c r="V147" s="330"/>
      <c r="W147" s="330"/>
      <c r="X147" s="330"/>
      <c r="Y147" s="330"/>
      <c r="Z147" s="330"/>
      <c r="AA147" s="330"/>
      <c r="AB147" s="330"/>
      <c r="AC147" s="330"/>
      <c r="AD147" s="330"/>
      <c r="AE147" s="330"/>
      <c r="AF147" s="330"/>
      <c r="AG147" s="330"/>
      <c r="AH147" s="330"/>
      <c r="AI147" s="330"/>
      <c r="AJ147" s="330"/>
      <c r="AK147" s="330"/>
      <c r="AL147" s="330"/>
      <c r="AM147" s="330"/>
      <c r="AN147" s="330"/>
      <c r="AO147" s="330"/>
      <c r="AP147" s="330"/>
      <c r="AQ147" s="330"/>
      <c r="AR147" s="330"/>
      <c r="AS147" s="330"/>
      <c r="AT147" s="330"/>
      <c r="AU147" s="330"/>
      <c r="AV147" s="330"/>
      <c r="AW147" s="330"/>
      <c r="AX147" s="330"/>
      <c r="AY147" s="330"/>
      <c r="AZ147" s="330"/>
      <c r="BA147" s="330"/>
      <c r="BB147" s="330"/>
      <c r="BC147" s="330"/>
      <c r="BD147" s="330"/>
      <c r="BE147" s="330"/>
      <c r="BF147" s="330"/>
      <c r="BG147" s="330"/>
      <c r="BH147" s="330"/>
      <c r="BI147" s="330"/>
      <c r="BJ147" s="330"/>
      <c r="BK147" s="330"/>
      <c r="BL147" s="330"/>
      <c r="BM147" s="330"/>
      <c r="BN147" s="330"/>
      <c r="BO147" s="330"/>
      <c r="BP147" s="330"/>
      <c r="BQ147" s="330"/>
      <c r="BR147" s="330"/>
      <c r="BS147" s="330"/>
      <c r="BT147" s="330"/>
      <c r="BU147" s="330"/>
      <c r="BV147" s="330"/>
      <c r="BW147" s="330"/>
      <c r="BX147" s="330"/>
      <c r="BY147" s="330"/>
      <c r="BZ147" s="330"/>
      <c r="CA147" s="330"/>
      <c r="CB147" s="330"/>
      <c r="CC147" s="330"/>
      <c r="CD147" s="330"/>
      <c r="CE147" s="330"/>
      <c r="CF147" s="330"/>
      <c r="CG147" s="330"/>
      <c r="CH147" s="330"/>
      <c r="CI147" s="330"/>
    </row>
    <row r="148" spans="2:87" x14ac:dyDescent="0.25">
      <c r="C148" s="122" t="s">
        <v>139</v>
      </c>
      <c r="D148" s="187">
        <f>SUM(D146:D147)+'WACAP 2019'!P168</f>
        <v>3928367.5599999973</v>
      </c>
      <c r="E148" s="187">
        <f>SUM(E146:E147)+D148</f>
        <v>4513588.7899999982</v>
      </c>
      <c r="F148" s="187">
        <f t="shared" ref="F148:P148" si="77">SUM(F146:F147)+E148</f>
        <v>5014839.3899999978</v>
      </c>
      <c r="G148" s="187">
        <f t="shared" si="77"/>
        <v>4015237.8899999978</v>
      </c>
      <c r="H148" s="187">
        <f t="shared" si="77"/>
        <v>3656173.069999998</v>
      </c>
      <c r="I148" s="187">
        <f t="shared" si="77"/>
        <v>3488352.0399999982</v>
      </c>
      <c r="J148" s="187">
        <f t="shared" si="77"/>
        <v>3704434.8499999982</v>
      </c>
      <c r="K148" s="187">
        <f t="shared" si="77"/>
        <v>4621944.6599999983</v>
      </c>
      <c r="L148" s="187">
        <f t="shared" si="77"/>
        <v>4204713.6699999981</v>
      </c>
      <c r="M148" s="187">
        <f t="shared" si="77"/>
        <v>3887257.3499999987</v>
      </c>
      <c r="N148" s="208">
        <f>SUM(N146:N147)+M148</f>
        <v>-682565.19000000134</v>
      </c>
      <c r="O148" s="187">
        <f t="shared" si="77"/>
        <v>-1635509.1300000008</v>
      </c>
      <c r="P148" s="187">
        <f t="shared" si="77"/>
        <v>-3321217.3499999996</v>
      </c>
      <c r="Q148" s="310">
        <f>SUM(Q146:Q147)</f>
        <v>-3321217.3099999987</v>
      </c>
      <c r="S148" s="337"/>
      <c r="T148" s="330"/>
      <c r="U148" s="330"/>
      <c r="V148" s="330"/>
      <c r="W148" s="330"/>
      <c r="X148" s="330"/>
      <c r="Y148" s="330"/>
      <c r="Z148" s="330"/>
      <c r="AA148" s="330"/>
      <c r="AB148" s="330"/>
      <c r="AC148" s="330"/>
      <c r="AD148" s="330"/>
      <c r="AE148" s="330"/>
      <c r="AF148" s="330"/>
      <c r="AG148" s="330"/>
      <c r="AH148" s="330"/>
      <c r="AI148" s="330"/>
      <c r="AJ148" s="330"/>
      <c r="AK148" s="330"/>
      <c r="AL148" s="330"/>
      <c r="AM148" s="330"/>
      <c r="AN148" s="330"/>
      <c r="AO148" s="330"/>
      <c r="AP148" s="330"/>
      <c r="AQ148" s="330"/>
      <c r="AR148" s="330"/>
      <c r="AS148" s="330"/>
      <c r="AT148" s="330"/>
      <c r="AU148" s="330"/>
      <c r="AV148" s="330"/>
      <c r="AW148" s="330"/>
      <c r="AX148" s="330"/>
      <c r="AY148" s="330"/>
      <c r="AZ148" s="330"/>
      <c r="BA148" s="330"/>
      <c r="BB148" s="330"/>
      <c r="BC148" s="330"/>
      <c r="BD148" s="330"/>
      <c r="BE148" s="330"/>
      <c r="BF148" s="330"/>
      <c r="BG148" s="330"/>
      <c r="BH148" s="330"/>
      <c r="BI148" s="330"/>
      <c r="BJ148" s="330"/>
      <c r="BK148" s="330"/>
      <c r="BL148" s="330"/>
      <c r="BM148" s="330"/>
      <c r="BN148" s="330"/>
      <c r="BO148" s="330"/>
      <c r="BP148" s="330"/>
      <c r="BQ148" s="330"/>
      <c r="BR148" s="330"/>
      <c r="BS148" s="330"/>
      <c r="BT148" s="330"/>
      <c r="BU148" s="330"/>
      <c r="BV148" s="330"/>
      <c r="BW148" s="330"/>
      <c r="BX148" s="330"/>
      <c r="BY148" s="330"/>
      <c r="BZ148" s="330"/>
      <c r="CA148" s="330"/>
      <c r="CB148" s="330"/>
      <c r="CC148" s="330"/>
      <c r="CD148" s="330"/>
      <c r="CE148" s="330"/>
      <c r="CF148" s="330"/>
      <c r="CG148" s="330"/>
      <c r="CH148" s="330"/>
      <c r="CI148" s="330"/>
    </row>
    <row r="149" spans="2:87" ht="13.5" customHeight="1" x14ac:dyDescent="0.25">
      <c r="C149" s="89"/>
      <c r="E149" s="187"/>
      <c r="F149" s="90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S149" s="330"/>
      <c r="T149" s="330"/>
      <c r="U149" s="330"/>
      <c r="V149" s="330"/>
      <c r="W149" s="330"/>
      <c r="X149" s="330"/>
      <c r="Y149" s="330"/>
      <c r="Z149" s="330"/>
      <c r="AA149" s="330"/>
      <c r="AB149" s="330"/>
      <c r="AC149" s="330"/>
      <c r="AD149" s="330"/>
      <c r="AE149" s="330"/>
      <c r="AF149" s="330"/>
      <c r="AG149" s="330"/>
      <c r="AH149" s="330"/>
      <c r="AI149" s="330"/>
      <c r="AJ149" s="330"/>
      <c r="AK149" s="330"/>
      <c r="AL149" s="330"/>
      <c r="AM149" s="330"/>
      <c r="AN149" s="330"/>
      <c r="AO149" s="330"/>
      <c r="AP149" s="330"/>
      <c r="AQ149" s="330"/>
      <c r="AR149" s="330"/>
      <c r="AS149" s="330"/>
      <c r="AT149" s="330"/>
      <c r="AU149" s="330"/>
      <c r="AV149" s="330"/>
      <c r="AW149" s="330"/>
      <c r="AX149" s="330"/>
      <c r="AY149" s="330"/>
      <c r="AZ149" s="330"/>
      <c r="BA149" s="330"/>
      <c r="BB149" s="330"/>
      <c r="BC149" s="330"/>
      <c r="BD149" s="330"/>
      <c r="BE149" s="330"/>
      <c r="BF149" s="330"/>
      <c r="BG149" s="330"/>
      <c r="BH149" s="330"/>
      <c r="BI149" s="330"/>
      <c r="BJ149" s="330"/>
      <c r="BK149" s="330"/>
      <c r="BL149" s="330"/>
      <c r="BM149" s="330"/>
      <c r="BN149" s="330"/>
      <c r="BO149" s="330"/>
      <c r="BP149" s="330"/>
      <c r="BQ149" s="330"/>
      <c r="BR149" s="330"/>
      <c r="BS149" s="330"/>
      <c r="BT149" s="330"/>
      <c r="BU149" s="330"/>
      <c r="BV149" s="330"/>
      <c r="BW149" s="330"/>
      <c r="BX149" s="330"/>
      <c r="BY149" s="330"/>
      <c r="BZ149" s="330"/>
      <c r="CA149" s="330"/>
      <c r="CB149" s="330"/>
      <c r="CC149" s="330"/>
      <c r="CD149" s="330"/>
      <c r="CE149" s="330"/>
      <c r="CF149" s="330"/>
      <c r="CG149" s="330"/>
      <c r="CH149" s="330"/>
      <c r="CI149" s="330"/>
    </row>
    <row r="150" spans="2:87" ht="13.5" customHeight="1" x14ac:dyDescent="0.25">
      <c r="B150" s="257"/>
      <c r="F150" s="108"/>
      <c r="K150" s="108"/>
      <c r="Q150" s="108"/>
      <c r="S150" s="330"/>
      <c r="T150" s="330"/>
      <c r="U150" s="330"/>
      <c r="V150" s="330"/>
      <c r="W150" s="330"/>
      <c r="X150" s="330"/>
      <c r="Y150" s="330"/>
      <c r="Z150" s="330"/>
      <c r="AA150" s="330"/>
      <c r="AB150" s="330"/>
      <c r="AC150" s="330"/>
      <c r="AD150" s="330"/>
      <c r="AE150" s="330"/>
      <c r="AF150" s="330"/>
      <c r="AG150" s="330"/>
      <c r="AH150" s="330"/>
      <c r="AI150" s="330"/>
      <c r="AJ150" s="330"/>
      <c r="AK150" s="330"/>
      <c r="AL150" s="330"/>
      <c r="AM150" s="330"/>
      <c r="AN150" s="330"/>
      <c r="AO150" s="330"/>
      <c r="AP150" s="330"/>
      <c r="AQ150" s="330"/>
      <c r="AR150" s="330"/>
      <c r="AS150" s="330"/>
      <c r="AT150" s="330"/>
      <c r="AU150" s="330"/>
      <c r="AV150" s="330"/>
      <c r="AW150" s="330"/>
      <c r="AX150" s="330"/>
      <c r="AY150" s="330"/>
      <c r="AZ150" s="330"/>
      <c r="BA150" s="330"/>
      <c r="BB150" s="330"/>
      <c r="BC150" s="330"/>
      <c r="BD150" s="330"/>
      <c r="BE150" s="330"/>
      <c r="BF150" s="330"/>
      <c r="BG150" s="330"/>
      <c r="BH150" s="330"/>
      <c r="BI150" s="330"/>
      <c r="BJ150" s="330"/>
      <c r="BK150" s="330"/>
      <c r="BL150" s="330"/>
      <c r="BM150" s="330"/>
      <c r="BN150" s="330"/>
      <c r="BO150" s="330"/>
      <c r="BP150" s="330"/>
      <c r="BQ150" s="330"/>
      <c r="BR150" s="330"/>
      <c r="BS150" s="330"/>
      <c r="BT150" s="330"/>
      <c r="BU150" s="330"/>
      <c r="BV150" s="330"/>
      <c r="BW150" s="330"/>
      <c r="BX150" s="330"/>
      <c r="BY150" s="330"/>
      <c r="BZ150" s="330"/>
      <c r="CA150" s="330"/>
      <c r="CB150" s="330"/>
      <c r="CC150" s="330"/>
      <c r="CD150" s="330"/>
      <c r="CE150" s="330"/>
      <c r="CF150" s="330"/>
      <c r="CG150" s="330"/>
      <c r="CH150" s="330"/>
      <c r="CI150" s="330"/>
    </row>
    <row r="151" spans="2:87" ht="15.75" x14ac:dyDescent="0.25">
      <c r="B151" s="305"/>
      <c r="C151" s="305" t="s">
        <v>167</v>
      </c>
      <c r="D151" s="268" t="s">
        <v>155</v>
      </c>
      <c r="E151" s="269" t="s">
        <v>156</v>
      </c>
      <c r="F151" s="269" t="s">
        <v>157</v>
      </c>
      <c r="G151" s="269" t="s">
        <v>158</v>
      </c>
      <c r="H151" s="269" t="s">
        <v>23</v>
      </c>
      <c r="I151" s="269" t="s">
        <v>159</v>
      </c>
      <c r="J151" s="269" t="s">
        <v>160</v>
      </c>
      <c r="K151" s="269" t="s">
        <v>161</v>
      </c>
      <c r="L151" s="269" t="s">
        <v>162</v>
      </c>
      <c r="M151" s="269" t="s">
        <v>168</v>
      </c>
      <c r="N151" s="246" t="s">
        <v>147</v>
      </c>
      <c r="O151" s="269" t="s">
        <v>171</v>
      </c>
      <c r="P151" s="269" t="s">
        <v>173</v>
      </c>
      <c r="S151" s="330"/>
      <c r="T151" s="330"/>
      <c r="U151" s="330"/>
      <c r="V151" s="330"/>
      <c r="W151" s="330"/>
      <c r="X151" s="330"/>
      <c r="Y151" s="330"/>
      <c r="Z151" s="330"/>
      <c r="AA151" s="330"/>
      <c r="AB151" s="330"/>
      <c r="AC151" s="330"/>
      <c r="AD151" s="330"/>
      <c r="AE151" s="330"/>
      <c r="AF151" s="330"/>
      <c r="AG151" s="330"/>
      <c r="AH151" s="330"/>
      <c r="AI151" s="330"/>
      <c r="AJ151" s="330"/>
      <c r="AK151" s="330"/>
      <c r="AL151" s="330"/>
      <c r="AM151" s="330"/>
      <c r="AN151" s="330"/>
      <c r="AO151" s="330"/>
      <c r="AP151" s="330"/>
      <c r="AQ151" s="330"/>
      <c r="AR151" s="330"/>
      <c r="AS151" s="330"/>
      <c r="AT151" s="330"/>
      <c r="AU151" s="330"/>
      <c r="AV151" s="330"/>
      <c r="AW151" s="330"/>
      <c r="AX151" s="330"/>
      <c r="AY151" s="330"/>
      <c r="AZ151" s="330"/>
      <c r="BA151" s="330"/>
      <c r="BB151" s="330"/>
      <c r="BC151" s="330"/>
      <c r="BD151" s="330"/>
      <c r="BE151" s="330"/>
      <c r="BF151" s="330"/>
      <c r="BG151" s="330"/>
      <c r="BH151" s="330"/>
      <c r="BI151" s="330"/>
      <c r="BJ151" s="330"/>
      <c r="BK151" s="330"/>
      <c r="BL151" s="330"/>
      <c r="BM151" s="330"/>
      <c r="BN151" s="330"/>
      <c r="BO151" s="330"/>
      <c r="BP151" s="330"/>
      <c r="BQ151" s="330"/>
      <c r="BR151" s="330"/>
      <c r="BS151" s="330"/>
      <c r="BT151" s="330"/>
      <c r="BU151" s="330"/>
      <c r="BV151" s="330"/>
      <c r="BW151" s="330"/>
      <c r="BX151" s="330"/>
      <c r="BY151" s="330"/>
      <c r="BZ151" s="330"/>
      <c r="CA151" s="330"/>
      <c r="CB151" s="330"/>
      <c r="CC151" s="330"/>
      <c r="CD151" s="330"/>
      <c r="CE151" s="330"/>
      <c r="CF151" s="330"/>
      <c r="CG151" s="330"/>
      <c r="CH151" s="330"/>
      <c r="CI151" s="330"/>
    </row>
    <row r="152" spans="2:87" ht="15.75" x14ac:dyDescent="0.25">
      <c r="B152" s="258" t="s">
        <v>127</v>
      </c>
      <c r="C152" s="259"/>
      <c r="D152" s="327">
        <f t="shared" ref="D152:M152" si="78">-D146</f>
        <v>500433.38000000076</v>
      </c>
      <c r="E152" s="393">
        <f t="shared" si="78"/>
        <v>-569740.23000000056</v>
      </c>
      <c r="F152" s="325">
        <f t="shared" si="78"/>
        <v>-482236.63999999978</v>
      </c>
      <c r="G152" s="260">
        <f>-G146</f>
        <v>1019179.9799999997</v>
      </c>
      <c r="H152" s="260">
        <f t="shared" si="78"/>
        <v>375263.27999999991</v>
      </c>
      <c r="I152" s="260">
        <f t="shared" si="78"/>
        <v>182095.13</v>
      </c>
      <c r="J152" s="260">
        <f t="shared" si="78"/>
        <v>-205920.70999999996</v>
      </c>
      <c r="K152" s="260">
        <f t="shared" si="78"/>
        <v>-906718.23</v>
      </c>
      <c r="L152" s="260">
        <f t="shared" si="78"/>
        <v>430261.07999999996</v>
      </c>
      <c r="M152" s="260">
        <f t="shared" si="78"/>
        <v>329062.47999999957</v>
      </c>
      <c r="N152" s="213">
        <f t="shared" ref="N152" si="79">-N146</f>
        <v>4410222.47</v>
      </c>
      <c r="O152" s="260">
        <f>-O146</f>
        <v>951120.64999999956</v>
      </c>
      <c r="P152" s="260">
        <f>-P146</f>
        <v>1681193.7699999986</v>
      </c>
      <c r="R152" s="108">
        <f t="shared" ref="R152:R157" si="80">SUM(D152:L152)</f>
        <v>342617.04000000015</v>
      </c>
      <c r="S152" s="330"/>
      <c r="T152" s="330"/>
      <c r="U152" s="330"/>
      <c r="V152" s="330"/>
      <c r="W152" s="330"/>
      <c r="X152" s="330"/>
      <c r="Y152" s="330"/>
      <c r="Z152" s="330"/>
      <c r="AA152" s="330"/>
      <c r="AB152" s="330"/>
      <c r="AC152" s="330"/>
      <c r="AD152" s="330"/>
      <c r="AE152" s="330"/>
      <c r="AF152" s="330"/>
      <c r="AG152" s="330"/>
      <c r="AH152" s="330"/>
      <c r="AI152" s="330"/>
      <c r="AJ152" s="330"/>
      <c r="AK152" s="330"/>
      <c r="AL152" s="330"/>
      <c r="AM152" s="330"/>
      <c r="AN152" s="330"/>
      <c r="AO152" s="330"/>
      <c r="AP152" s="330"/>
      <c r="AQ152" s="330"/>
      <c r="AR152" s="330"/>
      <c r="AS152" s="330"/>
      <c r="AT152" s="330"/>
      <c r="AU152" s="330"/>
      <c r="AV152" s="330"/>
      <c r="AW152" s="330"/>
      <c r="AX152" s="330"/>
      <c r="AY152" s="330"/>
      <c r="AZ152" s="330"/>
      <c r="BA152" s="330"/>
      <c r="BB152" s="330"/>
      <c r="BC152" s="330"/>
      <c r="BD152" s="330"/>
      <c r="BE152" s="330"/>
      <c r="BF152" s="330"/>
      <c r="BG152" s="330"/>
      <c r="BH152" s="330"/>
      <c r="BI152" s="330"/>
      <c r="BJ152" s="330"/>
      <c r="BK152" s="330"/>
      <c r="BL152" s="330"/>
      <c r="BM152" s="330"/>
      <c r="BN152" s="330"/>
      <c r="BO152" s="330"/>
      <c r="BP152" s="330"/>
      <c r="BQ152" s="330"/>
      <c r="BR152" s="330"/>
      <c r="BS152" s="330"/>
      <c r="BT152" s="330"/>
      <c r="BU152" s="330"/>
      <c r="BV152" s="330"/>
      <c r="BW152" s="330"/>
      <c r="BX152" s="330"/>
      <c r="BY152" s="330"/>
      <c r="BZ152" s="330"/>
      <c r="CA152" s="330"/>
      <c r="CB152" s="330"/>
      <c r="CC152" s="330"/>
      <c r="CD152" s="330"/>
      <c r="CE152" s="330"/>
      <c r="CF152" s="330"/>
      <c r="CG152" s="330"/>
      <c r="CH152" s="330"/>
      <c r="CI152" s="330"/>
    </row>
    <row r="153" spans="2:87" ht="15.75" x14ac:dyDescent="0.25">
      <c r="B153" s="323" t="s">
        <v>128</v>
      </c>
      <c r="C153" s="262"/>
      <c r="D153" s="328">
        <f t="shared" ref="D153:M153" si="81">D15</f>
        <v>-104974.8900000006</v>
      </c>
      <c r="E153" s="394">
        <f t="shared" si="81"/>
        <v>243424.02000000048</v>
      </c>
      <c r="F153" s="325">
        <f t="shared" si="81"/>
        <v>247268.00999999978</v>
      </c>
      <c r="G153" s="260">
        <f t="shared" si="81"/>
        <v>-420323.66999999993</v>
      </c>
      <c r="H153" s="260">
        <f t="shared" si="81"/>
        <v>-182532.60999999987</v>
      </c>
      <c r="I153" s="260">
        <f t="shared" si="81"/>
        <v>42721.840000000084</v>
      </c>
      <c r="J153" s="260">
        <f t="shared" si="81"/>
        <v>204925.4099999998</v>
      </c>
      <c r="K153" s="260">
        <f t="shared" si="81"/>
        <v>555710.47</v>
      </c>
      <c r="L153" s="260">
        <f t="shared" si="81"/>
        <v>-245916.81999999983</v>
      </c>
      <c r="M153" s="260">
        <f t="shared" si="81"/>
        <v>-235838.46999999974</v>
      </c>
      <c r="N153" s="213">
        <f>+N15</f>
        <v>-1285433.2000000007</v>
      </c>
      <c r="O153" s="260">
        <f>O15</f>
        <v>-342428.44999999925</v>
      </c>
      <c r="P153" s="260">
        <f>P15</f>
        <v>-1185449.2499999991</v>
      </c>
      <c r="R153" s="108">
        <f t="shared" si="80"/>
        <v>340301.75999999989</v>
      </c>
      <c r="S153" s="330"/>
      <c r="T153" s="330"/>
      <c r="U153" s="330"/>
      <c r="V153" s="330"/>
      <c r="W153" s="330"/>
      <c r="X153" s="330"/>
      <c r="Y153" s="330"/>
      <c r="Z153" s="330"/>
      <c r="AA153" s="330"/>
      <c r="AB153" s="330"/>
      <c r="AC153" s="330"/>
      <c r="AD153" s="330"/>
      <c r="AE153" s="330"/>
      <c r="AF153" s="330"/>
      <c r="AG153" s="330"/>
      <c r="AH153" s="330"/>
      <c r="AI153" s="330"/>
      <c r="AJ153" s="330"/>
      <c r="AK153" s="330"/>
      <c r="AL153" s="330"/>
      <c r="AM153" s="330"/>
      <c r="AN153" s="330"/>
      <c r="AO153" s="330"/>
      <c r="AP153" s="330"/>
      <c r="AQ153" s="330"/>
      <c r="AR153" s="330"/>
      <c r="AS153" s="330"/>
      <c r="AT153" s="330"/>
      <c r="AU153" s="330"/>
      <c r="AV153" s="330"/>
      <c r="AW153" s="330"/>
      <c r="AX153" s="330"/>
      <c r="AY153" s="330"/>
      <c r="AZ153" s="330"/>
      <c r="BA153" s="330"/>
      <c r="BB153" s="330"/>
      <c r="BC153" s="330"/>
      <c r="BD153" s="330"/>
      <c r="BE153" s="330"/>
      <c r="BF153" s="330"/>
      <c r="BG153" s="330"/>
      <c r="BH153" s="330"/>
      <c r="BI153" s="330"/>
      <c r="BJ153" s="330"/>
      <c r="BK153" s="330"/>
      <c r="BL153" s="330"/>
      <c r="BM153" s="330"/>
      <c r="BN153" s="330"/>
      <c r="BO153" s="330"/>
      <c r="BP153" s="330"/>
      <c r="BQ153" s="330"/>
      <c r="BR153" s="330"/>
      <c r="BS153" s="330"/>
      <c r="BT153" s="330"/>
      <c r="BU153" s="330"/>
      <c r="BV153" s="330"/>
      <c r="BW153" s="330"/>
      <c r="BX153" s="330"/>
      <c r="BY153" s="330"/>
      <c r="BZ153" s="330"/>
      <c r="CA153" s="330"/>
      <c r="CB153" s="330"/>
      <c r="CC153" s="330"/>
      <c r="CD153" s="330"/>
      <c r="CE153" s="330"/>
      <c r="CF153" s="330"/>
      <c r="CG153" s="330"/>
      <c r="CH153" s="330"/>
      <c r="CI153" s="330"/>
    </row>
    <row r="154" spans="2:87" ht="15.75" x14ac:dyDescent="0.25">
      <c r="B154" s="261" t="s">
        <v>129</v>
      </c>
      <c r="C154" s="262"/>
      <c r="D154" s="328">
        <f t="shared" ref="D154:P154" si="82">D27+D39</f>
        <v>3438.1200000000099</v>
      </c>
      <c r="E154" s="394">
        <f t="shared" si="82"/>
        <v>12471.729999999989</v>
      </c>
      <c r="F154" s="325">
        <f t="shared" si="82"/>
        <v>-34066.900000000031</v>
      </c>
      <c r="G154" s="260">
        <f t="shared" si="82"/>
        <v>27665.760000000017</v>
      </c>
      <c r="H154" s="260">
        <f t="shared" si="82"/>
        <v>-12182.549999999992</v>
      </c>
      <c r="I154" s="260">
        <f t="shared" si="82"/>
        <v>41084.080000000016</v>
      </c>
      <c r="J154" s="260">
        <f t="shared" si="82"/>
        <v>34050.359999999986</v>
      </c>
      <c r="K154" s="260">
        <f t="shared" si="82"/>
        <v>14766.29</v>
      </c>
      <c r="L154" s="260">
        <f t="shared" si="82"/>
        <v>22410.840000000007</v>
      </c>
      <c r="M154" s="260">
        <f t="shared" si="82"/>
        <v>9183.4099999999926</v>
      </c>
      <c r="N154" s="213">
        <f t="shared" si="82"/>
        <v>-502100.89</v>
      </c>
      <c r="O154" s="260">
        <f t="shared" si="82"/>
        <v>-4267.1499999999869</v>
      </c>
      <c r="P154" s="260">
        <f t="shared" si="82"/>
        <v>1712.1499999999869</v>
      </c>
      <c r="R154" s="108">
        <f t="shared" si="80"/>
        <v>109637.73</v>
      </c>
      <c r="S154" s="330"/>
      <c r="T154" s="330"/>
      <c r="U154" s="330"/>
      <c r="V154" s="330"/>
      <c r="W154" s="330"/>
      <c r="X154" s="330"/>
      <c r="Y154" s="330"/>
      <c r="Z154" s="330"/>
      <c r="AA154" s="330"/>
      <c r="AB154" s="330"/>
      <c r="AC154" s="330"/>
      <c r="AD154" s="330"/>
      <c r="AE154" s="330"/>
      <c r="AF154" s="330"/>
      <c r="AG154" s="330"/>
      <c r="AH154" s="330"/>
      <c r="AI154" s="330"/>
      <c r="AJ154" s="330"/>
      <c r="AK154" s="330"/>
      <c r="AL154" s="330"/>
      <c r="AM154" s="330"/>
      <c r="AN154" s="330"/>
      <c r="AO154" s="330"/>
      <c r="AP154" s="330"/>
      <c r="AQ154" s="330"/>
      <c r="AR154" s="330"/>
      <c r="AS154" s="330"/>
      <c r="AT154" s="330"/>
      <c r="AU154" s="330"/>
      <c r="AV154" s="330"/>
      <c r="AW154" s="330"/>
      <c r="AX154" s="330"/>
      <c r="AY154" s="330"/>
      <c r="AZ154" s="330"/>
      <c r="BA154" s="330"/>
      <c r="BB154" s="330"/>
      <c r="BC154" s="330"/>
      <c r="BD154" s="330"/>
      <c r="BE154" s="330"/>
      <c r="BF154" s="330"/>
      <c r="BG154" s="330"/>
      <c r="BH154" s="330"/>
      <c r="BI154" s="330"/>
      <c r="BJ154" s="330"/>
      <c r="BK154" s="330"/>
      <c r="BL154" s="330"/>
      <c r="BM154" s="330"/>
      <c r="BN154" s="330"/>
      <c r="BO154" s="330"/>
      <c r="BP154" s="330"/>
      <c r="BQ154" s="330"/>
      <c r="BR154" s="330"/>
      <c r="BS154" s="330"/>
      <c r="BT154" s="330"/>
      <c r="BU154" s="330"/>
      <c r="BV154" s="330"/>
      <c r="BW154" s="330"/>
      <c r="BX154" s="330"/>
      <c r="BY154" s="330"/>
      <c r="BZ154" s="330"/>
      <c r="CA154" s="330"/>
      <c r="CB154" s="330"/>
      <c r="CC154" s="330"/>
      <c r="CD154" s="330"/>
      <c r="CE154" s="330"/>
      <c r="CF154" s="330"/>
      <c r="CG154" s="330"/>
      <c r="CH154" s="330"/>
      <c r="CI154" s="330"/>
    </row>
    <row r="155" spans="2:87" ht="15.75" x14ac:dyDescent="0.25">
      <c r="B155" s="261" t="s">
        <v>130</v>
      </c>
      <c r="C155" s="262"/>
      <c r="D155" s="328">
        <f t="shared" ref="D155:M155" si="83">D51+D63+D80+D94</f>
        <v>-391893.76000000013</v>
      </c>
      <c r="E155" s="394">
        <f t="shared" si="83"/>
        <v>321975.27</v>
      </c>
      <c r="F155" s="325">
        <f t="shared" si="83"/>
        <v>270105.75</v>
      </c>
      <c r="G155" s="260">
        <f t="shared" si="83"/>
        <v>-623923.07999999973</v>
      </c>
      <c r="H155" s="260">
        <f t="shared" si="83"/>
        <v>-178221.27</v>
      </c>
      <c r="I155" s="260">
        <f t="shared" si="83"/>
        <v>-266393.29000000004</v>
      </c>
      <c r="J155" s="260">
        <f t="shared" si="83"/>
        <v>-35260.59999999986</v>
      </c>
      <c r="K155" s="260">
        <f t="shared" si="83"/>
        <v>334704.17000000004</v>
      </c>
      <c r="L155" s="260">
        <f t="shared" si="83"/>
        <v>-208550.05000000013</v>
      </c>
      <c r="M155" s="260">
        <f t="shared" si="83"/>
        <v>-107456.59999999974</v>
      </c>
      <c r="N155" s="213">
        <f>N51+N63+N94</f>
        <v>-2415449.1599999988</v>
      </c>
      <c r="O155" s="260">
        <f>O51+O63+O80+O94</f>
        <v>-605557.13000000012</v>
      </c>
      <c r="P155" s="260">
        <f>P51+P63+P80+P94</f>
        <v>-498275.3899999999</v>
      </c>
      <c r="R155" s="108">
        <f t="shared" si="80"/>
        <v>-777456.85999999987</v>
      </c>
      <c r="S155" s="330"/>
      <c r="T155" s="330"/>
      <c r="U155" s="330"/>
      <c r="V155" s="330"/>
      <c r="W155" s="330"/>
      <c r="X155" s="330"/>
      <c r="Y155" s="330"/>
      <c r="Z155" s="330"/>
      <c r="AA155" s="330"/>
      <c r="AB155" s="330"/>
      <c r="AC155" s="330"/>
      <c r="AD155" s="330"/>
      <c r="AE155" s="330"/>
      <c r="AF155" s="330"/>
      <c r="AG155" s="330"/>
      <c r="AH155" s="330"/>
      <c r="AI155" s="330"/>
      <c r="AJ155" s="330"/>
      <c r="AK155" s="330"/>
      <c r="AL155" s="330"/>
      <c r="AM155" s="330"/>
      <c r="AN155" s="330"/>
      <c r="AO155" s="330"/>
      <c r="AP155" s="330"/>
      <c r="AQ155" s="330"/>
      <c r="AR155" s="330"/>
      <c r="AS155" s="330"/>
      <c r="AT155" s="330"/>
      <c r="AU155" s="330"/>
      <c r="AV155" s="330"/>
      <c r="AW155" s="330"/>
      <c r="AX155" s="330"/>
      <c r="AY155" s="330"/>
      <c r="AZ155" s="330"/>
      <c r="BA155" s="330"/>
      <c r="BB155" s="330"/>
      <c r="BC155" s="330"/>
      <c r="BD155" s="330"/>
      <c r="BE155" s="330"/>
      <c r="BF155" s="330"/>
      <c r="BG155" s="330"/>
      <c r="BH155" s="330"/>
      <c r="BI155" s="330"/>
      <c r="BJ155" s="330"/>
      <c r="BK155" s="330"/>
      <c r="BL155" s="330"/>
      <c r="BM155" s="330"/>
      <c r="BN155" s="330"/>
      <c r="BO155" s="330"/>
      <c r="BP155" s="330"/>
      <c r="BQ155" s="330"/>
      <c r="BR155" s="330"/>
      <c r="BS155" s="330"/>
      <c r="BT155" s="330"/>
      <c r="BU155" s="330"/>
      <c r="BV155" s="330"/>
      <c r="BW155" s="330"/>
      <c r="BX155" s="330"/>
      <c r="BY155" s="330"/>
      <c r="BZ155" s="330"/>
      <c r="CA155" s="330"/>
      <c r="CB155" s="330"/>
      <c r="CC155" s="330"/>
      <c r="CD155" s="330"/>
      <c r="CE155" s="330"/>
      <c r="CF155" s="330"/>
      <c r="CG155" s="330"/>
      <c r="CH155" s="330"/>
      <c r="CI155" s="330"/>
    </row>
    <row r="156" spans="2:87" ht="15.75" x14ac:dyDescent="0.25">
      <c r="B156" s="261" t="s">
        <v>131</v>
      </c>
      <c r="C156" s="262"/>
      <c r="D156" s="328">
        <f t="shared" ref="D156" si="84">D109</f>
        <v>-483.06</v>
      </c>
      <c r="E156" s="394">
        <f t="shared" ref="E156:F156" si="85">E109</f>
        <v>-362.25</v>
      </c>
      <c r="F156" s="325">
        <f t="shared" si="85"/>
        <v>-463.55999999999995</v>
      </c>
      <c r="G156" s="260">
        <f t="shared" ref="G156:M156" si="86">G109</f>
        <v>-353.91</v>
      </c>
      <c r="H156" s="260">
        <f t="shared" si="86"/>
        <v>-285.11</v>
      </c>
      <c r="I156" s="260">
        <f t="shared" si="86"/>
        <v>-211.79</v>
      </c>
      <c r="J156" s="260">
        <f t="shared" si="86"/>
        <v>-187.39</v>
      </c>
      <c r="K156" s="260">
        <f t="shared" si="86"/>
        <v>-198.78</v>
      </c>
      <c r="L156" s="260">
        <f t="shared" si="86"/>
        <v>-227.75</v>
      </c>
      <c r="M156" s="260">
        <f t="shared" si="86"/>
        <v>-364.68</v>
      </c>
      <c r="N156" s="213">
        <f t="shared" ref="N156:P156" si="87">N109</f>
        <v>3451.1799999999994</v>
      </c>
      <c r="O156" s="260">
        <f t="shared" si="87"/>
        <v>-347.5</v>
      </c>
      <c r="P156" s="260">
        <f t="shared" si="87"/>
        <v>-516.03</v>
      </c>
      <c r="R156" s="108">
        <f t="shared" si="80"/>
        <v>-2773.6</v>
      </c>
      <c r="S156" s="330"/>
      <c r="T156" s="330"/>
      <c r="U156" s="330"/>
      <c r="V156" s="330"/>
      <c r="W156" s="330"/>
      <c r="X156" s="330"/>
      <c r="Y156" s="330"/>
      <c r="Z156" s="330"/>
      <c r="AA156" s="330"/>
      <c r="AB156" s="330"/>
      <c r="AC156" s="330"/>
      <c r="AD156" s="330"/>
      <c r="AE156" s="330"/>
      <c r="AF156" s="330"/>
      <c r="AG156" s="330"/>
      <c r="AH156" s="330"/>
      <c r="AI156" s="330"/>
      <c r="AJ156" s="330"/>
      <c r="AK156" s="330"/>
      <c r="AL156" s="330"/>
      <c r="AM156" s="330"/>
      <c r="AN156" s="330"/>
      <c r="AO156" s="330"/>
      <c r="AP156" s="330"/>
      <c r="AQ156" s="330"/>
      <c r="AR156" s="330"/>
      <c r="AS156" s="330"/>
      <c r="AT156" s="330"/>
      <c r="AU156" s="330"/>
      <c r="AV156" s="330"/>
      <c r="AW156" s="330"/>
      <c r="AX156" s="330"/>
      <c r="AY156" s="330"/>
      <c r="AZ156" s="330"/>
      <c r="BA156" s="330"/>
      <c r="BB156" s="330"/>
      <c r="BC156" s="330"/>
      <c r="BD156" s="330"/>
      <c r="BE156" s="330"/>
      <c r="BF156" s="330"/>
      <c r="BG156" s="330"/>
      <c r="BH156" s="330"/>
      <c r="BI156" s="330"/>
      <c r="BJ156" s="330"/>
      <c r="BK156" s="330"/>
      <c r="BL156" s="330"/>
      <c r="BM156" s="330"/>
      <c r="BN156" s="330"/>
      <c r="BO156" s="330"/>
      <c r="BP156" s="330"/>
      <c r="BQ156" s="330"/>
      <c r="BR156" s="330"/>
      <c r="BS156" s="330"/>
      <c r="BT156" s="330"/>
      <c r="BU156" s="330"/>
      <c r="BV156" s="330"/>
      <c r="BW156" s="330"/>
      <c r="BX156" s="330"/>
      <c r="BY156" s="330"/>
      <c r="BZ156" s="330"/>
      <c r="CA156" s="330"/>
      <c r="CB156" s="330"/>
      <c r="CC156" s="330"/>
      <c r="CD156" s="330"/>
      <c r="CE156" s="330"/>
      <c r="CF156" s="330"/>
      <c r="CG156" s="330"/>
      <c r="CH156" s="330"/>
      <c r="CI156" s="330"/>
    </row>
    <row r="157" spans="2:87" ht="15.75" x14ac:dyDescent="0.25">
      <c r="B157" s="263" t="s">
        <v>132</v>
      </c>
      <c r="C157" s="264"/>
      <c r="D157" s="329">
        <f t="shared" ref="D157" si="88">D125+D140</f>
        <v>-6519.7899999999991</v>
      </c>
      <c r="E157" s="395">
        <f t="shared" ref="E157:F157" si="89">E125+E140</f>
        <v>-7768.5399999999972</v>
      </c>
      <c r="F157" s="326">
        <f t="shared" si="89"/>
        <v>-606.66000000000349</v>
      </c>
      <c r="G157" s="265">
        <f t="shared" ref="G157:M157" si="90">G125+G140</f>
        <v>-2245.08</v>
      </c>
      <c r="H157" s="265">
        <f t="shared" si="90"/>
        <v>-2041.7399999999998</v>
      </c>
      <c r="I157" s="265">
        <f t="shared" si="90"/>
        <v>704.03000000000065</v>
      </c>
      <c r="J157" s="265">
        <f t="shared" si="90"/>
        <v>2392.9300000000003</v>
      </c>
      <c r="K157" s="265">
        <f t="shared" si="90"/>
        <v>1736.079999999999</v>
      </c>
      <c r="L157" s="265">
        <f t="shared" si="90"/>
        <v>2022.7000000000016</v>
      </c>
      <c r="M157" s="265">
        <f t="shared" si="90"/>
        <v>5413.8600000000015</v>
      </c>
      <c r="N157" s="214">
        <f t="shared" ref="N157:P157" si="91">N125+N140</f>
        <v>20894.48</v>
      </c>
      <c r="O157" s="265">
        <f t="shared" si="91"/>
        <v>1479.58</v>
      </c>
      <c r="P157" s="265">
        <f t="shared" si="91"/>
        <v>1334.7499999999964</v>
      </c>
      <c r="R157" s="108">
        <f t="shared" si="80"/>
        <v>-12326.07</v>
      </c>
      <c r="S157" s="330"/>
      <c r="T157" s="330"/>
      <c r="U157" s="330"/>
      <c r="V157" s="330"/>
      <c r="W157" s="330"/>
      <c r="X157" s="330"/>
      <c r="Y157" s="330"/>
      <c r="Z157" s="330"/>
      <c r="AA157" s="330"/>
      <c r="AB157" s="330"/>
      <c r="AC157" s="330"/>
      <c r="AD157" s="330"/>
      <c r="AE157" s="330"/>
      <c r="AF157" s="330"/>
      <c r="AG157" s="330"/>
      <c r="AH157" s="330"/>
      <c r="AI157" s="330"/>
      <c r="AJ157" s="330"/>
      <c r="AK157" s="330"/>
      <c r="AL157" s="330"/>
      <c r="AM157" s="330"/>
      <c r="AN157" s="330"/>
      <c r="AO157" s="330"/>
      <c r="AP157" s="330"/>
      <c r="AQ157" s="330"/>
      <c r="AR157" s="330"/>
      <c r="AS157" s="330"/>
      <c r="AT157" s="330"/>
      <c r="AU157" s="330"/>
      <c r="AV157" s="330"/>
      <c r="AW157" s="330"/>
      <c r="AX157" s="330"/>
      <c r="AY157" s="330"/>
      <c r="AZ157" s="330"/>
      <c r="BA157" s="330"/>
      <c r="BB157" s="330"/>
      <c r="BC157" s="330"/>
      <c r="BD157" s="330"/>
      <c r="BE157" s="330"/>
      <c r="BF157" s="330"/>
      <c r="BG157" s="330"/>
      <c r="BH157" s="330"/>
      <c r="BI157" s="330"/>
      <c r="BJ157" s="330"/>
      <c r="BK157" s="330"/>
      <c r="BL157" s="330"/>
      <c r="BM157" s="330"/>
      <c r="BN157" s="330"/>
      <c r="BO157" s="330"/>
      <c r="BP157" s="330"/>
      <c r="BQ157" s="330"/>
      <c r="BR157" s="330"/>
      <c r="BS157" s="330"/>
      <c r="BT157" s="330"/>
      <c r="BU157" s="330"/>
      <c r="BV157" s="330"/>
      <c r="BW157" s="330"/>
      <c r="BX157" s="330"/>
      <c r="BY157" s="330"/>
      <c r="BZ157" s="330"/>
      <c r="CA157" s="330"/>
      <c r="CB157" s="330"/>
      <c r="CC157" s="330"/>
      <c r="CD157" s="330"/>
      <c r="CE157" s="330"/>
      <c r="CF157" s="330"/>
      <c r="CG157" s="330"/>
      <c r="CH157" s="330"/>
      <c r="CI157" s="330"/>
    </row>
    <row r="158" spans="2:87" x14ac:dyDescent="0.25">
      <c r="B158" s="257"/>
      <c r="F158" s="108"/>
      <c r="S158" s="330"/>
      <c r="T158" s="330"/>
      <c r="U158" s="330"/>
      <c r="V158" s="330"/>
      <c r="W158" s="330"/>
      <c r="X158" s="330"/>
      <c r="Y158" s="330"/>
      <c r="Z158" s="330"/>
      <c r="AA158" s="330"/>
      <c r="AB158" s="330"/>
      <c r="AC158" s="330"/>
      <c r="AD158" s="330"/>
      <c r="AE158" s="330"/>
      <c r="AF158" s="330"/>
      <c r="AG158" s="330"/>
      <c r="AH158" s="330"/>
      <c r="AI158" s="330"/>
      <c r="AJ158" s="330"/>
      <c r="AK158" s="330"/>
      <c r="AL158" s="330"/>
      <c r="AM158" s="330"/>
      <c r="AN158" s="330"/>
      <c r="AO158" s="330"/>
      <c r="AP158" s="330"/>
      <c r="AQ158" s="330"/>
      <c r="AR158" s="330"/>
      <c r="AS158" s="330"/>
      <c r="AT158" s="330"/>
      <c r="AU158" s="330"/>
      <c r="AV158" s="330"/>
      <c r="AW158" s="330"/>
      <c r="AX158" s="330"/>
      <c r="AY158" s="330"/>
      <c r="AZ158" s="330"/>
      <c r="BA158" s="330"/>
      <c r="BB158" s="330"/>
      <c r="BC158" s="330"/>
      <c r="BD158" s="330"/>
      <c r="BE158" s="330"/>
      <c r="BF158" s="330"/>
      <c r="BG158" s="330"/>
      <c r="BH158" s="330"/>
      <c r="BI158" s="330"/>
      <c r="BJ158" s="330"/>
      <c r="BK158" s="330"/>
      <c r="BL158" s="330"/>
      <c r="BM158" s="330"/>
      <c r="BN158" s="330"/>
      <c r="BO158" s="330"/>
      <c r="BP158" s="330"/>
      <c r="BQ158" s="330"/>
      <c r="BR158" s="330"/>
      <c r="BS158" s="330"/>
      <c r="BT158" s="330"/>
      <c r="BU158" s="330"/>
      <c r="BV158" s="330"/>
      <c r="BW158" s="330"/>
      <c r="BX158" s="330"/>
      <c r="BY158" s="330"/>
      <c r="BZ158" s="330"/>
      <c r="CA158" s="330"/>
      <c r="CB158" s="330"/>
      <c r="CC158" s="330"/>
      <c r="CD158" s="330"/>
      <c r="CE158" s="330"/>
      <c r="CF158" s="330"/>
      <c r="CG158" s="330"/>
      <c r="CH158" s="330"/>
      <c r="CI158" s="330"/>
    </row>
    <row r="159" spans="2:87" x14ac:dyDescent="0.25">
      <c r="B159" s="257"/>
      <c r="D159" s="491" t="s">
        <v>237</v>
      </c>
      <c r="F159" s="108"/>
      <c r="S159" s="330"/>
      <c r="T159" s="330"/>
      <c r="U159" s="330"/>
      <c r="V159" s="330"/>
      <c r="W159" s="330"/>
      <c r="X159" s="330"/>
      <c r="Y159" s="330"/>
      <c r="Z159" s="330"/>
      <c r="AA159" s="330"/>
      <c r="AB159" s="330"/>
      <c r="AC159" s="330"/>
      <c r="AD159" s="330"/>
      <c r="AE159" s="330"/>
      <c r="AF159" s="330"/>
      <c r="AG159" s="330"/>
      <c r="AH159" s="330"/>
      <c r="AI159" s="330"/>
      <c r="AJ159" s="330"/>
      <c r="AK159" s="330"/>
      <c r="AL159" s="330"/>
      <c r="AM159" s="330"/>
      <c r="AN159" s="330"/>
      <c r="AO159" s="330"/>
      <c r="AP159" s="330"/>
      <c r="AQ159" s="330"/>
      <c r="AR159" s="330"/>
      <c r="AS159" s="330"/>
      <c r="AT159" s="330"/>
      <c r="AU159" s="330"/>
      <c r="AV159" s="330"/>
      <c r="AW159" s="330"/>
      <c r="AX159" s="330"/>
      <c r="AY159" s="330"/>
      <c r="AZ159" s="330"/>
      <c r="BA159" s="330"/>
      <c r="BB159" s="330"/>
      <c r="BC159" s="330"/>
      <c r="BD159" s="330"/>
      <c r="BE159" s="330"/>
      <c r="BF159" s="330"/>
      <c r="BG159" s="330"/>
      <c r="BH159" s="330"/>
      <c r="BI159" s="330"/>
      <c r="BJ159" s="330"/>
      <c r="BK159" s="330"/>
      <c r="BL159" s="330"/>
      <c r="BM159" s="330"/>
      <c r="BN159" s="330"/>
      <c r="BO159" s="330"/>
      <c r="BP159" s="330"/>
      <c r="BQ159" s="330"/>
      <c r="BR159" s="330"/>
      <c r="BS159" s="330"/>
      <c r="BT159" s="330"/>
      <c r="BU159" s="330"/>
      <c r="BV159" s="330"/>
      <c r="BW159" s="330"/>
      <c r="BX159" s="330"/>
      <c r="BY159" s="330"/>
      <c r="BZ159" s="330"/>
      <c r="CA159" s="330"/>
      <c r="CB159" s="330"/>
      <c r="CC159" s="330"/>
      <c r="CD159" s="330"/>
      <c r="CE159" s="330"/>
      <c r="CF159" s="330"/>
      <c r="CG159" s="330"/>
      <c r="CH159" s="330"/>
      <c r="CI159" s="330"/>
    </row>
    <row r="160" spans="2:87" x14ac:dyDescent="0.25">
      <c r="B160" s="330"/>
      <c r="C160" s="330"/>
      <c r="D160" s="327">
        <v>500433.38000000076</v>
      </c>
      <c r="R160" s="330"/>
      <c r="S160" s="330"/>
      <c r="T160" s="330"/>
      <c r="U160" s="330"/>
      <c r="V160" s="330"/>
      <c r="W160" s="330"/>
      <c r="X160" s="330"/>
      <c r="Y160" s="330"/>
      <c r="Z160" s="330"/>
      <c r="AA160" s="330"/>
      <c r="AB160" s="330"/>
      <c r="AC160" s="330"/>
      <c r="AD160" s="330"/>
      <c r="AE160" s="330"/>
      <c r="AF160" s="330"/>
      <c r="AG160" s="330"/>
      <c r="AH160" s="330"/>
      <c r="AI160" s="330"/>
      <c r="AJ160" s="330"/>
      <c r="AK160" s="330"/>
      <c r="AL160" s="330"/>
      <c r="AM160" s="330"/>
      <c r="AN160" s="330"/>
      <c r="AO160" s="330"/>
      <c r="AP160" s="330"/>
      <c r="AQ160" s="330"/>
      <c r="AR160" s="330"/>
      <c r="AS160" s="330"/>
      <c r="AT160" s="330"/>
      <c r="AU160" s="330"/>
      <c r="AV160" s="330"/>
      <c r="AW160" s="330"/>
      <c r="AX160" s="330"/>
      <c r="AY160" s="330"/>
      <c r="AZ160" s="330"/>
      <c r="BA160" s="330"/>
      <c r="BB160" s="330"/>
      <c r="BC160" s="330"/>
      <c r="BD160" s="330"/>
      <c r="BE160" s="330"/>
      <c r="BF160" s="330"/>
      <c r="BG160" s="330"/>
      <c r="BH160" s="330"/>
      <c r="BI160" s="330"/>
      <c r="BJ160" s="330"/>
      <c r="BK160" s="330"/>
      <c r="BL160" s="330"/>
      <c r="BM160" s="330"/>
      <c r="BN160" s="330"/>
      <c r="BO160" s="330"/>
      <c r="BP160" s="330"/>
      <c r="BQ160" s="330"/>
      <c r="BR160" s="330"/>
      <c r="BS160" s="330"/>
      <c r="BT160" s="330"/>
      <c r="BU160" s="330"/>
      <c r="BV160" s="330"/>
      <c r="BW160" s="330"/>
      <c r="BX160" s="330"/>
      <c r="BY160" s="330"/>
      <c r="BZ160" s="330"/>
      <c r="CA160" s="330"/>
      <c r="CB160" s="330"/>
      <c r="CC160" s="330"/>
      <c r="CD160" s="330"/>
      <c r="CE160" s="330"/>
      <c r="CF160" s="330"/>
      <c r="CG160" s="330"/>
      <c r="CH160" s="330"/>
      <c r="CI160" s="330"/>
    </row>
    <row r="161" spans="1:87" x14ac:dyDescent="0.25">
      <c r="B161" s="330"/>
      <c r="C161" s="330"/>
      <c r="D161" s="328">
        <v>-104974.8900000006</v>
      </c>
      <c r="R161" s="330"/>
      <c r="S161" s="330"/>
      <c r="T161" s="330"/>
      <c r="U161" s="330"/>
      <c r="V161" s="330"/>
      <c r="W161" s="330"/>
      <c r="X161" s="330"/>
      <c r="Y161" s="330"/>
      <c r="Z161" s="330"/>
      <c r="AA161" s="330"/>
      <c r="AB161" s="330"/>
      <c r="AC161" s="330"/>
      <c r="AD161" s="330"/>
      <c r="AE161" s="330"/>
      <c r="AF161" s="330"/>
      <c r="AG161" s="330"/>
      <c r="AH161" s="330"/>
      <c r="AI161" s="330"/>
      <c r="AJ161" s="330"/>
      <c r="AK161" s="330"/>
      <c r="AL161" s="330"/>
      <c r="AM161" s="330"/>
      <c r="AN161" s="330"/>
      <c r="AO161" s="330"/>
      <c r="AP161" s="330"/>
      <c r="AQ161" s="330"/>
      <c r="AR161" s="330"/>
      <c r="AS161" s="330"/>
      <c r="AT161" s="330"/>
      <c r="AU161" s="330"/>
      <c r="AV161" s="330"/>
      <c r="AW161" s="330"/>
      <c r="AX161" s="330"/>
      <c r="AY161" s="330"/>
      <c r="AZ161" s="330"/>
      <c r="BA161" s="330"/>
      <c r="BB161" s="330"/>
      <c r="BC161" s="330"/>
      <c r="BD161" s="330"/>
      <c r="BE161" s="330"/>
      <c r="BF161" s="330"/>
      <c r="BG161" s="330"/>
      <c r="BH161" s="330"/>
      <c r="BI161" s="330"/>
      <c r="BJ161" s="330"/>
      <c r="BK161" s="330"/>
      <c r="BL161" s="330"/>
      <c r="BM161" s="330"/>
      <c r="BN161" s="330"/>
      <c r="BO161" s="330"/>
      <c r="BP161" s="330"/>
      <c r="BQ161" s="330"/>
      <c r="BR161" s="330"/>
      <c r="BS161" s="330"/>
      <c r="BT161" s="330"/>
      <c r="BU161" s="330"/>
      <c r="BV161" s="330"/>
      <c r="BW161" s="330"/>
      <c r="BX161" s="330"/>
      <c r="BY161" s="330"/>
      <c r="BZ161" s="330"/>
      <c r="CA161" s="330"/>
      <c r="CB161" s="330"/>
      <c r="CC161" s="330"/>
      <c r="CD161" s="330"/>
      <c r="CE161" s="330"/>
      <c r="CF161" s="330"/>
      <c r="CG161" s="330"/>
      <c r="CH161" s="330"/>
      <c r="CI161" s="330"/>
    </row>
    <row r="162" spans="1:87" x14ac:dyDescent="0.25">
      <c r="B162" s="330"/>
      <c r="C162" s="330"/>
      <c r="D162" s="328">
        <v>3438.1200000000099</v>
      </c>
      <c r="R162" s="330"/>
      <c r="S162" s="330"/>
      <c r="T162" s="330"/>
      <c r="U162" s="330"/>
      <c r="V162" s="330"/>
      <c r="W162" s="330"/>
      <c r="X162" s="330"/>
      <c r="Y162" s="330"/>
      <c r="Z162" s="330"/>
      <c r="AA162" s="330"/>
      <c r="AB162" s="330"/>
      <c r="AC162" s="330"/>
      <c r="AD162" s="330"/>
      <c r="AE162" s="330"/>
      <c r="AF162" s="330"/>
      <c r="AG162" s="330"/>
      <c r="AH162" s="330"/>
      <c r="AI162" s="330"/>
      <c r="AJ162" s="330"/>
      <c r="AK162" s="330"/>
      <c r="AL162" s="330"/>
      <c r="AM162" s="330"/>
      <c r="AN162" s="330"/>
      <c r="AO162" s="330"/>
      <c r="AP162" s="330"/>
      <c r="AQ162" s="330"/>
      <c r="AR162" s="330"/>
      <c r="AS162" s="330"/>
      <c r="AT162" s="330"/>
      <c r="AU162" s="330"/>
      <c r="AV162" s="330"/>
      <c r="AW162" s="330"/>
      <c r="AX162" s="330"/>
      <c r="AY162" s="330"/>
      <c r="AZ162" s="330"/>
      <c r="BA162" s="330"/>
      <c r="BB162" s="330"/>
      <c r="BC162" s="330"/>
      <c r="BD162" s="330"/>
      <c r="BE162" s="330"/>
      <c r="BF162" s="330"/>
      <c r="BG162" s="330"/>
      <c r="BH162" s="330"/>
      <c r="BI162" s="330"/>
      <c r="BJ162" s="330"/>
      <c r="BK162" s="330"/>
      <c r="BL162" s="330"/>
      <c r="BM162" s="330"/>
      <c r="BN162" s="330"/>
      <c r="BO162" s="330"/>
      <c r="BP162" s="330"/>
      <c r="BQ162" s="330"/>
      <c r="BR162" s="330"/>
      <c r="BS162" s="330"/>
      <c r="BT162" s="330"/>
      <c r="BU162" s="330"/>
      <c r="BV162" s="330"/>
      <c r="BW162" s="330"/>
      <c r="BX162" s="330"/>
      <c r="BY162" s="330"/>
      <c r="BZ162" s="330"/>
      <c r="CA162" s="330"/>
      <c r="CB162" s="330"/>
      <c r="CC162" s="330"/>
      <c r="CD162" s="330"/>
      <c r="CE162" s="330"/>
      <c r="CF162" s="330"/>
      <c r="CG162" s="330"/>
      <c r="CH162" s="330"/>
      <c r="CI162" s="330"/>
    </row>
    <row r="163" spans="1:87" x14ac:dyDescent="0.25">
      <c r="B163" s="330" t="s">
        <v>127</v>
      </c>
      <c r="C163" s="330"/>
      <c r="D163" s="328">
        <v>-391893.76000000013</v>
      </c>
      <c r="K163" s="494" t="s">
        <v>241</v>
      </c>
      <c r="L163" s="495"/>
      <c r="M163" s="495"/>
      <c r="R163" s="330"/>
      <c r="S163" s="330"/>
      <c r="T163" s="330"/>
      <c r="U163" s="330"/>
      <c r="V163" s="330"/>
      <c r="W163" s="330"/>
      <c r="X163" s="330"/>
      <c r="Y163" s="330"/>
      <c r="Z163" s="330"/>
      <c r="AA163" s="330"/>
      <c r="AB163" s="330"/>
      <c r="AC163" s="330"/>
      <c r="AD163" s="330"/>
      <c r="AE163" s="330"/>
      <c r="AF163" s="330"/>
      <c r="AG163" s="330"/>
      <c r="AH163" s="330"/>
      <c r="AI163" s="330"/>
      <c r="AJ163" s="330"/>
      <c r="AK163" s="330"/>
      <c r="AL163" s="330"/>
      <c r="AM163" s="330"/>
      <c r="AN163" s="330"/>
      <c r="AO163" s="330"/>
      <c r="AP163" s="330"/>
      <c r="AQ163" s="330"/>
      <c r="AR163" s="330"/>
      <c r="AS163" s="330"/>
      <c r="AT163" s="330"/>
      <c r="AU163" s="330"/>
      <c r="AV163" s="330"/>
      <c r="AW163" s="330"/>
      <c r="AX163" s="330"/>
      <c r="AY163" s="330"/>
      <c r="AZ163" s="330"/>
      <c r="BA163" s="330"/>
      <c r="BB163" s="330"/>
      <c r="BC163" s="330"/>
      <c r="BD163" s="330"/>
      <c r="BE163" s="330"/>
      <c r="BF163" s="330"/>
      <c r="BG163" s="330"/>
      <c r="BH163" s="330"/>
      <c r="BI163" s="330"/>
      <c r="BJ163" s="330"/>
      <c r="BK163" s="330"/>
      <c r="BL163" s="330"/>
      <c r="BM163" s="330"/>
      <c r="BN163" s="330"/>
      <c r="BO163" s="330"/>
      <c r="BP163" s="330"/>
      <c r="BQ163" s="330"/>
      <c r="BR163" s="330"/>
      <c r="BS163" s="330"/>
      <c r="BT163" s="330"/>
      <c r="BU163" s="330"/>
      <c r="BV163" s="330"/>
      <c r="BW163" s="330"/>
      <c r="BX163" s="330"/>
      <c r="BY163" s="330"/>
      <c r="BZ163" s="330"/>
      <c r="CA163" s="330"/>
      <c r="CB163" s="330"/>
      <c r="CC163" s="330"/>
      <c r="CD163" s="330"/>
      <c r="CE163" s="330"/>
      <c r="CF163" s="330"/>
      <c r="CG163" s="330"/>
      <c r="CH163" s="330"/>
      <c r="CI163" s="330"/>
    </row>
    <row r="164" spans="1:87" x14ac:dyDescent="0.25">
      <c r="B164" s="330" t="s">
        <v>128</v>
      </c>
      <c r="C164" s="330"/>
      <c r="D164" s="328">
        <v>-483.06</v>
      </c>
      <c r="R164" s="330"/>
      <c r="S164" s="330"/>
      <c r="T164" s="330"/>
      <c r="U164" s="330"/>
      <c r="V164" s="330"/>
      <c r="W164" s="330"/>
      <c r="X164" s="330"/>
      <c r="Y164" s="330"/>
      <c r="Z164" s="330"/>
      <c r="AA164" s="330"/>
      <c r="AB164" s="330"/>
      <c r="AC164" s="330"/>
      <c r="AD164" s="330"/>
      <c r="AE164" s="330"/>
      <c r="AF164" s="330"/>
      <c r="AG164" s="330"/>
      <c r="AH164" s="330"/>
      <c r="AI164" s="330"/>
      <c r="AJ164" s="330"/>
      <c r="AK164" s="330"/>
      <c r="AL164" s="330"/>
      <c r="AM164" s="330"/>
      <c r="AN164" s="330"/>
      <c r="AO164" s="330"/>
      <c r="AP164" s="330"/>
      <c r="AQ164" s="330"/>
      <c r="AR164" s="330"/>
      <c r="AS164" s="330"/>
      <c r="AT164" s="330"/>
      <c r="AU164" s="330"/>
      <c r="AV164" s="330"/>
      <c r="AW164" s="330"/>
      <c r="AX164" s="330"/>
      <c r="AY164" s="330"/>
      <c r="AZ164" s="330"/>
      <c r="BA164" s="330"/>
      <c r="BB164" s="330"/>
      <c r="BC164" s="330"/>
      <c r="BD164" s="330"/>
      <c r="BE164" s="330"/>
      <c r="BF164" s="330"/>
      <c r="BG164" s="330"/>
      <c r="BH164" s="330"/>
      <c r="BI164" s="330"/>
      <c r="BJ164" s="330"/>
      <c r="BK164" s="330"/>
      <c r="BL164" s="330"/>
      <c r="BM164" s="330"/>
      <c r="BN164" s="330"/>
      <c r="BO164" s="330"/>
      <c r="BP164" s="330"/>
      <c r="BQ164" s="330"/>
      <c r="BR164" s="330"/>
      <c r="BS164" s="330"/>
      <c r="BT164" s="330"/>
      <c r="BU164" s="330"/>
      <c r="BV164" s="330"/>
      <c r="BW164" s="330"/>
      <c r="BX164" s="330"/>
      <c r="BY164" s="330"/>
      <c r="BZ164" s="330"/>
      <c r="CA164" s="330"/>
      <c r="CB164" s="330"/>
      <c r="CC164" s="330"/>
      <c r="CD164" s="330"/>
      <c r="CE164" s="330"/>
      <c r="CF164" s="330"/>
      <c r="CG164" s="330"/>
      <c r="CH164" s="330"/>
      <c r="CI164" s="330"/>
    </row>
    <row r="165" spans="1:87" x14ac:dyDescent="0.25">
      <c r="B165" s="330" t="s">
        <v>129</v>
      </c>
      <c r="C165" s="330"/>
      <c r="D165" s="329">
        <v>-6519.7899999999991</v>
      </c>
      <c r="R165" s="330"/>
      <c r="S165" s="330"/>
      <c r="T165" s="330"/>
      <c r="U165" s="330"/>
      <c r="V165" s="330"/>
      <c r="W165" s="330"/>
      <c r="X165" s="330"/>
      <c r="Y165" s="330"/>
      <c r="Z165" s="330"/>
      <c r="AA165" s="330"/>
      <c r="AB165" s="330"/>
      <c r="AC165" s="330"/>
      <c r="AD165" s="330"/>
      <c r="AE165" s="330"/>
      <c r="AF165" s="330"/>
      <c r="AG165" s="330"/>
      <c r="AH165" s="330"/>
      <c r="AI165" s="330"/>
      <c r="AJ165" s="330"/>
      <c r="AK165" s="330"/>
      <c r="AL165" s="330"/>
      <c r="AM165" s="330"/>
      <c r="AN165" s="330"/>
      <c r="AO165" s="330"/>
      <c r="AP165" s="330"/>
      <c r="AQ165" s="330"/>
      <c r="AR165" s="330"/>
      <c r="AS165" s="330"/>
      <c r="AT165" s="330"/>
      <c r="AU165" s="330"/>
      <c r="AV165" s="330"/>
      <c r="AW165" s="330"/>
      <c r="AX165" s="330"/>
      <c r="AY165" s="330"/>
      <c r="AZ165" s="330"/>
      <c r="BA165" s="330"/>
      <c r="BB165" s="330"/>
      <c r="BC165" s="330"/>
      <c r="BD165" s="330"/>
      <c r="BE165" s="330"/>
      <c r="BF165" s="330"/>
      <c r="BG165" s="330"/>
      <c r="BH165" s="330"/>
      <c r="BI165" s="330"/>
      <c r="BJ165" s="330"/>
      <c r="BK165" s="330"/>
      <c r="BL165" s="330"/>
      <c r="BM165" s="330"/>
      <c r="BN165" s="330"/>
      <c r="BO165" s="330"/>
      <c r="BP165" s="330"/>
      <c r="BQ165" s="330"/>
      <c r="BR165" s="330"/>
      <c r="BS165" s="330"/>
      <c r="BT165" s="330"/>
      <c r="BU165" s="330"/>
      <c r="BV165" s="330"/>
      <c r="BW165" s="330"/>
      <c r="BX165" s="330"/>
      <c r="BY165" s="330"/>
      <c r="BZ165" s="330"/>
      <c r="CA165" s="330"/>
      <c r="CB165" s="330"/>
      <c r="CC165" s="330"/>
      <c r="CD165" s="330"/>
      <c r="CE165" s="330"/>
      <c r="CF165" s="330"/>
      <c r="CG165" s="330"/>
      <c r="CH165" s="330"/>
      <c r="CI165" s="330"/>
    </row>
    <row r="166" spans="1:87" x14ac:dyDescent="0.25">
      <c r="B166" s="330" t="s">
        <v>130</v>
      </c>
      <c r="D166" t="s">
        <v>238</v>
      </c>
      <c r="R166" s="330"/>
      <c r="S166" s="330"/>
      <c r="T166" s="330"/>
      <c r="U166" s="330"/>
      <c r="V166" s="330"/>
      <c r="W166" s="330"/>
      <c r="X166" s="330"/>
      <c r="Y166" s="330"/>
      <c r="Z166" s="330"/>
      <c r="AA166" s="330"/>
      <c r="AB166" s="330"/>
      <c r="AC166" s="330"/>
      <c r="AD166" s="330"/>
      <c r="AE166" s="330"/>
      <c r="AF166" s="330"/>
      <c r="AG166" s="330"/>
      <c r="AH166" s="330"/>
      <c r="AI166" s="330"/>
      <c r="AJ166" s="330"/>
      <c r="AK166" s="330"/>
      <c r="AL166" s="330"/>
      <c r="AM166" s="330"/>
      <c r="AN166" s="330"/>
      <c r="AO166" s="330"/>
      <c r="AP166" s="330"/>
      <c r="AQ166" s="330"/>
      <c r="AR166" s="330"/>
      <c r="AS166" s="330"/>
      <c r="AT166" s="330"/>
      <c r="AU166" s="330"/>
      <c r="AV166" s="330"/>
      <c r="AW166" s="330"/>
      <c r="AX166" s="330"/>
      <c r="AY166" s="330"/>
      <c r="AZ166" s="330"/>
      <c r="BA166" s="330"/>
      <c r="BB166" s="330"/>
      <c r="BC166" s="330"/>
      <c r="BD166" s="330"/>
      <c r="BE166" s="330"/>
      <c r="BF166" s="330"/>
      <c r="BG166" s="330"/>
      <c r="BH166" s="330"/>
      <c r="BI166" s="330"/>
      <c r="BJ166" s="330"/>
      <c r="BK166" s="330"/>
      <c r="BL166" s="330"/>
      <c r="BM166" s="330"/>
      <c r="BN166" s="330"/>
      <c r="BO166" s="330"/>
      <c r="BP166" s="330"/>
      <c r="BQ166" s="330"/>
      <c r="BR166" s="330"/>
      <c r="BS166" s="330"/>
      <c r="BT166" s="330"/>
      <c r="BU166" s="330"/>
      <c r="BV166" s="330"/>
      <c r="BW166" s="330"/>
      <c r="BX166" s="330"/>
      <c r="BY166" s="330"/>
      <c r="BZ166" s="330"/>
      <c r="CA166" s="330"/>
      <c r="CB166" s="330"/>
      <c r="CC166" s="330"/>
      <c r="CD166" s="330"/>
      <c r="CE166" s="330"/>
      <c r="CF166" s="330"/>
      <c r="CG166" s="330"/>
      <c r="CH166" s="330"/>
      <c r="CI166" s="330"/>
    </row>
    <row r="167" spans="1:87" x14ac:dyDescent="0.25">
      <c r="B167" s="330" t="s">
        <v>131</v>
      </c>
      <c r="C167" s="330"/>
      <c r="D167" s="327">
        <v>0</v>
      </c>
      <c r="R167" s="330"/>
      <c r="S167" s="330"/>
      <c r="T167" s="330"/>
      <c r="U167" s="330"/>
      <c r="V167" s="330"/>
      <c r="W167" s="330"/>
      <c r="X167" s="330"/>
      <c r="Y167" s="330"/>
      <c r="Z167" s="330"/>
      <c r="AA167" s="330"/>
      <c r="AB167" s="330"/>
      <c r="AC167" s="330"/>
      <c r="AD167" s="330"/>
      <c r="AE167" s="330"/>
      <c r="AF167" s="330"/>
      <c r="AG167" s="330"/>
      <c r="AH167" s="330"/>
      <c r="AI167" s="330"/>
      <c r="AJ167" s="330"/>
      <c r="AK167" s="330"/>
      <c r="AL167" s="330"/>
      <c r="AM167" s="330"/>
      <c r="AN167" s="330"/>
      <c r="AO167" s="330"/>
      <c r="AP167" s="330"/>
      <c r="AQ167" s="330"/>
      <c r="AR167" s="330"/>
      <c r="AS167" s="330"/>
      <c r="AT167" s="330"/>
      <c r="AU167" s="330"/>
      <c r="AV167" s="330"/>
      <c r="AW167" s="330"/>
      <c r="AX167" s="330"/>
      <c r="AY167" s="330"/>
      <c r="AZ167" s="330"/>
      <c r="BA167" s="330"/>
      <c r="BB167" s="330"/>
      <c r="BC167" s="330"/>
      <c r="BD167" s="330"/>
      <c r="BE167" s="330"/>
      <c r="BF167" s="330"/>
      <c r="BG167" s="330"/>
      <c r="BH167" s="330"/>
      <c r="BI167" s="330"/>
      <c r="BJ167" s="330"/>
      <c r="BK167" s="330"/>
      <c r="BL167" s="330"/>
      <c r="BM167" s="330"/>
      <c r="BN167" s="330"/>
      <c r="BO167" s="330"/>
      <c r="BP167" s="330"/>
      <c r="BQ167" s="330"/>
      <c r="BR167" s="330"/>
      <c r="BS167" s="330"/>
      <c r="BT167" s="330"/>
      <c r="BU167" s="330"/>
      <c r="BV167" s="330"/>
      <c r="BW167" s="330"/>
      <c r="BX167" s="330"/>
      <c r="BY167" s="330"/>
      <c r="BZ167" s="330"/>
      <c r="CA167" s="330"/>
      <c r="CB167" s="330"/>
      <c r="CC167" s="330"/>
      <c r="CD167" s="330"/>
      <c r="CE167" s="330"/>
      <c r="CF167" s="330"/>
      <c r="CG167" s="330"/>
      <c r="CH167" s="330"/>
      <c r="CI167" s="330"/>
    </row>
    <row r="168" spans="1:87" x14ac:dyDescent="0.25">
      <c r="B168" s="330" t="s">
        <v>132</v>
      </c>
      <c r="C168" s="330"/>
      <c r="D168" s="328">
        <v>0</v>
      </c>
      <c r="R168" s="330"/>
      <c r="S168" s="330"/>
      <c r="T168" s="330"/>
      <c r="U168" s="330"/>
      <c r="V168" s="330"/>
      <c r="W168" s="330"/>
      <c r="X168" s="330"/>
      <c r="Y168" s="330"/>
      <c r="Z168" s="330"/>
      <c r="AA168" s="330"/>
      <c r="AB168" s="330"/>
      <c r="AC168" s="330"/>
      <c r="AD168" s="330"/>
      <c r="AE168" s="330"/>
      <c r="AF168" s="330"/>
      <c r="AG168" s="330"/>
      <c r="AH168" s="330"/>
      <c r="AI168" s="330"/>
      <c r="AJ168" s="330"/>
      <c r="AK168" s="330"/>
      <c r="AL168" s="330"/>
      <c r="AM168" s="330"/>
      <c r="AN168" s="330"/>
      <c r="AO168" s="330"/>
      <c r="AP168" s="330"/>
      <c r="AQ168" s="330"/>
      <c r="AR168" s="330"/>
      <c r="AS168" s="330"/>
      <c r="AT168" s="330"/>
      <c r="AU168" s="330"/>
      <c r="AV168" s="330"/>
      <c r="AW168" s="330"/>
      <c r="AX168" s="330"/>
      <c r="AY168" s="330"/>
      <c r="AZ168" s="330"/>
      <c r="BA168" s="330"/>
      <c r="BB168" s="330"/>
      <c r="BC168" s="330"/>
      <c r="BD168" s="330"/>
      <c r="BE168" s="330"/>
      <c r="BF168" s="330"/>
      <c r="BG168" s="330"/>
      <c r="BH168" s="330"/>
      <c r="BI168" s="330"/>
      <c r="BJ168" s="330"/>
      <c r="BK168" s="330"/>
      <c r="BL168" s="330"/>
      <c r="BM168" s="330"/>
      <c r="BN168" s="330"/>
      <c r="BO168" s="330"/>
      <c r="BP168" s="330"/>
      <c r="BQ168" s="330"/>
      <c r="BR168" s="330"/>
      <c r="BS168" s="330"/>
      <c r="BT168" s="330"/>
      <c r="BU168" s="330"/>
      <c r="BV168" s="330"/>
      <c r="BW168" s="330"/>
      <c r="BX168" s="330"/>
      <c r="BY168" s="330"/>
      <c r="BZ168" s="330"/>
      <c r="CA168" s="330"/>
      <c r="CB168" s="330"/>
      <c r="CC168" s="330"/>
      <c r="CD168" s="330"/>
      <c r="CE168" s="330"/>
      <c r="CF168" s="330"/>
      <c r="CG168" s="330"/>
      <c r="CH168" s="330"/>
      <c r="CI168" s="330"/>
    </row>
    <row r="169" spans="1:87" x14ac:dyDescent="0.25">
      <c r="B169" s="330"/>
      <c r="C169" s="330"/>
      <c r="D169" s="328">
        <v>0</v>
      </c>
      <c r="R169" s="330"/>
      <c r="S169" s="330"/>
      <c r="T169" s="330"/>
      <c r="U169" s="330"/>
      <c r="V169" s="330"/>
      <c r="W169" s="330"/>
      <c r="X169" s="330"/>
      <c r="Y169" s="330"/>
      <c r="Z169" s="330"/>
      <c r="AA169" s="330"/>
      <c r="AB169" s="330"/>
      <c r="AC169" s="330"/>
      <c r="AD169" s="330"/>
      <c r="AE169" s="330"/>
      <c r="AF169" s="330"/>
      <c r="AG169" s="330"/>
      <c r="AH169" s="330"/>
      <c r="AI169" s="330"/>
      <c r="AJ169" s="330"/>
      <c r="AK169" s="330"/>
      <c r="AL169" s="330"/>
      <c r="AM169" s="330"/>
      <c r="AN169" s="330"/>
      <c r="AO169" s="330"/>
      <c r="AP169" s="330"/>
      <c r="AQ169" s="330"/>
      <c r="AR169" s="330"/>
      <c r="AS169" s="330"/>
      <c r="AT169" s="330"/>
      <c r="AU169" s="330"/>
      <c r="AV169" s="330"/>
      <c r="AW169" s="330"/>
      <c r="AX169" s="330"/>
      <c r="AY169" s="330"/>
      <c r="AZ169" s="330"/>
      <c r="BA169" s="330"/>
      <c r="BB169" s="330"/>
      <c r="BC169" s="330"/>
      <c r="BD169" s="330"/>
      <c r="BE169" s="330"/>
      <c r="BF169" s="330"/>
      <c r="BG169" s="330"/>
      <c r="BH169" s="330"/>
      <c r="BI169" s="330"/>
      <c r="BJ169" s="330"/>
      <c r="BK169" s="330"/>
      <c r="BL169" s="330"/>
      <c r="BM169" s="330"/>
      <c r="BN169" s="330"/>
      <c r="BO169" s="330"/>
      <c r="BP169" s="330"/>
      <c r="BQ169" s="330"/>
      <c r="BR169" s="330"/>
      <c r="BS169" s="330"/>
      <c r="BT169" s="330"/>
      <c r="BU169" s="330"/>
      <c r="BV169" s="330"/>
      <c r="BW169" s="330"/>
      <c r="BX169" s="330"/>
      <c r="BY169" s="330"/>
      <c r="BZ169" s="330"/>
      <c r="CA169" s="330"/>
      <c r="CB169" s="330"/>
      <c r="CC169" s="330"/>
      <c r="CD169" s="330"/>
      <c r="CE169" s="330"/>
      <c r="CF169" s="330"/>
      <c r="CG169" s="330"/>
      <c r="CH169" s="330"/>
      <c r="CI169" s="330"/>
    </row>
    <row r="170" spans="1:87" x14ac:dyDescent="0.25">
      <c r="B170" s="330"/>
      <c r="C170" s="330"/>
      <c r="D170" s="328">
        <v>0</v>
      </c>
      <c r="R170" s="330"/>
      <c r="S170" s="330"/>
      <c r="T170" s="330"/>
      <c r="U170" s="330"/>
      <c r="V170" s="330"/>
      <c r="W170" s="330"/>
      <c r="X170" s="330"/>
      <c r="Y170" s="330"/>
      <c r="Z170" s="330"/>
      <c r="AA170" s="330"/>
      <c r="AB170" s="330"/>
      <c r="AC170" s="330"/>
      <c r="AD170" s="330"/>
      <c r="AE170" s="330"/>
      <c r="AF170" s="330"/>
      <c r="AG170" s="330"/>
      <c r="AH170" s="330"/>
      <c r="AI170" s="330"/>
      <c r="AJ170" s="330"/>
      <c r="AK170" s="330"/>
      <c r="AL170" s="330"/>
      <c r="AM170" s="330"/>
      <c r="AN170" s="330"/>
      <c r="AO170" s="330"/>
      <c r="AP170" s="330"/>
      <c r="AQ170" s="330"/>
      <c r="AR170" s="330"/>
      <c r="AS170" s="330"/>
      <c r="AT170" s="330"/>
      <c r="AU170" s="330"/>
      <c r="AV170" s="330"/>
      <c r="AW170" s="330"/>
      <c r="AX170" s="330"/>
      <c r="AY170" s="330"/>
      <c r="AZ170" s="330"/>
      <c r="BA170" s="330"/>
      <c r="BB170" s="330"/>
      <c r="BC170" s="330"/>
      <c r="BD170" s="330"/>
      <c r="BE170" s="330"/>
      <c r="BF170" s="330"/>
      <c r="BG170" s="330"/>
      <c r="BH170" s="330"/>
      <c r="BI170" s="330"/>
      <c r="BJ170" s="330"/>
      <c r="BK170" s="330"/>
      <c r="BL170" s="330"/>
      <c r="BM170" s="330"/>
      <c r="BN170" s="330"/>
      <c r="BO170" s="330"/>
      <c r="BP170" s="330"/>
      <c r="BQ170" s="330"/>
      <c r="BR170" s="330"/>
      <c r="BS170" s="330"/>
      <c r="BT170" s="330"/>
      <c r="BU170" s="330"/>
      <c r="BV170" s="330"/>
      <c r="BW170" s="330"/>
      <c r="BX170" s="330"/>
      <c r="BY170" s="330"/>
      <c r="BZ170" s="330"/>
      <c r="CA170" s="330"/>
      <c r="CB170" s="330"/>
      <c r="CC170" s="330"/>
      <c r="CD170" s="330"/>
      <c r="CE170" s="330"/>
      <c r="CF170" s="330"/>
      <c r="CG170" s="330"/>
      <c r="CH170" s="330"/>
      <c r="CI170" s="330"/>
    </row>
    <row r="171" spans="1:87" x14ac:dyDescent="0.25">
      <c r="B171" s="330"/>
      <c r="C171" s="330"/>
      <c r="D171" s="328">
        <v>0</v>
      </c>
      <c r="R171" s="330"/>
      <c r="S171" s="330"/>
      <c r="T171" s="330"/>
      <c r="U171" s="330"/>
      <c r="V171" s="330"/>
      <c r="W171" s="330"/>
      <c r="X171" s="330"/>
      <c r="Y171" s="330"/>
      <c r="Z171" s="330"/>
      <c r="AA171" s="330"/>
      <c r="AB171" s="330"/>
      <c r="AC171" s="330"/>
      <c r="AD171" s="330"/>
      <c r="AE171" s="330"/>
      <c r="AF171" s="330"/>
      <c r="AG171" s="330"/>
      <c r="AH171" s="330"/>
      <c r="AI171" s="330"/>
      <c r="AJ171" s="330"/>
      <c r="AK171" s="330"/>
      <c r="AL171" s="330"/>
      <c r="AM171" s="330"/>
      <c r="AN171" s="330"/>
      <c r="AO171" s="330"/>
      <c r="AP171" s="330"/>
      <c r="AQ171" s="330"/>
      <c r="AR171" s="330"/>
      <c r="AS171" s="330"/>
      <c r="AT171" s="330"/>
      <c r="AU171" s="330"/>
      <c r="AV171" s="330"/>
      <c r="AW171" s="330"/>
      <c r="AX171" s="330"/>
      <c r="AY171" s="330"/>
      <c r="AZ171" s="330"/>
      <c r="BA171" s="330"/>
      <c r="BB171" s="330"/>
      <c r="BC171" s="330"/>
      <c r="BD171" s="330"/>
      <c r="BE171" s="330"/>
      <c r="BF171" s="330"/>
      <c r="BG171" s="330"/>
      <c r="BH171" s="330"/>
      <c r="BI171" s="330"/>
      <c r="BJ171" s="330"/>
      <c r="BK171" s="330"/>
      <c r="BL171" s="330"/>
      <c r="BM171" s="330"/>
      <c r="BN171" s="330"/>
      <c r="BO171" s="330"/>
      <c r="BP171" s="330"/>
      <c r="BQ171" s="330"/>
      <c r="BR171" s="330"/>
      <c r="BS171" s="330"/>
      <c r="BT171" s="330"/>
      <c r="BU171" s="330"/>
      <c r="BV171" s="330"/>
      <c r="BW171" s="330"/>
      <c r="BX171" s="330"/>
      <c r="BY171" s="330"/>
      <c r="BZ171" s="330"/>
      <c r="CA171" s="330"/>
      <c r="CB171" s="330"/>
      <c r="CC171" s="330"/>
      <c r="CD171" s="330"/>
      <c r="CE171" s="330"/>
      <c r="CF171" s="330"/>
      <c r="CG171" s="330"/>
      <c r="CH171" s="330"/>
      <c r="CI171" s="330"/>
    </row>
    <row r="172" spans="1:87" x14ac:dyDescent="0.25">
      <c r="B172" s="330"/>
      <c r="C172" s="330"/>
      <c r="D172" s="329">
        <v>0</v>
      </c>
      <c r="R172" s="330"/>
      <c r="S172" s="330"/>
      <c r="T172" s="330"/>
      <c r="U172" s="330"/>
      <c r="V172" s="330"/>
      <c r="W172" s="330"/>
      <c r="X172" s="330"/>
      <c r="Y172" s="330"/>
      <c r="Z172" s="330"/>
      <c r="AA172" s="330"/>
      <c r="AB172" s="330"/>
      <c r="AC172" s="330"/>
      <c r="AD172" s="330"/>
      <c r="AE172" s="330"/>
      <c r="AF172" s="330"/>
      <c r="AG172" s="330"/>
      <c r="AH172" s="330"/>
      <c r="AI172" s="330"/>
      <c r="AJ172" s="330"/>
      <c r="AK172" s="330"/>
      <c r="AL172" s="330"/>
      <c r="AM172" s="330"/>
      <c r="AN172" s="330"/>
      <c r="AO172" s="330"/>
      <c r="AP172" s="330"/>
      <c r="AQ172" s="330"/>
      <c r="AR172" s="330"/>
      <c r="AS172" s="330"/>
      <c r="AT172" s="330"/>
      <c r="AU172" s="330"/>
      <c r="AV172" s="330"/>
      <c r="AW172" s="330"/>
      <c r="AX172" s="330"/>
      <c r="AY172" s="330"/>
      <c r="AZ172" s="330"/>
      <c r="BA172" s="330"/>
      <c r="BB172" s="330"/>
      <c r="BC172" s="330"/>
      <c r="BD172" s="330"/>
      <c r="BE172" s="330"/>
      <c r="BF172" s="330"/>
      <c r="BG172" s="330"/>
      <c r="BH172" s="330"/>
      <c r="BI172" s="330"/>
      <c r="BJ172" s="330"/>
      <c r="BK172" s="330"/>
      <c r="BL172" s="330"/>
      <c r="BM172" s="330"/>
      <c r="BN172" s="330"/>
      <c r="BO172" s="330"/>
      <c r="BP172" s="330"/>
      <c r="BQ172" s="330"/>
      <c r="BR172" s="330"/>
      <c r="BS172" s="330"/>
      <c r="BT172" s="330"/>
      <c r="BU172" s="330"/>
      <c r="BV172" s="330"/>
      <c r="BW172" s="330"/>
      <c r="BX172" s="330"/>
      <c r="BY172" s="330"/>
      <c r="BZ172" s="330"/>
      <c r="CA172" s="330"/>
      <c r="CB172" s="330"/>
      <c r="CC172" s="330"/>
      <c r="CD172" s="330"/>
      <c r="CE172" s="330"/>
      <c r="CF172" s="330"/>
      <c r="CG172" s="330"/>
      <c r="CH172" s="330"/>
      <c r="CI172" s="330"/>
    </row>
    <row r="173" spans="1:87" x14ac:dyDescent="0.25">
      <c r="B173" s="330"/>
      <c r="R173" s="330"/>
      <c r="S173" s="330"/>
      <c r="T173" s="330"/>
      <c r="U173" s="330"/>
      <c r="V173" s="330"/>
      <c r="W173" s="330"/>
      <c r="X173" s="330"/>
      <c r="Y173" s="330"/>
      <c r="Z173" s="330"/>
      <c r="AA173" s="330"/>
      <c r="AB173" s="330"/>
      <c r="AC173" s="330"/>
      <c r="AD173" s="330"/>
      <c r="AE173" s="330"/>
      <c r="AF173" s="330"/>
      <c r="AG173" s="330"/>
      <c r="AH173" s="330"/>
      <c r="AI173" s="330"/>
      <c r="AJ173" s="330"/>
      <c r="AK173" s="330"/>
      <c r="AL173" s="330"/>
      <c r="AM173" s="330"/>
      <c r="AN173" s="330"/>
      <c r="AO173" s="330"/>
      <c r="AP173" s="330"/>
      <c r="AQ173" s="330"/>
      <c r="AR173" s="330"/>
      <c r="AS173" s="330"/>
      <c r="AT173" s="330"/>
      <c r="AU173" s="330"/>
      <c r="AV173" s="330"/>
      <c r="AW173" s="330"/>
      <c r="AX173" s="330"/>
      <c r="AY173" s="330"/>
      <c r="AZ173" s="330"/>
      <c r="BA173" s="330"/>
      <c r="BB173" s="330"/>
      <c r="BC173" s="330"/>
      <c r="BD173" s="330"/>
      <c r="BE173" s="330"/>
      <c r="BF173" s="330"/>
      <c r="BG173" s="330"/>
      <c r="BH173" s="330"/>
      <c r="BI173" s="330"/>
      <c r="BJ173" s="330"/>
      <c r="BK173" s="330"/>
      <c r="BL173" s="330"/>
      <c r="BM173" s="330"/>
      <c r="BN173" s="330"/>
      <c r="BO173" s="330"/>
      <c r="BP173" s="330"/>
      <c r="BQ173" s="330"/>
      <c r="BR173" s="330"/>
      <c r="BS173" s="330"/>
      <c r="BT173" s="330"/>
      <c r="BU173" s="330"/>
      <c r="BV173" s="330"/>
      <c r="BW173" s="330"/>
      <c r="BX173" s="330"/>
      <c r="BY173" s="330"/>
      <c r="BZ173" s="330"/>
      <c r="CA173" s="330"/>
      <c r="CB173" s="330"/>
      <c r="CC173" s="330"/>
      <c r="CD173" s="330"/>
      <c r="CE173" s="330"/>
      <c r="CF173" s="330"/>
      <c r="CG173" s="330"/>
      <c r="CH173" s="330"/>
      <c r="CI173" s="330"/>
    </row>
    <row r="174" spans="1:87" x14ac:dyDescent="0.25">
      <c r="B174" s="330"/>
      <c r="R174" s="330"/>
      <c r="S174" s="330"/>
      <c r="T174" s="330"/>
      <c r="U174" s="330"/>
      <c r="V174" s="330"/>
      <c r="W174" s="330"/>
      <c r="X174" s="330"/>
      <c r="Y174" s="330"/>
      <c r="Z174" s="330"/>
      <c r="AA174" s="330"/>
      <c r="AB174" s="330"/>
      <c r="AC174" s="330"/>
      <c r="AD174" s="330"/>
      <c r="AE174" s="330"/>
      <c r="AF174" s="330"/>
      <c r="AG174" s="330"/>
      <c r="AH174" s="330"/>
      <c r="AI174" s="330"/>
      <c r="AJ174" s="330"/>
      <c r="AK174" s="330"/>
      <c r="AL174" s="330"/>
      <c r="AM174" s="330"/>
      <c r="AN174" s="330"/>
      <c r="AO174" s="330"/>
      <c r="AP174" s="330"/>
      <c r="AQ174" s="330"/>
      <c r="AR174" s="330"/>
      <c r="AS174" s="330"/>
      <c r="AT174" s="330"/>
      <c r="AU174" s="330"/>
      <c r="AV174" s="330"/>
      <c r="AW174" s="330"/>
      <c r="AX174" s="330"/>
      <c r="AY174" s="330"/>
      <c r="AZ174" s="330"/>
      <c r="BA174" s="330"/>
      <c r="BB174" s="330"/>
      <c r="BC174" s="330"/>
      <c r="BD174" s="330"/>
      <c r="BE174" s="330"/>
      <c r="BF174" s="330"/>
      <c r="BG174" s="330"/>
      <c r="BH174" s="330"/>
      <c r="BI174" s="330"/>
      <c r="BJ174" s="330"/>
      <c r="BK174" s="330"/>
      <c r="BL174" s="330"/>
      <c r="BM174" s="330"/>
      <c r="BN174" s="330"/>
      <c r="BO174" s="330"/>
      <c r="BP174" s="330"/>
      <c r="BQ174" s="330"/>
      <c r="BR174" s="330"/>
      <c r="BS174" s="330"/>
      <c r="BT174" s="330"/>
      <c r="BU174" s="330"/>
      <c r="BV174" s="330"/>
      <c r="BW174" s="330"/>
      <c r="BX174" s="330"/>
      <c r="BY174" s="330"/>
      <c r="BZ174" s="330"/>
      <c r="CA174" s="330"/>
      <c r="CB174" s="330"/>
      <c r="CC174" s="330"/>
      <c r="CD174" s="330"/>
      <c r="CE174" s="330"/>
      <c r="CF174" s="330"/>
      <c r="CG174" s="330"/>
      <c r="CH174" s="330"/>
      <c r="CI174" s="330"/>
    </row>
    <row r="175" spans="1:87" x14ac:dyDescent="0.25">
      <c r="A175" s="330"/>
      <c r="B175" s="330"/>
      <c r="C175" s="330"/>
      <c r="D175" s="330"/>
      <c r="E175" s="330"/>
      <c r="F175" s="330"/>
      <c r="G175" s="330"/>
      <c r="H175" s="330"/>
      <c r="I175" s="330"/>
      <c r="J175" s="330"/>
      <c r="K175" s="330"/>
      <c r="L175" s="330"/>
      <c r="M175" s="330"/>
      <c r="N175" s="330"/>
      <c r="O175" s="330"/>
      <c r="P175" s="330"/>
      <c r="Q175" s="330"/>
      <c r="R175" s="330"/>
      <c r="S175" s="330"/>
      <c r="T175" s="330"/>
      <c r="U175" s="330"/>
      <c r="V175" s="330"/>
      <c r="W175" s="330"/>
      <c r="X175" s="330"/>
      <c r="Y175" s="330"/>
      <c r="Z175" s="330"/>
      <c r="AA175" s="330"/>
      <c r="AB175" s="330"/>
      <c r="AC175" s="330"/>
      <c r="AD175" s="330"/>
      <c r="AE175" s="330"/>
      <c r="AF175" s="330"/>
      <c r="AG175" s="330"/>
      <c r="AH175" s="330"/>
      <c r="AI175" s="330"/>
      <c r="AJ175" s="330"/>
      <c r="AK175" s="330"/>
      <c r="AL175" s="330"/>
      <c r="AM175" s="330"/>
      <c r="AN175" s="330"/>
      <c r="AO175" s="330"/>
      <c r="AP175" s="330"/>
      <c r="AQ175" s="330"/>
      <c r="AR175" s="330"/>
      <c r="AS175" s="330"/>
      <c r="AT175" s="330"/>
      <c r="AU175" s="330"/>
      <c r="AV175" s="330"/>
      <c r="AW175" s="330"/>
      <c r="AX175" s="330"/>
      <c r="AY175" s="330"/>
      <c r="AZ175" s="330"/>
      <c r="BA175" s="330"/>
      <c r="BB175" s="330"/>
      <c r="BC175" s="330"/>
      <c r="BD175" s="330"/>
      <c r="BE175" s="330"/>
      <c r="BF175" s="330"/>
      <c r="BG175" s="330"/>
      <c r="BH175" s="330"/>
      <c r="BI175" s="330"/>
      <c r="BJ175" s="330"/>
      <c r="BK175" s="330"/>
      <c r="BL175" s="330"/>
      <c r="BM175" s="330"/>
      <c r="BN175" s="330"/>
      <c r="BO175" s="330"/>
      <c r="BP175" s="330"/>
      <c r="BQ175" s="330"/>
      <c r="BR175" s="330"/>
      <c r="BS175" s="330"/>
      <c r="BT175" s="330"/>
      <c r="BU175" s="330"/>
      <c r="BV175" s="330"/>
      <c r="BW175" s="330"/>
      <c r="BX175" s="330"/>
      <c r="BY175" s="330"/>
      <c r="BZ175" s="330"/>
      <c r="CA175" s="330"/>
      <c r="CB175" s="330"/>
      <c r="CC175" s="330"/>
      <c r="CD175" s="330"/>
      <c r="CE175" s="330"/>
      <c r="CF175" s="330"/>
      <c r="CG175" s="330"/>
      <c r="CH175" s="330"/>
      <c r="CI175" s="330"/>
    </row>
    <row r="176" spans="1:87" x14ac:dyDescent="0.25">
      <c r="A176" s="330"/>
      <c r="B176" s="330"/>
      <c r="C176" s="330"/>
      <c r="D176" s="330"/>
      <c r="E176" s="330"/>
      <c r="F176" s="330"/>
      <c r="G176" s="330"/>
      <c r="H176" s="330"/>
      <c r="I176" s="330"/>
      <c r="J176" s="330"/>
      <c r="K176" s="330"/>
      <c r="L176" s="330"/>
      <c r="M176" s="330"/>
      <c r="N176" s="330"/>
      <c r="O176" s="330"/>
      <c r="P176" s="330"/>
      <c r="Q176" s="330"/>
      <c r="R176" s="330"/>
      <c r="S176" s="330"/>
      <c r="T176" s="330"/>
      <c r="U176" s="330"/>
      <c r="V176" s="330"/>
      <c r="W176" s="330"/>
      <c r="X176" s="330"/>
      <c r="Y176" s="330"/>
      <c r="Z176" s="330"/>
      <c r="AA176" s="330"/>
      <c r="AB176" s="330"/>
      <c r="AC176" s="330"/>
      <c r="AD176" s="330"/>
      <c r="AE176" s="330"/>
      <c r="AF176" s="330"/>
      <c r="AG176" s="330"/>
      <c r="AH176" s="330"/>
      <c r="AI176" s="330"/>
      <c r="AJ176" s="330"/>
      <c r="AK176" s="330"/>
      <c r="AL176" s="330"/>
      <c r="AM176" s="330"/>
      <c r="AN176" s="330"/>
      <c r="AO176" s="330"/>
      <c r="AP176" s="330"/>
      <c r="AQ176" s="330"/>
      <c r="AR176" s="330"/>
      <c r="AS176" s="330"/>
      <c r="AT176" s="330"/>
      <c r="AU176" s="330"/>
      <c r="AV176" s="330"/>
      <c r="AW176" s="330"/>
      <c r="AX176" s="330"/>
      <c r="AY176" s="330"/>
      <c r="AZ176" s="330"/>
      <c r="BA176" s="330"/>
      <c r="BB176" s="330"/>
      <c r="BC176" s="330"/>
      <c r="BD176" s="330"/>
      <c r="BE176" s="330"/>
      <c r="BF176" s="330"/>
      <c r="BG176" s="330"/>
      <c r="BH176" s="330"/>
      <c r="BI176" s="330"/>
      <c r="BJ176" s="330"/>
      <c r="BK176" s="330"/>
      <c r="BL176" s="330"/>
      <c r="BM176" s="330"/>
      <c r="BN176" s="330"/>
      <c r="BO176" s="330"/>
      <c r="BP176" s="330"/>
      <c r="BQ176" s="330"/>
      <c r="BR176" s="330"/>
      <c r="BS176" s="330"/>
      <c r="BT176" s="330"/>
      <c r="BU176" s="330"/>
      <c r="BV176" s="330"/>
      <c r="BW176" s="330"/>
      <c r="BX176" s="330"/>
      <c r="BY176" s="330"/>
      <c r="BZ176" s="330"/>
      <c r="CA176" s="330"/>
      <c r="CB176" s="330"/>
      <c r="CC176" s="330"/>
      <c r="CD176" s="330"/>
      <c r="CE176" s="330"/>
      <c r="CF176" s="330"/>
      <c r="CG176" s="330"/>
      <c r="CH176" s="330"/>
      <c r="CI176" s="330"/>
    </row>
    <row r="177" spans="1:87" x14ac:dyDescent="0.25">
      <c r="A177" s="330"/>
      <c r="B177" s="330"/>
      <c r="C177" s="330"/>
      <c r="D177" s="330"/>
      <c r="E177" s="330"/>
      <c r="F177" s="330"/>
      <c r="G177" s="330"/>
      <c r="H177" s="330"/>
      <c r="I177" s="330"/>
      <c r="J177" s="330"/>
      <c r="K177" s="330"/>
      <c r="L177" s="330"/>
      <c r="M177" s="330"/>
      <c r="N177" s="330"/>
      <c r="O177" s="330"/>
      <c r="P177" s="330"/>
      <c r="Q177" s="330"/>
      <c r="R177" s="330"/>
      <c r="S177" s="330"/>
      <c r="T177" s="330"/>
      <c r="U177" s="330"/>
      <c r="V177" s="330"/>
      <c r="W177" s="330"/>
      <c r="X177" s="330"/>
      <c r="Y177" s="330"/>
      <c r="Z177" s="330"/>
      <c r="AA177" s="330"/>
      <c r="AB177" s="330"/>
      <c r="AC177" s="330"/>
      <c r="AD177" s="330"/>
      <c r="AE177" s="330"/>
      <c r="AF177" s="330"/>
      <c r="AG177" s="330"/>
      <c r="AH177" s="330"/>
      <c r="AI177" s="330"/>
      <c r="AJ177" s="330"/>
      <c r="AK177" s="330"/>
      <c r="AL177" s="330"/>
      <c r="AM177" s="330"/>
      <c r="AN177" s="330"/>
      <c r="AO177" s="330"/>
      <c r="AP177" s="330"/>
      <c r="AQ177" s="330"/>
      <c r="AR177" s="330"/>
      <c r="AS177" s="330"/>
      <c r="AT177" s="330"/>
      <c r="AU177" s="330"/>
      <c r="AV177" s="330"/>
      <c r="AW177" s="330"/>
      <c r="AX177" s="330"/>
      <c r="AY177" s="330"/>
      <c r="AZ177" s="330"/>
      <c r="BA177" s="330"/>
      <c r="BB177" s="330"/>
      <c r="BC177" s="330"/>
      <c r="BD177" s="330"/>
      <c r="BE177" s="330"/>
      <c r="BF177" s="330"/>
      <c r="BG177" s="330"/>
      <c r="BH177" s="330"/>
      <c r="BI177" s="330"/>
      <c r="BJ177" s="330"/>
      <c r="BK177" s="330"/>
      <c r="BL177" s="330"/>
      <c r="BM177" s="330"/>
      <c r="BN177" s="330"/>
      <c r="BO177" s="330"/>
      <c r="BP177" s="330"/>
      <c r="BQ177" s="330"/>
      <c r="BR177" s="330"/>
      <c r="BS177" s="330"/>
      <c r="BT177" s="330"/>
      <c r="BU177" s="330"/>
      <c r="BV177" s="330"/>
      <c r="BW177" s="330"/>
      <c r="BX177" s="330"/>
      <c r="BY177" s="330"/>
      <c r="BZ177" s="330"/>
      <c r="CA177" s="330"/>
      <c r="CB177" s="330"/>
      <c r="CC177" s="330"/>
      <c r="CD177" s="330"/>
      <c r="CE177" s="330"/>
      <c r="CF177" s="330"/>
      <c r="CG177" s="330"/>
      <c r="CH177" s="330"/>
      <c r="CI177" s="330"/>
    </row>
    <row r="178" spans="1:87" x14ac:dyDescent="0.25">
      <c r="A178" s="330"/>
      <c r="B178" s="330"/>
      <c r="C178" s="330"/>
      <c r="D178" s="330"/>
      <c r="E178" s="330"/>
      <c r="F178" s="330"/>
      <c r="G178" s="330"/>
      <c r="H178" s="330"/>
      <c r="I178" s="330"/>
      <c r="J178" s="330"/>
      <c r="K178" s="330"/>
      <c r="L178" s="330"/>
      <c r="M178" s="330"/>
      <c r="N178" s="330"/>
      <c r="O178" s="330"/>
      <c r="P178" s="330"/>
      <c r="Q178" s="330"/>
      <c r="R178" s="330"/>
      <c r="S178" s="330"/>
      <c r="T178" s="330"/>
      <c r="U178" s="330"/>
      <c r="V178" s="330"/>
      <c r="W178" s="330"/>
      <c r="X178" s="330"/>
      <c r="Y178" s="330"/>
      <c r="Z178" s="330"/>
      <c r="AA178" s="330"/>
      <c r="AB178" s="330"/>
      <c r="AC178" s="330"/>
      <c r="AD178" s="330"/>
      <c r="AE178" s="330"/>
      <c r="AF178" s="330"/>
      <c r="AG178" s="330"/>
      <c r="AH178" s="330"/>
      <c r="AI178" s="330"/>
      <c r="AJ178" s="330"/>
      <c r="AK178" s="330"/>
      <c r="AL178" s="330"/>
      <c r="AM178" s="330"/>
      <c r="AN178" s="330"/>
      <c r="AO178" s="330"/>
      <c r="AP178" s="330"/>
      <c r="AQ178" s="330"/>
      <c r="AR178" s="330"/>
      <c r="AS178" s="330"/>
      <c r="AT178" s="330"/>
      <c r="AU178" s="330"/>
      <c r="AV178" s="330"/>
      <c r="AW178" s="330"/>
      <c r="AX178" s="330"/>
      <c r="AY178" s="330"/>
      <c r="AZ178" s="330"/>
      <c r="BA178" s="330"/>
      <c r="BB178" s="330"/>
      <c r="BC178" s="330"/>
      <c r="BD178" s="330"/>
      <c r="BE178" s="330"/>
      <c r="BF178" s="330"/>
      <c r="BG178" s="330"/>
      <c r="BH178" s="330"/>
      <c r="BI178" s="330"/>
      <c r="BJ178" s="330"/>
      <c r="BK178" s="330"/>
      <c r="BL178" s="330"/>
      <c r="BM178" s="330"/>
      <c r="BN178" s="330"/>
      <c r="BO178" s="330"/>
      <c r="BP178" s="330"/>
      <c r="BQ178" s="330"/>
      <c r="BR178" s="330"/>
      <c r="BS178" s="330"/>
      <c r="BT178" s="330"/>
      <c r="BU178" s="330"/>
      <c r="BV178" s="330"/>
      <c r="BW178" s="330"/>
      <c r="BX178" s="330"/>
      <c r="BY178" s="330"/>
      <c r="BZ178" s="330"/>
      <c r="CA178" s="330"/>
      <c r="CB178" s="330"/>
      <c r="CC178" s="330"/>
      <c r="CD178" s="330"/>
      <c r="CE178" s="330"/>
      <c r="CF178" s="330"/>
      <c r="CG178" s="330"/>
      <c r="CH178" s="330"/>
      <c r="CI178" s="330"/>
    </row>
    <row r="179" spans="1:87" x14ac:dyDescent="0.25">
      <c r="A179" s="330"/>
      <c r="B179" s="330"/>
      <c r="C179" s="330"/>
      <c r="D179" s="330"/>
      <c r="E179" s="330"/>
      <c r="F179" s="330"/>
      <c r="G179" s="330"/>
      <c r="H179" s="330"/>
      <c r="I179" s="330"/>
      <c r="J179" s="330"/>
      <c r="K179" s="330"/>
      <c r="L179" s="330"/>
      <c r="M179" s="330"/>
      <c r="N179" s="330"/>
      <c r="O179" s="330"/>
      <c r="P179" s="330"/>
      <c r="Q179" s="330"/>
      <c r="R179" s="330"/>
      <c r="S179" s="330"/>
      <c r="T179" s="330"/>
      <c r="U179" s="330"/>
      <c r="V179" s="330"/>
      <c r="W179" s="330"/>
      <c r="X179" s="330"/>
      <c r="Y179" s="330"/>
      <c r="Z179" s="330"/>
      <c r="AA179" s="330"/>
      <c r="AB179" s="330"/>
      <c r="AC179" s="330"/>
      <c r="AD179" s="330"/>
      <c r="AE179" s="330"/>
      <c r="AF179" s="330"/>
      <c r="AG179" s="330"/>
      <c r="AH179" s="330"/>
      <c r="AI179" s="330"/>
      <c r="AJ179" s="330"/>
      <c r="AK179" s="330"/>
      <c r="AL179" s="330"/>
      <c r="AM179" s="330"/>
      <c r="AN179" s="330"/>
      <c r="AO179" s="330"/>
      <c r="AP179" s="330"/>
      <c r="AQ179" s="330"/>
      <c r="AR179" s="330"/>
      <c r="AS179" s="330"/>
      <c r="AT179" s="330"/>
      <c r="AU179" s="330"/>
      <c r="AV179" s="330"/>
      <c r="AW179" s="330"/>
      <c r="AX179" s="330"/>
      <c r="AY179" s="330"/>
      <c r="AZ179" s="330"/>
      <c r="BA179" s="330"/>
      <c r="BB179" s="330"/>
      <c r="BC179" s="330"/>
      <c r="BD179" s="330"/>
      <c r="BE179" s="330"/>
      <c r="BF179" s="330"/>
      <c r="BG179" s="330"/>
      <c r="BH179" s="330"/>
      <c r="BI179" s="330"/>
      <c r="BJ179" s="330"/>
      <c r="BK179" s="330"/>
      <c r="BL179" s="330"/>
      <c r="BM179" s="330"/>
      <c r="BN179" s="330"/>
      <c r="BO179" s="330"/>
      <c r="BP179" s="330"/>
      <c r="BQ179" s="330"/>
      <c r="BR179" s="330"/>
      <c r="BS179" s="330"/>
      <c r="BT179" s="330"/>
      <c r="BU179" s="330"/>
      <c r="BV179" s="330"/>
      <c r="BW179" s="330"/>
      <c r="BX179" s="330"/>
      <c r="BY179" s="330"/>
      <c r="BZ179" s="330"/>
      <c r="CA179" s="330"/>
      <c r="CB179" s="330"/>
      <c r="CC179" s="330"/>
      <c r="CD179" s="330"/>
      <c r="CE179" s="330"/>
      <c r="CF179" s="330"/>
      <c r="CG179" s="330"/>
      <c r="CH179" s="330"/>
      <c r="CI179" s="330"/>
    </row>
    <row r="180" spans="1:87" x14ac:dyDescent="0.25">
      <c r="A180" s="330"/>
      <c r="B180" s="330"/>
      <c r="C180" s="330"/>
      <c r="D180" s="330"/>
      <c r="E180" s="330"/>
      <c r="F180" s="330"/>
      <c r="G180" s="330"/>
      <c r="H180" s="330"/>
      <c r="I180" s="330"/>
      <c r="J180" s="330"/>
      <c r="K180" s="330"/>
      <c r="L180" s="330"/>
      <c r="M180" s="330"/>
      <c r="N180" s="330"/>
      <c r="O180" s="330"/>
      <c r="P180" s="330"/>
      <c r="Q180" s="330"/>
      <c r="R180" s="330"/>
      <c r="S180" s="330"/>
      <c r="T180" s="330"/>
      <c r="U180" s="330"/>
      <c r="V180" s="330"/>
      <c r="W180" s="330"/>
      <c r="X180" s="330"/>
      <c r="Y180" s="330"/>
      <c r="Z180" s="330"/>
      <c r="AA180" s="330"/>
      <c r="AB180" s="330"/>
      <c r="AC180" s="330"/>
      <c r="AD180" s="330"/>
      <c r="AE180" s="330"/>
      <c r="AF180" s="330"/>
      <c r="AG180" s="330"/>
      <c r="AH180" s="330"/>
      <c r="AI180" s="330"/>
      <c r="AJ180" s="330"/>
      <c r="AK180" s="330"/>
      <c r="AL180" s="330"/>
      <c r="AM180" s="330"/>
      <c r="AN180" s="330"/>
      <c r="AO180" s="330"/>
      <c r="AP180" s="330"/>
      <c r="AQ180" s="330"/>
      <c r="AR180" s="330"/>
      <c r="AS180" s="330"/>
      <c r="AT180" s="330"/>
      <c r="AU180" s="330"/>
      <c r="AV180" s="330"/>
      <c r="AW180" s="330"/>
      <c r="AX180" s="330"/>
      <c r="AY180" s="330"/>
      <c r="AZ180" s="330"/>
      <c r="BA180" s="330"/>
      <c r="BB180" s="330"/>
      <c r="BC180" s="330"/>
      <c r="BD180" s="330"/>
      <c r="BE180" s="330"/>
      <c r="BF180" s="330"/>
      <c r="BG180" s="330"/>
      <c r="BH180" s="330"/>
      <c r="BI180" s="330"/>
      <c r="BJ180" s="330"/>
      <c r="BK180" s="330"/>
      <c r="BL180" s="330"/>
      <c r="BM180" s="330"/>
      <c r="BN180" s="330"/>
      <c r="BO180" s="330"/>
      <c r="BP180" s="330"/>
      <c r="BQ180" s="330"/>
      <c r="BR180" s="330"/>
      <c r="BS180" s="330"/>
      <c r="BT180" s="330"/>
      <c r="BU180" s="330"/>
      <c r="BV180" s="330"/>
      <c r="BW180" s="330"/>
      <c r="BX180" s="330"/>
      <c r="BY180" s="330"/>
      <c r="BZ180" s="330"/>
      <c r="CA180" s="330"/>
      <c r="CB180" s="330"/>
      <c r="CC180" s="330"/>
      <c r="CD180" s="330"/>
      <c r="CE180" s="330"/>
      <c r="CF180" s="330"/>
      <c r="CG180" s="330"/>
      <c r="CH180" s="330"/>
      <c r="CI180" s="330"/>
    </row>
    <row r="181" spans="1:87" x14ac:dyDescent="0.25">
      <c r="A181" s="330"/>
      <c r="B181" s="330"/>
      <c r="C181" s="330"/>
      <c r="D181" s="330"/>
      <c r="E181" s="330"/>
      <c r="F181" s="330"/>
      <c r="G181" s="330"/>
      <c r="H181" s="330"/>
      <c r="I181" s="330"/>
      <c r="J181" s="330"/>
      <c r="K181" s="330"/>
      <c r="L181" s="330"/>
      <c r="M181" s="330"/>
      <c r="N181" s="330"/>
      <c r="O181" s="330"/>
      <c r="P181" s="330"/>
      <c r="Q181" s="330"/>
      <c r="R181" s="330"/>
      <c r="S181" s="330"/>
      <c r="T181" s="330"/>
      <c r="U181" s="330"/>
      <c r="V181" s="330"/>
      <c r="W181" s="330"/>
      <c r="X181" s="330"/>
      <c r="Y181" s="330"/>
      <c r="Z181" s="330"/>
      <c r="AA181" s="330"/>
      <c r="AB181" s="330"/>
      <c r="AC181" s="330"/>
      <c r="AD181" s="330"/>
      <c r="AE181" s="330"/>
      <c r="AF181" s="330"/>
      <c r="AG181" s="330"/>
      <c r="AH181" s="330"/>
      <c r="AI181" s="330"/>
      <c r="AJ181" s="330"/>
      <c r="AK181" s="330"/>
      <c r="AL181" s="330"/>
      <c r="AM181" s="330"/>
      <c r="AN181" s="330"/>
      <c r="AO181" s="330"/>
      <c r="AP181" s="330"/>
      <c r="AQ181" s="330"/>
      <c r="AR181" s="330"/>
      <c r="AS181" s="330"/>
      <c r="AT181" s="330"/>
      <c r="AU181" s="330"/>
      <c r="AV181" s="330"/>
      <c r="AW181" s="330"/>
      <c r="AX181" s="330"/>
      <c r="AY181" s="330"/>
      <c r="AZ181" s="330"/>
      <c r="BA181" s="330"/>
      <c r="BB181" s="330"/>
      <c r="BC181" s="330"/>
      <c r="BD181" s="330"/>
      <c r="BE181" s="330"/>
      <c r="BF181" s="330"/>
      <c r="BG181" s="330"/>
      <c r="BH181" s="330"/>
      <c r="BI181" s="330"/>
      <c r="BJ181" s="330"/>
      <c r="BK181" s="330"/>
      <c r="BL181" s="330"/>
      <c r="BM181" s="330"/>
      <c r="BN181" s="330"/>
      <c r="BO181" s="330"/>
      <c r="BP181" s="330"/>
      <c r="BQ181" s="330"/>
      <c r="BR181" s="330"/>
      <c r="BS181" s="330"/>
      <c r="BT181" s="330"/>
      <c r="BU181" s="330"/>
      <c r="BV181" s="330"/>
      <c r="BW181" s="330"/>
      <c r="BX181" s="330"/>
      <c r="BY181" s="330"/>
      <c r="BZ181" s="330"/>
      <c r="CA181" s="330"/>
      <c r="CB181" s="330"/>
      <c r="CC181" s="330"/>
      <c r="CD181" s="330"/>
      <c r="CE181" s="330"/>
      <c r="CF181" s="330"/>
      <c r="CG181" s="330"/>
      <c r="CH181" s="330"/>
      <c r="CI181" s="330"/>
    </row>
    <row r="182" spans="1:87" x14ac:dyDescent="0.25">
      <c r="A182" s="330"/>
      <c r="B182" s="330"/>
      <c r="C182" s="330"/>
      <c r="D182" s="330"/>
      <c r="E182" s="330"/>
      <c r="F182" s="330"/>
      <c r="G182" s="330"/>
      <c r="H182" s="330"/>
      <c r="I182" s="330"/>
      <c r="J182" s="330"/>
      <c r="K182" s="330"/>
      <c r="L182" s="330"/>
      <c r="M182" s="330"/>
      <c r="N182" s="330"/>
      <c r="O182" s="330"/>
      <c r="P182" s="330"/>
      <c r="Q182" s="330"/>
      <c r="R182" s="330"/>
      <c r="S182" s="330"/>
      <c r="T182" s="330"/>
      <c r="U182" s="330"/>
      <c r="V182" s="330"/>
      <c r="W182" s="330"/>
      <c r="X182" s="330"/>
      <c r="Y182" s="330"/>
      <c r="Z182" s="330"/>
      <c r="AA182" s="330"/>
      <c r="AB182" s="330"/>
      <c r="AC182" s="330"/>
      <c r="AD182" s="330"/>
      <c r="AE182" s="330"/>
      <c r="AF182" s="330"/>
      <c r="AG182" s="330"/>
      <c r="AH182" s="330"/>
      <c r="AI182" s="330"/>
      <c r="AJ182" s="330"/>
      <c r="AK182" s="330"/>
      <c r="AL182" s="330"/>
      <c r="AM182" s="330"/>
      <c r="AN182" s="330"/>
      <c r="AO182" s="330"/>
      <c r="AP182" s="330"/>
      <c r="AQ182" s="330"/>
      <c r="AR182" s="330"/>
      <c r="AS182" s="330"/>
      <c r="AT182" s="330"/>
      <c r="AU182" s="330"/>
      <c r="AV182" s="330"/>
      <c r="AW182" s="330"/>
      <c r="AX182" s="330"/>
      <c r="AY182" s="330"/>
      <c r="AZ182" s="330"/>
      <c r="BA182" s="330"/>
      <c r="BB182" s="330"/>
      <c r="BC182" s="330"/>
      <c r="BD182" s="330"/>
      <c r="BE182" s="330"/>
      <c r="BF182" s="330"/>
      <c r="BG182" s="330"/>
      <c r="BH182" s="330"/>
      <c r="BI182" s="330"/>
      <c r="BJ182" s="330"/>
      <c r="BK182" s="330"/>
      <c r="BL182" s="330"/>
      <c r="BM182" s="330"/>
      <c r="BN182" s="330"/>
      <c r="BO182" s="330"/>
      <c r="BP182" s="330"/>
      <c r="BQ182" s="330"/>
      <c r="BR182" s="330"/>
      <c r="BS182" s="330"/>
      <c r="BT182" s="330"/>
      <c r="BU182" s="330"/>
      <c r="BV182" s="330"/>
      <c r="BW182" s="330"/>
      <c r="BX182" s="330"/>
      <c r="BY182" s="330"/>
      <c r="BZ182" s="330"/>
      <c r="CA182" s="330"/>
      <c r="CB182" s="330"/>
      <c r="CC182" s="330"/>
      <c r="CD182" s="330"/>
      <c r="CE182" s="330"/>
      <c r="CF182" s="330"/>
      <c r="CG182" s="330"/>
      <c r="CH182" s="330"/>
      <c r="CI182" s="330"/>
    </row>
    <row r="183" spans="1:87" x14ac:dyDescent="0.25">
      <c r="A183" s="330"/>
      <c r="B183" s="330"/>
      <c r="C183" s="330"/>
      <c r="D183" s="330"/>
      <c r="E183" s="330"/>
      <c r="F183" s="330"/>
      <c r="G183" s="330"/>
      <c r="H183" s="330"/>
      <c r="I183" s="330"/>
      <c r="J183" s="330"/>
      <c r="K183" s="330"/>
      <c r="L183" s="330"/>
      <c r="M183" s="330"/>
      <c r="N183" s="330"/>
      <c r="O183" s="330"/>
      <c r="P183" s="330"/>
      <c r="Q183" s="330"/>
      <c r="R183" s="330"/>
      <c r="S183" s="330"/>
      <c r="T183" s="330"/>
      <c r="U183" s="330"/>
      <c r="V183" s="330"/>
      <c r="W183" s="330"/>
      <c r="X183" s="330"/>
      <c r="Y183" s="330"/>
      <c r="Z183" s="330"/>
      <c r="AA183" s="330"/>
      <c r="AB183" s="330"/>
      <c r="AC183" s="330"/>
      <c r="AD183" s="330"/>
      <c r="AE183" s="330"/>
      <c r="AF183" s="330"/>
      <c r="AG183" s="330"/>
      <c r="AH183" s="330"/>
      <c r="AI183" s="330"/>
      <c r="AJ183" s="330"/>
      <c r="AK183" s="330"/>
      <c r="AL183" s="330"/>
      <c r="AM183" s="330"/>
      <c r="AN183" s="330"/>
      <c r="AO183" s="330"/>
      <c r="AP183" s="330"/>
      <c r="AQ183" s="330"/>
      <c r="AR183" s="330"/>
      <c r="AS183" s="330"/>
      <c r="AT183" s="330"/>
      <c r="AU183" s="330"/>
      <c r="AV183" s="330"/>
      <c r="AW183" s="330"/>
      <c r="AX183" s="330"/>
      <c r="AY183" s="330"/>
      <c r="AZ183" s="330"/>
      <c r="BA183" s="330"/>
      <c r="BB183" s="330"/>
      <c r="BC183" s="330"/>
      <c r="BD183" s="330"/>
      <c r="BE183" s="330"/>
      <c r="BF183" s="330"/>
      <c r="BG183" s="330"/>
      <c r="BH183" s="330"/>
      <c r="BI183" s="330"/>
      <c r="BJ183" s="330"/>
      <c r="BK183" s="330"/>
      <c r="BL183" s="330"/>
      <c r="BM183" s="330"/>
      <c r="BN183" s="330"/>
      <c r="BO183" s="330"/>
      <c r="BP183" s="330"/>
      <c r="BQ183" s="330"/>
      <c r="BR183" s="330"/>
      <c r="BS183" s="330"/>
      <c r="BT183" s="330"/>
      <c r="BU183" s="330"/>
      <c r="BV183" s="330"/>
      <c r="BW183" s="330"/>
      <c r="BX183" s="330"/>
      <c r="BY183" s="330"/>
      <c r="BZ183" s="330"/>
      <c r="CA183" s="330"/>
      <c r="CB183" s="330"/>
      <c r="CC183" s="330"/>
      <c r="CD183" s="330"/>
      <c r="CE183" s="330"/>
      <c r="CF183" s="330"/>
      <c r="CG183" s="330"/>
      <c r="CH183" s="330"/>
      <c r="CI183" s="330"/>
    </row>
    <row r="184" spans="1:87" x14ac:dyDescent="0.25">
      <c r="A184" s="330"/>
      <c r="B184" s="330"/>
      <c r="C184" s="330"/>
      <c r="D184" s="330"/>
      <c r="E184" s="330"/>
      <c r="F184" s="330"/>
      <c r="G184" s="330"/>
      <c r="H184" s="330"/>
      <c r="I184" s="330"/>
      <c r="J184" s="330"/>
      <c r="K184" s="330"/>
      <c r="L184" s="330"/>
      <c r="M184" s="330"/>
      <c r="N184" s="330"/>
      <c r="O184" s="330"/>
      <c r="P184" s="330"/>
      <c r="Q184" s="330"/>
      <c r="R184" s="330"/>
      <c r="S184" s="330"/>
      <c r="T184" s="330"/>
      <c r="U184" s="330"/>
      <c r="V184" s="330"/>
      <c r="W184" s="330"/>
      <c r="X184" s="330"/>
      <c r="Y184" s="330"/>
      <c r="Z184" s="330"/>
      <c r="AA184" s="330"/>
      <c r="AB184" s="330"/>
      <c r="AC184" s="330"/>
      <c r="AD184" s="330"/>
      <c r="AE184" s="330"/>
      <c r="AF184" s="330"/>
      <c r="AG184" s="330"/>
      <c r="AH184" s="330"/>
      <c r="AI184" s="330"/>
      <c r="AJ184" s="330"/>
      <c r="AK184" s="330"/>
      <c r="AL184" s="330"/>
      <c r="AM184" s="330"/>
      <c r="AN184" s="330"/>
      <c r="AO184" s="330"/>
      <c r="AP184" s="330"/>
      <c r="AQ184" s="330"/>
      <c r="AR184" s="330"/>
      <c r="AS184" s="330"/>
      <c r="AT184" s="330"/>
      <c r="AU184" s="330"/>
      <c r="AV184" s="330"/>
      <c r="AW184" s="330"/>
      <c r="AX184" s="330"/>
      <c r="AY184" s="330"/>
      <c r="AZ184" s="330"/>
      <c r="BA184" s="330"/>
      <c r="BB184" s="330"/>
      <c r="BC184" s="330"/>
      <c r="BD184" s="330"/>
      <c r="BE184" s="330"/>
      <c r="BF184" s="330"/>
      <c r="BG184" s="330"/>
      <c r="BH184" s="330"/>
      <c r="BI184" s="330"/>
      <c r="BJ184" s="330"/>
      <c r="BK184" s="330"/>
      <c r="BL184" s="330"/>
      <c r="BM184" s="330"/>
      <c r="BN184" s="330"/>
      <c r="BO184" s="330"/>
      <c r="BP184" s="330"/>
      <c r="BQ184" s="330"/>
      <c r="BR184" s="330"/>
      <c r="BS184" s="330"/>
      <c r="BT184" s="330"/>
      <c r="BU184" s="330"/>
      <c r="BV184" s="330"/>
      <c r="BW184" s="330"/>
      <c r="BX184" s="330"/>
      <c r="BY184" s="330"/>
      <c r="BZ184" s="330"/>
      <c r="CA184" s="330"/>
      <c r="CB184" s="330"/>
      <c r="CC184" s="330"/>
      <c r="CD184" s="330"/>
      <c r="CE184" s="330"/>
      <c r="CF184" s="330"/>
      <c r="CG184" s="330"/>
      <c r="CH184" s="330"/>
      <c r="CI184" s="330"/>
    </row>
    <row r="185" spans="1:87" x14ac:dyDescent="0.25">
      <c r="A185" s="330"/>
      <c r="B185" s="330"/>
      <c r="C185" s="330"/>
      <c r="D185" s="330"/>
      <c r="E185" s="330"/>
      <c r="F185" s="330"/>
      <c r="G185" s="330"/>
      <c r="H185" s="330"/>
      <c r="I185" s="330"/>
      <c r="J185" s="330"/>
      <c r="K185" s="330"/>
      <c r="L185" s="330"/>
      <c r="M185" s="330"/>
      <c r="N185" s="330"/>
      <c r="O185" s="330"/>
      <c r="P185" s="330"/>
      <c r="Q185" s="330"/>
      <c r="R185" s="330"/>
      <c r="S185" s="330"/>
      <c r="T185" s="330"/>
      <c r="U185" s="330"/>
      <c r="V185" s="330"/>
      <c r="W185" s="330"/>
      <c r="X185" s="330"/>
      <c r="Y185" s="330"/>
      <c r="Z185" s="330"/>
      <c r="AA185" s="330"/>
      <c r="AB185" s="330"/>
      <c r="AC185" s="330"/>
      <c r="AD185" s="330"/>
      <c r="AE185" s="330"/>
      <c r="AF185" s="330"/>
      <c r="AG185" s="330"/>
      <c r="AH185" s="330"/>
      <c r="AI185" s="330"/>
      <c r="AJ185" s="330"/>
      <c r="AK185" s="330"/>
      <c r="AL185" s="330"/>
      <c r="AM185" s="330"/>
      <c r="AN185" s="330"/>
      <c r="AO185" s="330"/>
      <c r="AP185" s="330"/>
      <c r="AQ185" s="330"/>
      <c r="AR185" s="330"/>
      <c r="AS185" s="330"/>
      <c r="AT185" s="330"/>
      <c r="AU185" s="330"/>
      <c r="AV185" s="330"/>
      <c r="AW185" s="330"/>
      <c r="AX185" s="330"/>
      <c r="AY185" s="330"/>
      <c r="AZ185" s="330"/>
      <c r="BA185" s="330"/>
      <c r="BB185" s="330"/>
      <c r="BC185" s="330"/>
      <c r="BD185" s="330"/>
      <c r="BE185" s="330"/>
      <c r="BF185" s="330"/>
      <c r="BG185" s="330"/>
      <c r="BH185" s="330"/>
      <c r="BI185" s="330"/>
      <c r="BJ185" s="330"/>
      <c r="BK185" s="330"/>
      <c r="BL185" s="330"/>
      <c r="BM185" s="330"/>
      <c r="BN185" s="330"/>
      <c r="BO185" s="330"/>
      <c r="BP185" s="330"/>
      <c r="BQ185" s="330"/>
      <c r="BR185" s="330"/>
      <c r="BS185" s="330"/>
      <c r="BT185" s="330"/>
      <c r="BU185" s="330"/>
      <c r="BV185" s="330"/>
      <c r="BW185" s="330"/>
      <c r="BX185" s="330"/>
      <c r="BY185" s="330"/>
      <c r="BZ185" s="330"/>
      <c r="CA185" s="330"/>
      <c r="CB185" s="330"/>
      <c r="CC185" s="330"/>
      <c r="CD185" s="330"/>
      <c r="CE185" s="330"/>
      <c r="CF185" s="330"/>
      <c r="CG185" s="330"/>
      <c r="CH185" s="330"/>
      <c r="CI185" s="330"/>
    </row>
    <row r="186" spans="1:87" x14ac:dyDescent="0.25">
      <c r="A186" s="330"/>
      <c r="B186" s="330"/>
      <c r="C186" s="330"/>
      <c r="D186" s="330"/>
      <c r="E186" s="330"/>
      <c r="F186" s="330"/>
      <c r="G186" s="330"/>
      <c r="H186" s="330"/>
      <c r="I186" s="330"/>
      <c r="J186" s="330"/>
      <c r="K186" s="330"/>
      <c r="L186" s="330"/>
      <c r="M186" s="330"/>
      <c r="N186" s="330"/>
      <c r="O186" s="330"/>
      <c r="P186" s="330"/>
      <c r="Q186" s="330"/>
      <c r="R186" s="330"/>
      <c r="S186" s="330"/>
      <c r="T186" s="330"/>
      <c r="U186" s="330"/>
      <c r="V186" s="330"/>
      <c r="W186" s="330"/>
      <c r="X186" s="330"/>
      <c r="Y186" s="330"/>
      <c r="Z186" s="330"/>
      <c r="AA186" s="330"/>
      <c r="AB186" s="330"/>
      <c r="AC186" s="330"/>
      <c r="AD186" s="330"/>
      <c r="AE186" s="330"/>
      <c r="AF186" s="330"/>
      <c r="AG186" s="330"/>
      <c r="AH186" s="330"/>
      <c r="AI186" s="330"/>
      <c r="AJ186" s="330"/>
      <c r="AK186" s="330"/>
      <c r="AL186" s="330"/>
      <c r="AM186" s="330"/>
      <c r="AN186" s="330"/>
      <c r="AO186" s="330"/>
      <c r="AP186" s="330"/>
      <c r="AQ186" s="330"/>
      <c r="AR186" s="330"/>
      <c r="AS186" s="330"/>
      <c r="AT186" s="330"/>
      <c r="AU186" s="330"/>
      <c r="AV186" s="330"/>
      <c r="AW186" s="330"/>
      <c r="AX186" s="330"/>
      <c r="AY186" s="330"/>
      <c r="AZ186" s="330"/>
      <c r="BA186" s="330"/>
      <c r="BB186" s="330"/>
      <c r="BC186" s="330"/>
      <c r="BD186" s="330"/>
      <c r="BE186" s="330"/>
      <c r="BF186" s="330"/>
      <c r="BG186" s="330"/>
      <c r="BH186" s="330"/>
      <c r="BI186" s="330"/>
      <c r="BJ186" s="330"/>
      <c r="BK186" s="330"/>
      <c r="BL186" s="330"/>
      <c r="BM186" s="330"/>
      <c r="BN186" s="330"/>
      <c r="BO186" s="330"/>
      <c r="BP186" s="330"/>
      <c r="BQ186" s="330"/>
      <c r="BR186" s="330"/>
      <c r="BS186" s="330"/>
      <c r="BT186" s="330"/>
      <c r="BU186" s="330"/>
      <c r="BV186" s="330"/>
      <c r="BW186" s="330"/>
      <c r="BX186" s="330"/>
      <c r="BY186" s="330"/>
      <c r="BZ186" s="330"/>
      <c r="CA186" s="330"/>
      <c r="CB186" s="330"/>
      <c r="CC186" s="330"/>
      <c r="CD186" s="330"/>
      <c r="CE186" s="330"/>
      <c r="CF186" s="330"/>
      <c r="CG186" s="330"/>
      <c r="CH186" s="330"/>
      <c r="CI186" s="330"/>
    </row>
    <row r="187" spans="1:87" x14ac:dyDescent="0.25">
      <c r="A187" s="330"/>
      <c r="B187" s="330"/>
      <c r="C187" s="330"/>
      <c r="D187" s="330"/>
      <c r="E187" s="330"/>
      <c r="F187" s="330"/>
      <c r="G187" s="330"/>
      <c r="H187" s="330"/>
      <c r="I187" s="330"/>
      <c r="J187" s="330"/>
      <c r="K187" s="330"/>
      <c r="L187" s="330"/>
      <c r="M187" s="330"/>
      <c r="N187" s="330"/>
      <c r="O187" s="330"/>
      <c r="P187" s="330"/>
      <c r="Q187" s="330"/>
      <c r="R187" s="330"/>
      <c r="S187" s="330"/>
      <c r="T187" s="330"/>
      <c r="U187" s="330"/>
      <c r="V187" s="330"/>
      <c r="W187" s="330"/>
      <c r="X187" s="330"/>
      <c r="Y187" s="330"/>
      <c r="Z187" s="330"/>
      <c r="AA187" s="330"/>
      <c r="AB187" s="330"/>
      <c r="AC187" s="330"/>
      <c r="AD187" s="330"/>
      <c r="AE187" s="330"/>
      <c r="AF187" s="330"/>
      <c r="AG187" s="330"/>
      <c r="AH187" s="330"/>
      <c r="AI187" s="330"/>
      <c r="AJ187" s="330"/>
      <c r="AK187" s="330"/>
      <c r="AL187" s="330"/>
      <c r="AM187" s="330"/>
      <c r="AN187" s="330"/>
      <c r="AO187" s="330"/>
      <c r="AP187" s="330"/>
      <c r="AQ187" s="330"/>
      <c r="AR187" s="330"/>
      <c r="AS187" s="330"/>
      <c r="AT187" s="330"/>
      <c r="AU187" s="330"/>
      <c r="AV187" s="330"/>
      <c r="AW187" s="330"/>
      <c r="AX187" s="330"/>
      <c r="AY187" s="330"/>
      <c r="AZ187" s="330"/>
      <c r="BA187" s="330"/>
      <c r="BB187" s="330"/>
      <c r="BC187" s="330"/>
      <c r="BD187" s="330"/>
      <c r="BE187" s="330"/>
      <c r="BF187" s="330"/>
      <c r="BG187" s="330"/>
      <c r="BH187" s="330"/>
      <c r="BI187" s="330"/>
      <c r="BJ187" s="330"/>
      <c r="BK187" s="330"/>
      <c r="BL187" s="330"/>
      <c r="BM187" s="330"/>
      <c r="BN187" s="330"/>
      <c r="BO187" s="330"/>
      <c r="BP187" s="330"/>
      <c r="BQ187" s="330"/>
      <c r="BR187" s="330"/>
      <c r="BS187" s="330"/>
      <c r="BT187" s="330"/>
      <c r="BU187" s="330"/>
      <c r="BV187" s="330"/>
      <c r="BW187" s="330"/>
      <c r="BX187" s="330"/>
      <c r="BY187" s="330"/>
      <c r="BZ187" s="330"/>
      <c r="CA187" s="330"/>
      <c r="CB187" s="330"/>
      <c r="CC187" s="330"/>
      <c r="CD187" s="330"/>
      <c r="CE187" s="330"/>
      <c r="CF187" s="330"/>
      <c r="CG187" s="330"/>
      <c r="CH187" s="330"/>
      <c r="CI187" s="330"/>
    </row>
    <row r="188" spans="1:87" x14ac:dyDescent="0.25">
      <c r="A188" s="330"/>
      <c r="B188" s="330"/>
      <c r="C188" s="330"/>
      <c r="D188" s="330"/>
      <c r="E188" s="330"/>
      <c r="F188" s="330"/>
      <c r="G188" s="330"/>
      <c r="H188" s="330"/>
      <c r="I188" s="330"/>
      <c r="J188" s="330"/>
      <c r="K188" s="330"/>
      <c r="L188" s="330"/>
      <c r="M188" s="330"/>
      <c r="N188" s="330"/>
      <c r="O188" s="330"/>
      <c r="P188" s="330"/>
      <c r="Q188" s="330"/>
      <c r="R188" s="330"/>
      <c r="S188" s="330"/>
      <c r="T188" s="330"/>
      <c r="U188" s="330"/>
      <c r="V188" s="330"/>
      <c r="W188" s="330"/>
      <c r="X188" s="330"/>
      <c r="Y188" s="330"/>
      <c r="Z188" s="330"/>
      <c r="AA188" s="330"/>
      <c r="AB188" s="330"/>
      <c r="AC188" s="330"/>
      <c r="AD188" s="330"/>
      <c r="AE188" s="330"/>
      <c r="AF188" s="330"/>
      <c r="AG188" s="330"/>
      <c r="AH188" s="330"/>
      <c r="AI188" s="330"/>
      <c r="AJ188" s="330"/>
      <c r="AK188" s="330"/>
      <c r="AL188" s="330"/>
      <c r="AM188" s="330"/>
      <c r="AN188" s="330"/>
      <c r="AO188" s="330"/>
      <c r="AP188" s="330"/>
      <c r="AQ188" s="330"/>
      <c r="AR188" s="330"/>
      <c r="AS188" s="330"/>
      <c r="AT188" s="330"/>
      <c r="AU188" s="330"/>
      <c r="AV188" s="330"/>
      <c r="AW188" s="330"/>
      <c r="AX188" s="330"/>
      <c r="AY188" s="330"/>
      <c r="AZ188" s="330"/>
      <c r="BA188" s="330"/>
      <c r="BB188" s="330"/>
      <c r="BC188" s="330"/>
      <c r="BD188" s="330"/>
      <c r="BE188" s="330"/>
      <c r="BF188" s="330"/>
      <c r="BG188" s="330"/>
      <c r="BH188" s="330"/>
      <c r="BI188" s="330"/>
      <c r="BJ188" s="330"/>
      <c r="BK188" s="330"/>
      <c r="BL188" s="330"/>
      <c r="BM188" s="330"/>
      <c r="BN188" s="330"/>
      <c r="BO188" s="330"/>
      <c r="BP188" s="330"/>
      <c r="BQ188" s="330"/>
      <c r="BR188" s="330"/>
      <c r="BS188" s="330"/>
      <c r="BT188" s="330"/>
      <c r="BU188" s="330"/>
      <c r="BV188" s="330"/>
      <c r="BW188" s="330"/>
      <c r="BX188" s="330"/>
      <c r="BY188" s="330"/>
      <c r="BZ188" s="330"/>
      <c r="CA188" s="330"/>
      <c r="CB188" s="330"/>
      <c r="CC188" s="330"/>
      <c r="CD188" s="330"/>
      <c r="CE188" s="330"/>
      <c r="CF188" s="330"/>
      <c r="CG188" s="330"/>
      <c r="CH188" s="330"/>
      <c r="CI188" s="330"/>
    </row>
    <row r="189" spans="1:87" x14ac:dyDescent="0.25">
      <c r="A189" s="330"/>
      <c r="B189" s="330"/>
      <c r="C189" s="330"/>
      <c r="D189" s="330"/>
      <c r="E189" s="330"/>
      <c r="F189" s="330"/>
      <c r="G189" s="330"/>
      <c r="H189" s="330"/>
      <c r="I189" s="330"/>
      <c r="J189" s="330"/>
      <c r="K189" s="330"/>
      <c r="L189" s="330"/>
      <c r="M189" s="330"/>
      <c r="N189" s="330"/>
      <c r="O189" s="330"/>
      <c r="P189" s="330"/>
      <c r="Q189" s="330"/>
      <c r="R189" s="330"/>
      <c r="S189" s="330"/>
      <c r="T189" s="330"/>
      <c r="U189" s="330"/>
      <c r="V189" s="330"/>
      <c r="W189" s="330"/>
      <c r="X189" s="330"/>
      <c r="Y189" s="330"/>
      <c r="Z189" s="330"/>
      <c r="AA189" s="330"/>
      <c r="AB189" s="330"/>
      <c r="AC189" s="330"/>
      <c r="AD189" s="330"/>
      <c r="AE189" s="330"/>
      <c r="AF189" s="330"/>
      <c r="AG189" s="330"/>
      <c r="AH189" s="330"/>
      <c r="AI189" s="330"/>
      <c r="AJ189" s="330"/>
      <c r="AK189" s="330"/>
      <c r="AL189" s="330"/>
      <c r="AM189" s="330"/>
      <c r="AN189" s="330"/>
      <c r="AO189" s="330"/>
      <c r="AP189" s="330"/>
      <c r="AQ189" s="330"/>
      <c r="AR189" s="330"/>
      <c r="AS189" s="330"/>
      <c r="AT189" s="330"/>
      <c r="AU189" s="330"/>
      <c r="AV189" s="330"/>
      <c r="AW189" s="330"/>
      <c r="AX189" s="330"/>
      <c r="AY189" s="330"/>
      <c r="AZ189" s="330"/>
      <c r="BA189" s="330"/>
      <c r="BB189" s="330"/>
      <c r="BC189" s="330"/>
      <c r="BD189" s="330"/>
      <c r="BE189" s="330"/>
      <c r="BF189" s="330"/>
      <c r="BG189" s="330"/>
      <c r="BH189" s="330"/>
      <c r="BI189" s="330"/>
      <c r="BJ189" s="330"/>
      <c r="BK189" s="330"/>
      <c r="BL189" s="330"/>
      <c r="BM189" s="330"/>
      <c r="BN189" s="330"/>
      <c r="BO189" s="330"/>
      <c r="BP189" s="330"/>
      <c r="BQ189" s="330"/>
      <c r="BR189" s="330"/>
      <c r="BS189" s="330"/>
      <c r="BT189" s="330"/>
      <c r="BU189" s="330"/>
      <c r="BV189" s="330"/>
      <c r="BW189" s="330"/>
      <c r="BX189" s="330"/>
      <c r="BY189" s="330"/>
      <c r="BZ189" s="330"/>
      <c r="CA189" s="330"/>
      <c r="CB189" s="330"/>
      <c r="CC189" s="330"/>
      <c r="CD189" s="330"/>
      <c r="CE189" s="330"/>
      <c r="CF189" s="330"/>
      <c r="CG189" s="330"/>
      <c r="CH189" s="330"/>
      <c r="CI189" s="330"/>
    </row>
    <row r="190" spans="1:87" x14ac:dyDescent="0.25">
      <c r="A190" s="330"/>
      <c r="B190" s="330"/>
      <c r="C190" s="330"/>
      <c r="D190" s="330"/>
      <c r="E190" s="330"/>
      <c r="F190" s="330"/>
      <c r="G190" s="330"/>
      <c r="H190" s="330"/>
      <c r="I190" s="330"/>
      <c r="J190" s="330"/>
      <c r="K190" s="330"/>
      <c r="L190" s="330"/>
      <c r="M190" s="330"/>
      <c r="N190" s="330"/>
      <c r="O190" s="330"/>
      <c r="P190" s="330"/>
      <c r="Q190" s="330"/>
      <c r="R190" s="330"/>
      <c r="S190" s="330"/>
      <c r="T190" s="330"/>
      <c r="U190" s="330"/>
      <c r="V190" s="330"/>
      <c r="W190" s="330"/>
      <c r="X190" s="330"/>
      <c r="Y190" s="330"/>
      <c r="Z190" s="330"/>
      <c r="AA190" s="330"/>
      <c r="AB190" s="330"/>
      <c r="AC190" s="330"/>
      <c r="AD190" s="330"/>
      <c r="AE190" s="330"/>
      <c r="AF190" s="330"/>
      <c r="AG190" s="330"/>
      <c r="AH190" s="330"/>
      <c r="AI190" s="330"/>
      <c r="AJ190" s="330"/>
      <c r="AK190" s="330"/>
      <c r="AL190" s="330"/>
      <c r="AM190" s="330"/>
      <c r="AN190" s="330"/>
      <c r="AO190" s="330"/>
      <c r="AP190" s="330"/>
      <c r="AQ190" s="330"/>
      <c r="AR190" s="330"/>
      <c r="AS190" s="330"/>
      <c r="AT190" s="330"/>
      <c r="AU190" s="330"/>
      <c r="AV190" s="330"/>
      <c r="AW190" s="330"/>
      <c r="AX190" s="330"/>
      <c r="AY190" s="330"/>
      <c r="AZ190" s="330"/>
      <c r="BA190" s="330"/>
      <c r="BB190" s="330"/>
      <c r="BC190" s="330"/>
      <c r="BD190" s="330"/>
      <c r="BE190" s="330"/>
      <c r="BF190" s="330"/>
      <c r="BG190" s="330"/>
      <c r="BH190" s="330"/>
      <c r="BI190" s="330"/>
      <c r="BJ190" s="330"/>
      <c r="BK190" s="330"/>
      <c r="BL190" s="330"/>
      <c r="BM190" s="330"/>
      <c r="BN190" s="330"/>
      <c r="BO190" s="330"/>
      <c r="BP190" s="330"/>
      <c r="BQ190" s="330"/>
      <c r="BR190" s="330"/>
      <c r="BS190" s="330"/>
      <c r="BT190" s="330"/>
      <c r="BU190" s="330"/>
      <c r="BV190" s="330"/>
      <c r="BW190" s="330"/>
      <c r="BX190" s="330"/>
      <c r="BY190" s="330"/>
      <c r="BZ190" s="330"/>
      <c r="CA190" s="330"/>
      <c r="CB190" s="330"/>
      <c r="CC190" s="330"/>
      <c r="CD190" s="330"/>
      <c r="CE190" s="330"/>
      <c r="CF190" s="330"/>
      <c r="CG190" s="330"/>
      <c r="CH190" s="330"/>
      <c r="CI190" s="330"/>
    </row>
    <row r="191" spans="1:87" x14ac:dyDescent="0.25">
      <c r="A191" s="330"/>
      <c r="B191" s="330"/>
      <c r="C191" s="330"/>
      <c r="D191" s="330"/>
      <c r="E191" s="330"/>
      <c r="F191" s="330"/>
      <c r="G191" s="330"/>
      <c r="H191" s="330"/>
      <c r="I191" s="330"/>
      <c r="J191" s="330"/>
      <c r="K191" s="330"/>
      <c r="L191" s="330"/>
      <c r="M191" s="330"/>
      <c r="N191" s="330"/>
      <c r="O191" s="330"/>
      <c r="P191" s="330"/>
      <c r="Q191" s="330"/>
      <c r="R191" s="330"/>
      <c r="S191" s="330"/>
      <c r="T191" s="330"/>
      <c r="U191" s="330"/>
      <c r="V191" s="330"/>
      <c r="W191" s="330"/>
      <c r="X191" s="330"/>
      <c r="Y191" s="330"/>
      <c r="Z191" s="330"/>
      <c r="AA191" s="330"/>
      <c r="AB191" s="330"/>
      <c r="AC191" s="330"/>
      <c r="AD191" s="330"/>
      <c r="AE191" s="330"/>
      <c r="AF191" s="330"/>
      <c r="AG191" s="330"/>
      <c r="AH191" s="330"/>
      <c r="AI191" s="330"/>
      <c r="AJ191" s="330"/>
      <c r="AK191" s="330"/>
      <c r="AL191" s="330"/>
      <c r="AM191" s="330"/>
      <c r="AN191" s="330"/>
      <c r="AO191" s="330"/>
      <c r="AP191" s="330"/>
      <c r="AQ191" s="330"/>
      <c r="AR191" s="330"/>
      <c r="AS191" s="330"/>
      <c r="AT191" s="330"/>
      <c r="AU191" s="330"/>
      <c r="AV191" s="330"/>
      <c r="AW191" s="330"/>
      <c r="AX191" s="330"/>
      <c r="AY191" s="330"/>
      <c r="AZ191" s="330"/>
      <c r="BA191" s="330"/>
      <c r="BB191" s="330"/>
      <c r="BC191" s="330"/>
      <c r="BD191" s="330"/>
      <c r="BE191" s="330"/>
      <c r="BF191" s="330"/>
      <c r="BG191" s="330"/>
      <c r="BH191" s="330"/>
      <c r="BI191" s="330"/>
      <c r="BJ191" s="330"/>
      <c r="BK191" s="330"/>
      <c r="BL191" s="330"/>
      <c r="BM191" s="330"/>
      <c r="BN191" s="330"/>
      <c r="BO191" s="330"/>
      <c r="BP191" s="330"/>
      <c r="BQ191" s="330"/>
      <c r="BR191" s="330"/>
      <c r="BS191" s="330"/>
      <c r="BT191" s="330"/>
      <c r="BU191" s="330"/>
      <c r="BV191" s="330"/>
      <c r="BW191" s="330"/>
      <c r="BX191" s="330"/>
      <c r="BY191" s="330"/>
      <c r="BZ191" s="330"/>
      <c r="CA191" s="330"/>
      <c r="CB191" s="330"/>
      <c r="CC191" s="330"/>
      <c r="CD191" s="330"/>
      <c r="CE191" s="330"/>
      <c r="CF191" s="330"/>
      <c r="CG191" s="330"/>
      <c r="CH191" s="330"/>
      <c r="CI191" s="330"/>
    </row>
    <row r="192" spans="1:87" x14ac:dyDescent="0.25">
      <c r="A192" s="330"/>
      <c r="B192" s="330"/>
      <c r="C192" s="330"/>
      <c r="D192" s="330"/>
      <c r="E192" s="330"/>
      <c r="F192" s="330"/>
      <c r="G192" s="330"/>
      <c r="H192" s="330"/>
      <c r="I192" s="330"/>
      <c r="J192" s="330"/>
      <c r="K192" s="330"/>
      <c r="L192" s="330"/>
      <c r="M192" s="330"/>
      <c r="N192" s="330"/>
      <c r="O192" s="330"/>
      <c r="P192" s="330"/>
      <c r="Q192" s="330"/>
      <c r="R192" s="330"/>
      <c r="S192" s="330"/>
      <c r="T192" s="330"/>
      <c r="U192" s="330"/>
      <c r="V192" s="330"/>
      <c r="W192" s="330"/>
      <c r="X192" s="330"/>
      <c r="Y192" s="330"/>
      <c r="Z192" s="330"/>
      <c r="AA192" s="330"/>
      <c r="AB192" s="330"/>
      <c r="AC192" s="330"/>
      <c r="AD192" s="330"/>
      <c r="AE192" s="330"/>
      <c r="AF192" s="330"/>
      <c r="AG192" s="330"/>
      <c r="AH192" s="330"/>
      <c r="AI192" s="330"/>
      <c r="AJ192" s="330"/>
      <c r="AK192" s="330"/>
      <c r="AL192" s="330"/>
      <c r="AM192" s="330"/>
      <c r="AN192" s="330"/>
      <c r="AO192" s="330"/>
      <c r="AP192" s="330"/>
      <c r="AQ192" s="330"/>
      <c r="AR192" s="330"/>
      <c r="AS192" s="330"/>
      <c r="AT192" s="330"/>
      <c r="AU192" s="330"/>
      <c r="AV192" s="330"/>
      <c r="AW192" s="330"/>
      <c r="AX192" s="330"/>
      <c r="AY192" s="330"/>
      <c r="AZ192" s="330"/>
      <c r="BA192" s="330"/>
      <c r="BB192" s="330"/>
      <c r="BC192" s="330"/>
      <c r="BD192" s="330"/>
      <c r="BE192" s="330"/>
      <c r="BF192" s="330"/>
      <c r="BG192" s="330"/>
      <c r="BH192" s="330"/>
      <c r="BI192" s="330"/>
      <c r="BJ192" s="330"/>
      <c r="BK192" s="330"/>
      <c r="BL192" s="330"/>
      <c r="BM192" s="330"/>
      <c r="BN192" s="330"/>
      <c r="BO192" s="330"/>
      <c r="BP192" s="330"/>
      <c r="BQ192" s="330"/>
      <c r="BR192" s="330"/>
      <c r="BS192" s="330"/>
      <c r="BT192" s="330"/>
      <c r="BU192" s="330"/>
      <c r="BV192" s="330"/>
      <c r="BW192" s="330"/>
      <c r="BX192" s="330"/>
      <c r="BY192" s="330"/>
      <c r="BZ192" s="330"/>
      <c r="CA192" s="330"/>
      <c r="CB192" s="330"/>
      <c r="CC192" s="330"/>
      <c r="CD192" s="330"/>
      <c r="CE192" s="330"/>
      <c r="CF192" s="330"/>
      <c r="CG192" s="330"/>
      <c r="CH192" s="330"/>
      <c r="CI192" s="330"/>
    </row>
    <row r="193" spans="1:87" x14ac:dyDescent="0.25">
      <c r="A193" s="330"/>
      <c r="B193" s="330"/>
      <c r="C193" s="330"/>
      <c r="D193" s="330"/>
      <c r="E193" s="330"/>
      <c r="F193" s="330"/>
      <c r="G193" s="330"/>
      <c r="H193" s="330"/>
      <c r="I193" s="330"/>
      <c r="J193" s="330"/>
      <c r="K193" s="330"/>
      <c r="L193" s="330"/>
      <c r="M193" s="330"/>
      <c r="N193" s="330"/>
      <c r="O193" s="330"/>
      <c r="P193" s="330"/>
      <c r="Q193" s="330"/>
      <c r="R193" s="330"/>
      <c r="S193" s="330"/>
      <c r="T193" s="330"/>
      <c r="U193" s="330"/>
      <c r="V193" s="330"/>
      <c r="W193" s="330"/>
      <c r="X193" s="330"/>
      <c r="Y193" s="330"/>
      <c r="Z193" s="330"/>
      <c r="AA193" s="330"/>
      <c r="AB193" s="330"/>
      <c r="AC193" s="330"/>
      <c r="AD193" s="330"/>
      <c r="AE193" s="330"/>
      <c r="AF193" s="330"/>
      <c r="AG193" s="330"/>
      <c r="AH193" s="330"/>
      <c r="AI193" s="330"/>
      <c r="AJ193" s="330"/>
      <c r="AK193" s="330"/>
      <c r="AL193" s="330"/>
      <c r="AM193" s="330"/>
      <c r="AN193" s="330"/>
      <c r="AO193" s="330"/>
      <c r="AP193" s="330"/>
      <c r="AQ193" s="330"/>
      <c r="AR193" s="330"/>
      <c r="AS193" s="330"/>
      <c r="AT193" s="330"/>
      <c r="AU193" s="330"/>
      <c r="AV193" s="330"/>
      <c r="AW193" s="330"/>
      <c r="AX193" s="330"/>
      <c r="AY193" s="330"/>
      <c r="AZ193" s="330"/>
      <c r="BA193" s="330"/>
      <c r="BB193" s="330"/>
      <c r="BC193" s="330"/>
      <c r="BD193" s="330"/>
      <c r="BE193" s="330"/>
      <c r="BF193" s="330"/>
      <c r="BG193" s="330"/>
      <c r="BH193" s="330"/>
      <c r="BI193" s="330"/>
      <c r="BJ193" s="330"/>
      <c r="BK193" s="330"/>
      <c r="BL193" s="330"/>
      <c r="BM193" s="330"/>
      <c r="BN193" s="330"/>
      <c r="BO193" s="330"/>
      <c r="BP193" s="330"/>
      <c r="BQ193" s="330"/>
      <c r="BR193" s="330"/>
      <c r="BS193" s="330"/>
      <c r="BT193" s="330"/>
      <c r="BU193" s="330"/>
      <c r="BV193" s="330"/>
      <c r="BW193" s="330"/>
      <c r="BX193" s="330"/>
      <c r="BY193" s="330"/>
      <c r="BZ193" s="330"/>
      <c r="CA193" s="330"/>
      <c r="CB193" s="330"/>
      <c r="CC193" s="330"/>
      <c r="CD193" s="330"/>
      <c r="CE193" s="330"/>
      <c r="CF193" s="330"/>
      <c r="CG193" s="330"/>
      <c r="CH193" s="330"/>
      <c r="CI193" s="330"/>
    </row>
    <row r="194" spans="1:87" x14ac:dyDescent="0.25">
      <c r="A194" s="330"/>
      <c r="B194" s="330"/>
      <c r="C194" s="330"/>
      <c r="D194" s="330"/>
      <c r="E194" s="330"/>
      <c r="F194" s="330"/>
      <c r="G194" s="330"/>
      <c r="H194" s="330"/>
      <c r="I194" s="330"/>
      <c r="J194" s="330"/>
      <c r="K194" s="330"/>
      <c r="L194" s="330"/>
      <c r="M194" s="330"/>
      <c r="N194" s="330"/>
      <c r="O194" s="330"/>
      <c r="P194" s="330"/>
      <c r="Q194" s="330"/>
      <c r="R194" s="330"/>
      <c r="S194" s="330"/>
      <c r="T194" s="330"/>
      <c r="U194" s="330"/>
      <c r="V194" s="330"/>
      <c r="W194" s="330"/>
      <c r="X194" s="330"/>
      <c r="Y194" s="330"/>
      <c r="Z194" s="330"/>
      <c r="AA194" s="330"/>
      <c r="AB194" s="330"/>
      <c r="AC194" s="330"/>
      <c r="AD194" s="330"/>
      <c r="AE194" s="330"/>
      <c r="AF194" s="330"/>
      <c r="AG194" s="330"/>
      <c r="AH194" s="330"/>
      <c r="AI194" s="330"/>
      <c r="AJ194" s="330"/>
      <c r="AK194" s="330"/>
      <c r="AL194" s="330"/>
      <c r="AM194" s="330"/>
      <c r="AN194" s="330"/>
      <c r="AO194" s="330"/>
      <c r="AP194" s="330"/>
      <c r="AQ194" s="330"/>
      <c r="AR194" s="330"/>
      <c r="AS194" s="330"/>
      <c r="AT194" s="330"/>
      <c r="AU194" s="330"/>
      <c r="AV194" s="330"/>
      <c r="AW194" s="330"/>
      <c r="AX194" s="330"/>
      <c r="AY194" s="330"/>
      <c r="AZ194" s="330"/>
      <c r="BA194" s="330"/>
      <c r="BB194" s="330"/>
      <c r="BC194" s="330"/>
      <c r="BD194" s="330"/>
      <c r="BE194" s="330"/>
      <c r="BF194" s="330"/>
      <c r="BG194" s="330"/>
      <c r="BH194" s="330"/>
      <c r="BI194" s="330"/>
      <c r="BJ194" s="330"/>
      <c r="BK194" s="330"/>
      <c r="BL194" s="330"/>
      <c r="BM194" s="330"/>
      <c r="BN194" s="330"/>
      <c r="BO194" s="330"/>
      <c r="BP194" s="330"/>
      <c r="BQ194" s="330"/>
      <c r="BR194" s="330"/>
      <c r="BS194" s="330"/>
      <c r="BT194" s="330"/>
      <c r="BU194" s="330"/>
      <c r="BV194" s="330"/>
      <c r="BW194" s="330"/>
      <c r="BX194" s="330"/>
      <c r="BY194" s="330"/>
      <c r="BZ194" s="330"/>
      <c r="CA194" s="330"/>
      <c r="CB194" s="330"/>
      <c r="CC194" s="330"/>
      <c r="CD194" s="330"/>
      <c r="CE194" s="330"/>
      <c r="CF194" s="330"/>
      <c r="CG194" s="330"/>
      <c r="CH194" s="330"/>
      <c r="CI194" s="330"/>
    </row>
    <row r="195" spans="1:87" x14ac:dyDescent="0.25">
      <c r="A195" s="330"/>
      <c r="B195" s="330"/>
      <c r="C195" s="330"/>
      <c r="D195" s="330"/>
      <c r="E195" s="330"/>
      <c r="F195" s="330"/>
      <c r="G195" s="330"/>
      <c r="H195" s="330"/>
      <c r="I195" s="330"/>
      <c r="J195" s="330"/>
      <c r="K195" s="330"/>
      <c r="L195" s="330"/>
      <c r="M195" s="330"/>
      <c r="N195" s="330"/>
      <c r="O195" s="330"/>
      <c r="P195" s="330"/>
      <c r="Q195" s="330"/>
      <c r="R195" s="330"/>
      <c r="S195" s="330"/>
      <c r="T195" s="330"/>
      <c r="U195" s="330"/>
      <c r="V195" s="330"/>
      <c r="W195" s="330"/>
      <c r="X195" s="330"/>
      <c r="Y195" s="330"/>
      <c r="Z195" s="330"/>
      <c r="AA195" s="330"/>
      <c r="AB195" s="330"/>
      <c r="AC195" s="330"/>
      <c r="AD195" s="330"/>
      <c r="AE195" s="330"/>
      <c r="AF195" s="330"/>
      <c r="AG195" s="330"/>
      <c r="AH195" s="330"/>
      <c r="AI195" s="330"/>
      <c r="AJ195" s="330"/>
      <c r="AK195" s="330"/>
      <c r="AL195" s="330"/>
      <c r="AM195" s="330"/>
      <c r="AN195" s="330"/>
      <c r="AO195" s="330"/>
      <c r="AP195" s="330"/>
      <c r="AQ195" s="330"/>
      <c r="AR195" s="330"/>
      <c r="AS195" s="330"/>
      <c r="AT195" s="330"/>
      <c r="AU195" s="330"/>
      <c r="AV195" s="330"/>
      <c r="AW195" s="330"/>
      <c r="AX195" s="330"/>
      <c r="AY195" s="330"/>
      <c r="AZ195" s="330"/>
      <c r="BA195" s="330"/>
      <c r="BB195" s="330"/>
      <c r="BC195" s="330"/>
      <c r="BD195" s="330"/>
      <c r="BE195" s="330"/>
      <c r="BF195" s="330"/>
      <c r="BG195" s="330"/>
      <c r="BH195" s="330"/>
      <c r="BI195" s="330"/>
      <c r="BJ195" s="330"/>
      <c r="BK195" s="330"/>
      <c r="BL195" s="330"/>
      <c r="BM195" s="330"/>
      <c r="BN195" s="330"/>
      <c r="BO195" s="330"/>
      <c r="BP195" s="330"/>
      <c r="BQ195" s="330"/>
      <c r="BR195" s="330"/>
      <c r="BS195" s="330"/>
      <c r="BT195" s="330"/>
      <c r="BU195" s="330"/>
      <c r="BV195" s="330"/>
      <c r="BW195" s="330"/>
      <c r="BX195" s="330"/>
      <c r="BY195" s="330"/>
      <c r="BZ195" s="330"/>
      <c r="CA195" s="330"/>
      <c r="CB195" s="330"/>
      <c r="CC195" s="330"/>
      <c r="CD195" s="330"/>
      <c r="CE195" s="330"/>
      <c r="CF195" s="330"/>
      <c r="CG195" s="330"/>
      <c r="CH195" s="330"/>
      <c r="CI195" s="330"/>
    </row>
    <row r="196" spans="1:87" x14ac:dyDescent="0.25">
      <c r="A196" s="330"/>
      <c r="B196" s="330"/>
      <c r="C196" s="330"/>
      <c r="D196" s="330"/>
      <c r="E196" s="330"/>
      <c r="F196" s="330"/>
      <c r="G196" s="330"/>
      <c r="H196" s="330"/>
      <c r="I196" s="330"/>
      <c r="J196" s="330"/>
      <c r="K196" s="330"/>
      <c r="L196" s="330"/>
      <c r="M196" s="330"/>
      <c r="N196" s="330"/>
      <c r="O196" s="330"/>
      <c r="P196" s="330"/>
      <c r="Q196" s="330"/>
      <c r="R196" s="330"/>
      <c r="S196" s="330"/>
      <c r="T196" s="330"/>
      <c r="U196" s="330"/>
      <c r="V196" s="330"/>
      <c r="W196" s="330"/>
      <c r="X196" s="330"/>
      <c r="Y196" s="330"/>
      <c r="Z196" s="330"/>
      <c r="AA196" s="330"/>
      <c r="AB196" s="330"/>
      <c r="AC196" s="330"/>
      <c r="AD196" s="330"/>
      <c r="AE196" s="330"/>
      <c r="AF196" s="330"/>
      <c r="AG196" s="330"/>
      <c r="AH196" s="330"/>
      <c r="AI196" s="330"/>
      <c r="AJ196" s="330"/>
      <c r="AK196" s="330"/>
      <c r="AL196" s="330"/>
      <c r="AM196" s="330"/>
      <c r="AN196" s="330"/>
      <c r="AO196" s="330"/>
      <c r="AP196" s="330"/>
      <c r="AQ196" s="330"/>
      <c r="AR196" s="330"/>
      <c r="AS196" s="330"/>
      <c r="AT196" s="330"/>
      <c r="AU196" s="330"/>
      <c r="AV196" s="330"/>
      <c r="AW196" s="330"/>
      <c r="AX196" s="330"/>
      <c r="AY196" s="330"/>
      <c r="AZ196" s="330"/>
      <c r="BA196" s="330"/>
      <c r="BB196" s="330"/>
      <c r="BC196" s="330"/>
      <c r="BD196" s="330"/>
      <c r="BE196" s="330"/>
      <c r="BF196" s="330"/>
      <c r="BG196" s="330"/>
      <c r="BH196" s="330"/>
      <c r="BI196" s="330"/>
      <c r="BJ196" s="330"/>
      <c r="BK196" s="330"/>
      <c r="BL196" s="330"/>
      <c r="BM196" s="330"/>
      <c r="BN196" s="330"/>
      <c r="BO196" s="330"/>
      <c r="BP196" s="330"/>
      <c r="BQ196" s="330"/>
      <c r="BR196" s="330"/>
      <c r="BS196" s="330"/>
      <c r="BT196" s="330"/>
      <c r="BU196" s="330"/>
      <c r="BV196" s="330"/>
      <c r="BW196" s="330"/>
      <c r="BX196" s="330"/>
      <c r="BY196" s="330"/>
      <c r="BZ196" s="330"/>
      <c r="CA196" s="330"/>
      <c r="CB196" s="330"/>
      <c r="CC196" s="330"/>
      <c r="CD196" s="330"/>
      <c r="CE196" s="330"/>
      <c r="CF196" s="330"/>
      <c r="CG196" s="330"/>
      <c r="CH196" s="330"/>
      <c r="CI196" s="330"/>
    </row>
    <row r="197" spans="1:87" x14ac:dyDescent="0.25">
      <c r="A197" s="330"/>
      <c r="B197" s="330"/>
      <c r="C197" s="330"/>
      <c r="D197" s="330"/>
      <c r="E197" s="330"/>
      <c r="F197" s="330"/>
      <c r="G197" s="330"/>
      <c r="H197" s="330"/>
      <c r="I197" s="330"/>
      <c r="J197" s="330"/>
      <c r="K197" s="330"/>
      <c r="L197" s="330"/>
      <c r="M197" s="330"/>
      <c r="N197" s="330"/>
      <c r="O197" s="330"/>
      <c r="P197" s="330"/>
      <c r="Q197" s="330"/>
      <c r="R197" s="330"/>
      <c r="S197" s="330"/>
      <c r="T197" s="330"/>
      <c r="U197" s="330"/>
      <c r="V197" s="330"/>
      <c r="W197" s="330"/>
      <c r="X197" s="330"/>
      <c r="Y197" s="330"/>
      <c r="Z197" s="330"/>
      <c r="AA197" s="330"/>
      <c r="AB197" s="330"/>
      <c r="AC197" s="330"/>
      <c r="AD197" s="330"/>
      <c r="AE197" s="330"/>
      <c r="AF197" s="330"/>
      <c r="AG197" s="330"/>
      <c r="AH197" s="330"/>
      <c r="AI197" s="330"/>
      <c r="AJ197" s="330"/>
      <c r="AK197" s="330"/>
      <c r="AL197" s="330"/>
      <c r="AM197" s="330"/>
      <c r="AN197" s="330"/>
      <c r="AO197" s="330"/>
      <c r="AP197" s="330"/>
      <c r="AQ197" s="330"/>
      <c r="AR197" s="330"/>
      <c r="AS197" s="330"/>
      <c r="AT197" s="330"/>
      <c r="AU197" s="330"/>
      <c r="AV197" s="330"/>
      <c r="AW197" s="330"/>
      <c r="AX197" s="330"/>
      <c r="AY197" s="330"/>
      <c r="AZ197" s="330"/>
      <c r="BA197" s="330"/>
      <c r="BB197" s="330"/>
      <c r="BC197" s="330"/>
      <c r="BD197" s="330"/>
      <c r="BE197" s="330"/>
      <c r="BF197" s="330"/>
      <c r="BG197" s="330"/>
      <c r="BH197" s="330"/>
      <c r="BI197" s="330"/>
      <c r="BJ197" s="330"/>
      <c r="BK197" s="330"/>
      <c r="BL197" s="330"/>
      <c r="BM197" s="330"/>
      <c r="BN197" s="330"/>
      <c r="BO197" s="330"/>
      <c r="BP197" s="330"/>
      <c r="BQ197" s="330"/>
      <c r="BR197" s="330"/>
      <c r="BS197" s="330"/>
      <c r="BT197" s="330"/>
      <c r="BU197" s="330"/>
      <c r="BV197" s="330"/>
      <c r="BW197" s="330"/>
      <c r="BX197" s="330"/>
      <c r="BY197" s="330"/>
      <c r="BZ197" s="330"/>
      <c r="CA197" s="330"/>
      <c r="CB197" s="330"/>
      <c r="CC197" s="330"/>
      <c r="CD197" s="330"/>
      <c r="CE197" s="330"/>
      <c r="CF197" s="330"/>
      <c r="CG197" s="330"/>
      <c r="CH197" s="330"/>
      <c r="CI197" s="330"/>
    </row>
    <row r="198" spans="1:87" x14ac:dyDescent="0.25">
      <c r="A198" s="330"/>
      <c r="B198" s="330"/>
      <c r="C198" s="330"/>
      <c r="D198" s="330"/>
      <c r="E198" s="330"/>
      <c r="F198" s="330"/>
      <c r="G198" s="330"/>
      <c r="H198" s="330"/>
      <c r="I198" s="330"/>
      <c r="J198" s="330"/>
      <c r="K198" s="330"/>
      <c r="L198" s="330"/>
      <c r="M198" s="330"/>
      <c r="N198" s="330"/>
      <c r="O198" s="330"/>
      <c r="P198" s="330"/>
      <c r="Q198" s="330"/>
      <c r="R198" s="330"/>
      <c r="S198" s="330"/>
      <c r="T198" s="330"/>
      <c r="U198" s="330"/>
      <c r="V198" s="330"/>
      <c r="W198" s="330"/>
      <c r="X198" s="330"/>
      <c r="Y198" s="330"/>
      <c r="Z198" s="330"/>
      <c r="AA198" s="330"/>
      <c r="AB198" s="330"/>
      <c r="AC198" s="330"/>
      <c r="AD198" s="330"/>
      <c r="AE198" s="330"/>
      <c r="AF198" s="330"/>
      <c r="AG198" s="330"/>
      <c r="AH198" s="330"/>
      <c r="AI198" s="330"/>
      <c r="AJ198" s="330"/>
      <c r="AK198" s="330"/>
      <c r="AL198" s="330"/>
      <c r="AM198" s="330"/>
      <c r="AN198" s="330"/>
      <c r="AO198" s="330"/>
      <c r="AP198" s="330"/>
      <c r="AQ198" s="330"/>
      <c r="AR198" s="330"/>
      <c r="AS198" s="330"/>
      <c r="AT198" s="330"/>
      <c r="AU198" s="330"/>
      <c r="AV198" s="330"/>
      <c r="AW198" s="330"/>
      <c r="AX198" s="330"/>
      <c r="AY198" s="330"/>
      <c r="AZ198" s="330"/>
      <c r="BA198" s="330"/>
      <c r="BB198" s="330"/>
      <c r="BC198" s="330"/>
      <c r="BD198" s="330"/>
      <c r="BE198" s="330"/>
      <c r="BF198" s="330"/>
      <c r="BG198" s="330"/>
      <c r="BH198" s="330"/>
      <c r="BI198" s="330"/>
      <c r="BJ198" s="330"/>
      <c r="BK198" s="330"/>
      <c r="BL198" s="330"/>
      <c r="BM198" s="330"/>
      <c r="BN198" s="330"/>
      <c r="BO198" s="330"/>
      <c r="BP198" s="330"/>
      <c r="BQ198" s="330"/>
      <c r="BR198" s="330"/>
      <c r="BS198" s="330"/>
      <c r="BT198" s="330"/>
      <c r="BU198" s="330"/>
      <c r="BV198" s="330"/>
      <c r="BW198" s="330"/>
      <c r="BX198" s="330"/>
      <c r="BY198" s="330"/>
      <c r="BZ198" s="330"/>
      <c r="CA198" s="330"/>
      <c r="CB198" s="330"/>
      <c r="CC198" s="330"/>
      <c r="CD198" s="330"/>
      <c r="CE198" s="330"/>
      <c r="CF198" s="330"/>
      <c r="CG198" s="330"/>
      <c r="CH198" s="330"/>
      <c r="CI198" s="330"/>
    </row>
    <row r="199" spans="1:87" x14ac:dyDescent="0.25">
      <c r="A199" s="330"/>
      <c r="B199" s="330"/>
      <c r="C199" s="330"/>
      <c r="D199" s="330"/>
      <c r="E199" s="330"/>
      <c r="F199" s="330"/>
      <c r="G199" s="330"/>
      <c r="H199" s="330"/>
      <c r="I199" s="330"/>
      <c r="J199" s="330"/>
      <c r="K199" s="330"/>
      <c r="L199" s="330"/>
      <c r="M199" s="330"/>
      <c r="N199" s="330"/>
      <c r="O199" s="330"/>
      <c r="P199" s="330"/>
      <c r="Q199" s="330"/>
      <c r="R199" s="330"/>
      <c r="S199" s="330"/>
      <c r="T199" s="330"/>
      <c r="U199" s="330"/>
      <c r="V199" s="330"/>
      <c r="W199" s="330"/>
      <c r="X199" s="330"/>
      <c r="Y199" s="330"/>
      <c r="Z199" s="330"/>
      <c r="AA199" s="330"/>
      <c r="AB199" s="330"/>
      <c r="AC199" s="330"/>
      <c r="AD199" s="330"/>
      <c r="AE199" s="330"/>
      <c r="AF199" s="330"/>
      <c r="AG199" s="330"/>
      <c r="AH199" s="330"/>
      <c r="AI199" s="330"/>
      <c r="AJ199" s="330"/>
      <c r="AK199" s="330"/>
      <c r="AL199" s="330"/>
      <c r="AM199" s="330"/>
      <c r="AN199" s="330"/>
      <c r="AO199" s="330"/>
      <c r="AP199" s="330"/>
      <c r="AQ199" s="330"/>
      <c r="AR199" s="330"/>
      <c r="AS199" s="330"/>
      <c r="AT199" s="330"/>
      <c r="AU199" s="330"/>
      <c r="AV199" s="330"/>
      <c r="AW199" s="330"/>
      <c r="AX199" s="330"/>
      <c r="AY199" s="330"/>
      <c r="AZ199" s="330"/>
      <c r="BA199" s="330"/>
      <c r="BB199" s="330"/>
      <c r="BC199" s="330"/>
      <c r="BD199" s="330"/>
      <c r="BE199" s="330"/>
      <c r="BF199" s="330"/>
      <c r="BG199" s="330"/>
      <c r="BH199" s="330"/>
      <c r="BI199" s="330"/>
      <c r="BJ199" s="330"/>
      <c r="BK199" s="330"/>
      <c r="BL199" s="330"/>
      <c r="BM199" s="330"/>
      <c r="BN199" s="330"/>
      <c r="BO199" s="330"/>
      <c r="BP199" s="330"/>
      <c r="BQ199" s="330"/>
      <c r="BR199" s="330"/>
      <c r="BS199" s="330"/>
      <c r="BT199" s="330"/>
      <c r="BU199" s="330"/>
      <c r="BV199" s="330"/>
      <c r="BW199" s="330"/>
      <c r="BX199" s="330"/>
      <c r="BY199" s="330"/>
      <c r="BZ199" s="330"/>
      <c r="CA199" s="330"/>
      <c r="CB199" s="330"/>
      <c r="CC199" s="330"/>
      <c r="CD199" s="330"/>
      <c r="CE199" s="330"/>
      <c r="CF199" s="330"/>
      <c r="CG199" s="330"/>
      <c r="CH199" s="330"/>
      <c r="CI199" s="330"/>
    </row>
    <row r="200" spans="1:87" x14ac:dyDescent="0.25">
      <c r="A200" s="330"/>
      <c r="B200" s="330"/>
      <c r="C200" s="330"/>
      <c r="D200" s="330"/>
      <c r="E200" s="330"/>
      <c r="F200" s="330"/>
      <c r="G200" s="330"/>
      <c r="H200" s="330"/>
      <c r="I200" s="330"/>
      <c r="J200" s="330"/>
      <c r="K200" s="330"/>
      <c r="L200" s="330"/>
      <c r="M200" s="330"/>
      <c r="N200" s="330"/>
      <c r="O200" s="330"/>
      <c r="P200" s="330"/>
      <c r="Q200" s="330"/>
      <c r="R200" s="330"/>
      <c r="S200" s="330"/>
      <c r="T200" s="330"/>
      <c r="U200" s="330"/>
      <c r="V200" s="330"/>
      <c r="W200" s="330"/>
      <c r="X200" s="330"/>
      <c r="Y200" s="330"/>
      <c r="Z200" s="330"/>
      <c r="AA200" s="330"/>
      <c r="AB200" s="330"/>
      <c r="AC200" s="330"/>
      <c r="AD200" s="330"/>
      <c r="AE200" s="330"/>
      <c r="AF200" s="330"/>
      <c r="AG200" s="330"/>
      <c r="AH200" s="330"/>
      <c r="AI200" s="330"/>
      <c r="AJ200" s="330"/>
      <c r="AK200" s="330"/>
      <c r="AL200" s="330"/>
      <c r="AM200" s="330"/>
      <c r="AN200" s="330"/>
      <c r="AO200" s="330"/>
      <c r="AP200" s="330"/>
      <c r="AQ200" s="330"/>
      <c r="AR200" s="330"/>
      <c r="AS200" s="330"/>
      <c r="AT200" s="330"/>
      <c r="AU200" s="330"/>
      <c r="AV200" s="330"/>
      <c r="AW200" s="330"/>
      <c r="AX200" s="330"/>
      <c r="AY200" s="330"/>
      <c r="AZ200" s="330"/>
      <c r="BA200" s="330"/>
      <c r="BB200" s="330"/>
      <c r="BC200" s="330"/>
      <c r="BD200" s="330"/>
      <c r="BE200" s="330"/>
      <c r="BF200" s="330"/>
      <c r="BG200" s="330"/>
      <c r="BH200" s="330"/>
      <c r="BI200" s="330"/>
      <c r="BJ200" s="330"/>
      <c r="BK200" s="330"/>
      <c r="BL200" s="330"/>
      <c r="BM200" s="330"/>
      <c r="BN200" s="330"/>
      <c r="BO200" s="330"/>
      <c r="BP200" s="330"/>
      <c r="BQ200" s="330"/>
      <c r="BR200" s="330"/>
      <c r="BS200" s="330"/>
      <c r="BT200" s="330"/>
      <c r="BU200" s="330"/>
      <c r="BV200" s="330"/>
      <c r="BW200" s="330"/>
      <c r="BX200" s="330"/>
      <c r="BY200" s="330"/>
      <c r="BZ200" s="330"/>
      <c r="CA200" s="330"/>
      <c r="CB200" s="330"/>
      <c r="CC200" s="330"/>
      <c r="CD200" s="330"/>
      <c r="CE200" s="330"/>
      <c r="CF200" s="330"/>
      <c r="CG200" s="330"/>
      <c r="CH200" s="330"/>
      <c r="CI200" s="330"/>
    </row>
    <row r="201" spans="1:87" x14ac:dyDescent="0.25">
      <c r="A201" s="330"/>
      <c r="B201" s="330"/>
      <c r="C201" s="330"/>
      <c r="D201" s="330"/>
      <c r="E201" s="330"/>
      <c r="F201" s="330"/>
      <c r="G201" s="330"/>
      <c r="H201" s="330"/>
      <c r="I201" s="330"/>
      <c r="J201" s="330"/>
      <c r="K201" s="330"/>
      <c r="L201" s="330"/>
      <c r="M201" s="330"/>
      <c r="N201" s="330"/>
      <c r="O201" s="330"/>
      <c r="P201" s="330"/>
      <c r="Q201" s="330"/>
      <c r="R201" s="330"/>
      <c r="S201" s="330"/>
      <c r="T201" s="330"/>
      <c r="U201" s="330"/>
      <c r="V201" s="330"/>
      <c r="W201" s="330"/>
      <c r="X201" s="330"/>
      <c r="Y201" s="330"/>
      <c r="Z201" s="330"/>
      <c r="AA201" s="330"/>
      <c r="AB201" s="330"/>
      <c r="AC201" s="330"/>
      <c r="AD201" s="330"/>
      <c r="AE201" s="330"/>
      <c r="AF201" s="330"/>
      <c r="AG201" s="330"/>
      <c r="AH201" s="330"/>
      <c r="AI201" s="330"/>
      <c r="AJ201" s="330"/>
      <c r="AK201" s="330"/>
      <c r="AL201" s="330"/>
      <c r="AM201" s="330"/>
      <c r="AN201" s="330"/>
      <c r="AO201" s="330"/>
      <c r="AP201" s="330"/>
      <c r="AQ201" s="330"/>
      <c r="AR201" s="330"/>
      <c r="AS201" s="330"/>
      <c r="AT201" s="330"/>
      <c r="AU201" s="330"/>
      <c r="AV201" s="330"/>
      <c r="AW201" s="330"/>
      <c r="AX201" s="330"/>
      <c r="AY201" s="330"/>
      <c r="AZ201" s="330"/>
      <c r="BA201" s="330"/>
      <c r="BB201" s="330"/>
      <c r="BC201" s="330"/>
      <c r="BD201" s="330"/>
      <c r="BE201" s="330"/>
      <c r="BF201" s="330"/>
      <c r="BG201" s="330"/>
      <c r="BH201" s="330"/>
      <c r="BI201" s="330"/>
      <c r="BJ201" s="330"/>
      <c r="BK201" s="330"/>
      <c r="BL201" s="330"/>
      <c r="BM201" s="330"/>
      <c r="BN201" s="330"/>
      <c r="BO201" s="330"/>
      <c r="BP201" s="330"/>
      <c r="BQ201" s="330"/>
      <c r="BR201" s="330"/>
      <c r="BS201" s="330"/>
      <c r="BT201" s="330"/>
      <c r="BU201" s="330"/>
      <c r="BV201" s="330"/>
      <c r="BW201" s="330"/>
      <c r="BX201" s="330"/>
      <c r="BY201" s="330"/>
      <c r="BZ201" s="330"/>
      <c r="CA201" s="330"/>
      <c r="CB201" s="330"/>
      <c r="CC201" s="330"/>
      <c r="CD201" s="330"/>
      <c r="CE201" s="330"/>
      <c r="CF201" s="330"/>
      <c r="CG201" s="330"/>
      <c r="CH201" s="330"/>
      <c r="CI201" s="330"/>
    </row>
    <row r="202" spans="1:87" x14ac:dyDescent="0.25">
      <c r="A202" s="330"/>
      <c r="B202" s="330"/>
      <c r="C202" s="330"/>
      <c r="D202" s="330"/>
      <c r="E202" s="330"/>
      <c r="F202" s="330"/>
      <c r="G202" s="330"/>
      <c r="H202" s="330"/>
      <c r="I202" s="330"/>
      <c r="J202" s="330"/>
      <c r="K202" s="330"/>
      <c r="L202" s="330"/>
      <c r="M202" s="330"/>
      <c r="N202" s="330"/>
      <c r="O202" s="330"/>
      <c r="P202" s="330"/>
      <c r="Q202" s="330"/>
      <c r="R202" s="330"/>
      <c r="S202" s="330"/>
      <c r="T202" s="330"/>
      <c r="U202" s="330"/>
      <c r="V202" s="330"/>
      <c r="W202" s="330"/>
      <c r="X202" s="330"/>
      <c r="Y202" s="330"/>
      <c r="Z202" s="330"/>
      <c r="AA202" s="330"/>
      <c r="AB202" s="330"/>
      <c r="AC202" s="330"/>
      <c r="AD202" s="330"/>
      <c r="AE202" s="330"/>
      <c r="AF202" s="330"/>
      <c r="AG202" s="330"/>
      <c r="AH202" s="330"/>
      <c r="AI202" s="330"/>
      <c r="AJ202" s="330"/>
      <c r="AK202" s="330"/>
      <c r="AL202" s="330"/>
      <c r="AM202" s="330"/>
      <c r="AN202" s="330"/>
      <c r="AO202" s="330"/>
      <c r="AP202" s="330"/>
      <c r="AQ202" s="330"/>
      <c r="AR202" s="330"/>
      <c r="AS202" s="330"/>
      <c r="AT202" s="330"/>
      <c r="AU202" s="330"/>
      <c r="AV202" s="330"/>
      <c r="AW202" s="330"/>
      <c r="AX202" s="330"/>
      <c r="AY202" s="330"/>
      <c r="AZ202" s="330"/>
      <c r="BA202" s="330"/>
      <c r="BB202" s="330"/>
      <c r="BC202" s="330"/>
      <c r="BD202" s="330"/>
      <c r="BE202" s="330"/>
      <c r="BF202" s="330"/>
      <c r="BG202" s="330"/>
      <c r="BH202" s="330"/>
      <c r="BI202" s="330"/>
      <c r="BJ202" s="330"/>
      <c r="BK202" s="330"/>
      <c r="BL202" s="330"/>
      <c r="BM202" s="330"/>
      <c r="BN202" s="330"/>
      <c r="BO202" s="330"/>
      <c r="BP202" s="330"/>
      <c r="BQ202" s="330"/>
      <c r="BR202" s="330"/>
      <c r="BS202" s="330"/>
      <c r="BT202" s="330"/>
      <c r="BU202" s="330"/>
      <c r="BV202" s="330"/>
      <c r="BW202" s="330"/>
      <c r="BX202" s="330"/>
      <c r="BY202" s="330"/>
      <c r="BZ202" s="330"/>
      <c r="CA202" s="330"/>
      <c r="CB202" s="330"/>
      <c r="CC202" s="330"/>
      <c r="CD202" s="330"/>
      <c r="CE202" s="330"/>
      <c r="CF202" s="330"/>
      <c r="CG202" s="330"/>
      <c r="CH202" s="330"/>
      <c r="CI202" s="330"/>
    </row>
    <row r="203" spans="1:87" x14ac:dyDescent="0.25">
      <c r="A203" s="330"/>
      <c r="B203" s="330"/>
      <c r="C203" s="330"/>
      <c r="D203" s="330"/>
      <c r="E203" s="330"/>
      <c r="F203" s="330"/>
      <c r="G203" s="330"/>
      <c r="H203" s="330"/>
      <c r="I203" s="330"/>
      <c r="J203" s="330"/>
      <c r="K203" s="330"/>
      <c r="L203" s="330"/>
      <c r="M203" s="330"/>
      <c r="N203" s="330"/>
      <c r="O203" s="330"/>
      <c r="P203" s="330"/>
      <c r="Q203" s="330"/>
      <c r="R203" s="330"/>
      <c r="S203" s="330"/>
      <c r="T203" s="330"/>
      <c r="U203" s="330"/>
      <c r="V203" s="330"/>
      <c r="W203" s="330"/>
      <c r="X203" s="330"/>
      <c r="Y203" s="330"/>
      <c r="Z203" s="330"/>
      <c r="AA203" s="330"/>
      <c r="AB203" s="330"/>
      <c r="AC203" s="330"/>
      <c r="AD203" s="330"/>
      <c r="AE203" s="330"/>
      <c r="AF203" s="330"/>
      <c r="AG203" s="330"/>
      <c r="AH203" s="330"/>
      <c r="AI203" s="330"/>
      <c r="AJ203" s="330"/>
      <c r="AK203" s="330"/>
      <c r="AL203" s="330"/>
      <c r="AM203" s="330"/>
      <c r="AN203" s="330"/>
      <c r="AO203" s="330"/>
      <c r="AP203" s="330"/>
      <c r="AQ203" s="330"/>
      <c r="AR203" s="330"/>
      <c r="AS203" s="330"/>
      <c r="AT203" s="330"/>
      <c r="AU203" s="330"/>
      <c r="AV203" s="330"/>
      <c r="AW203" s="330"/>
      <c r="AX203" s="330"/>
      <c r="AY203" s="330"/>
      <c r="AZ203" s="330"/>
      <c r="BA203" s="330"/>
      <c r="BB203" s="330"/>
      <c r="BC203" s="330"/>
      <c r="BD203" s="330"/>
      <c r="BE203" s="330"/>
      <c r="BF203" s="330"/>
      <c r="BG203" s="330"/>
      <c r="BH203" s="330"/>
      <c r="BI203" s="330"/>
      <c r="BJ203" s="330"/>
      <c r="BK203" s="330"/>
      <c r="BL203" s="330"/>
      <c r="BM203" s="330"/>
      <c r="BN203" s="330"/>
      <c r="BO203" s="330"/>
      <c r="BP203" s="330"/>
      <c r="BQ203" s="330"/>
      <c r="BR203" s="330"/>
      <c r="BS203" s="330"/>
      <c r="BT203" s="330"/>
      <c r="BU203" s="330"/>
      <c r="BV203" s="330"/>
      <c r="BW203" s="330"/>
      <c r="BX203" s="330"/>
      <c r="BY203" s="330"/>
      <c r="BZ203" s="330"/>
      <c r="CA203" s="330"/>
      <c r="CB203" s="330"/>
      <c r="CC203" s="330"/>
      <c r="CD203" s="330"/>
      <c r="CE203" s="330"/>
      <c r="CF203" s="330"/>
      <c r="CG203" s="330"/>
      <c r="CH203" s="330"/>
      <c r="CI203" s="330"/>
    </row>
  </sheetData>
  <mergeCells count="3">
    <mergeCell ref="B1:P1"/>
    <mergeCell ref="C2:Q2"/>
    <mergeCell ref="C3:Q3"/>
  </mergeCells>
  <hyperlinks>
    <hyperlink ref="AB7" r:id="rId1" xr:uid="{65C4628F-28DB-41C4-864C-161FFFDC7364}"/>
    <hyperlink ref="S6" r:id="rId2" xr:uid="{9B0BED32-03DF-4AFA-BC6C-A08519A107B6}"/>
  </hyperlinks>
  <pageMargins left="0.5" right="0.25" top="0.5" bottom="0" header="0.3" footer="0.3"/>
  <pageSetup scale="48" fitToHeight="2" orientation="landscape" r:id="rId3"/>
  <rowBreaks count="2" manualBreakCount="2">
    <brk id="67" max="16" man="1"/>
    <brk id="113" max="16" man="1"/>
  </rowBreaks>
  <colBreaks count="1" manualBreakCount="1">
    <brk id="15" min="1" max="173" man="1"/>
  </colBreaks>
  <drawing r:id="rId4"/>
  <legacyDrawing r:id="rId5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B9AB2-1B68-4091-9FF6-94DA4043F75D}">
  <dimension ref="A1:BG80"/>
  <sheetViews>
    <sheetView workbookViewId="0">
      <selection sqref="A1:L1"/>
    </sheetView>
  </sheetViews>
  <sheetFormatPr defaultRowHeight="15" x14ac:dyDescent="0.25"/>
  <cols>
    <col min="1" max="1" width="24.7109375" bestFit="1" customWidth="1"/>
    <col min="2" max="2" width="65.7109375" bestFit="1" customWidth="1"/>
    <col min="3" max="3" width="16.42578125" customWidth="1"/>
    <col min="4" max="4" width="16.42578125" bestFit="1" customWidth="1"/>
    <col min="5" max="5" width="15.28515625" bestFit="1" customWidth="1"/>
    <col min="6" max="7" width="14" customWidth="1"/>
    <col min="8" max="9" width="15.28515625" bestFit="1" customWidth="1"/>
    <col min="10" max="15" width="14" customWidth="1"/>
    <col min="16" max="16" width="17.85546875" bestFit="1" customWidth="1"/>
    <col min="17" max="18" width="14" customWidth="1"/>
    <col min="19" max="19" width="14" bestFit="1" customWidth="1"/>
    <col min="20" max="20" width="1.7109375" customWidth="1"/>
    <col min="21" max="21" width="18.7109375" bestFit="1" customWidth="1"/>
    <col min="22" max="22" width="14.28515625" bestFit="1" customWidth="1"/>
    <col min="23" max="24" width="13.28515625" bestFit="1" customWidth="1"/>
    <col min="25" max="25" width="11.5703125" bestFit="1" customWidth="1"/>
    <col min="26" max="26" width="3.140625" customWidth="1"/>
    <col min="28" max="28" width="3.85546875" customWidth="1"/>
    <col min="29" max="29" width="9.7109375" bestFit="1" customWidth="1"/>
    <col min="31" max="31" width="18.7109375" bestFit="1" customWidth="1"/>
    <col min="32" max="32" width="13.28515625" bestFit="1" customWidth="1"/>
    <col min="33" max="33" width="10.5703125" bestFit="1" customWidth="1"/>
    <col min="34" max="34" width="7.5703125" bestFit="1" customWidth="1"/>
    <col min="35" max="35" width="10.5703125" bestFit="1" customWidth="1"/>
    <col min="37" max="37" width="8" bestFit="1" customWidth="1"/>
    <col min="39" max="39" width="9.7109375" bestFit="1" customWidth="1"/>
    <col min="41" max="41" width="18.7109375" bestFit="1" customWidth="1"/>
    <col min="42" max="42" width="13.28515625" bestFit="1" customWidth="1"/>
    <col min="43" max="43" width="10.5703125" bestFit="1" customWidth="1"/>
    <col min="44" max="44" width="7.5703125" bestFit="1" customWidth="1"/>
    <col min="45" max="45" width="10.5703125" bestFit="1" customWidth="1"/>
    <col min="47" max="47" width="8" bestFit="1" customWidth="1"/>
    <col min="49" max="49" width="9.7109375" bestFit="1" customWidth="1"/>
    <col min="51" max="51" width="18.7109375" bestFit="1" customWidth="1"/>
    <col min="52" max="52" width="13.28515625" bestFit="1" customWidth="1"/>
    <col min="53" max="53" width="10.5703125" bestFit="1" customWidth="1"/>
    <col min="54" max="54" width="7.5703125" bestFit="1" customWidth="1"/>
    <col min="55" max="55" width="10.5703125" bestFit="1" customWidth="1"/>
    <col min="57" max="57" width="8" bestFit="1" customWidth="1"/>
    <col min="59" max="59" width="9.7109375" bestFit="1" customWidth="1"/>
  </cols>
  <sheetData>
    <row r="1" spans="1:59" ht="18.75" x14ac:dyDescent="0.3">
      <c r="A1" s="676" t="s">
        <v>67</v>
      </c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536"/>
      <c r="N1" s="536"/>
      <c r="O1" s="536"/>
      <c r="P1" s="536"/>
      <c r="Q1" s="536"/>
      <c r="R1" s="536"/>
    </row>
    <row r="2" spans="1:59" ht="21" x14ac:dyDescent="0.35">
      <c r="A2" s="681" t="s">
        <v>69</v>
      </c>
      <c r="B2" s="681"/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537"/>
      <c r="N2" s="537"/>
      <c r="O2" s="537"/>
      <c r="P2" s="537"/>
      <c r="Q2" s="537"/>
      <c r="R2" s="537"/>
    </row>
    <row r="3" spans="1:59" ht="18" thickBot="1" x14ac:dyDescent="0.35">
      <c r="A3" s="682" t="s">
        <v>153</v>
      </c>
      <c r="B3" s="682"/>
      <c r="C3" s="682"/>
      <c r="D3" s="682"/>
      <c r="E3" s="682"/>
      <c r="F3" s="682"/>
      <c r="G3" s="682"/>
      <c r="H3" s="682"/>
      <c r="I3" s="682"/>
      <c r="J3" s="682"/>
      <c r="K3" s="682"/>
      <c r="L3" s="682"/>
      <c r="M3" s="293"/>
      <c r="N3" s="293"/>
      <c r="O3" s="293"/>
      <c r="P3" s="293"/>
      <c r="Q3" s="293"/>
      <c r="R3" s="293"/>
    </row>
    <row r="4" spans="1:59" ht="15.75" x14ac:dyDescent="0.25">
      <c r="A4" s="101" t="s">
        <v>66</v>
      </c>
      <c r="B4" s="102"/>
      <c r="C4" s="683" t="s">
        <v>254</v>
      </c>
      <c r="D4" s="103">
        <v>43799</v>
      </c>
      <c r="E4" s="103">
        <v>43800</v>
      </c>
      <c r="F4" s="103">
        <v>43831</v>
      </c>
      <c r="G4" s="103">
        <v>43863</v>
      </c>
      <c r="H4" s="103">
        <v>43891</v>
      </c>
      <c r="I4" s="103">
        <v>43922</v>
      </c>
      <c r="J4" s="103">
        <v>43952</v>
      </c>
      <c r="K4" s="103">
        <v>43983</v>
      </c>
      <c r="L4" s="103">
        <v>44013</v>
      </c>
      <c r="M4" s="103">
        <v>44044</v>
      </c>
      <c r="N4" s="103">
        <v>44075</v>
      </c>
      <c r="O4" s="103">
        <v>44105</v>
      </c>
      <c r="P4" s="103" t="s">
        <v>255</v>
      </c>
      <c r="Q4" s="103">
        <v>44136</v>
      </c>
      <c r="R4" s="103">
        <v>44166</v>
      </c>
      <c r="S4" s="182" t="s">
        <v>135</v>
      </c>
    </row>
    <row r="5" spans="1:59" x14ac:dyDescent="0.25">
      <c r="A5" s="4"/>
      <c r="B5" s="89" t="s">
        <v>136</v>
      </c>
      <c r="C5" s="684"/>
      <c r="D5" s="538">
        <v>5.4199999999999998E-2</v>
      </c>
      <c r="E5" s="538">
        <v>5.4199999999999998E-2</v>
      </c>
      <c r="F5" s="538">
        <v>4.9599999999999998E-2</v>
      </c>
      <c r="G5" s="538">
        <v>4.9599999999999998E-2</v>
      </c>
      <c r="H5" s="538">
        <v>4.9599999999999998E-2</v>
      </c>
      <c r="I5" s="538">
        <v>4.7500000000000001E-2</v>
      </c>
      <c r="J5" s="538">
        <v>4.7500000000000001E-2</v>
      </c>
      <c r="K5" s="538">
        <v>4.7500000000000001E-2</v>
      </c>
      <c r="L5" s="538">
        <v>3.4299999999999997E-2</v>
      </c>
      <c r="M5" s="538">
        <v>3.4299999999999997E-2</v>
      </c>
      <c r="N5" s="538">
        <v>3.4299999999999997E-2</v>
      </c>
      <c r="O5" s="538">
        <v>3.2500000000000001E-2</v>
      </c>
      <c r="P5" s="539" t="s">
        <v>256</v>
      </c>
      <c r="Q5" s="538">
        <v>3.2500000000000001E-2</v>
      </c>
      <c r="R5" s="538">
        <v>3.2500000000000001E-2</v>
      </c>
      <c r="S5" s="560"/>
    </row>
    <row r="6" spans="1:59" ht="15.75" x14ac:dyDescent="0.25">
      <c r="A6" s="183"/>
      <c r="B6" s="89" t="s">
        <v>140</v>
      </c>
      <c r="C6" s="89"/>
      <c r="D6" s="122">
        <v>30</v>
      </c>
      <c r="E6" s="122">
        <v>31</v>
      </c>
      <c r="F6" s="540">
        <v>31</v>
      </c>
      <c r="G6" s="540">
        <v>29</v>
      </c>
      <c r="H6" s="540">
        <v>31</v>
      </c>
      <c r="I6" s="540">
        <v>30</v>
      </c>
      <c r="J6" s="540">
        <v>31</v>
      </c>
      <c r="K6" s="540">
        <v>30</v>
      </c>
      <c r="L6" s="540">
        <v>31</v>
      </c>
      <c r="M6" s="540">
        <v>31</v>
      </c>
      <c r="N6" s="540">
        <v>30</v>
      </c>
      <c r="O6" s="540">
        <v>31</v>
      </c>
      <c r="P6" s="540"/>
      <c r="Q6" s="540">
        <v>30</v>
      </c>
      <c r="R6" s="540">
        <v>31</v>
      </c>
      <c r="S6" s="184"/>
    </row>
    <row r="7" spans="1:59" x14ac:dyDescent="0.25">
      <c r="A7" s="86"/>
      <c r="F7" s="541"/>
      <c r="G7" s="541"/>
      <c r="H7" s="542"/>
      <c r="I7" s="543"/>
      <c r="J7" s="543"/>
      <c r="K7" s="543"/>
      <c r="L7" s="543"/>
      <c r="M7" s="543"/>
      <c r="N7" s="543"/>
      <c r="O7" s="543"/>
      <c r="P7" s="543"/>
      <c r="Q7" s="543"/>
      <c r="R7" s="543"/>
      <c r="S7" s="179"/>
      <c r="V7">
        <v>503</v>
      </c>
      <c r="AH7" s="104"/>
      <c r="AR7" s="104"/>
      <c r="BB7" s="104"/>
    </row>
    <row r="8" spans="1:59" x14ac:dyDescent="0.25">
      <c r="A8" s="86">
        <v>503</v>
      </c>
      <c r="B8" s="104" t="s">
        <v>84</v>
      </c>
      <c r="C8" s="104"/>
      <c r="D8" s="104"/>
      <c r="E8" s="104"/>
      <c r="F8" s="541"/>
      <c r="G8" s="541"/>
      <c r="H8" s="542"/>
      <c r="I8" s="542"/>
      <c r="J8" s="541"/>
      <c r="K8" s="541"/>
      <c r="L8" s="541"/>
      <c r="M8" s="541"/>
      <c r="N8" s="541"/>
      <c r="O8" s="541"/>
      <c r="P8" s="541"/>
      <c r="Q8" s="541"/>
      <c r="R8" s="541"/>
      <c r="S8" s="179"/>
      <c r="W8" s="544">
        <v>3117853</v>
      </c>
      <c r="X8" t="s">
        <v>92</v>
      </c>
      <c r="Y8" s="544">
        <f>W8</f>
        <v>3117853</v>
      </c>
      <c r="AG8" s="544"/>
      <c r="AI8" s="544"/>
      <c r="AQ8" s="544"/>
      <c r="AS8" s="544"/>
      <c r="BA8" s="544"/>
      <c r="BC8" s="544"/>
    </row>
    <row r="9" spans="1:59" x14ac:dyDescent="0.25">
      <c r="A9" s="87" t="s">
        <v>92</v>
      </c>
      <c r="B9" t="s">
        <v>70</v>
      </c>
      <c r="D9" s="545">
        <f>7622134+4006834</f>
        <v>11628968</v>
      </c>
      <c r="E9" s="545">
        <v>17650518</v>
      </c>
      <c r="F9" s="545">
        <v>21443608</v>
      </c>
      <c r="G9" s="545">
        <v>17506775</v>
      </c>
      <c r="H9" s="545">
        <v>17635811</v>
      </c>
      <c r="I9" s="545">
        <v>13930299</v>
      </c>
      <c r="J9" s="545">
        <v>6809502</v>
      </c>
      <c r="K9" s="545">
        <v>5005480</v>
      </c>
      <c r="L9" s="545">
        <v>4024864</v>
      </c>
      <c r="M9" s="545">
        <v>2732363</v>
      </c>
      <c r="N9" s="545">
        <v>2948480</v>
      </c>
      <c r="O9" s="545">
        <v>4232461</v>
      </c>
      <c r="P9" s="545"/>
      <c r="Q9" s="545">
        <f>6886950+3564962</f>
        <v>10451912</v>
      </c>
      <c r="R9" s="545">
        <v>18475354</v>
      </c>
      <c r="S9" s="561"/>
      <c r="U9" s="122" t="s">
        <v>90</v>
      </c>
      <c r="V9" s="531">
        <v>919203.33</v>
      </c>
      <c r="W9" s="112">
        <f>V9/W8</f>
        <v>0.29481932919865045</v>
      </c>
      <c r="Y9" s="112">
        <f>V9/Y8</f>
        <v>0.29481932919865045</v>
      </c>
      <c r="AA9">
        <v>0.29483999999999999</v>
      </c>
      <c r="AC9" s="112">
        <f>AA9-Y9</f>
        <v>2.0670801349542689E-5</v>
      </c>
      <c r="AE9" s="122"/>
      <c r="AF9" s="531"/>
      <c r="AG9" s="112"/>
      <c r="AI9" s="112"/>
      <c r="AM9" s="112"/>
      <c r="AO9" s="122"/>
      <c r="AP9" s="531"/>
      <c r="AQ9" s="112"/>
      <c r="AS9" s="112"/>
      <c r="AW9" s="112"/>
      <c r="AY9" s="122"/>
      <c r="AZ9" s="531"/>
      <c r="BA9" s="112"/>
      <c r="BC9" s="112"/>
      <c r="BG9" s="112"/>
    </row>
    <row r="10" spans="1:59" x14ac:dyDescent="0.25">
      <c r="A10" s="87" t="s">
        <v>257</v>
      </c>
      <c r="D10" s="546" t="s">
        <v>258</v>
      </c>
      <c r="E10" s="547">
        <v>-1.3899999999999999E-2</v>
      </c>
      <c r="F10" s="547">
        <v>-1.3899999999999999E-2</v>
      </c>
      <c r="G10" s="547">
        <v>-1.3899999999999999E-2</v>
      </c>
      <c r="H10" s="547">
        <v>-1.3899999999999999E-2</v>
      </c>
      <c r="I10" s="547">
        <v>-1.3899999999999999E-2</v>
      </c>
      <c r="J10" s="547">
        <v>-1.3899999999999999E-2</v>
      </c>
      <c r="K10" s="547">
        <v>-1.3899999999999999E-2</v>
      </c>
      <c r="L10" s="547">
        <v>-1.3899999999999999E-2</v>
      </c>
      <c r="M10" s="547">
        <v>-1.3899999999999999E-2</v>
      </c>
      <c r="N10" s="547">
        <v>-1.3899999999999999E-2</v>
      </c>
      <c r="O10" s="547">
        <v>-1.3899999999999999E-2</v>
      </c>
      <c r="P10" s="547"/>
      <c r="Q10" s="546" t="s">
        <v>258</v>
      </c>
      <c r="R10" s="547">
        <v>9.1000000000000004E-3</v>
      </c>
      <c r="S10" s="561"/>
      <c r="U10" s="122" t="s">
        <v>91</v>
      </c>
      <c r="V10" s="531">
        <v>1435220.26</v>
      </c>
      <c r="W10" s="112">
        <f>V10/W8</f>
        <v>0.46032326091063308</v>
      </c>
      <c r="Y10" s="112">
        <f>V10/Y8</f>
        <v>0.46032326091063308</v>
      </c>
      <c r="AA10">
        <v>0.46034999999999998</v>
      </c>
      <c r="AC10" s="112">
        <f>AA10-Y10</f>
        <v>2.6739089366900615E-5</v>
      </c>
      <c r="AE10" s="122"/>
      <c r="AF10" s="531"/>
      <c r="AG10" s="112"/>
      <c r="AI10" s="112"/>
      <c r="AM10" s="112"/>
      <c r="AO10" s="122"/>
      <c r="AP10" s="531"/>
      <c r="AQ10" s="112"/>
      <c r="AS10" s="112"/>
      <c r="AW10" s="112"/>
      <c r="AY10" s="122"/>
      <c r="AZ10" s="531"/>
      <c r="BA10" s="112"/>
      <c r="BC10" s="112"/>
      <c r="BG10" s="112"/>
    </row>
    <row r="11" spans="1:59" x14ac:dyDescent="0.25">
      <c r="A11" s="87"/>
      <c r="B11" s="89" t="s">
        <v>74</v>
      </c>
      <c r="C11" s="89"/>
      <c r="D11" s="89"/>
      <c r="E11" s="89"/>
      <c r="F11" s="548"/>
      <c r="G11" s="548"/>
      <c r="H11" s="548"/>
      <c r="I11" s="548"/>
      <c r="J11" s="548"/>
      <c r="K11" s="548"/>
      <c r="L11" s="548"/>
      <c r="M11" s="548"/>
      <c r="N11" s="548"/>
      <c r="O11" s="548"/>
      <c r="P11" s="548"/>
      <c r="Q11" s="548"/>
      <c r="R11" s="548"/>
      <c r="S11" s="178"/>
      <c r="U11" s="122"/>
      <c r="V11" s="550"/>
      <c r="W11" s="112"/>
      <c r="Y11" s="112"/>
      <c r="AC11" s="112"/>
    </row>
    <row r="12" spans="1:59" x14ac:dyDescent="0.25">
      <c r="A12" s="87"/>
      <c r="B12" s="89" t="s">
        <v>75</v>
      </c>
      <c r="C12" s="89"/>
      <c r="D12" s="549">
        <v>141337.17000000001</v>
      </c>
      <c r="E12" s="549">
        <f t="shared" ref="E12:R12" si="0">+E9*E10</f>
        <v>-245342.20019999999</v>
      </c>
      <c r="F12" s="549">
        <f t="shared" si="0"/>
        <v>-298066.15119999996</v>
      </c>
      <c r="G12" s="549">
        <f t="shared" si="0"/>
        <v>-243344.17249999999</v>
      </c>
      <c r="H12" s="549">
        <f t="shared" si="0"/>
        <v>-245137.77289999998</v>
      </c>
      <c r="I12" s="549">
        <f t="shared" si="0"/>
        <v>-193631.15609999999</v>
      </c>
      <c r="J12" s="549">
        <f t="shared" si="0"/>
        <v>-94652.077799999999</v>
      </c>
      <c r="K12" s="549">
        <f t="shared" si="0"/>
        <v>-69576.171999999991</v>
      </c>
      <c r="L12" s="549">
        <f t="shared" si="0"/>
        <v>-55945.609599999996</v>
      </c>
      <c r="M12" s="549">
        <f t="shared" si="0"/>
        <v>-37979.845699999998</v>
      </c>
      <c r="N12" s="549">
        <f t="shared" si="0"/>
        <v>-40983.871999999996</v>
      </c>
      <c r="O12" s="549">
        <f t="shared" si="0"/>
        <v>-58831.207899999994</v>
      </c>
      <c r="P12" s="549">
        <f>+'[3]WACAP 2020'!N15</f>
        <v>-1285433.2000000007</v>
      </c>
      <c r="Q12" s="549">
        <f>+-95728.61+32441.15</f>
        <v>-63287.46</v>
      </c>
      <c r="R12" s="549">
        <f t="shared" si="0"/>
        <v>168125.72140000001</v>
      </c>
      <c r="S12" s="180">
        <f>SUM(D12:L12)</f>
        <v>-1304358.1423000002</v>
      </c>
      <c r="AY12" s="122"/>
      <c r="AZ12" s="550"/>
      <c r="BA12" s="112"/>
      <c r="BC12" s="112"/>
      <c r="BG12" s="112"/>
    </row>
    <row r="13" spans="1:59" x14ac:dyDescent="0.25">
      <c r="A13" s="87"/>
      <c r="B13" s="89" t="s">
        <v>137</v>
      </c>
      <c r="C13" s="89"/>
      <c r="D13" s="551">
        <f>ROUND(ROUND(C15*D$5,2)/365*D$6,2)</f>
        <v>7423.81</v>
      </c>
      <c r="E13" s="551">
        <f t="shared" ref="E13:O13" si="1">ROUND(ROUND(D15*E$5,2)/365*E$6,2)</f>
        <v>8356.06</v>
      </c>
      <c r="F13" s="551">
        <f>ROUND(ROUND(E15*F$5,2)/365*F$6,2)</f>
        <v>6648.55</v>
      </c>
      <c r="G13" s="551">
        <f t="shared" si="1"/>
        <v>5071.18</v>
      </c>
      <c r="H13" s="551">
        <f t="shared" si="1"/>
        <v>4417.17</v>
      </c>
      <c r="I13" s="551">
        <f t="shared" si="1"/>
        <v>3153.9</v>
      </c>
      <c r="J13" s="551">
        <f t="shared" si="1"/>
        <v>2490.59</v>
      </c>
      <c r="K13" s="551">
        <f t="shared" si="1"/>
        <v>2050.44</v>
      </c>
      <c r="L13" s="551">
        <f t="shared" si="1"/>
        <v>1333.28</v>
      </c>
      <c r="M13" s="551">
        <f>ROUND(ROUND(L15*M$5,2)/365*M$6,2)</f>
        <v>1174.18</v>
      </c>
      <c r="N13" s="551">
        <f t="shared" si="1"/>
        <v>1032.55</v>
      </c>
      <c r="O13" s="551">
        <f t="shared" si="1"/>
        <v>900.7</v>
      </c>
      <c r="P13" s="551">
        <f>+'[3]WACAP 2020'!N16</f>
        <v>-46518.05</v>
      </c>
      <c r="Q13" s="551">
        <f>ROUND(ROUND(P15*Q$5,2)/365*Q$6,2)</f>
        <v>-2841.06</v>
      </c>
      <c r="R13" s="551">
        <f t="shared" ref="R13" si="2">ROUND(ROUND(Q15*R$5,2)/365*R$6,2)</f>
        <v>-3118.29</v>
      </c>
      <c r="S13" s="180">
        <f>SUM(D13:L13)</f>
        <v>40944.979999999996</v>
      </c>
    </row>
    <row r="14" spans="1:59" x14ac:dyDescent="0.25">
      <c r="A14" s="87"/>
      <c r="B14" s="89" t="s">
        <v>138</v>
      </c>
      <c r="C14" s="89"/>
      <c r="D14" s="552">
        <f t="shared" ref="D14:R14" si="3">SUM(D12:D13)</f>
        <v>148760.98000000001</v>
      </c>
      <c r="E14" s="552">
        <f t="shared" si="3"/>
        <v>-236986.14019999999</v>
      </c>
      <c r="F14" s="552">
        <f t="shared" si="3"/>
        <v>-291417.60119999998</v>
      </c>
      <c r="G14" s="552">
        <f t="shared" si="3"/>
        <v>-238272.99249999999</v>
      </c>
      <c r="H14" s="552">
        <f t="shared" si="3"/>
        <v>-240720.60289999997</v>
      </c>
      <c r="I14" s="552">
        <f t="shared" si="3"/>
        <v>-190477.2561</v>
      </c>
      <c r="J14" s="552">
        <f t="shared" si="3"/>
        <v>-92161.487800000003</v>
      </c>
      <c r="K14" s="552">
        <f t="shared" si="3"/>
        <v>-67525.731999999989</v>
      </c>
      <c r="L14" s="552">
        <f t="shared" si="3"/>
        <v>-54612.329599999997</v>
      </c>
      <c r="M14" s="552">
        <f t="shared" si="3"/>
        <v>-36805.665699999998</v>
      </c>
      <c r="N14" s="552">
        <f t="shared" si="3"/>
        <v>-39951.321999999993</v>
      </c>
      <c r="O14" s="552">
        <f t="shared" si="3"/>
        <v>-57930.507899999997</v>
      </c>
      <c r="P14" s="552">
        <f>+P12+P13</f>
        <v>-1331951.2500000007</v>
      </c>
      <c r="Q14" s="552">
        <f t="shared" si="3"/>
        <v>-66128.52</v>
      </c>
      <c r="R14" s="552">
        <f t="shared" si="3"/>
        <v>165007.4314</v>
      </c>
      <c r="S14" s="198">
        <f>SUM(S12:S13)</f>
        <v>-1263413.1623000002</v>
      </c>
    </row>
    <row r="15" spans="1:59" x14ac:dyDescent="0.25">
      <c r="A15" s="87"/>
      <c r="B15" s="89" t="s">
        <v>139</v>
      </c>
      <c r="C15" s="553">
        <f>+'[3]WACAP2019 Amort'!R14+'[3]WACAP2019 Amort'!R23</f>
        <v>1666476.4996000025</v>
      </c>
      <c r="D15" s="549">
        <f>C15+D14</f>
        <v>1815237.4796000025</v>
      </c>
      <c r="E15" s="549">
        <f t="shared" ref="E15:O15" si="4">D15+E14</f>
        <v>1578251.3394000025</v>
      </c>
      <c r="F15" s="549">
        <f>E15+F14</f>
        <v>1286833.7382000026</v>
      </c>
      <c r="G15" s="549">
        <f t="shared" si="4"/>
        <v>1048560.7457000026</v>
      </c>
      <c r="H15" s="549">
        <f t="shared" si="4"/>
        <v>807840.14280000271</v>
      </c>
      <c r="I15" s="549">
        <f t="shared" si="4"/>
        <v>617362.88670000271</v>
      </c>
      <c r="J15" s="549">
        <f t="shared" si="4"/>
        <v>525201.39890000271</v>
      </c>
      <c r="K15" s="549">
        <f t="shared" si="4"/>
        <v>457675.66690000275</v>
      </c>
      <c r="L15" s="549">
        <f t="shared" si="4"/>
        <v>403063.33730000275</v>
      </c>
      <c r="M15" s="549">
        <f>L15+M14</f>
        <v>366257.67160000274</v>
      </c>
      <c r="N15" s="549">
        <f t="shared" si="4"/>
        <v>326306.34960000275</v>
      </c>
      <c r="O15" s="549">
        <f t="shared" si="4"/>
        <v>268375.84170000278</v>
      </c>
      <c r="P15" s="549">
        <f>+O15+P14</f>
        <v>-1063575.4082999979</v>
      </c>
      <c r="Q15" s="549">
        <f>P15+Q14</f>
        <v>-1129703.9282999979</v>
      </c>
      <c r="R15" s="549">
        <f t="shared" ref="R15" si="5">Q15+R14</f>
        <v>-964696.49689999793</v>
      </c>
      <c r="S15" s="178"/>
      <c r="W15" s="108" t="e">
        <f>ROUND(#REF!/#REF!,0)</f>
        <v>#REF!</v>
      </c>
    </row>
    <row r="16" spans="1:59" x14ac:dyDescent="0.25">
      <c r="A16" s="87"/>
      <c r="B16" s="89"/>
      <c r="C16" s="89"/>
      <c r="D16" s="89"/>
      <c r="E16" s="89"/>
      <c r="F16" s="554"/>
      <c r="G16" s="554"/>
      <c r="H16" s="554"/>
      <c r="I16" s="554"/>
      <c r="J16" s="554"/>
      <c r="K16" s="554"/>
      <c r="L16" s="554"/>
      <c r="M16" s="554"/>
      <c r="N16" s="554"/>
      <c r="O16" s="554"/>
      <c r="P16" s="554"/>
      <c r="Q16" s="554"/>
      <c r="R16" s="554"/>
      <c r="S16" s="178"/>
      <c r="U16" s="122"/>
      <c r="V16" s="531"/>
      <c r="W16" s="108" t="e">
        <f>ROUND(#REF!/#REF!,0)</f>
        <v>#REF!</v>
      </c>
      <c r="AY16" s="122"/>
      <c r="AZ16" s="531"/>
      <c r="BA16" s="112"/>
      <c r="BC16" s="112"/>
      <c r="BG16" s="112"/>
    </row>
    <row r="17" spans="1:29" x14ac:dyDescent="0.25">
      <c r="A17" s="86">
        <v>505</v>
      </c>
      <c r="B17" s="104" t="s">
        <v>85</v>
      </c>
      <c r="C17" s="104"/>
      <c r="D17" s="104"/>
      <c r="E17" s="104"/>
      <c r="F17" s="541"/>
      <c r="G17" s="541"/>
      <c r="H17" s="542"/>
      <c r="I17" s="541"/>
      <c r="J17" s="541"/>
      <c r="K17" s="541"/>
      <c r="L17" s="541"/>
      <c r="M17" s="541"/>
      <c r="N17" s="541"/>
      <c r="O17" s="541"/>
      <c r="P17" s="541"/>
      <c r="Q17" s="541"/>
      <c r="R17" s="541"/>
      <c r="S17" s="178"/>
      <c r="V17">
        <v>505</v>
      </c>
      <c r="W17" s="108" t="e">
        <f>ROUND(#REF!/#REF!,0)</f>
        <v>#REF!</v>
      </c>
      <c r="X17" s="108" t="e">
        <f>SUM(W13:W17)</f>
        <v>#REF!</v>
      </c>
    </row>
    <row r="18" spans="1:29" x14ac:dyDescent="0.25">
      <c r="A18" s="87" t="s">
        <v>92</v>
      </c>
      <c r="B18" t="s">
        <v>70</v>
      </c>
      <c r="D18" s="545">
        <f>806453+352170</f>
        <v>1158623</v>
      </c>
      <c r="E18" s="545">
        <v>1422636</v>
      </c>
      <c r="F18" s="545">
        <v>1522757</v>
      </c>
      <c r="G18" s="545">
        <v>1322495</v>
      </c>
      <c r="H18" s="545">
        <v>1356275</v>
      </c>
      <c r="I18" s="545">
        <v>1128418</v>
      </c>
      <c r="J18" s="545">
        <v>713209</v>
      </c>
      <c r="K18" s="545">
        <v>637229</v>
      </c>
      <c r="L18" s="545">
        <v>562464</v>
      </c>
      <c r="M18" s="545">
        <v>497342</v>
      </c>
      <c r="N18" s="545">
        <v>620797</v>
      </c>
      <c r="O18" s="545">
        <v>1000739</v>
      </c>
      <c r="P18" s="545"/>
      <c r="Q18" s="545">
        <f>615235+255052</f>
        <v>870287</v>
      </c>
      <c r="R18" s="545">
        <v>1356324</v>
      </c>
      <c r="S18" s="180"/>
      <c r="W18" s="544">
        <v>526644</v>
      </c>
      <c r="X18" t="s">
        <v>92</v>
      </c>
      <c r="Y18" s="544">
        <f>W18</f>
        <v>526644</v>
      </c>
    </row>
    <row r="19" spans="1:29" x14ac:dyDescent="0.25">
      <c r="A19" s="87" t="s">
        <v>257</v>
      </c>
      <c r="D19" s="546" t="s">
        <v>258</v>
      </c>
      <c r="E19" s="547">
        <v>5.8500000000000002E-3</v>
      </c>
      <c r="F19" s="547">
        <v>5.8500000000000002E-3</v>
      </c>
      <c r="G19" s="547">
        <v>5.8500000000000002E-3</v>
      </c>
      <c r="H19" s="547">
        <v>5.8500000000000002E-3</v>
      </c>
      <c r="I19" s="547">
        <v>5.8500000000000002E-3</v>
      </c>
      <c r="J19" s="547">
        <v>5.8500000000000002E-3</v>
      </c>
      <c r="K19" s="547">
        <v>5.8500000000000002E-3</v>
      </c>
      <c r="L19" s="547">
        <v>5.8500000000000002E-3</v>
      </c>
      <c r="M19" s="547">
        <v>5.8500000000000002E-3</v>
      </c>
      <c r="N19" s="547">
        <v>5.8500000000000002E-3</v>
      </c>
      <c r="O19" s="547">
        <v>5.8500000000000002E-3</v>
      </c>
      <c r="P19" s="547"/>
      <c r="Q19" s="546" t="s">
        <v>258</v>
      </c>
      <c r="R19" s="547">
        <v>1.417E-2</v>
      </c>
      <c r="S19" s="180"/>
      <c r="U19" s="122" t="s">
        <v>90</v>
      </c>
      <c r="V19" s="531"/>
      <c r="W19" s="112"/>
      <c r="Y19" s="112"/>
      <c r="AC19" s="112">
        <f>AA19-Y19</f>
        <v>0</v>
      </c>
    </row>
    <row r="20" spans="1:29" x14ac:dyDescent="0.25">
      <c r="A20" s="86"/>
      <c r="B20" s="89" t="s">
        <v>74</v>
      </c>
      <c r="C20" s="89"/>
      <c r="D20" s="89"/>
      <c r="E20" s="89"/>
      <c r="F20" s="548"/>
      <c r="G20" s="548"/>
      <c r="H20" s="548"/>
      <c r="I20" s="548"/>
      <c r="J20" s="548"/>
      <c r="K20" s="548"/>
      <c r="L20" s="548"/>
      <c r="M20" s="548"/>
      <c r="N20" s="548"/>
      <c r="O20" s="548"/>
      <c r="P20" s="548"/>
      <c r="Q20" s="548"/>
      <c r="R20" s="548"/>
      <c r="S20" s="178"/>
      <c r="U20" s="122" t="s">
        <v>91</v>
      </c>
      <c r="V20" s="550">
        <v>234182.71</v>
      </c>
      <c r="W20" s="112">
        <f>V20/W18</f>
        <v>0.4446698528797442</v>
      </c>
      <c r="Y20" s="112">
        <f>V20/Y18</f>
        <v>0.4446698528797442</v>
      </c>
      <c r="AA20">
        <v>0.44467000000000001</v>
      </c>
      <c r="AC20" s="112">
        <f>AA20-Y20</f>
        <v>1.4712025581120614E-7</v>
      </c>
    </row>
    <row r="21" spans="1:29" x14ac:dyDescent="0.25">
      <c r="A21" s="86"/>
      <c r="B21" s="89" t="s">
        <v>75</v>
      </c>
      <c r="C21" s="89"/>
      <c r="D21" s="549">
        <f>+'[3]WACAP2019 Amort'!S29</f>
        <v>-528.52</v>
      </c>
      <c r="E21" s="549">
        <f t="shared" ref="E21:R21" si="6">+E19*E18</f>
        <v>8322.4205999999995</v>
      </c>
      <c r="F21" s="549">
        <f>+F19*F18</f>
        <v>8908.1284500000002</v>
      </c>
      <c r="G21" s="549">
        <f t="shared" si="6"/>
        <v>7736.5957500000004</v>
      </c>
      <c r="H21" s="549">
        <f t="shared" si="6"/>
        <v>7934.2087499999998</v>
      </c>
      <c r="I21" s="549">
        <f t="shared" si="6"/>
        <v>6601.2453000000005</v>
      </c>
      <c r="J21" s="549">
        <f t="shared" si="6"/>
        <v>4172.2726499999999</v>
      </c>
      <c r="K21" s="549">
        <f t="shared" si="6"/>
        <v>3727.7896500000002</v>
      </c>
      <c r="L21" s="549">
        <f t="shared" si="6"/>
        <v>3290.4144000000001</v>
      </c>
      <c r="M21" s="549">
        <f t="shared" si="6"/>
        <v>2909.4506999999999</v>
      </c>
      <c r="N21" s="549">
        <f t="shared" si="6"/>
        <v>3631.6624500000003</v>
      </c>
      <c r="O21" s="549">
        <f t="shared" si="6"/>
        <v>5854.3231500000002</v>
      </c>
      <c r="P21" s="549">
        <f>+'[3]WACAP 2020'!N27</f>
        <v>-204177.64000000004</v>
      </c>
      <c r="Q21" s="549">
        <f>3599.12+3614.09</f>
        <v>7213.21</v>
      </c>
      <c r="R21" s="549">
        <f t="shared" si="6"/>
        <v>19219.111079999999</v>
      </c>
      <c r="S21" s="180">
        <f>SUM(D21:L21)</f>
        <v>50164.555549999997</v>
      </c>
    </row>
    <row r="22" spans="1:29" x14ac:dyDescent="0.25">
      <c r="A22" s="87"/>
      <c r="B22" s="89" t="s">
        <v>137</v>
      </c>
      <c r="C22" s="89"/>
      <c r="D22" s="551">
        <f>ROUND(ROUND(C24*D$5,2)/365*D$6,2)</f>
        <v>-354.37</v>
      </c>
      <c r="E22" s="551">
        <f t="shared" ref="E22:K22" si="7">ROUND(ROUND(D24*E$5,2)/365*E$6,2)</f>
        <v>-370.25</v>
      </c>
      <c r="F22" s="551">
        <f>ROUND(ROUND(E24*F$5,2)/365*F$6,2)</f>
        <v>-305.32</v>
      </c>
      <c r="G22" s="551">
        <f t="shared" si="7"/>
        <v>-251.72</v>
      </c>
      <c r="H22" s="551">
        <f t="shared" si="7"/>
        <v>-237.55</v>
      </c>
      <c r="I22" s="551">
        <f t="shared" si="7"/>
        <v>-190.11</v>
      </c>
      <c r="J22" s="551">
        <f t="shared" si="7"/>
        <v>-170.58</v>
      </c>
      <c r="K22" s="551">
        <f t="shared" si="7"/>
        <v>-149.46</v>
      </c>
      <c r="L22" s="551">
        <f>ROUND(ROUND(K24*L$5,2)/365*L$6,2)</f>
        <v>-101.1</v>
      </c>
      <c r="M22" s="551">
        <f>ROUND(ROUND(L24*M$5,2)/365*M$6,2)</f>
        <v>-91.81</v>
      </c>
      <c r="N22" s="551">
        <f t="shared" ref="N22:R22" si="8">ROUND(ROUND(M24*N$5,2)/365*N$6,2)</f>
        <v>-80.900000000000006</v>
      </c>
      <c r="O22" s="551">
        <f t="shared" si="8"/>
        <v>-69.41</v>
      </c>
      <c r="P22" s="551">
        <f>+'[3]WACAP 2020'!N28</f>
        <v>-7388.93</v>
      </c>
      <c r="Q22" s="551">
        <f>ROUND(ROUND(P24*Q$5,2)/365*Q$6,2)</f>
        <v>-616.86</v>
      </c>
      <c r="R22" s="551">
        <f t="shared" si="8"/>
        <v>-619.21</v>
      </c>
      <c r="S22" s="180">
        <f>SUM(D22:L22)</f>
        <v>-2130.46</v>
      </c>
    </row>
    <row r="23" spans="1:29" x14ac:dyDescent="0.25">
      <c r="A23" s="87"/>
      <c r="B23" s="89" t="s">
        <v>138</v>
      </c>
      <c r="C23" s="89"/>
      <c r="D23" s="552">
        <f t="shared" ref="D23:R23" si="9">SUM(D21:D22)</f>
        <v>-882.89</v>
      </c>
      <c r="E23" s="552">
        <f t="shared" si="9"/>
        <v>7952.1705999999995</v>
      </c>
      <c r="F23" s="552">
        <f t="shared" si="9"/>
        <v>8602.8084500000004</v>
      </c>
      <c r="G23" s="552">
        <f t="shared" si="9"/>
        <v>7484.8757500000002</v>
      </c>
      <c r="H23" s="552">
        <f t="shared" si="9"/>
        <v>7696.6587499999996</v>
      </c>
      <c r="I23" s="552">
        <f t="shared" si="9"/>
        <v>6411.1353000000008</v>
      </c>
      <c r="J23" s="552">
        <f t="shared" si="9"/>
        <v>4001.69265</v>
      </c>
      <c r="K23" s="552">
        <f t="shared" si="9"/>
        <v>3578.3296500000001</v>
      </c>
      <c r="L23" s="552">
        <f t="shared" si="9"/>
        <v>3189.3144000000002</v>
      </c>
      <c r="M23" s="552">
        <f t="shared" si="9"/>
        <v>2817.6406999999999</v>
      </c>
      <c r="N23" s="552">
        <f t="shared" si="9"/>
        <v>3550.7624500000002</v>
      </c>
      <c r="O23" s="552">
        <f t="shared" si="9"/>
        <v>5784.9131500000003</v>
      </c>
      <c r="P23" s="552">
        <f>+P21+P22</f>
        <v>-211566.57000000004</v>
      </c>
      <c r="Q23" s="552">
        <f t="shared" si="9"/>
        <v>6596.35</v>
      </c>
      <c r="R23" s="552">
        <f t="shared" si="9"/>
        <v>18599.90108</v>
      </c>
      <c r="S23" s="198">
        <f>SUM(S21:S22)</f>
        <v>48034.095549999998</v>
      </c>
    </row>
    <row r="24" spans="1:29" x14ac:dyDescent="0.25">
      <c r="A24" s="87"/>
      <c r="B24" s="89" t="s">
        <v>139</v>
      </c>
      <c r="C24" s="553">
        <f>+'[3]WACAP2019 Amort'!R32</f>
        <v>-79548.009630000088</v>
      </c>
      <c r="D24" s="549">
        <f>C24+D23</f>
        <v>-80430.899630000087</v>
      </c>
      <c r="E24" s="549">
        <f t="shared" ref="E24:O24" si="10">D24+E23</f>
        <v>-72478.72903000009</v>
      </c>
      <c r="F24" s="549">
        <f>E24+F23</f>
        <v>-63875.920580000093</v>
      </c>
      <c r="G24" s="549">
        <f t="shared" si="10"/>
        <v>-56391.044830000093</v>
      </c>
      <c r="H24" s="549">
        <f t="shared" si="10"/>
        <v>-48694.386080000091</v>
      </c>
      <c r="I24" s="549">
        <f t="shared" si="10"/>
        <v>-42283.250780000089</v>
      </c>
      <c r="J24" s="549">
        <f t="shared" si="10"/>
        <v>-38281.558130000092</v>
      </c>
      <c r="K24" s="549">
        <f t="shared" si="10"/>
        <v>-34703.228480000093</v>
      </c>
      <c r="L24" s="549">
        <f t="shared" si="10"/>
        <v>-31513.914080000093</v>
      </c>
      <c r="M24" s="549">
        <f>L24+M23</f>
        <v>-28696.273380000093</v>
      </c>
      <c r="N24" s="549">
        <f t="shared" si="10"/>
        <v>-25145.510930000091</v>
      </c>
      <c r="O24" s="549">
        <f t="shared" si="10"/>
        <v>-19360.597780000091</v>
      </c>
      <c r="P24" s="549">
        <f>+O24+P23</f>
        <v>-230927.16778000013</v>
      </c>
      <c r="Q24" s="549">
        <f>P24+Q23</f>
        <v>-224330.81778000013</v>
      </c>
      <c r="R24" s="549">
        <f t="shared" ref="R24" si="11">Q24+R23</f>
        <v>-205730.91670000012</v>
      </c>
      <c r="S24" s="178"/>
      <c r="W24" s="108" t="e">
        <f>ROUND(#REF!/#REF!,0)</f>
        <v>#REF!</v>
      </c>
    </row>
    <row r="25" spans="1:29" x14ac:dyDescent="0.25">
      <c r="A25" s="86"/>
      <c r="B25" s="89"/>
      <c r="C25" s="89"/>
      <c r="D25" s="89"/>
      <c r="E25" s="89"/>
      <c r="F25" s="554"/>
      <c r="G25" s="554"/>
      <c r="H25" s="554"/>
      <c r="I25" s="554"/>
      <c r="J25" s="554"/>
      <c r="K25" s="554"/>
      <c r="L25" s="554"/>
      <c r="M25" s="554"/>
      <c r="N25" s="554"/>
      <c r="O25" s="554"/>
      <c r="P25" s="554"/>
      <c r="Q25" s="554"/>
      <c r="R25" s="554"/>
      <c r="S25" s="178"/>
      <c r="U25" s="122"/>
      <c r="V25" s="531"/>
      <c r="W25" s="108" t="e">
        <f>ROUND(#REF!/#REF!,0)</f>
        <v>#REF!</v>
      </c>
    </row>
    <row r="26" spans="1:29" x14ac:dyDescent="0.25">
      <c r="A26" s="86" t="s">
        <v>142</v>
      </c>
      <c r="B26" s="104" t="s">
        <v>86</v>
      </c>
      <c r="C26" s="104"/>
      <c r="D26" s="104"/>
      <c r="E26" s="104"/>
      <c r="F26" s="541"/>
      <c r="G26" s="541"/>
      <c r="H26" s="542"/>
      <c r="I26" s="541"/>
      <c r="J26" s="541"/>
      <c r="K26" s="541"/>
      <c r="L26" s="541"/>
      <c r="M26" s="541"/>
      <c r="N26" s="541"/>
      <c r="O26" s="541"/>
      <c r="P26" s="541"/>
      <c r="Q26" s="541"/>
      <c r="R26" s="541"/>
      <c r="S26" s="178"/>
      <c r="V26">
        <v>504</v>
      </c>
    </row>
    <row r="27" spans="1:29" x14ac:dyDescent="0.25">
      <c r="A27" s="87" t="s">
        <v>92</v>
      </c>
      <c r="B27" t="s">
        <v>70</v>
      </c>
      <c r="D27" s="545">
        <v>3958</v>
      </c>
      <c r="E27" s="545">
        <v>4552</v>
      </c>
      <c r="F27" s="545">
        <v>4887</v>
      </c>
      <c r="G27" s="545">
        <v>4650</v>
      </c>
      <c r="H27" s="545">
        <v>4903</v>
      </c>
      <c r="I27" s="545">
        <v>3889</v>
      </c>
      <c r="J27" s="545">
        <v>2219</v>
      </c>
      <c r="K27" s="545">
        <v>2099</v>
      </c>
      <c r="L27" s="545">
        <v>943</v>
      </c>
      <c r="M27" s="545">
        <v>816</v>
      </c>
      <c r="N27" s="545">
        <v>643</v>
      </c>
      <c r="O27" s="545">
        <v>3290</v>
      </c>
      <c r="P27" s="545"/>
      <c r="Q27" s="545">
        <v>5658</v>
      </c>
      <c r="R27" s="545">
        <v>7535</v>
      </c>
      <c r="S27" s="179"/>
      <c r="W27" s="544">
        <v>124</v>
      </c>
      <c r="X27" t="s">
        <v>92</v>
      </c>
      <c r="Y27" s="544">
        <f>W27</f>
        <v>124</v>
      </c>
    </row>
    <row r="28" spans="1:29" x14ac:dyDescent="0.25">
      <c r="A28" s="87" t="s">
        <v>257</v>
      </c>
      <c r="D28" s="546" t="str">
        <f>+D19</f>
        <v>Prorated</v>
      </c>
      <c r="E28" s="547">
        <v>-8.0999999999999996E-4</v>
      </c>
      <c r="F28" s="547">
        <v>-8.0999999999999996E-4</v>
      </c>
      <c r="G28" s="547">
        <v>-8.0999999999999996E-4</v>
      </c>
      <c r="H28" s="547">
        <v>-8.0999999999999996E-4</v>
      </c>
      <c r="I28" s="547">
        <v>-8.0999999999999996E-4</v>
      </c>
      <c r="J28" s="547">
        <v>-8.0999999999999996E-4</v>
      </c>
      <c r="K28" s="547">
        <v>-8.0999999999999996E-4</v>
      </c>
      <c r="L28" s="547">
        <v>-8.0999999999999996E-4</v>
      </c>
      <c r="M28" s="547">
        <v>-8.0999999999999996E-4</v>
      </c>
      <c r="N28" s="547">
        <v>-8.0999999999999996E-4</v>
      </c>
      <c r="O28" s="547">
        <v>-8.0999999999999996E-4</v>
      </c>
      <c r="P28" s="547"/>
      <c r="Q28" s="546" t="s">
        <v>258</v>
      </c>
      <c r="R28" s="547">
        <v>2.4140000000000002E-2</v>
      </c>
      <c r="S28" s="180"/>
      <c r="U28" s="122" t="s">
        <v>90</v>
      </c>
      <c r="V28" s="531">
        <v>30.51</v>
      </c>
      <c r="W28" s="112">
        <f>V28/W27</f>
        <v>0.24604838709677421</v>
      </c>
      <c r="Y28" s="112">
        <f>V28/Y27</f>
        <v>0.24604838709677421</v>
      </c>
      <c r="AA28">
        <v>0.24607999999999999</v>
      </c>
      <c r="AC28" s="112">
        <f>AA28-Y28</f>
        <v>3.1612903225786138E-5</v>
      </c>
    </row>
    <row r="29" spans="1:29" x14ac:dyDescent="0.25">
      <c r="A29" s="87"/>
      <c r="B29" s="89" t="s">
        <v>74</v>
      </c>
      <c r="C29" s="89"/>
      <c r="D29" s="89"/>
      <c r="E29" s="89"/>
      <c r="F29" s="548"/>
      <c r="G29" s="548"/>
      <c r="H29" s="548"/>
      <c r="I29" s="548"/>
      <c r="J29" s="548"/>
      <c r="K29" s="548"/>
      <c r="L29" s="548"/>
      <c r="M29" s="548"/>
      <c r="N29" s="548"/>
      <c r="O29" s="548"/>
      <c r="P29" s="548"/>
      <c r="Q29" s="548"/>
      <c r="R29" s="548"/>
      <c r="S29" s="178"/>
    </row>
    <row r="30" spans="1:29" x14ac:dyDescent="0.25">
      <c r="A30" s="87"/>
      <c r="B30" s="89" t="s">
        <v>75</v>
      </c>
      <c r="C30" s="89"/>
      <c r="D30" s="553">
        <f>+'[3]WACAP2019 Amort'!S38</f>
        <v>-3.21</v>
      </c>
      <c r="E30" s="553">
        <f t="shared" ref="E30:R30" si="12">+E27*E28</f>
        <v>-3.6871199999999997</v>
      </c>
      <c r="F30" s="553">
        <f t="shared" si="12"/>
        <v>-3.9584699999999997</v>
      </c>
      <c r="G30" s="553">
        <f t="shared" si="12"/>
        <v>-3.7664999999999997</v>
      </c>
      <c r="H30" s="553">
        <f t="shared" si="12"/>
        <v>-3.9714299999999998</v>
      </c>
      <c r="I30" s="553">
        <f t="shared" si="12"/>
        <v>-3.1500899999999996</v>
      </c>
      <c r="J30" s="553">
        <f t="shared" si="12"/>
        <v>-1.7973899999999998</v>
      </c>
      <c r="K30" s="553">
        <f t="shared" si="12"/>
        <v>-1.7001899999999999</v>
      </c>
      <c r="L30" s="553">
        <f t="shared" si="12"/>
        <v>-0.76383000000000001</v>
      </c>
      <c r="M30" s="553">
        <f t="shared" si="12"/>
        <v>-0.66095999999999999</v>
      </c>
      <c r="N30" s="553">
        <f t="shared" si="12"/>
        <v>-0.52083000000000002</v>
      </c>
      <c r="O30" s="553">
        <f t="shared" si="12"/>
        <v>-2.6648999999999998</v>
      </c>
      <c r="P30" s="553">
        <f>+'[3]WACAP 2020'!N50</f>
        <v>-6187.7</v>
      </c>
      <c r="Q30" s="553">
        <v>136.58000000000001</v>
      </c>
      <c r="R30" s="553">
        <f t="shared" si="12"/>
        <v>181.89490000000001</v>
      </c>
      <c r="S30" s="180">
        <f>SUM(D30:L30)</f>
        <v>-26.005019999999995</v>
      </c>
      <c r="V30">
        <v>948.8900000000001</v>
      </c>
    </row>
    <row r="31" spans="1:29" x14ac:dyDescent="0.25">
      <c r="A31" s="87"/>
      <c r="B31" s="89" t="s">
        <v>137</v>
      </c>
      <c r="C31" s="89"/>
      <c r="D31" s="551">
        <f>ROUND(ROUND(C33*D$5,2)/365*D$6,2)</f>
        <v>-30.59</v>
      </c>
      <c r="E31" s="551">
        <f t="shared" ref="E31:O31" si="13">ROUND(ROUND(D33*E$5,2)/365*E$6,2)</f>
        <v>-31.76</v>
      </c>
      <c r="F31" s="551">
        <f>ROUND(ROUND(E33*F$5,2)/365*F$6,2)</f>
        <v>-29.22</v>
      </c>
      <c r="G31" s="551">
        <f t="shared" si="13"/>
        <v>-27.46</v>
      </c>
      <c r="H31" s="551">
        <f t="shared" si="13"/>
        <v>-29.49</v>
      </c>
      <c r="I31" s="551">
        <f t="shared" si="13"/>
        <v>-27.46</v>
      </c>
      <c r="J31" s="551">
        <f t="shared" si="13"/>
        <v>-28.5</v>
      </c>
      <c r="K31" s="551">
        <f t="shared" si="13"/>
        <v>-27.7</v>
      </c>
      <c r="L31" s="551">
        <f t="shared" si="13"/>
        <v>-20.75</v>
      </c>
      <c r="M31" s="551">
        <f>ROUND(ROUND(L33*M$5,2)/365*M$6,2)</f>
        <v>-20.82</v>
      </c>
      <c r="N31" s="551">
        <f t="shared" si="13"/>
        <v>-20.2</v>
      </c>
      <c r="O31" s="551">
        <f t="shared" si="13"/>
        <v>-19.84</v>
      </c>
      <c r="P31" s="551">
        <f>+'[3]WACAP 2020'!N51</f>
        <v>-223.94000000000003</v>
      </c>
      <c r="Q31" s="551">
        <f>ROUND(ROUND(P33*Q$5,2)/365*Q$6,2)</f>
        <v>-36.39</v>
      </c>
      <c r="R31" s="551">
        <f>ROUND(ROUND(Q33*R$5,2)/365*R$6,2)</f>
        <v>-37.32</v>
      </c>
      <c r="S31" s="180">
        <f>SUM(D31:L31)</f>
        <v>-252.93</v>
      </c>
      <c r="V31">
        <v>3.09</v>
      </c>
    </row>
    <row r="32" spans="1:29" x14ac:dyDescent="0.25">
      <c r="A32" s="87"/>
      <c r="B32" s="89" t="s">
        <v>138</v>
      </c>
      <c r="C32" s="89"/>
      <c r="D32" s="552">
        <f t="shared" ref="D32:R32" si="14">SUM(D30:D31)</f>
        <v>-33.799999999999997</v>
      </c>
      <c r="E32" s="552">
        <f t="shared" si="14"/>
        <v>-35.447119999999998</v>
      </c>
      <c r="F32" s="552">
        <f t="shared" si="14"/>
        <v>-33.178469999999997</v>
      </c>
      <c r="G32" s="552">
        <f t="shared" si="14"/>
        <v>-31.226500000000001</v>
      </c>
      <c r="H32" s="552">
        <f t="shared" si="14"/>
        <v>-33.46143</v>
      </c>
      <c r="I32" s="552">
        <f t="shared" si="14"/>
        <v>-30.61009</v>
      </c>
      <c r="J32" s="552">
        <f t="shared" si="14"/>
        <v>-30.29739</v>
      </c>
      <c r="K32" s="552">
        <f t="shared" si="14"/>
        <v>-29.400189999999998</v>
      </c>
      <c r="L32" s="552">
        <f t="shared" si="14"/>
        <v>-21.513829999999999</v>
      </c>
      <c r="M32" s="552">
        <f t="shared" si="14"/>
        <v>-21.48096</v>
      </c>
      <c r="N32" s="552">
        <f t="shared" si="14"/>
        <v>-20.720829999999999</v>
      </c>
      <c r="O32" s="552">
        <f t="shared" si="14"/>
        <v>-22.504899999999999</v>
      </c>
      <c r="P32" s="552">
        <f>+P30+P31</f>
        <v>-6411.6399999999994</v>
      </c>
      <c r="Q32" s="552">
        <f t="shared" si="14"/>
        <v>100.19000000000001</v>
      </c>
      <c r="R32" s="552">
        <f t="shared" si="14"/>
        <v>144.57490000000001</v>
      </c>
      <c r="S32" s="198">
        <f>SUM(S30:S31)</f>
        <v>-278.93502000000001</v>
      </c>
      <c r="V32">
        <v>951.98000000000013</v>
      </c>
    </row>
    <row r="33" spans="1:29" x14ac:dyDescent="0.25">
      <c r="A33" s="87"/>
      <c r="B33" s="89" t="s">
        <v>139</v>
      </c>
      <c r="C33" s="553">
        <f>+'[3]WACAP2019 Amort'!R41</f>
        <v>-6866.4607100000021</v>
      </c>
      <c r="D33" s="549">
        <f>C33+D32</f>
        <v>-6900.2607100000023</v>
      </c>
      <c r="E33" s="549">
        <f t="shared" ref="E33:O33" si="15">D33+E32</f>
        <v>-6935.7078300000021</v>
      </c>
      <c r="F33" s="549">
        <f>E33+F32</f>
        <v>-6968.8863000000019</v>
      </c>
      <c r="G33" s="549">
        <f t="shared" si="15"/>
        <v>-7000.1128000000017</v>
      </c>
      <c r="H33" s="549">
        <f t="shared" si="15"/>
        <v>-7033.574230000002</v>
      </c>
      <c r="I33" s="549">
        <f t="shared" si="15"/>
        <v>-7064.1843200000021</v>
      </c>
      <c r="J33" s="549">
        <f t="shared" si="15"/>
        <v>-7094.4817100000018</v>
      </c>
      <c r="K33" s="549">
        <f t="shared" si="15"/>
        <v>-7123.8819000000021</v>
      </c>
      <c r="L33" s="549">
        <f t="shared" si="15"/>
        <v>-7145.395730000002</v>
      </c>
      <c r="M33" s="549">
        <f>L33+M32</f>
        <v>-7166.8766900000019</v>
      </c>
      <c r="N33" s="549">
        <f t="shared" si="15"/>
        <v>-7187.5975200000021</v>
      </c>
      <c r="O33" s="549">
        <f t="shared" si="15"/>
        <v>-7210.102420000002</v>
      </c>
      <c r="P33" s="549">
        <f>+O33+P32</f>
        <v>-13621.742420000002</v>
      </c>
      <c r="Q33" s="549">
        <f>P33+Q32</f>
        <v>-13521.552420000002</v>
      </c>
      <c r="R33" s="549">
        <f t="shared" ref="R33" si="16">Q33+R32</f>
        <v>-13376.977520000002</v>
      </c>
      <c r="S33" s="178"/>
      <c r="V33">
        <v>1808.02</v>
      </c>
      <c r="W33" s="108">
        <f>1808.02-1805.56</f>
        <v>2.4600000000000364</v>
      </c>
    </row>
    <row r="34" spans="1:29" x14ac:dyDescent="0.25">
      <c r="A34" s="87"/>
      <c r="B34" s="89"/>
      <c r="C34" s="89"/>
      <c r="D34" s="89"/>
      <c r="E34" s="89"/>
      <c r="F34" s="554"/>
      <c r="G34" s="554"/>
      <c r="H34" s="554"/>
      <c r="I34" s="554"/>
      <c r="J34" s="554"/>
      <c r="K34" s="554"/>
      <c r="L34" s="554"/>
      <c r="M34" s="554"/>
      <c r="N34" s="554"/>
      <c r="O34" s="554"/>
      <c r="P34" s="554"/>
      <c r="Q34" s="554"/>
      <c r="R34" s="554"/>
      <c r="S34" s="178"/>
      <c r="U34" s="122"/>
      <c r="V34" s="531"/>
      <c r="W34" s="108"/>
    </row>
    <row r="35" spans="1:29" x14ac:dyDescent="0.25">
      <c r="A35" s="86">
        <v>504</v>
      </c>
      <c r="B35" s="104" t="s">
        <v>86</v>
      </c>
      <c r="C35" s="104"/>
      <c r="D35" s="104"/>
      <c r="E35" s="104"/>
      <c r="F35" s="541"/>
      <c r="G35" s="541"/>
      <c r="H35" s="542"/>
      <c r="I35" s="541"/>
      <c r="J35" s="541"/>
      <c r="K35" s="541"/>
      <c r="L35" s="541"/>
      <c r="M35" s="541"/>
      <c r="N35" s="541"/>
      <c r="O35" s="541"/>
      <c r="P35" s="541"/>
      <c r="Q35" s="541"/>
      <c r="R35" s="541"/>
      <c r="S35" s="178"/>
      <c r="V35">
        <v>504</v>
      </c>
    </row>
    <row r="36" spans="1:29" x14ac:dyDescent="0.25">
      <c r="A36" s="87" t="s">
        <v>92</v>
      </c>
      <c r="B36" t="s">
        <v>70</v>
      </c>
      <c r="D36" s="545">
        <f>5319138+2589532</f>
        <v>7908670</v>
      </c>
      <c r="E36" s="545">
        <v>11976706</v>
      </c>
      <c r="F36" s="545">
        <v>14478708</v>
      </c>
      <c r="G36" s="545">
        <v>11970901</v>
      </c>
      <c r="H36" s="545">
        <v>11812961</v>
      </c>
      <c r="I36" s="545">
        <v>8554564</v>
      </c>
      <c r="J36" s="545">
        <v>4127918</v>
      </c>
      <c r="K36" s="545">
        <v>3158885</v>
      </c>
      <c r="L36" s="545">
        <v>2836474</v>
      </c>
      <c r="M36" s="545">
        <v>2165794</v>
      </c>
      <c r="N36" s="545">
        <v>2450387</v>
      </c>
      <c r="O36" s="545">
        <v>3183599</v>
      </c>
      <c r="P36" s="545"/>
      <c r="Q36" s="545">
        <f>4428383+2059842</f>
        <v>6488225</v>
      </c>
      <c r="R36" s="545">
        <v>12051598</v>
      </c>
      <c r="S36" s="179"/>
      <c r="W36" s="544">
        <v>2890979</v>
      </c>
      <c r="X36" t="s">
        <v>92</v>
      </c>
      <c r="Y36" s="544">
        <f>W36</f>
        <v>2890979</v>
      </c>
    </row>
    <row r="37" spans="1:29" x14ac:dyDescent="0.25">
      <c r="A37" s="87" t="s">
        <v>257</v>
      </c>
      <c r="D37" s="547" t="str">
        <f>+D28</f>
        <v>Prorated</v>
      </c>
      <c r="E37" s="547">
        <f t="shared" ref="E37:L37" si="17">+E28</f>
        <v>-8.0999999999999996E-4</v>
      </c>
      <c r="F37" s="547">
        <f t="shared" si="17"/>
        <v>-8.0999999999999996E-4</v>
      </c>
      <c r="G37" s="547">
        <f t="shared" si="17"/>
        <v>-8.0999999999999996E-4</v>
      </c>
      <c r="H37" s="547">
        <f t="shared" si="17"/>
        <v>-8.0999999999999996E-4</v>
      </c>
      <c r="I37" s="547">
        <f t="shared" si="17"/>
        <v>-8.0999999999999996E-4</v>
      </c>
      <c r="J37" s="547">
        <f t="shared" si="17"/>
        <v>-8.0999999999999996E-4</v>
      </c>
      <c r="K37" s="547">
        <f t="shared" si="17"/>
        <v>-8.0999999999999996E-4</v>
      </c>
      <c r="L37" s="547">
        <f t="shared" si="17"/>
        <v>-8.0999999999999996E-4</v>
      </c>
      <c r="M37" s="547">
        <f>+L37</f>
        <v>-8.0999999999999996E-4</v>
      </c>
      <c r="N37" s="547">
        <f>+M37</f>
        <v>-8.0999999999999996E-4</v>
      </c>
      <c r="O37" s="547">
        <f>+N37</f>
        <v>-8.0999999999999996E-4</v>
      </c>
      <c r="P37" s="547"/>
      <c r="Q37" s="546" t="s">
        <v>258</v>
      </c>
      <c r="R37" s="547">
        <f>+R28</f>
        <v>2.4140000000000002E-2</v>
      </c>
      <c r="S37" s="180"/>
      <c r="U37" s="122" t="s">
        <v>90</v>
      </c>
      <c r="V37" s="531">
        <v>711414.76</v>
      </c>
      <c r="W37" s="112">
        <f>V37/W36</f>
        <v>0.2460809158420037</v>
      </c>
      <c r="Y37" s="112">
        <f>V37/Y36</f>
        <v>0.2460809158420037</v>
      </c>
      <c r="AA37">
        <v>0.24607999999999999</v>
      </c>
      <c r="AC37" s="112">
        <f>AA37-Y37</f>
        <v>-9.1584200370697921E-7</v>
      </c>
    </row>
    <row r="38" spans="1:29" x14ac:dyDescent="0.25">
      <c r="A38" s="87"/>
      <c r="B38" s="89" t="s">
        <v>74</v>
      </c>
      <c r="C38" s="89"/>
      <c r="D38" s="548"/>
      <c r="E38" s="548"/>
      <c r="F38" s="548"/>
      <c r="G38" s="548"/>
      <c r="H38" s="548"/>
      <c r="I38" s="548"/>
      <c r="J38" s="548"/>
      <c r="K38" s="548"/>
      <c r="L38" s="548"/>
      <c r="M38" s="548"/>
      <c r="N38" s="548"/>
      <c r="O38" s="548"/>
      <c r="P38" s="548"/>
      <c r="Q38" s="548"/>
      <c r="R38" s="548"/>
      <c r="S38" s="178"/>
    </row>
    <row r="39" spans="1:29" x14ac:dyDescent="0.25">
      <c r="A39" s="87"/>
      <c r="B39" s="89" t="s">
        <v>75</v>
      </c>
      <c r="C39" s="89"/>
      <c r="D39" s="549">
        <f>+'[3]WACAP2019 Amort'!S47</f>
        <v>159870.23000000001</v>
      </c>
      <c r="E39" s="549">
        <f t="shared" ref="E39:O39" si="18">+E36*E37</f>
        <v>-9701.1318599999995</v>
      </c>
      <c r="F39" s="549">
        <f t="shared" si="18"/>
        <v>-11727.753479999999</v>
      </c>
      <c r="G39" s="549">
        <f t="shared" si="18"/>
        <v>-9696.4298099999996</v>
      </c>
      <c r="H39" s="549">
        <f t="shared" si="18"/>
        <v>-9568.4984100000001</v>
      </c>
      <c r="I39" s="549">
        <f t="shared" si="18"/>
        <v>-6929.1968399999996</v>
      </c>
      <c r="J39" s="549">
        <f t="shared" si="18"/>
        <v>-3343.6135799999997</v>
      </c>
      <c r="K39" s="549">
        <f t="shared" si="18"/>
        <v>-2558.6968499999998</v>
      </c>
      <c r="L39" s="549">
        <f t="shared" si="18"/>
        <v>-2297.54394</v>
      </c>
      <c r="M39" s="549">
        <f t="shared" si="18"/>
        <v>-1754.29314</v>
      </c>
      <c r="N39" s="549">
        <f t="shared" si="18"/>
        <v>-1984.8134699999998</v>
      </c>
      <c r="O39" s="549">
        <f t="shared" si="18"/>
        <v>-2578.7151899999999</v>
      </c>
      <c r="P39" s="549">
        <f>+'[3]WACAP 2020'!N62</f>
        <v>-2124434.7099999986</v>
      </c>
      <c r="Q39" s="549">
        <f>-3586.99+49724.59</f>
        <v>46137.599999999999</v>
      </c>
      <c r="R39" s="549">
        <f>+R36*R37</f>
        <v>290925.57572000002</v>
      </c>
      <c r="S39" s="180">
        <f>SUM(D39:L39)</f>
        <v>104047.36523</v>
      </c>
    </row>
    <row r="40" spans="1:29" x14ac:dyDescent="0.25">
      <c r="A40" s="87"/>
      <c r="B40" s="89" t="s">
        <v>137</v>
      </c>
      <c r="C40" s="89"/>
      <c r="D40" s="551">
        <f>ROUND(ROUND(C42*D$5,2)/365*D$6,2)</f>
        <v>68.13</v>
      </c>
      <c r="E40" s="551">
        <f t="shared" ref="E40:O40" si="19">ROUND(ROUND(D42*E$5,2)/365*E$6,2)</f>
        <v>806.64</v>
      </c>
      <c r="F40" s="551">
        <f>ROUND(ROUND(E42*F$5,2)/365*F$6,2)</f>
        <v>700.71</v>
      </c>
      <c r="G40" s="551">
        <f t="shared" si="19"/>
        <v>612.04999999999995</v>
      </c>
      <c r="H40" s="551">
        <f t="shared" si="19"/>
        <v>615.99</v>
      </c>
      <c r="I40" s="551">
        <f t="shared" si="19"/>
        <v>535.92999999999995</v>
      </c>
      <c r="J40" s="551">
        <f t="shared" si="19"/>
        <v>528</v>
      </c>
      <c r="K40" s="551">
        <f t="shared" si="19"/>
        <v>499.98</v>
      </c>
      <c r="L40" s="551">
        <f t="shared" si="19"/>
        <v>367.07</v>
      </c>
      <c r="M40" s="551">
        <f>ROUND(ROUND(L42*M$5,2)/365*M$6,2)</f>
        <v>361.45</v>
      </c>
      <c r="N40" s="551">
        <f t="shared" si="19"/>
        <v>345.86</v>
      </c>
      <c r="O40" s="551">
        <f t="shared" si="19"/>
        <v>334.11</v>
      </c>
      <c r="P40" s="551">
        <f>+'[3]WACAP 2020'!N63</f>
        <v>-76880.489999999991</v>
      </c>
      <c r="Q40" s="551">
        <f>ROUND(ROUND(P42*Q$5,2)/365*Q$6,2)</f>
        <v>-5562.89</v>
      </c>
      <c r="R40" s="551">
        <f>ROUND(ROUND(Q42*R$5,2)/365*R$6,2)</f>
        <v>-5636.32</v>
      </c>
      <c r="S40" s="180">
        <f>SUM(D40:L40)</f>
        <v>4734.4999999999991</v>
      </c>
    </row>
    <row r="41" spans="1:29" x14ac:dyDescent="0.25">
      <c r="A41" s="87"/>
      <c r="B41" s="89" t="s">
        <v>138</v>
      </c>
      <c r="C41" s="89"/>
      <c r="D41" s="552">
        <f t="shared" ref="D41:R41" si="20">SUM(D39:D40)</f>
        <v>159938.36000000002</v>
      </c>
      <c r="E41" s="552">
        <f t="shared" si="20"/>
        <v>-8894.4918600000001</v>
      </c>
      <c r="F41" s="552">
        <f t="shared" si="20"/>
        <v>-11027.04348</v>
      </c>
      <c r="G41" s="552">
        <f t="shared" si="20"/>
        <v>-9084.3798100000004</v>
      </c>
      <c r="H41" s="552">
        <f t="shared" si="20"/>
        <v>-8952.5084100000004</v>
      </c>
      <c r="I41" s="552">
        <f t="shared" si="20"/>
        <v>-6393.2668399999993</v>
      </c>
      <c r="J41" s="552">
        <f t="shared" si="20"/>
        <v>-2815.6135799999997</v>
      </c>
      <c r="K41" s="552">
        <f t="shared" si="20"/>
        <v>-2058.7168499999998</v>
      </c>
      <c r="L41" s="552">
        <f t="shared" si="20"/>
        <v>-1930.4739400000001</v>
      </c>
      <c r="M41" s="552">
        <f t="shared" si="20"/>
        <v>-1392.8431399999999</v>
      </c>
      <c r="N41" s="552">
        <f t="shared" si="20"/>
        <v>-1638.9534699999999</v>
      </c>
      <c r="O41" s="552">
        <f t="shared" si="20"/>
        <v>-2244.6051899999998</v>
      </c>
      <c r="P41" s="552">
        <f>+P39+P40</f>
        <v>-2201315.1999999983</v>
      </c>
      <c r="Q41" s="552">
        <f t="shared" si="20"/>
        <v>40574.71</v>
      </c>
      <c r="R41" s="552">
        <f t="shared" si="20"/>
        <v>285289.25572000002</v>
      </c>
      <c r="S41" s="198">
        <f>SUM(S39:S40)</f>
        <v>108781.86523</v>
      </c>
    </row>
    <row r="42" spans="1:29" x14ac:dyDescent="0.25">
      <c r="A42" s="87"/>
      <c r="B42" s="89" t="s">
        <v>139</v>
      </c>
      <c r="C42" s="553">
        <f>+'[3]WACAP2019 Amort'!R50</f>
        <v>15293.497130000596</v>
      </c>
      <c r="D42" s="549">
        <f>C42+D41</f>
        <v>175231.8571300006</v>
      </c>
      <c r="E42" s="549">
        <f t="shared" ref="E42:O42" si="21">D42+E41</f>
        <v>166337.36527000059</v>
      </c>
      <c r="F42" s="549">
        <f>E42+F41</f>
        <v>155310.3217900006</v>
      </c>
      <c r="G42" s="549">
        <f t="shared" si="21"/>
        <v>146225.94198000059</v>
      </c>
      <c r="H42" s="549">
        <f t="shared" si="21"/>
        <v>137273.43357000058</v>
      </c>
      <c r="I42" s="549">
        <f t="shared" si="21"/>
        <v>130880.16673000058</v>
      </c>
      <c r="J42" s="549">
        <f t="shared" si="21"/>
        <v>128064.55315000057</v>
      </c>
      <c r="K42" s="549">
        <f t="shared" si="21"/>
        <v>126005.83630000058</v>
      </c>
      <c r="L42" s="549">
        <f t="shared" si="21"/>
        <v>124075.36236000058</v>
      </c>
      <c r="M42" s="549">
        <f>L42+M41</f>
        <v>122682.51922000058</v>
      </c>
      <c r="N42" s="549">
        <f t="shared" si="21"/>
        <v>121043.56575000059</v>
      </c>
      <c r="O42" s="549">
        <f t="shared" si="21"/>
        <v>118798.96056000059</v>
      </c>
      <c r="P42" s="549">
        <f>+O42+P41</f>
        <v>-2082516.2394399978</v>
      </c>
      <c r="Q42" s="549">
        <f>P42+Q41</f>
        <v>-2041941.5294399979</v>
      </c>
      <c r="R42" s="549">
        <f t="shared" ref="R42" si="22">Q42+R41</f>
        <v>-1756652.2737199978</v>
      </c>
      <c r="S42" s="178"/>
      <c r="W42" s="108" t="e">
        <f>ROUND(#REF!/#REF!,0)</f>
        <v>#REF!</v>
      </c>
    </row>
    <row r="43" spans="1:29" x14ac:dyDescent="0.25">
      <c r="A43" s="87"/>
      <c r="B43" s="89"/>
      <c r="C43" s="89"/>
      <c r="D43" s="89"/>
      <c r="E43" s="89"/>
      <c r="F43" s="549"/>
      <c r="G43" s="549"/>
      <c r="H43" s="549"/>
      <c r="I43" s="549"/>
      <c r="J43" s="549"/>
      <c r="K43" s="549"/>
      <c r="L43" s="549"/>
      <c r="M43" s="549"/>
      <c r="N43" s="549"/>
      <c r="O43" s="549"/>
      <c r="P43" s="549"/>
      <c r="Q43" s="549"/>
      <c r="R43" s="549"/>
      <c r="S43" s="178"/>
      <c r="U43" s="122"/>
      <c r="V43" s="550"/>
      <c r="W43" s="108" t="e">
        <f>ROUND(#REF!/#REF!,0)</f>
        <v>#REF!</v>
      </c>
    </row>
    <row r="44" spans="1:29" x14ac:dyDescent="0.25">
      <c r="A44" s="86">
        <v>511</v>
      </c>
      <c r="B44" s="104" t="s">
        <v>86</v>
      </c>
      <c r="C44" s="104"/>
      <c r="D44" s="104"/>
      <c r="E44" s="104"/>
      <c r="F44" s="541"/>
      <c r="G44" s="541"/>
      <c r="H44" s="542"/>
      <c r="I44" s="541"/>
      <c r="J44" s="541"/>
      <c r="K44" s="541"/>
      <c r="L44" s="541"/>
      <c r="M44" s="541"/>
      <c r="N44" s="541"/>
      <c r="O44" s="541"/>
      <c r="P44" s="541"/>
      <c r="Q44" s="541"/>
      <c r="R44" s="541"/>
      <c r="S44" s="178"/>
      <c r="V44">
        <v>511</v>
      </c>
      <c r="W44" s="108" t="e">
        <f>ROUND(#REF!/#REF!,0)</f>
        <v>#REF!</v>
      </c>
      <c r="X44" s="108" t="e">
        <f>SUM(W40:W44)</f>
        <v>#REF!</v>
      </c>
    </row>
    <row r="45" spans="1:29" x14ac:dyDescent="0.25">
      <c r="A45" s="87" t="s">
        <v>92</v>
      </c>
      <c r="B45" t="s">
        <v>70</v>
      </c>
      <c r="D45" s="545">
        <f>+'[3]WACAP2019 Amort'!S53</f>
        <v>3020687</v>
      </c>
      <c r="E45" s="545">
        <f>+'[3]WACAP2019 Amort'!T53</f>
        <v>3327813</v>
      </c>
      <c r="F45" s="545">
        <v>3740763</v>
      </c>
      <c r="G45" s="545">
        <v>3282845</v>
      </c>
      <c r="H45" s="545">
        <v>3331268</v>
      </c>
      <c r="I45" s="545">
        <v>2915737</v>
      </c>
      <c r="J45" s="545">
        <v>1712627</v>
      </c>
      <c r="K45" s="545">
        <v>1649795</v>
      </c>
      <c r="L45" s="545">
        <v>1552680</v>
      </c>
      <c r="M45" s="545">
        <v>1255679</v>
      </c>
      <c r="N45" s="545">
        <v>1275326</v>
      </c>
      <c r="O45" s="545">
        <v>880462</v>
      </c>
      <c r="P45" s="545"/>
      <c r="Q45" s="545">
        <f>794742+449749</f>
        <v>1244491</v>
      </c>
      <c r="R45" s="545">
        <v>1922210</v>
      </c>
      <c r="S45" s="179"/>
      <c r="W45" s="544">
        <v>404493</v>
      </c>
      <c r="X45" t="s">
        <v>92</v>
      </c>
      <c r="Y45" s="544">
        <f>W45</f>
        <v>404493</v>
      </c>
    </row>
    <row r="46" spans="1:29" x14ac:dyDescent="0.25">
      <c r="A46" s="87" t="s">
        <v>257</v>
      </c>
      <c r="D46" s="547" t="str">
        <f>+D37</f>
        <v>Prorated</v>
      </c>
      <c r="E46" s="547">
        <v>1.9539999999999998E-2</v>
      </c>
      <c r="F46" s="547">
        <v>1.9539999999999998E-2</v>
      </c>
      <c r="G46" s="547">
        <v>1.9539999999999998E-2</v>
      </c>
      <c r="H46" s="547">
        <v>1.9539999999999998E-2</v>
      </c>
      <c r="I46" s="547">
        <v>1.9539999999999998E-2</v>
      </c>
      <c r="J46" s="547">
        <v>1.9539999999999998E-2</v>
      </c>
      <c r="K46" s="547">
        <v>1.9539999999999998E-2</v>
      </c>
      <c r="L46" s="547">
        <v>1.9539999999999998E-2</v>
      </c>
      <c r="M46" s="547">
        <v>1.9539999999999998E-2</v>
      </c>
      <c r="N46" s="547">
        <v>1.9539999999999998E-2</v>
      </c>
      <c r="O46" s="547">
        <v>1.9539999999999998E-2</v>
      </c>
      <c r="P46" s="547"/>
      <c r="Q46" s="546" t="s">
        <v>258</v>
      </c>
      <c r="R46" s="547">
        <v>1.908E-2</v>
      </c>
      <c r="S46" s="180"/>
      <c r="U46" s="122" t="s">
        <v>90</v>
      </c>
      <c r="V46" s="531"/>
      <c r="W46" s="112"/>
      <c r="Y46" s="112"/>
      <c r="AC46" s="112">
        <f>AA46-Y46</f>
        <v>0</v>
      </c>
    </row>
    <row r="47" spans="1:29" x14ac:dyDescent="0.25">
      <c r="A47" s="87"/>
      <c r="B47" s="89" t="s">
        <v>74</v>
      </c>
      <c r="C47" s="89"/>
      <c r="D47" s="89"/>
      <c r="E47" s="89"/>
      <c r="F47" s="548"/>
      <c r="G47" s="548"/>
      <c r="H47" s="548"/>
      <c r="I47" s="548"/>
      <c r="J47" s="548"/>
      <c r="K47" s="548"/>
      <c r="L47" s="548"/>
      <c r="M47" s="548"/>
      <c r="N47" s="548"/>
      <c r="O47" s="548"/>
      <c r="P47" s="548"/>
      <c r="Q47" s="548"/>
      <c r="R47" s="548"/>
      <c r="S47" s="178"/>
    </row>
    <row r="48" spans="1:29" x14ac:dyDescent="0.25">
      <c r="A48" s="87"/>
      <c r="B48" s="89" t="s">
        <v>75</v>
      </c>
      <c r="C48" s="89"/>
      <c r="D48" s="549">
        <f>+'[3]WACAP2019 Amort'!S56</f>
        <v>87646.24</v>
      </c>
      <c r="E48" s="549">
        <f t="shared" ref="E48:K48" si="23">+E46*E45</f>
        <v>65025.466019999993</v>
      </c>
      <c r="F48" s="549">
        <f t="shared" si="23"/>
        <v>73094.509019999998</v>
      </c>
      <c r="G48" s="549">
        <f t="shared" si="23"/>
        <v>64146.791299999997</v>
      </c>
      <c r="H48" s="549">
        <f t="shared" si="23"/>
        <v>65092.976719999991</v>
      </c>
      <c r="I48" s="549">
        <f t="shared" si="23"/>
        <v>56973.500979999997</v>
      </c>
      <c r="J48" s="549">
        <f t="shared" si="23"/>
        <v>33464.73158</v>
      </c>
      <c r="K48" s="549">
        <f t="shared" si="23"/>
        <v>32236.994299999998</v>
      </c>
      <c r="L48" s="549">
        <f>+L46*L45</f>
        <v>30339.367199999997</v>
      </c>
      <c r="M48" s="549">
        <f t="shared" ref="M48:R48" si="24">+M46*M45</f>
        <v>24535.967659999998</v>
      </c>
      <c r="N48" s="549">
        <f t="shared" si="24"/>
        <v>24919.870039999998</v>
      </c>
      <c r="O48" s="549">
        <f t="shared" si="24"/>
        <v>17204.227479999998</v>
      </c>
      <c r="P48" s="549">
        <f>+'[3]WACAP 2020'!N79+'[3]WACAP 2020'!N93+'[3]WACAP 2020'!N39</f>
        <v>-814334.88000000012</v>
      </c>
      <c r="Q48" s="549">
        <f>15529.26+8581.21</f>
        <v>24110.47</v>
      </c>
      <c r="R48" s="549">
        <f t="shared" si="24"/>
        <v>36675.766799999998</v>
      </c>
      <c r="S48" s="180">
        <f>SUM(D48:L48)</f>
        <v>508020.57711999997</v>
      </c>
    </row>
    <row r="49" spans="1:29" x14ac:dyDescent="0.25">
      <c r="A49" s="87"/>
      <c r="B49" s="89" t="s">
        <v>137</v>
      </c>
      <c r="C49" s="89"/>
      <c r="D49" s="551">
        <f>ROUND(ROUND(C51*D$5,2)/365*D$6,2)</f>
        <v>-1081.69</v>
      </c>
      <c r="E49" s="551">
        <f t="shared" ref="E49:O49" si="25">ROUND(ROUND(D51*E$5,2)/365*E$6,2)</f>
        <v>-719.26</v>
      </c>
      <c r="F49" s="551">
        <f>ROUND(ROUND(E51*F$5,2)/365*F$6,2)</f>
        <v>-387.32</v>
      </c>
      <c r="G49" s="551">
        <f t="shared" si="25"/>
        <v>-75.81</v>
      </c>
      <c r="H49" s="551">
        <f t="shared" si="25"/>
        <v>188.87</v>
      </c>
      <c r="I49" s="551">
        <f t="shared" si="25"/>
        <v>429.9</v>
      </c>
      <c r="J49" s="551">
        <f t="shared" si="25"/>
        <v>675.81</v>
      </c>
      <c r="K49" s="551">
        <f t="shared" si="25"/>
        <v>787.3</v>
      </c>
      <c r="L49" s="551">
        <f t="shared" si="25"/>
        <v>683.67</v>
      </c>
      <c r="M49" s="551">
        <f>ROUND(ROUND(L51*M$5,2)/365*M$6,2)</f>
        <v>774.05</v>
      </c>
      <c r="N49" s="551">
        <f t="shared" si="25"/>
        <v>820.43</v>
      </c>
      <c r="O49" s="551">
        <f t="shared" si="25"/>
        <v>874.34</v>
      </c>
      <c r="P49" s="551">
        <f>+'[3]WACAP 2020'!N80+'[3]WACAP 2020'!N94+'[3]WACAP 2020'!N40</f>
        <v>-29469.71</v>
      </c>
      <c r="Q49" s="551">
        <f>ROUND(ROUND(P51*Q$5,2)/365*Q$6,2)</f>
        <v>-1359.57</v>
      </c>
      <c r="R49" s="551">
        <f t="shared" ref="R49" si="26">ROUND(ROUND(Q51*R$5,2)/365*R$6,2)</f>
        <v>-1342.09</v>
      </c>
      <c r="S49" s="180">
        <f>SUM(D49:L49)</f>
        <v>501.46999999999991</v>
      </c>
    </row>
    <row r="50" spans="1:29" x14ac:dyDescent="0.25">
      <c r="A50" s="87"/>
      <c r="B50" s="89" t="s">
        <v>138</v>
      </c>
      <c r="C50" s="89"/>
      <c r="D50" s="552">
        <f t="shared" ref="D50:R50" si="27">SUM(D48:D49)</f>
        <v>86564.55</v>
      </c>
      <c r="E50" s="552">
        <f t="shared" si="27"/>
        <v>64306.206019999991</v>
      </c>
      <c r="F50" s="552">
        <f t="shared" si="27"/>
        <v>72707.189019999991</v>
      </c>
      <c r="G50" s="552">
        <f t="shared" si="27"/>
        <v>64070.981299999999</v>
      </c>
      <c r="H50" s="552">
        <f t="shared" si="27"/>
        <v>65281.846719999994</v>
      </c>
      <c r="I50" s="552">
        <f t="shared" si="27"/>
        <v>57403.400979999999</v>
      </c>
      <c r="J50" s="552">
        <f t="shared" si="27"/>
        <v>34140.541579999997</v>
      </c>
      <c r="K50" s="552">
        <f t="shared" si="27"/>
        <v>33024.294300000001</v>
      </c>
      <c r="L50" s="552">
        <f t="shared" si="27"/>
        <v>31023.037199999995</v>
      </c>
      <c r="M50" s="552">
        <f t="shared" si="27"/>
        <v>25310.017659999998</v>
      </c>
      <c r="N50" s="552">
        <f t="shared" si="27"/>
        <v>25740.300039999998</v>
      </c>
      <c r="O50" s="552">
        <f t="shared" si="27"/>
        <v>18078.567479999998</v>
      </c>
      <c r="P50" s="552">
        <f>+P48+P49</f>
        <v>-843804.59000000008</v>
      </c>
      <c r="Q50" s="552">
        <f t="shared" si="27"/>
        <v>22750.9</v>
      </c>
      <c r="R50" s="552">
        <f t="shared" si="27"/>
        <v>35333.676800000001</v>
      </c>
      <c r="S50" s="198">
        <f>SUM(S48:S49)</f>
        <v>508522.04711999994</v>
      </c>
    </row>
    <row r="51" spans="1:29" x14ac:dyDescent="0.25">
      <c r="A51" s="87"/>
      <c r="B51" s="89" t="s">
        <v>139</v>
      </c>
      <c r="C51" s="553">
        <f>+'[3]WACAP2019 Amort'!R59+'[3]WACAP2019 Amort'!R68</f>
        <v>-242814.82590000008</v>
      </c>
      <c r="D51" s="549">
        <f>C51+D50</f>
        <v>-156250.27590000007</v>
      </c>
      <c r="E51" s="549">
        <f>D51+E50-0.01</f>
        <v>-91944.079880000078</v>
      </c>
      <c r="F51" s="549">
        <f>E51+F50</f>
        <v>-19236.890860000087</v>
      </c>
      <c r="G51" s="549">
        <f t="shared" ref="G51:O51" si="28">F51+G50</f>
        <v>44834.090439999913</v>
      </c>
      <c r="H51" s="549">
        <f t="shared" si="28"/>
        <v>110115.93715999991</v>
      </c>
      <c r="I51" s="549">
        <f t="shared" si="28"/>
        <v>167519.33813999992</v>
      </c>
      <c r="J51" s="549">
        <f t="shared" si="28"/>
        <v>201659.87971999991</v>
      </c>
      <c r="K51" s="549">
        <f t="shared" si="28"/>
        <v>234684.17401999992</v>
      </c>
      <c r="L51" s="549">
        <f t="shared" si="28"/>
        <v>265707.21121999994</v>
      </c>
      <c r="M51" s="549">
        <f>L51+M50</f>
        <v>291017.22887999995</v>
      </c>
      <c r="N51" s="549">
        <f t="shared" si="28"/>
        <v>316757.52891999995</v>
      </c>
      <c r="O51" s="549">
        <f t="shared" si="28"/>
        <v>334836.09639999992</v>
      </c>
      <c r="P51" s="549">
        <f>+O51+P50</f>
        <v>-508968.49360000016</v>
      </c>
      <c r="Q51" s="549">
        <f>P51+Q50</f>
        <v>-486217.59360000014</v>
      </c>
      <c r="R51" s="549">
        <f t="shared" ref="R51" si="29">Q51+R50</f>
        <v>-450883.91680000012</v>
      </c>
      <c r="S51" s="178"/>
    </row>
    <row r="52" spans="1:29" x14ac:dyDescent="0.25">
      <c r="A52" s="86"/>
      <c r="F52" s="541"/>
      <c r="G52" s="541"/>
      <c r="H52" s="542"/>
      <c r="I52" s="541"/>
      <c r="J52" s="541"/>
      <c r="K52" s="541"/>
      <c r="L52" s="541"/>
      <c r="M52" s="541"/>
      <c r="N52" s="541"/>
      <c r="O52" s="541"/>
      <c r="P52" s="541"/>
      <c r="Q52" s="541"/>
      <c r="R52" s="541"/>
      <c r="S52" s="178"/>
    </row>
    <row r="53" spans="1:29" x14ac:dyDescent="0.25">
      <c r="A53" s="86" t="s">
        <v>83</v>
      </c>
      <c r="B53" s="104" t="s">
        <v>87</v>
      </c>
      <c r="C53" s="104"/>
      <c r="D53" s="104"/>
      <c r="E53" s="104"/>
      <c r="F53" s="541"/>
      <c r="G53" s="541"/>
      <c r="H53" s="542"/>
      <c r="I53" s="541"/>
      <c r="J53" s="541"/>
      <c r="K53" s="541"/>
      <c r="L53" s="541"/>
      <c r="M53" s="541"/>
      <c r="N53" s="541"/>
      <c r="O53" s="541"/>
      <c r="P53" s="541"/>
      <c r="Q53" s="541"/>
      <c r="R53" s="541"/>
      <c r="S53" s="178"/>
      <c r="V53">
        <v>505</v>
      </c>
      <c r="W53" s="108" t="e">
        <f>ROUND(#REF!/#REF!,0)</f>
        <v>#REF!</v>
      </c>
      <c r="X53" s="108" t="e">
        <f>SUM(W53:W53)</f>
        <v>#REF!</v>
      </c>
    </row>
    <row r="54" spans="1:29" x14ac:dyDescent="0.25">
      <c r="A54" s="87" t="s">
        <v>92</v>
      </c>
      <c r="B54" t="s">
        <v>70</v>
      </c>
      <c r="D54" s="545">
        <v>491</v>
      </c>
      <c r="E54" s="545">
        <v>261</v>
      </c>
      <c r="F54" s="545">
        <v>85</v>
      </c>
      <c r="G54" s="545">
        <v>341</v>
      </c>
      <c r="H54" s="545">
        <v>182</v>
      </c>
      <c r="I54" s="545">
        <v>193</v>
      </c>
      <c r="J54" s="545"/>
      <c r="K54" s="545"/>
      <c r="L54" s="545"/>
      <c r="M54" s="545"/>
      <c r="N54" s="545"/>
      <c r="O54" s="545"/>
      <c r="P54" s="545"/>
      <c r="Q54" s="545"/>
      <c r="R54" s="545"/>
      <c r="S54" s="179"/>
      <c r="W54" s="544">
        <v>167</v>
      </c>
      <c r="X54" t="s">
        <v>92</v>
      </c>
      <c r="Y54" s="544">
        <f>W54</f>
        <v>167</v>
      </c>
    </row>
    <row r="55" spans="1:29" x14ac:dyDescent="0.25">
      <c r="A55" s="87" t="s">
        <v>257</v>
      </c>
      <c r="D55" s="547">
        <f>+E55</f>
        <v>5.8500000000000002E-3</v>
      </c>
      <c r="E55" s="547">
        <f t="shared" ref="E55:O55" si="30">+E19</f>
        <v>5.8500000000000002E-3</v>
      </c>
      <c r="F55" s="547">
        <f t="shared" si="30"/>
        <v>5.8500000000000002E-3</v>
      </c>
      <c r="G55" s="547">
        <f t="shared" si="30"/>
        <v>5.8500000000000002E-3</v>
      </c>
      <c r="H55" s="547">
        <f t="shared" si="30"/>
        <v>5.8500000000000002E-3</v>
      </c>
      <c r="I55" s="547">
        <f t="shared" si="30"/>
        <v>5.8500000000000002E-3</v>
      </c>
      <c r="J55" s="547">
        <f t="shared" si="30"/>
        <v>5.8500000000000002E-3</v>
      </c>
      <c r="K55" s="547">
        <f t="shared" si="30"/>
        <v>5.8500000000000002E-3</v>
      </c>
      <c r="L55" s="547">
        <f t="shared" si="30"/>
        <v>5.8500000000000002E-3</v>
      </c>
      <c r="M55" s="547">
        <f t="shared" si="30"/>
        <v>5.8500000000000002E-3</v>
      </c>
      <c r="N55" s="547">
        <f t="shared" si="30"/>
        <v>5.8500000000000002E-3</v>
      </c>
      <c r="O55" s="547">
        <f t="shared" si="30"/>
        <v>5.8500000000000002E-3</v>
      </c>
      <c r="P55" s="547"/>
      <c r="Q55" s="547">
        <v>1.417E-2</v>
      </c>
      <c r="R55" s="547">
        <f>+Q55</f>
        <v>1.417E-2</v>
      </c>
      <c r="S55" s="180"/>
      <c r="U55" s="122" t="s">
        <v>90</v>
      </c>
      <c r="V55" s="531"/>
      <c r="W55" s="112"/>
      <c r="Y55" s="112"/>
      <c r="AC55" s="112">
        <f>AA55-Y55</f>
        <v>0</v>
      </c>
    </row>
    <row r="56" spans="1:29" x14ac:dyDescent="0.25">
      <c r="A56" s="86"/>
      <c r="B56" s="89" t="s">
        <v>74</v>
      </c>
      <c r="C56" s="89"/>
      <c r="D56" s="89"/>
      <c r="E56" s="89"/>
      <c r="F56" s="548"/>
      <c r="G56" s="548"/>
      <c r="H56" s="548"/>
      <c r="I56" s="548"/>
      <c r="J56" s="548"/>
      <c r="K56" s="548"/>
      <c r="L56" s="548"/>
      <c r="M56" s="548"/>
      <c r="N56" s="548"/>
      <c r="O56" s="548"/>
      <c r="P56" s="548"/>
      <c r="Q56" s="548"/>
      <c r="R56" s="548"/>
      <c r="S56" s="178"/>
    </row>
    <row r="57" spans="1:29" x14ac:dyDescent="0.25">
      <c r="A57" s="86"/>
      <c r="B57" s="89" t="s">
        <v>75</v>
      </c>
      <c r="C57" s="89"/>
      <c r="D57" s="549">
        <f t="shared" ref="D57:R57" si="31">+D54*D55</f>
        <v>2.87235</v>
      </c>
      <c r="E57" s="549">
        <f t="shared" si="31"/>
        <v>1.52685</v>
      </c>
      <c r="F57" s="549">
        <f t="shared" si="31"/>
        <v>0.49725000000000003</v>
      </c>
      <c r="G57" s="549">
        <f t="shared" si="31"/>
        <v>1.99485</v>
      </c>
      <c r="H57" s="549">
        <f t="shared" si="31"/>
        <v>1.0647</v>
      </c>
      <c r="I57" s="549">
        <f t="shared" si="31"/>
        <v>1.1290500000000001</v>
      </c>
      <c r="J57" s="549">
        <f t="shared" si="31"/>
        <v>0</v>
      </c>
      <c r="K57" s="549">
        <f t="shared" si="31"/>
        <v>0</v>
      </c>
      <c r="L57" s="549">
        <f t="shared" si="31"/>
        <v>0</v>
      </c>
      <c r="M57" s="549">
        <f t="shared" si="31"/>
        <v>0</v>
      </c>
      <c r="N57" s="549">
        <f t="shared" si="31"/>
        <v>0</v>
      </c>
      <c r="O57" s="549">
        <f t="shared" si="31"/>
        <v>0</v>
      </c>
      <c r="P57" s="549">
        <f>+'[3]WACAP 2020'!N108</f>
        <v>3451.1799999999994</v>
      </c>
      <c r="Q57" s="549">
        <f t="shared" si="31"/>
        <v>0</v>
      </c>
      <c r="R57" s="549">
        <f t="shared" si="31"/>
        <v>0</v>
      </c>
      <c r="S57" s="180">
        <f>SUM(D57:L57)</f>
        <v>9.0850500000000007</v>
      </c>
    </row>
    <row r="58" spans="1:29" x14ac:dyDescent="0.25">
      <c r="A58" s="87"/>
      <c r="B58" s="89" t="s">
        <v>137</v>
      </c>
      <c r="C58" s="89"/>
      <c r="D58" s="562">
        <f>ROUND(ROUND(C60*D$5,2)/365*D$6,2)</f>
        <v>42.1</v>
      </c>
      <c r="E58" s="551">
        <f t="shared" ref="E58:O58" si="32">ROUND(ROUND(D60*E$5,2)/365*E$6,2)</f>
        <v>43.71</v>
      </c>
      <c r="F58" s="551">
        <f>ROUND(ROUND(E60*F$5,2)/365*F$6,2)</f>
        <v>40.19</v>
      </c>
      <c r="G58" s="551">
        <f t="shared" si="32"/>
        <v>37.76</v>
      </c>
      <c r="H58" s="551">
        <f t="shared" si="32"/>
        <v>40.53</v>
      </c>
      <c r="I58" s="551">
        <f t="shared" si="32"/>
        <v>37.729999999999997</v>
      </c>
      <c r="J58" s="551">
        <f t="shared" si="32"/>
        <v>39.14</v>
      </c>
      <c r="K58" s="551">
        <f t="shared" si="32"/>
        <v>38.03</v>
      </c>
      <c r="L58" s="551">
        <f t="shared" si="32"/>
        <v>28.49</v>
      </c>
      <c r="M58" s="551">
        <f>ROUND(ROUND(L60*M$5,2)/365*M$6,2)</f>
        <v>28.57</v>
      </c>
      <c r="N58" s="551">
        <f t="shared" si="32"/>
        <v>27.73</v>
      </c>
      <c r="O58" s="551">
        <f t="shared" si="32"/>
        <v>27.23</v>
      </c>
      <c r="P58" s="551">
        <f>+'[3]WACAP 2020'!N109</f>
        <v>124.9</v>
      </c>
      <c r="Q58" s="551">
        <f>ROUND(ROUND(P60*Q$5,2)/365*Q$6,2)</f>
        <v>35.97</v>
      </c>
      <c r="R58" s="551">
        <f t="shared" ref="R58" si="33">ROUND(ROUND(Q60*R$5,2)/365*R$6,2)</f>
        <v>37.270000000000003</v>
      </c>
      <c r="S58" s="180">
        <f>SUM(D58:L58)</f>
        <v>347.67999999999995</v>
      </c>
    </row>
    <row r="59" spans="1:29" x14ac:dyDescent="0.25">
      <c r="A59" s="87"/>
      <c r="B59" s="89" t="s">
        <v>138</v>
      </c>
      <c r="C59" s="89"/>
      <c r="D59" s="552">
        <f t="shared" ref="D59:R59" si="34">SUM(D57:D58)</f>
        <v>44.972349999999999</v>
      </c>
      <c r="E59" s="552">
        <f t="shared" si="34"/>
        <v>45.236850000000004</v>
      </c>
      <c r="F59" s="552">
        <f t="shared" si="34"/>
        <v>40.687249999999999</v>
      </c>
      <c r="G59" s="552">
        <f t="shared" si="34"/>
        <v>39.754849999999998</v>
      </c>
      <c r="H59" s="552">
        <f t="shared" si="34"/>
        <v>41.594700000000003</v>
      </c>
      <c r="I59" s="552">
        <f t="shared" si="34"/>
        <v>38.859049999999996</v>
      </c>
      <c r="J59" s="552">
        <f t="shared" si="34"/>
        <v>39.14</v>
      </c>
      <c r="K59" s="552">
        <f t="shared" si="34"/>
        <v>38.03</v>
      </c>
      <c r="L59" s="552">
        <f t="shared" si="34"/>
        <v>28.49</v>
      </c>
      <c r="M59" s="552">
        <f t="shared" si="34"/>
        <v>28.57</v>
      </c>
      <c r="N59" s="552">
        <f t="shared" si="34"/>
        <v>27.73</v>
      </c>
      <c r="O59" s="552">
        <f t="shared" si="34"/>
        <v>27.23</v>
      </c>
      <c r="P59" s="552">
        <f>+P57+P58</f>
        <v>3576.0799999999995</v>
      </c>
      <c r="Q59" s="552">
        <f t="shared" si="34"/>
        <v>35.97</v>
      </c>
      <c r="R59" s="552">
        <f t="shared" si="34"/>
        <v>37.270000000000003</v>
      </c>
      <c r="S59" s="198">
        <f>SUM(S57:S58)</f>
        <v>356.76504999999997</v>
      </c>
    </row>
    <row r="60" spans="1:29" x14ac:dyDescent="0.25">
      <c r="A60" s="87"/>
      <c r="B60" s="89" t="s">
        <v>139</v>
      </c>
      <c r="C60" s="553">
        <f>+'[3]WACAP2019 Amort'!R77</f>
        <v>9450.7179100000012</v>
      </c>
      <c r="D60" s="549">
        <f>C60+D59</f>
        <v>9495.6902600000012</v>
      </c>
      <c r="E60" s="549">
        <f t="shared" ref="E60:O60" si="35">D60+E59</f>
        <v>9540.9271100000005</v>
      </c>
      <c r="F60" s="549">
        <f>E60+F59</f>
        <v>9581.6143600000014</v>
      </c>
      <c r="G60" s="549">
        <f t="shared" si="35"/>
        <v>9621.3692100000007</v>
      </c>
      <c r="H60" s="549">
        <f t="shared" si="35"/>
        <v>9662.9639100000004</v>
      </c>
      <c r="I60" s="549">
        <f t="shared" si="35"/>
        <v>9701.8229599999995</v>
      </c>
      <c r="J60" s="549">
        <f t="shared" si="35"/>
        <v>9740.9629599999989</v>
      </c>
      <c r="K60" s="549">
        <f t="shared" si="35"/>
        <v>9778.9929599999996</v>
      </c>
      <c r="L60" s="549">
        <f t="shared" si="35"/>
        <v>9807.4829599999994</v>
      </c>
      <c r="M60" s="549">
        <f>L60+M59</f>
        <v>9836.0529599999991</v>
      </c>
      <c r="N60" s="549">
        <f t="shared" si="35"/>
        <v>9863.7829599999986</v>
      </c>
      <c r="O60" s="549">
        <f t="shared" si="35"/>
        <v>9891.0129599999982</v>
      </c>
      <c r="P60" s="549">
        <f>+O60+P59</f>
        <v>13467.092959999998</v>
      </c>
      <c r="Q60" s="549">
        <f>P60+Q59</f>
        <v>13503.062959999997</v>
      </c>
      <c r="R60" s="549">
        <f t="shared" ref="R60" si="36">Q60+R59</f>
        <v>13540.332959999998</v>
      </c>
      <c r="S60" s="178"/>
    </row>
    <row r="61" spans="1:29" x14ac:dyDescent="0.25">
      <c r="A61" s="86"/>
      <c r="B61" s="89"/>
      <c r="C61" s="89"/>
      <c r="D61" s="89"/>
      <c r="E61" s="89"/>
      <c r="F61" s="554"/>
      <c r="G61" s="554"/>
      <c r="H61" s="554"/>
      <c r="I61" s="554"/>
      <c r="J61" s="554"/>
      <c r="K61" s="554"/>
      <c r="L61" s="554"/>
      <c r="M61" s="554"/>
      <c r="N61" s="554"/>
      <c r="O61" s="554"/>
      <c r="P61" s="554"/>
      <c r="Q61" s="554"/>
      <c r="R61" s="554"/>
      <c r="S61" s="178"/>
      <c r="U61" s="122"/>
      <c r="V61" s="531"/>
      <c r="W61" s="108">
        <f>ROUND(V64/AA64,0)</f>
        <v>89465</v>
      </c>
    </row>
    <row r="62" spans="1:29" x14ac:dyDescent="0.25">
      <c r="A62" s="86">
        <v>570</v>
      </c>
      <c r="B62" s="104" t="s">
        <v>88</v>
      </c>
      <c r="C62" s="104"/>
      <c r="D62" s="104"/>
      <c r="E62" s="104"/>
      <c r="F62" s="541"/>
      <c r="G62" s="541"/>
      <c r="H62" s="542"/>
      <c r="I62" s="541"/>
      <c r="J62" s="541"/>
      <c r="K62" s="541"/>
      <c r="L62" s="541"/>
      <c r="M62" s="541"/>
      <c r="N62" s="541"/>
      <c r="O62" s="541"/>
      <c r="P62" s="541"/>
      <c r="Q62" s="541"/>
      <c r="R62" s="541"/>
      <c r="S62" s="178"/>
      <c r="V62">
        <v>570</v>
      </c>
      <c r="W62" s="108" t="e">
        <f>ROUND(#REF!/#REF!,0)</f>
        <v>#REF!</v>
      </c>
      <c r="X62" s="108" t="e">
        <f>SUM(W61:W62)</f>
        <v>#REF!</v>
      </c>
    </row>
    <row r="63" spans="1:29" x14ac:dyDescent="0.25">
      <c r="A63" s="87" t="s">
        <v>92</v>
      </c>
      <c r="B63" t="s">
        <v>70</v>
      </c>
      <c r="D63" s="545">
        <f>+'[3]WACAP2019 Amort'!S80</f>
        <v>230233</v>
      </c>
      <c r="E63" s="545">
        <v>254015</v>
      </c>
      <c r="F63" s="545">
        <v>256203</v>
      </c>
      <c r="G63" s="545">
        <v>228991</v>
      </c>
      <c r="H63" s="545">
        <v>229265</v>
      </c>
      <c r="I63" s="545">
        <v>189521</v>
      </c>
      <c r="J63" s="545">
        <v>139474</v>
      </c>
      <c r="K63" s="545">
        <v>109505</v>
      </c>
      <c r="L63" s="545">
        <v>106383</v>
      </c>
      <c r="M63" s="545">
        <v>100500</v>
      </c>
      <c r="N63" s="545">
        <v>94559</v>
      </c>
      <c r="O63" s="545">
        <v>178840</v>
      </c>
      <c r="P63" s="545"/>
      <c r="Q63" s="545">
        <v>220318</v>
      </c>
      <c r="R63" s="545">
        <v>244469</v>
      </c>
      <c r="S63" s="179"/>
      <c r="W63" s="544">
        <v>111904</v>
      </c>
      <c r="X63" t="s">
        <v>92</v>
      </c>
      <c r="Y63" s="544">
        <f>W63</f>
        <v>111904</v>
      </c>
    </row>
    <row r="64" spans="1:29" x14ac:dyDescent="0.25">
      <c r="A64" s="87" t="s">
        <v>257</v>
      </c>
      <c r="D64" s="547">
        <f>+'[3]WACAP2019 Amort'!S81</f>
        <v>-1.9060000000000001E-2</v>
      </c>
      <c r="E64" s="547">
        <f>+D64</f>
        <v>-1.9060000000000001E-2</v>
      </c>
      <c r="F64" s="547">
        <v>-1.9060000000000001E-2</v>
      </c>
      <c r="G64" s="547">
        <v>-1.9060000000000001E-2</v>
      </c>
      <c r="H64" s="547">
        <v>-1.9060000000000001E-2</v>
      </c>
      <c r="I64" s="547">
        <v>-1.9060000000000001E-2</v>
      </c>
      <c r="J64" s="547">
        <v>-1.9060000000000001E-2</v>
      </c>
      <c r="K64" s="547">
        <v>-1.9060000000000001E-2</v>
      </c>
      <c r="L64" s="547">
        <v>-1.9060000000000001E-2</v>
      </c>
      <c r="M64" s="547">
        <v>-1.9060000000000001E-2</v>
      </c>
      <c r="N64" s="547">
        <v>-1.9060000000000001E-2</v>
      </c>
      <c r="O64" s="547">
        <v>-1.9060000000000001E-2</v>
      </c>
      <c r="P64" s="547"/>
      <c r="Q64" s="547">
        <v>-1.1990000000000001E-2</v>
      </c>
      <c r="R64" s="547">
        <f>+Q64</f>
        <v>-1.1990000000000001E-2</v>
      </c>
      <c r="S64" s="180"/>
      <c r="U64" s="122" t="s">
        <v>90</v>
      </c>
      <c r="V64" s="531">
        <v>7365.66</v>
      </c>
      <c r="W64" s="112">
        <f>V64/W61</f>
        <v>8.2330073212988311E-2</v>
      </c>
      <c r="Y64" s="112">
        <f>V64/W61</f>
        <v>8.2330073212988311E-2</v>
      </c>
      <c r="AA64">
        <v>8.233E-2</v>
      </c>
      <c r="AC64" s="112">
        <f>AA64-Y64</f>
        <v>-7.3212988310755733E-8</v>
      </c>
    </row>
    <row r="65" spans="1:23" x14ac:dyDescent="0.25">
      <c r="A65" s="87"/>
      <c r="B65" s="89" t="s">
        <v>74</v>
      </c>
      <c r="C65" s="89"/>
      <c r="D65" s="89"/>
      <c r="E65" s="89"/>
      <c r="F65" s="548"/>
      <c r="G65" s="548"/>
      <c r="H65" s="548"/>
      <c r="I65" s="548"/>
      <c r="J65" s="548"/>
      <c r="K65" s="548"/>
      <c r="L65" s="548"/>
      <c r="M65" s="548"/>
      <c r="N65" s="548"/>
      <c r="O65" s="548"/>
      <c r="P65" s="548"/>
      <c r="Q65" s="548"/>
      <c r="R65" s="548"/>
      <c r="S65" s="178"/>
    </row>
    <row r="66" spans="1:23" x14ac:dyDescent="0.25">
      <c r="A66" s="87"/>
      <c r="B66" s="89" t="s">
        <v>75</v>
      </c>
      <c r="C66" s="89"/>
      <c r="D66" s="549">
        <f>+D63*D64</f>
        <v>-4388.2409800000005</v>
      </c>
      <c r="E66" s="549">
        <f t="shared" ref="E66:R66" si="37">+E63*E64</f>
        <v>-4841.5259000000005</v>
      </c>
      <c r="F66" s="549">
        <f t="shared" si="37"/>
        <v>-4883.2291800000003</v>
      </c>
      <c r="G66" s="549">
        <f t="shared" si="37"/>
        <v>-4364.5684600000004</v>
      </c>
      <c r="H66" s="549">
        <f t="shared" si="37"/>
        <v>-4369.7909</v>
      </c>
      <c r="I66" s="549">
        <f t="shared" si="37"/>
        <v>-3612.2702600000002</v>
      </c>
      <c r="J66" s="549">
        <f t="shared" si="37"/>
        <v>-2658.37444</v>
      </c>
      <c r="K66" s="549">
        <f t="shared" si="37"/>
        <v>-2087.1653000000001</v>
      </c>
      <c r="L66" s="549">
        <f t="shared" si="37"/>
        <v>-2027.6599800000001</v>
      </c>
      <c r="M66" s="549">
        <f t="shared" si="37"/>
        <v>-1915.53</v>
      </c>
      <c r="N66" s="549">
        <f t="shared" si="37"/>
        <v>-1802.2945400000001</v>
      </c>
      <c r="O66" s="549">
        <f t="shared" si="37"/>
        <v>-3408.6904</v>
      </c>
      <c r="P66" s="549">
        <f>+'[3]WACAP 2020'!N124</f>
        <v>20894.48</v>
      </c>
      <c r="Q66" s="549">
        <f t="shared" si="37"/>
        <v>-2641.6128200000003</v>
      </c>
      <c r="R66" s="549">
        <f t="shared" si="37"/>
        <v>-2931.1833100000003</v>
      </c>
      <c r="S66" s="180">
        <f>SUM(D66:L66)</f>
        <v>-33232.825400000002</v>
      </c>
    </row>
    <row r="67" spans="1:23" x14ac:dyDescent="0.25">
      <c r="A67" s="87"/>
      <c r="B67" s="89" t="s">
        <v>137</v>
      </c>
      <c r="C67" s="89"/>
      <c r="D67" s="551">
        <f>ROUND(ROUND(C69*D$5,2)/365*D$6,2)</f>
        <v>200.31</v>
      </c>
      <c r="E67" s="551">
        <f t="shared" ref="E67:O67" si="38">ROUND(ROUND(D69*E$5,2)/365*E$6,2)</f>
        <v>187.71</v>
      </c>
      <c r="F67" s="551">
        <f>ROUND(ROUND(E69*F$5,2)/365*F$6,2)</f>
        <v>152.18</v>
      </c>
      <c r="G67" s="551">
        <f t="shared" si="38"/>
        <v>123.71</v>
      </c>
      <c r="H67" s="551">
        <f t="shared" si="38"/>
        <v>114.38</v>
      </c>
      <c r="I67" s="551">
        <f t="shared" si="38"/>
        <v>89.39</v>
      </c>
      <c r="J67" s="551">
        <f t="shared" si="38"/>
        <v>78.16</v>
      </c>
      <c r="K67" s="551">
        <f t="shared" si="38"/>
        <v>65.56</v>
      </c>
      <c r="L67" s="551">
        <f t="shared" si="38"/>
        <v>43.03</v>
      </c>
      <c r="M67" s="551">
        <f>ROUND(ROUND(L69*M$5,2)/365*M$6,2)</f>
        <v>37.25</v>
      </c>
      <c r="N67" s="551">
        <f t="shared" si="38"/>
        <v>30.75</v>
      </c>
      <c r="O67" s="551">
        <f t="shared" si="38"/>
        <v>25.22</v>
      </c>
      <c r="P67" s="551">
        <f>+'[3]WACAP 2020'!N125</f>
        <v>756.15</v>
      </c>
      <c r="Q67" s="551">
        <f>ROUND(ROUND(P69*Q$5,2)/365*Q$6,2)</f>
        <v>73.2</v>
      </c>
      <c r="R67" s="551">
        <f t="shared" ref="R67" si="39">ROUND(ROUND(Q69*R$5,2)/365*R$6,2)</f>
        <v>68.56</v>
      </c>
      <c r="S67" s="180">
        <f>SUM(D67:L67)</f>
        <v>1054.43</v>
      </c>
    </row>
    <row r="68" spans="1:23" x14ac:dyDescent="0.25">
      <c r="A68" s="87"/>
      <c r="B68" s="89" t="s">
        <v>138</v>
      </c>
      <c r="C68" s="89"/>
      <c r="D68" s="552">
        <f t="shared" ref="D68:R68" si="40">SUM(D66:D67)</f>
        <v>-4187.9309800000001</v>
      </c>
      <c r="E68" s="552">
        <f t="shared" si="40"/>
        <v>-4653.8159000000005</v>
      </c>
      <c r="F68" s="552">
        <f t="shared" si="40"/>
        <v>-4731.04918</v>
      </c>
      <c r="G68" s="552">
        <f t="shared" si="40"/>
        <v>-4240.8584600000004</v>
      </c>
      <c r="H68" s="552">
        <f t="shared" si="40"/>
        <v>-4255.4108999999999</v>
      </c>
      <c r="I68" s="552">
        <f t="shared" si="40"/>
        <v>-3522.8802600000004</v>
      </c>
      <c r="J68" s="552">
        <f t="shared" si="40"/>
        <v>-2580.2144400000002</v>
      </c>
      <c r="K68" s="552">
        <f t="shared" si="40"/>
        <v>-2021.6053000000002</v>
      </c>
      <c r="L68" s="552">
        <f t="shared" si="40"/>
        <v>-1984.6299800000002</v>
      </c>
      <c r="M68" s="552">
        <f t="shared" si="40"/>
        <v>-1878.28</v>
      </c>
      <c r="N68" s="552">
        <f t="shared" si="40"/>
        <v>-1771.5445400000001</v>
      </c>
      <c r="O68" s="552">
        <f t="shared" si="40"/>
        <v>-3383.4704000000002</v>
      </c>
      <c r="P68" s="552">
        <f>+P66+P67</f>
        <v>21650.63</v>
      </c>
      <c r="Q68" s="552">
        <f t="shared" si="40"/>
        <v>-2568.4128200000005</v>
      </c>
      <c r="R68" s="552">
        <f t="shared" si="40"/>
        <v>-2862.6233100000004</v>
      </c>
      <c r="S68" s="198">
        <f>SUM(S66:S67)</f>
        <v>-32178.395400000001</v>
      </c>
    </row>
    <row r="69" spans="1:23" x14ac:dyDescent="0.25">
      <c r="A69" s="87"/>
      <c r="B69" s="89" t="s">
        <v>139</v>
      </c>
      <c r="C69" s="553">
        <f>+'[3]WACAP2019 Amort'!R86+'[3]WACAP2019 Amort'!R95</f>
        <v>44965.808040000004</v>
      </c>
      <c r="D69" s="549">
        <f>C69+D68</f>
        <v>40777.877060000006</v>
      </c>
      <c r="E69" s="549">
        <f t="shared" ref="E69:O69" si="41">D69+E68</f>
        <v>36124.061160000005</v>
      </c>
      <c r="F69" s="549">
        <f>E69+F68</f>
        <v>31393.011980000003</v>
      </c>
      <c r="G69" s="549">
        <f t="shared" si="41"/>
        <v>27152.153520000003</v>
      </c>
      <c r="H69" s="549">
        <f t="shared" si="41"/>
        <v>22896.742620000005</v>
      </c>
      <c r="I69" s="549">
        <f t="shared" si="41"/>
        <v>19373.862360000003</v>
      </c>
      <c r="J69" s="549">
        <f t="shared" si="41"/>
        <v>16793.647920000003</v>
      </c>
      <c r="K69" s="549">
        <f t="shared" si="41"/>
        <v>14772.042620000004</v>
      </c>
      <c r="L69" s="549">
        <f t="shared" si="41"/>
        <v>12787.412640000004</v>
      </c>
      <c r="M69" s="549">
        <f>L69+M68</f>
        <v>10909.132640000003</v>
      </c>
      <c r="N69" s="549">
        <f t="shared" si="41"/>
        <v>9137.5881000000027</v>
      </c>
      <c r="O69" s="549">
        <f t="shared" si="41"/>
        <v>5754.1177000000025</v>
      </c>
      <c r="P69" s="549">
        <f>+O69+P68</f>
        <v>27404.747700000004</v>
      </c>
      <c r="Q69" s="549">
        <f>P69+Q68</f>
        <v>24836.334880000002</v>
      </c>
      <c r="R69" s="549">
        <f t="shared" ref="R69" si="42">Q69+R68</f>
        <v>21973.711570000003</v>
      </c>
      <c r="S69" s="178"/>
    </row>
    <row r="70" spans="1:23" x14ac:dyDescent="0.25">
      <c r="A70" s="86"/>
      <c r="F70" s="555"/>
      <c r="G70" s="555"/>
      <c r="H70" s="548"/>
      <c r="I70" s="555"/>
      <c r="J70" s="555"/>
      <c r="K70" s="555"/>
      <c r="L70" s="555"/>
      <c r="M70" s="555"/>
      <c r="N70" s="555"/>
      <c r="O70" s="555"/>
      <c r="P70" s="555"/>
      <c r="Q70" s="555"/>
      <c r="R70" s="555"/>
      <c r="S70" s="178"/>
      <c r="U70" s="122"/>
      <c r="V70" s="550"/>
      <c r="W70" s="108" t="e">
        <f>ROUND(#REF!/#REF!,0)</f>
        <v>#REF!</v>
      </c>
    </row>
    <row r="71" spans="1:23" ht="15.75" thickBot="1" x14ac:dyDescent="0.3">
      <c r="A71" s="118"/>
      <c r="B71" s="119"/>
      <c r="C71" s="119"/>
      <c r="D71" s="119"/>
      <c r="E71" s="119"/>
      <c r="F71" s="119"/>
      <c r="G71" s="119"/>
      <c r="H71" s="176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81"/>
    </row>
    <row r="72" spans="1:23" x14ac:dyDescent="0.25">
      <c r="B72" s="89" t="s">
        <v>259</v>
      </c>
      <c r="C72" s="108">
        <f>SUM(C15:C69)+0.02</f>
        <v>1406957.2464400029</v>
      </c>
      <c r="H72" s="108"/>
    </row>
    <row r="73" spans="1:23" x14ac:dyDescent="0.25">
      <c r="B73" s="89" t="s">
        <v>89</v>
      </c>
      <c r="C73" s="556"/>
      <c r="D73" s="557">
        <f>+D12+D30+D39+D21+D57+D48+D66</f>
        <v>383936.54137000005</v>
      </c>
      <c r="E73" s="557">
        <f t="shared" ref="E73:R74" si="43">+E12+E30+E39+E21+E57+E48+E66</f>
        <v>-186539.13160999998</v>
      </c>
      <c r="F73" s="557">
        <f t="shared" si="43"/>
        <v>-232677.95760999995</v>
      </c>
      <c r="G73" s="557">
        <f t="shared" si="43"/>
        <v>-185523.55536999999</v>
      </c>
      <c r="H73" s="557">
        <f t="shared" si="43"/>
        <v>-186051.78346999999</v>
      </c>
      <c r="I73" s="557">
        <f t="shared" si="43"/>
        <v>-140599.89796</v>
      </c>
      <c r="J73" s="557">
        <f t="shared" si="43"/>
        <v>-63018.858980000012</v>
      </c>
      <c r="K73" s="557">
        <f t="shared" si="43"/>
        <v>-38258.950389999984</v>
      </c>
      <c r="L73" s="557">
        <f t="shared" si="43"/>
        <v>-26641.795750000005</v>
      </c>
      <c r="M73" s="557">
        <f t="shared" si="43"/>
        <v>-14204.911440000002</v>
      </c>
      <c r="N73" s="557">
        <f t="shared" si="43"/>
        <v>-16219.968349999997</v>
      </c>
      <c r="O73" s="557">
        <f t="shared" si="43"/>
        <v>-41762.727760000002</v>
      </c>
      <c r="P73" s="557">
        <f t="shared" si="43"/>
        <v>-4410222.4699999988</v>
      </c>
      <c r="Q73" s="557">
        <f t="shared" si="43"/>
        <v>11668.787180000001</v>
      </c>
      <c r="R73" s="557">
        <f t="shared" si="43"/>
        <v>512196.88659000007</v>
      </c>
      <c r="S73" s="559"/>
      <c r="U73" s="108"/>
    </row>
    <row r="74" spans="1:23" x14ac:dyDescent="0.25">
      <c r="B74" s="89" t="s">
        <v>141</v>
      </c>
      <c r="C74" s="89"/>
      <c r="D74" s="558">
        <f>+D13+D31+D40+D22+D58+D49+D67</f>
        <v>6267.7000000000016</v>
      </c>
      <c r="E74" s="558">
        <f t="shared" si="43"/>
        <v>8272.8499999999967</v>
      </c>
      <c r="F74" s="558">
        <f t="shared" si="43"/>
        <v>6819.77</v>
      </c>
      <c r="G74" s="558">
        <f t="shared" si="43"/>
        <v>5489.71</v>
      </c>
      <c r="H74" s="558">
        <f t="shared" si="43"/>
        <v>5109.8999999999996</v>
      </c>
      <c r="I74" s="558">
        <f t="shared" si="43"/>
        <v>4029.2799999999997</v>
      </c>
      <c r="J74" s="558">
        <f t="shared" si="43"/>
        <v>3612.62</v>
      </c>
      <c r="K74" s="558">
        <f t="shared" si="43"/>
        <v>3264.15</v>
      </c>
      <c r="L74" s="558">
        <f t="shared" si="43"/>
        <v>2333.69</v>
      </c>
      <c r="M74" s="558">
        <f t="shared" si="43"/>
        <v>2262.87</v>
      </c>
      <c r="N74" s="558">
        <f t="shared" si="43"/>
        <v>2156.2199999999998</v>
      </c>
      <c r="O74" s="558">
        <f t="shared" si="43"/>
        <v>2072.35</v>
      </c>
      <c r="P74" s="558">
        <f t="shared" si="43"/>
        <v>-159600.07</v>
      </c>
      <c r="Q74" s="558">
        <f t="shared" si="43"/>
        <v>-10307.6</v>
      </c>
      <c r="R74" s="558">
        <f t="shared" si="43"/>
        <v>-10647.4</v>
      </c>
      <c r="S74" s="551"/>
      <c r="U74" s="108"/>
    </row>
    <row r="75" spans="1:23" x14ac:dyDescent="0.25">
      <c r="B75" s="89" t="s">
        <v>139</v>
      </c>
      <c r="C75" s="550"/>
      <c r="D75" s="557">
        <f>SUM(D73:D74)+C72+0.01</f>
        <v>1797161.4978100031</v>
      </c>
      <c r="E75" s="557">
        <f>SUM(E73:E74)+D75-0.01</f>
        <v>1618895.2062000032</v>
      </c>
      <c r="F75" s="557">
        <f>SUM(F73:F74)+E75+0.01</f>
        <v>1393037.0285900033</v>
      </c>
      <c r="G75" s="557">
        <f>SUM(G73:G74)+F75+0.01</f>
        <v>1213003.1932200033</v>
      </c>
      <c r="H75" s="557">
        <f>SUM(H73:H74)+G75-0.01</f>
        <v>1032061.2997500033</v>
      </c>
      <c r="I75" s="557">
        <f>SUM(I73:I74)+H75</f>
        <v>895490.68179000332</v>
      </c>
      <c r="J75" s="557">
        <f>SUM(J73:J74)+I75+0.02</f>
        <v>836084.46281000332</v>
      </c>
      <c r="K75" s="557">
        <f>SUM(K73:K74)+J75</f>
        <v>801089.66242000333</v>
      </c>
      <c r="L75" s="557">
        <f>SUM(L73:L74)+K75+0.01</f>
        <v>776781.56667000335</v>
      </c>
      <c r="M75" s="557">
        <f>SUM(M73:M74)+L75+0.01</f>
        <v>764839.5352300033</v>
      </c>
      <c r="N75" s="557">
        <f>SUM(N73:N74)+M75+0.01</f>
        <v>750775.7968800033</v>
      </c>
      <c r="O75" s="557">
        <f>SUM(O73:O74)+N75</f>
        <v>711085.41912000324</v>
      </c>
      <c r="P75" s="557">
        <f t="shared" ref="P75:R75" si="44">SUM(P73:P74)+O75</f>
        <v>-3858737.1208799956</v>
      </c>
      <c r="Q75" s="557">
        <f>SUM(Q73:Q74)+P75+0.01</f>
        <v>-3857375.923699996</v>
      </c>
      <c r="R75" s="557">
        <f t="shared" si="44"/>
        <v>-3355826.4371099961</v>
      </c>
      <c r="S75" s="90"/>
      <c r="U75" s="108"/>
    </row>
    <row r="76" spans="1:23" x14ac:dyDescent="0.25">
      <c r="B76" s="89"/>
      <c r="C76" s="89"/>
      <c r="D76" s="89"/>
      <c r="E76" s="89"/>
      <c r="F76" s="559"/>
      <c r="G76" s="557"/>
      <c r="H76" s="557"/>
      <c r="I76" s="557"/>
      <c r="J76" s="557"/>
      <c r="K76" s="557"/>
      <c r="L76" s="557"/>
      <c r="M76" s="557"/>
      <c r="N76" s="557"/>
      <c r="O76" s="557"/>
      <c r="P76" s="557"/>
      <c r="Q76" s="557"/>
      <c r="R76" s="557"/>
    </row>
    <row r="77" spans="1:23" x14ac:dyDescent="0.25">
      <c r="C77" s="108"/>
      <c r="F77" s="108"/>
      <c r="R77" s="108"/>
    </row>
    <row r="80" spans="1:23" x14ac:dyDescent="0.25">
      <c r="I80" s="108"/>
      <c r="P80" s="108"/>
    </row>
  </sheetData>
  <mergeCells count="4">
    <mergeCell ref="A1:L1"/>
    <mergeCell ref="A2:L2"/>
    <mergeCell ref="A3:L3"/>
    <mergeCell ref="C4:C5"/>
  </mergeCells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200"/>
  <sheetViews>
    <sheetView topLeftCell="A2" workbookViewId="0"/>
  </sheetViews>
  <sheetFormatPr defaultColWidth="9.140625" defaultRowHeight="15" x14ac:dyDescent="0.25"/>
  <cols>
    <col min="1" max="1" width="1.85546875" customWidth="1"/>
    <col min="2" max="2" width="24.7109375" bestFit="1" customWidth="1"/>
    <col min="3" max="3" width="65.7109375" bestFit="1" customWidth="1"/>
    <col min="4" max="5" width="14" bestFit="1" customWidth="1"/>
    <col min="6" max="6" width="14.28515625" bestFit="1" customWidth="1"/>
    <col min="7" max="7" width="14" bestFit="1" customWidth="1"/>
    <col min="8" max="13" width="14" customWidth="1"/>
    <col min="14" max="14" width="14.28515625" customWidth="1"/>
    <col min="15" max="15" width="14" bestFit="1" customWidth="1"/>
    <col min="16" max="16" width="14" customWidth="1"/>
    <col min="17" max="17" width="1.7109375" customWidth="1"/>
    <col min="18" max="18" width="14" bestFit="1" customWidth="1"/>
    <col min="19" max="19" width="1" customWidth="1"/>
    <col min="20" max="20" width="18.7109375" customWidth="1"/>
    <col min="21" max="21" width="14.28515625" customWidth="1"/>
    <col min="22" max="23" width="13.28515625" customWidth="1"/>
    <col min="24" max="24" width="11.5703125" customWidth="1"/>
    <col min="25" max="25" width="3.140625" customWidth="1"/>
    <col min="26" max="26" width="9.140625" customWidth="1"/>
    <col min="27" max="27" width="3.85546875" customWidth="1"/>
    <col min="28" max="28" width="9.7109375" customWidth="1"/>
    <col min="29" max="29" width="9.140625" customWidth="1"/>
    <col min="30" max="30" width="8" bestFit="1" customWidth="1"/>
    <col min="32" max="32" width="9.7109375" bestFit="1" customWidth="1"/>
    <col min="34" max="34" width="18.7109375" bestFit="1" customWidth="1"/>
    <col min="35" max="35" width="13.28515625" bestFit="1" customWidth="1"/>
    <col min="36" max="36" width="10.5703125" bestFit="1" customWidth="1"/>
    <col min="37" max="37" width="7.5703125" bestFit="1" customWidth="1"/>
    <col min="38" max="38" width="10.5703125" bestFit="1" customWidth="1"/>
    <col min="40" max="40" width="8" bestFit="1" customWidth="1"/>
    <col min="42" max="42" width="9.7109375" bestFit="1" customWidth="1"/>
    <col min="44" max="44" width="18.7109375" bestFit="1" customWidth="1"/>
    <col min="45" max="45" width="13.28515625" bestFit="1" customWidth="1"/>
    <col min="46" max="46" width="10.5703125" bestFit="1" customWidth="1"/>
    <col min="47" max="47" width="7.5703125" bestFit="1" customWidth="1"/>
    <col min="48" max="48" width="10.5703125" bestFit="1" customWidth="1"/>
    <col min="50" max="50" width="8" bestFit="1" customWidth="1"/>
    <col min="52" max="52" width="9.7109375" bestFit="1" customWidth="1"/>
  </cols>
  <sheetData>
    <row r="1" spans="2:52" ht="18.75" hidden="1" x14ac:dyDescent="0.3">
      <c r="B1" s="676" t="s">
        <v>67</v>
      </c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676"/>
      <c r="N1" s="676"/>
      <c r="O1" s="676"/>
      <c r="P1" s="676"/>
    </row>
    <row r="2" spans="2:52" ht="21" x14ac:dyDescent="0.35">
      <c r="B2" s="681" t="s">
        <v>69</v>
      </c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 s="681"/>
    </row>
    <row r="3" spans="2:52" ht="18" thickBot="1" x14ac:dyDescent="0.35">
      <c r="B3" s="682" t="s">
        <v>153</v>
      </c>
      <c r="C3" s="682"/>
      <c r="D3" s="682"/>
      <c r="E3" s="682"/>
      <c r="F3" s="682"/>
      <c r="G3" s="682"/>
      <c r="H3" s="682"/>
      <c r="I3" s="682"/>
      <c r="J3" s="682"/>
      <c r="K3" s="682"/>
      <c r="L3" s="682"/>
      <c r="M3" s="682"/>
      <c r="N3" s="682"/>
      <c r="O3" s="682"/>
      <c r="P3" s="682"/>
      <c r="Q3" s="119"/>
    </row>
    <row r="4" spans="2:52" ht="15.75" x14ac:dyDescent="0.25">
      <c r="B4" s="243" t="s">
        <v>66</v>
      </c>
      <c r="C4" s="244"/>
      <c r="D4" s="245">
        <v>43496</v>
      </c>
      <c r="E4" s="245">
        <v>43524</v>
      </c>
      <c r="F4" s="245">
        <v>43555</v>
      </c>
      <c r="G4" s="245">
        <v>43585</v>
      </c>
      <c r="H4" s="245">
        <v>43616</v>
      </c>
      <c r="I4" s="245">
        <v>43646</v>
      </c>
      <c r="J4" s="245">
        <v>43677</v>
      </c>
      <c r="K4" s="245">
        <v>43708</v>
      </c>
      <c r="L4" s="245">
        <v>43738</v>
      </c>
      <c r="M4" s="245">
        <v>43769</v>
      </c>
      <c r="N4" s="246" t="s">
        <v>147</v>
      </c>
      <c r="O4" s="245">
        <v>43799</v>
      </c>
      <c r="P4" s="247">
        <v>43830</v>
      </c>
      <c r="R4" s="182" t="s">
        <v>135</v>
      </c>
    </row>
    <row r="5" spans="2:52" x14ac:dyDescent="0.25">
      <c r="B5" s="4"/>
      <c r="C5" s="89" t="s">
        <v>136</v>
      </c>
      <c r="D5" s="185">
        <v>5.1799999999999999E-2</v>
      </c>
      <c r="E5" s="185">
        <v>5.1799999999999999E-2</v>
      </c>
      <c r="F5" s="185">
        <v>5.1799999999999999E-2</v>
      </c>
      <c r="G5" s="185">
        <v>5.45E-2</v>
      </c>
      <c r="H5" s="185">
        <v>5.45E-2</v>
      </c>
      <c r="I5" s="185">
        <v>5.45E-2</v>
      </c>
      <c r="J5" s="185">
        <v>5.5E-2</v>
      </c>
      <c r="K5" s="185">
        <v>5.5E-2</v>
      </c>
      <c r="L5" s="185">
        <v>5.5E-2</v>
      </c>
      <c r="M5" s="185">
        <v>5.4199999999999998E-2</v>
      </c>
      <c r="N5" s="201"/>
      <c r="O5" s="185">
        <v>5.4199999999999998E-2</v>
      </c>
      <c r="P5" s="275">
        <v>5.4199999999999998E-2</v>
      </c>
      <c r="Q5" s="178"/>
      <c r="R5" s="284"/>
      <c r="T5" s="256" t="s">
        <v>163</v>
      </c>
    </row>
    <row r="6" spans="2:52" ht="15.75" x14ac:dyDescent="0.25">
      <c r="B6" s="183"/>
      <c r="C6" s="89" t="s">
        <v>140</v>
      </c>
      <c r="D6" s="192">
        <v>31</v>
      </c>
      <c r="E6" s="192">
        <v>28</v>
      </c>
      <c r="F6" s="192">
        <v>31</v>
      </c>
      <c r="G6" s="192">
        <v>30</v>
      </c>
      <c r="H6" s="192">
        <v>31</v>
      </c>
      <c r="I6" s="192">
        <v>30</v>
      </c>
      <c r="J6" s="192">
        <v>31</v>
      </c>
      <c r="K6" s="192">
        <v>31</v>
      </c>
      <c r="L6" s="192">
        <v>30</v>
      </c>
      <c r="M6" s="192">
        <v>31</v>
      </c>
      <c r="N6" s="202"/>
      <c r="O6" s="192">
        <v>30</v>
      </c>
      <c r="P6" s="193">
        <v>31</v>
      </c>
      <c r="R6" s="184"/>
    </row>
    <row r="7" spans="2:52" x14ac:dyDescent="0.25">
      <c r="B7" s="279" t="s">
        <v>84</v>
      </c>
      <c r="C7" s="271">
        <v>502</v>
      </c>
      <c r="D7" s="229" t="s">
        <v>149</v>
      </c>
      <c r="N7" s="203"/>
      <c r="P7" s="6"/>
      <c r="R7" s="178"/>
      <c r="T7" s="224"/>
      <c r="U7" s="224"/>
      <c r="V7" s="224"/>
      <c r="W7" s="224"/>
      <c r="X7" s="224"/>
      <c r="Y7" s="224"/>
      <c r="Z7" s="224"/>
      <c r="AA7" s="224"/>
      <c r="AB7" s="224"/>
    </row>
    <row r="8" spans="2:52" x14ac:dyDescent="0.25">
      <c r="B8" s="87" t="s">
        <v>64</v>
      </c>
      <c r="C8" t="s">
        <v>65</v>
      </c>
      <c r="D8" s="105">
        <v>0</v>
      </c>
      <c r="E8" s="105">
        <v>0</v>
      </c>
      <c r="F8" s="105">
        <v>0</v>
      </c>
      <c r="G8" s="105">
        <v>0</v>
      </c>
      <c r="H8" s="105">
        <v>0</v>
      </c>
      <c r="I8" s="105">
        <v>0</v>
      </c>
      <c r="J8" s="105">
        <v>0</v>
      </c>
      <c r="K8" s="105">
        <v>0</v>
      </c>
      <c r="L8" s="105">
        <v>0</v>
      </c>
      <c r="M8" s="105">
        <v>0</v>
      </c>
      <c r="N8" s="204"/>
      <c r="O8" s="105">
        <v>0</v>
      </c>
      <c r="P8" s="117">
        <v>0</v>
      </c>
      <c r="R8" s="178"/>
      <c r="T8" s="224"/>
      <c r="U8" s="224"/>
      <c r="V8" s="225"/>
      <c r="W8" s="224"/>
      <c r="X8" s="225"/>
      <c r="Y8" s="224"/>
      <c r="Z8" s="224"/>
      <c r="AA8" s="224"/>
      <c r="AB8" s="224"/>
      <c r="AJ8" s="113"/>
      <c r="AL8" s="113"/>
      <c r="AT8" s="113"/>
      <c r="AV8" s="113"/>
    </row>
    <row r="9" spans="2:52" x14ac:dyDescent="0.25">
      <c r="B9" s="87" t="s">
        <v>71</v>
      </c>
      <c r="C9" t="s">
        <v>70</v>
      </c>
      <c r="D9" s="95">
        <v>0</v>
      </c>
      <c r="E9" s="95">
        <v>0</v>
      </c>
      <c r="F9" s="95">
        <v>0</v>
      </c>
      <c r="G9" s="95">
        <v>0</v>
      </c>
      <c r="H9" s="95">
        <v>0</v>
      </c>
      <c r="I9" s="95">
        <v>0</v>
      </c>
      <c r="J9" s="95">
        <v>0</v>
      </c>
      <c r="K9" s="95">
        <f>51.97-51.97</f>
        <v>0</v>
      </c>
      <c r="L9" s="95">
        <v>0</v>
      </c>
      <c r="M9" s="95">
        <v>0</v>
      </c>
      <c r="N9" s="205"/>
      <c r="O9" s="95">
        <v>0</v>
      </c>
      <c r="P9" s="107">
        <v>0</v>
      </c>
      <c r="R9" s="178"/>
      <c r="T9" s="226"/>
      <c r="U9" s="227"/>
      <c r="V9" s="228"/>
      <c r="W9" s="224"/>
      <c r="X9" s="228"/>
      <c r="Y9" s="224"/>
      <c r="Z9" s="224"/>
      <c r="AA9" s="224"/>
      <c r="AB9" s="228"/>
      <c r="AF9" s="112"/>
      <c r="AH9" s="122"/>
      <c r="AI9" s="108"/>
      <c r="AJ9" s="112"/>
      <c r="AL9" s="112"/>
      <c r="AP9" s="112"/>
      <c r="AR9" s="122"/>
      <c r="AS9" s="108"/>
      <c r="AT9" s="112"/>
      <c r="AV9" s="112"/>
      <c r="AZ9" s="112"/>
    </row>
    <row r="10" spans="2:52" x14ac:dyDescent="0.25">
      <c r="B10" s="87"/>
      <c r="C10" s="89" t="s">
        <v>74</v>
      </c>
      <c r="D10" s="108">
        <f t="shared" ref="D10:P10" si="0">D9</f>
        <v>0</v>
      </c>
      <c r="E10" s="108">
        <f t="shared" si="0"/>
        <v>0</v>
      </c>
      <c r="F10" s="108">
        <f t="shared" si="0"/>
        <v>0</v>
      </c>
      <c r="G10" s="108">
        <f t="shared" si="0"/>
        <v>0</v>
      </c>
      <c r="H10" s="108">
        <f t="shared" si="0"/>
        <v>0</v>
      </c>
      <c r="I10" s="108">
        <f t="shared" si="0"/>
        <v>0</v>
      </c>
      <c r="J10" s="108">
        <f t="shared" si="0"/>
        <v>0</v>
      </c>
      <c r="K10" s="108">
        <f t="shared" si="0"/>
        <v>0</v>
      </c>
      <c r="L10" s="108">
        <f t="shared" si="0"/>
        <v>0</v>
      </c>
      <c r="M10" s="108">
        <f t="shared" si="0"/>
        <v>0</v>
      </c>
      <c r="N10" s="206"/>
      <c r="O10" s="108">
        <f t="shared" si="0"/>
        <v>0</v>
      </c>
      <c r="P10" s="109">
        <f t="shared" si="0"/>
        <v>0</v>
      </c>
      <c r="R10" s="178"/>
      <c r="T10" s="226"/>
      <c r="U10" s="227"/>
      <c r="V10" s="228"/>
      <c r="W10" s="224"/>
      <c r="X10" s="228"/>
      <c r="Y10" s="224"/>
      <c r="Z10" s="224"/>
      <c r="AA10" s="224"/>
      <c r="AB10" s="228"/>
      <c r="AF10" s="112"/>
      <c r="AH10" s="122"/>
      <c r="AI10" s="108"/>
      <c r="AJ10" s="112"/>
      <c r="AL10" s="112"/>
      <c r="AP10" s="112"/>
      <c r="AR10" s="122"/>
      <c r="AS10" s="108"/>
      <c r="AT10" s="112"/>
      <c r="AV10" s="112"/>
      <c r="AZ10" s="112"/>
    </row>
    <row r="11" spans="2:52" x14ac:dyDescent="0.25">
      <c r="B11" s="87"/>
      <c r="C11" s="89" t="s">
        <v>73</v>
      </c>
      <c r="D11" s="88">
        <v>0</v>
      </c>
      <c r="E11" s="88">
        <v>0</v>
      </c>
      <c r="F11" s="88">
        <v>0</v>
      </c>
      <c r="G11" s="88">
        <v>0</v>
      </c>
      <c r="H11" s="88">
        <v>0</v>
      </c>
      <c r="I11" s="88">
        <v>0</v>
      </c>
      <c r="J11" s="88">
        <v>0</v>
      </c>
      <c r="K11" s="88">
        <v>0</v>
      </c>
      <c r="L11" s="88">
        <v>0</v>
      </c>
      <c r="M11" s="88">
        <v>0</v>
      </c>
      <c r="N11" s="205"/>
      <c r="O11" s="88">
        <v>0</v>
      </c>
      <c r="P11" s="110">
        <v>0</v>
      </c>
      <c r="R11" s="178"/>
    </row>
    <row r="12" spans="2:52" x14ac:dyDescent="0.25">
      <c r="B12" s="87"/>
      <c r="C12" s="89" t="s">
        <v>75</v>
      </c>
      <c r="D12" s="90">
        <f t="shared" ref="D12:P12" si="1">SUM(D10:D11)</f>
        <v>0</v>
      </c>
      <c r="E12" s="90">
        <f t="shared" si="1"/>
        <v>0</v>
      </c>
      <c r="F12" s="90">
        <f t="shared" si="1"/>
        <v>0</v>
      </c>
      <c r="G12" s="90">
        <f t="shared" si="1"/>
        <v>0</v>
      </c>
      <c r="H12" s="90">
        <f t="shared" si="1"/>
        <v>0</v>
      </c>
      <c r="I12" s="90">
        <f t="shared" si="1"/>
        <v>0</v>
      </c>
      <c r="J12" s="90">
        <f t="shared" si="1"/>
        <v>0</v>
      </c>
      <c r="K12" s="90">
        <f t="shared" si="1"/>
        <v>0</v>
      </c>
      <c r="L12" s="90">
        <f t="shared" si="1"/>
        <v>0</v>
      </c>
      <c r="M12" s="90">
        <f t="shared" si="1"/>
        <v>0</v>
      </c>
      <c r="N12" s="215">
        <f>-'WACAP 2018'!Q14</f>
        <v>-8606.2899999999991</v>
      </c>
      <c r="O12" s="90">
        <f t="shared" si="1"/>
        <v>0</v>
      </c>
      <c r="P12" s="111">
        <f t="shared" si="1"/>
        <v>0</v>
      </c>
      <c r="R12" s="180">
        <f>SUM(D12:Q12)-N12</f>
        <v>0</v>
      </c>
    </row>
    <row r="13" spans="2:52" x14ac:dyDescent="0.25">
      <c r="B13" s="87"/>
      <c r="C13" s="89" t="s">
        <v>137</v>
      </c>
      <c r="D13" s="187">
        <f>ROUND(ROUND('WACAP 2018'!O15*D$5,2)/365*D$6,2)</f>
        <v>37.86</v>
      </c>
      <c r="E13" s="187">
        <f>ROUND(ROUND(D15*E$5,2)/365*E$6,2)</f>
        <v>34.35</v>
      </c>
      <c r="F13" s="187">
        <f t="shared" ref="F13:P13" si="2">ROUND(ROUND(E15*F$5,2)/365*F$6,2)</f>
        <v>38.18</v>
      </c>
      <c r="G13" s="187">
        <f t="shared" si="2"/>
        <v>39.049999999999997</v>
      </c>
      <c r="H13" s="187">
        <f t="shared" si="2"/>
        <v>40.53</v>
      </c>
      <c r="I13" s="187">
        <f t="shared" si="2"/>
        <v>39.4</v>
      </c>
      <c r="J13" s="187">
        <f t="shared" si="2"/>
        <v>41.27</v>
      </c>
      <c r="K13" s="187">
        <f t="shared" si="2"/>
        <v>41.47</v>
      </c>
      <c r="L13" s="187">
        <f t="shared" si="2"/>
        <v>40.32</v>
      </c>
      <c r="M13" s="187">
        <f t="shared" si="2"/>
        <v>41.24</v>
      </c>
      <c r="N13" s="231">
        <f>'Ammort Split 2019'!N13</f>
        <v>-393.67</v>
      </c>
      <c r="O13" s="187">
        <f>ROUND(ROUND(N15*O$5,2)/365*O$6,2)</f>
        <v>0</v>
      </c>
      <c r="P13" s="188">
        <f t="shared" si="2"/>
        <v>0</v>
      </c>
      <c r="R13" s="196">
        <f>SUM(D13:Q13)</f>
        <v>0</v>
      </c>
    </row>
    <row r="14" spans="2:52" x14ac:dyDescent="0.25">
      <c r="B14" s="87"/>
      <c r="C14" s="89" t="s">
        <v>138</v>
      </c>
      <c r="D14" s="189">
        <f t="shared" ref="D14:P14" si="3">SUM(D12:D13)</f>
        <v>37.86</v>
      </c>
      <c r="E14" s="189">
        <f t="shared" si="3"/>
        <v>34.35</v>
      </c>
      <c r="F14" s="189">
        <f t="shared" si="3"/>
        <v>38.18</v>
      </c>
      <c r="G14" s="189">
        <f t="shared" si="3"/>
        <v>39.049999999999997</v>
      </c>
      <c r="H14" s="189">
        <f t="shared" si="3"/>
        <v>40.53</v>
      </c>
      <c r="I14" s="189">
        <f t="shared" si="3"/>
        <v>39.4</v>
      </c>
      <c r="J14" s="189">
        <f t="shared" si="3"/>
        <v>41.27</v>
      </c>
      <c r="K14" s="189">
        <f t="shared" si="3"/>
        <v>41.47</v>
      </c>
      <c r="L14" s="189">
        <f t="shared" si="3"/>
        <v>40.32</v>
      </c>
      <c r="M14" s="189">
        <f t="shared" si="3"/>
        <v>41.24</v>
      </c>
      <c r="N14" s="209">
        <f t="shared" si="3"/>
        <v>-8999.9599999999991</v>
      </c>
      <c r="O14" s="189">
        <f t="shared" si="3"/>
        <v>0</v>
      </c>
      <c r="P14" s="190">
        <f t="shared" si="3"/>
        <v>0</v>
      </c>
      <c r="R14" s="198">
        <f>SUM(R12:R13)</f>
        <v>0</v>
      </c>
    </row>
    <row r="15" spans="2:52" x14ac:dyDescent="0.25">
      <c r="B15" s="87"/>
      <c r="C15" s="89" t="s">
        <v>139</v>
      </c>
      <c r="D15" s="90">
        <f>'WACAP 2018'!O15+'WACAP 2019'!D14</f>
        <v>8644.1500000000051</v>
      </c>
      <c r="E15" s="90">
        <f t="shared" ref="E15:P15" si="4">D15+E14</f>
        <v>8678.5000000000055</v>
      </c>
      <c r="F15" s="90">
        <f t="shared" si="4"/>
        <v>8716.6800000000057</v>
      </c>
      <c r="G15" s="90">
        <f t="shared" si="4"/>
        <v>8755.730000000005</v>
      </c>
      <c r="H15" s="90">
        <f t="shared" si="4"/>
        <v>8796.2600000000057</v>
      </c>
      <c r="I15" s="90">
        <f t="shared" si="4"/>
        <v>8835.6600000000053</v>
      </c>
      <c r="J15" s="90">
        <f t="shared" si="4"/>
        <v>8876.9300000000057</v>
      </c>
      <c r="K15" s="90">
        <f t="shared" si="4"/>
        <v>8918.4000000000051</v>
      </c>
      <c r="L15" s="90">
        <f t="shared" si="4"/>
        <v>8958.7200000000048</v>
      </c>
      <c r="M15" s="90">
        <f t="shared" si="4"/>
        <v>8999.9600000000046</v>
      </c>
      <c r="N15" s="207">
        <f t="shared" si="4"/>
        <v>0</v>
      </c>
      <c r="O15" s="90">
        <f t="shared" si="4"/>
        <v>0</v>
      </c>
      <c r="P15" s="191">
        <f t="shared" si="4"/>
        <v>0</v>
      </c>
      <c r="R15" s="178"/>
    </row>
    <row r="16" spans="2:52" x14ac:dyDescent="0.25">
      <c r="B16" s="86"/>
      <c r="D16" s="113"/>
      <c r="E16" s="113"/>
      <c r="F16" s="108"/>
      <c r="G16" s="112"/>
      <c r="H16" s="112"/>
      <c r="I16" s="112"/>
      <c r="J16" s="112"/>
      <c r="K16" s="112"/>
      <c r="L16" s="112"/>
      <c r="M16" s="112"/>
      <c r="N16" s="210"/>
      <c r="O16" s="112"/>
      <c r="P16" s="114"/>
      <c r="Q16" s="113"/>
      <c r="R16" s="179"/>
      <c r="U16">
        <v>503</v>
      </c>
      <c r="AK16" s="104"/>
      <c r="AU16" s="104"/>
    </row>
    <row r="17" spans="2:52" ht="15.75" x14ac:dyDescent="0.25">
      <c r="B17" s="279" t="s">
        <v>84</v>
      </c>
      <c r="C17" s="271">
        <v>503</v>
      </c>
      <c r="D17" s="113"/>
      <c r="E17" s="113"/>
      <c r="F17" s="108"/>
      <c r="G17" s="108"/>
      <c r="H17" s="113"/>
      <c r="I17" s="113"/>
      <c r="J17" s="113"/>
      <c r="K17" s="113"/>
      <c r="L17" s="113"/>
      <c r="M17" s="113"/>
      <c r="N17" s="204"/>
      <c r="O17" s="113"/>
      <c r="P17" s="115"/>
      <c r="Q17" s="113"/>
      <c r="R17" s="179"/>
      <c r="V17" s="254">
        <v>17650518</v>
      </c>
      <c r="W17" t="s">
        <v>92</v>
      </c>
      <c r="X17" s="113">
        <f>V17</f>
        <v>17650518</v>
      </c>
      <c r="AJ17" s="113"/>
      <c r="AL17" s="113"/>
      <c r="AT17" s="113"/>
      <c r="AV17" s="113"/>
    </row>
    <row r="18" spans="2:52" ht="15.75" x14ac:dyDescent="0.25">
      <c r="B18" s="87" t="s">
        <v>64</v>
      </c>
      <c r="C18" t="s">
        <v>172</v>
      </c>
      <c r="D18" s="250">
        <v>190816</v>
      </c>
      <c r="E18" s="250">
        <v>191181</v>
      </c>
      <c r="F18" s="250">
        <v>191240</v>
      </c>
      <c r="G18" s="250">
        <v>191097</v>
      </c>
      <c r="H18" s="250">
        <v>190896</v>
      </c>
      <c r="I18" s="250">
        <v>190735</v>
      </c>
      <c r="J18" s="250">
        <v>190627</v>
      </c>
      <c r="K18" s="250">
        <v>190658</v>
      </c>
      <c r="L18" s="250">
        <v>191291</v>
      </c>
      <c r="M18" s="250">
        <v>192838</v>
      </c>
      <c r="N18" s="204"/>
      <c r="O18" s="250">
        <v>193448</v>
      </c>
      <c r="P18" s="294">
        <v>193905</v>
      </c>
      <c r="Q18" s="108"/>
      <c r="R18" s="180"/>
      <c r="T18" s="122" t="s">
        <v>90</v>
      </c>
      <c r="U18" s="255">
        <v>4801832.72</v>
      </c>
      <c r="V18" s="112">
        <f>U18/V17</f>
        <v>0.2720505267890721</v>
      </c>
      <c r="X18" s="112">
        <f>U18/X17</f>
        <v>0.2720505267890721</v>
      </c>
      <c r="Z18">
        <v>0.27205000000000001</v>
      </c>
      <c r="AB18" s="112">
        <f>Z18-X18</f>
        <v>-5.2678907208614234E-7</v>
      </c>
      <c r="AF18" s="112"/>
      <c r="AH18" s="122"/>
      <c r="AI18" s="108"/>
      <c r="AJ18" s="112"/>
      <c r="AL18" s="112"/>
      <c r="AP18" s="112"/>
      <c r="AR18" s="122"/>
      <c r="AS18" s="108"/>
      <c r="AT18" s="112"/>
      <c r="AV18" s="112"/>
      <c r="AZ18" s="112"/>
    </row>
    <row r="19" spans="2:52" ht="15.75" x14ac:dyDescent="0.25">
      <c r="B19" s="87" t="s">
        <v>71</v>
      </c>
      <c r="C19" t="s">
        <v>70</v>
      </c>
      <c r="D19" s="251">
        <v>5284738.49</v>
      </c>
      <c r="E19" s="251">
        <v>5665855.4100000001</v>
      </c>
      <c r="F19" s="251">
        <v>6095743.0599999996</v>
      </c>
      <c r="G19" s="251">
        <v>3335957.1</v>
      </c>
      <c r="H19" s="251">
        <v>2015767.5</v>
      </c>
      <c r="I19" s="251">
        <v>1100880.3799999999</v>
      </c>
      <c r="J19" s="251">
        <v>875303.46</v>
      </c>
      <c r="K19" s="251">
        <v>754930.51</v>
      </c>
      <c r="L19" s="251">
        <v>732277.02</v>
      </c>
      <c r="M19" s="251">
        <v>1732073.44</v>
      </c>
      <c r="N19" s="206"/>
      <c r="O19" s="251">
        <v>3163652.94</v>
      </c>
      <c r="P19" s="287">
        <v>4801832.72</v>
      </c>
      <c r="Q19" s="108"/>
      <c r="R19" s="180"/>
      <c r="T19" s="122" t="s">
        <v>91</v>
      </c>
      <c r="U19" s="255">
        <v>7735997.6799999997</v>
      </c>
      <c r="V19" s="112">
        <f>U19/V17</f>
        <v>0.4382872887923176</v>
      </c>
      <c r="X19" s="112">
        <f>U19/X17</f>
        <v>0.4382872887923176</v>
      </c>
      <c r="Z19" s="249">
        <v>0.43833</v>
      </c>
      <c r="AB19" s="112">
        <f>Z19-X19</f>
        <v>4.2711207682399888E-5</v>
      </c>
      <c r="AF19" s="112"/>
      <c r="AH19" s="122"/>
      <c r="AI19" s="108"/>
      <c r="AJ19" s="112"/>
      <c r="AL19" s="112"/>
      <c r="AP19" s="112"/>
      <c r="AR19" s="122"/>
      <c r="AS19" s="108"/>
      <c r="AT19" s="112"/>
      <c r="AV19" s="112"/>
      <c r="AZ19" s="112"/>
    </row>
    <row r="20" spans="2:52" x14ac:dyDescent="0.25">
      <c r="B20" s="248" t="s">
        <v>72</v>
      </c>
      <c r="C20" s="249" t="s">
        <v>114</v>
      </c>
      <c r="D20" s="128">
        <f>ROUND(13677389*0.27205,2)</f>
        <v>3720933.68</v>
      </c>
      <c r="E20" s="128">
        <f>ROUND(17127329*0.27205,2)</f>
        <v>4659489.8499999996</v>
      </c>
      <c r="F20" s="128">
        <f>ROUND(11032733*0.27205,2)</f>
        <v>3001455.01</v>
      </c>
      <c r="G20" s="128">
        <f>ROUND(5722513*0.27205,2)</f>
        <v>1556809.66</v>
      </c>
      <c r="H20" s="128">
        <f>ROUND(3331371*0.27205,2)</f>
        <v>906299.48</v>
      </c>
      <c r="I20" s="128">
        <f>ROUND(2187188*0.27205,2)</f>
        <v>595024.5</v>
      </c>
      <c r="J20" s="128">
        <f>ROUND(2058587*0.27205,2)</f>
        <v>560038.59</v>
      </c>
      <c r="K20" s="128">
        <f>ROUND(1100941*0.27205,2)</f>
        <v>299511</v>
      </c>
      <c r="L20" s="128">
        <f>ROUND(2696601*0.27205,2)</f>
        <v>733610.3</v>
      </c>
      <c r="M20" s="128">
        <f>ROUND(7415550*0.27205,2)</f>
        <v>2017400.38</v>
      </c>
      <c r="N20" s="206"/>
      <c r="O20" s="128">
        <f>ROUND(11690320*0.27205,2)</f>
        <v>3180351.56</v>
      </c>
      <c r="P20" s="289">
        <f>ROUND(13833214*0.27205,2)</f>
        <v>3763325.87</v>
      </c>
      <c r="Q20" s="108"/>
      <c r="R20" s="180"/>
      <c r="T20" s="122"/>
      <c r="U20" s="108"/>
      <c r="V20" s="112"/>
      <c r="X20" s="112"/>
      <c r="AB20" s="112"/>
    </row>
    <row r="21" spans="2:52" x14ac:dyDescent="0.25">
      <c r="B21" s="87" t="s">
        <v>72</v>
      </c>
      <c r="C21" t="s">
        <v>115</v>
      </c>
      <c r="D21" s="88">
        <f>-'WACAP 2018'!O20</f>
        <v>-3720439.63</v>
      </c>
      <c r="E21" s="88">
        <f t="shared" ref="E21:F21" si="5">-D20</f>
        <v>-3720933.68</v>
      </c>
      <c r="F21" s="88">
        <f t="shared" si="5"/>
        <v>-4659489.8499999996</v>
      </c>
      <c r="G21" s="88">
        <f>-F20</f>
        <v>-3001455.01</v>
      </c>
      <c r="H21" s="88">
        <f>-G20</f>
        <v>-1556809.66</v>
      </c>
      <c r="I21" s="88">
        <f>-H20</f>
        <v>-906299.48</v>
      </c>
      <c r="J21" s="88">
        <f>-I20</f>
        <v>-595024.5</v>
      </c>
      <c r="K21" s="88">
        <f>-J20</f>
        <v>-560038.59</v>
      </c>
      <c r="L21" s="88">
        <f t="shared" ref="L21:M21" si="6">-K20</f>
        <v>-299511</v>
      </c>
      <c r="M21" s="88">
        <f t="shared" si="6"/>
        <v>-733610.3</v>
      </c>
      <c r="N21" s="205"/>
      <c r="O21" s="88">
        <f>-M20</f>
        <v>-2017400.38</v>
      </c>
      <c r="P21" s="110">
        <f>-O20</f>
        <v>-3180351.56</v>
      </c>
      <c r="Q21" s="108"/>
      <c r="R21" s="180"/>
      <c r="V21" s="113"/>
      <c r="X21" s="113"/>
    </row>
    <row r="22" spans="2:52" x14ac:dyDescent="0.25">
      <c r="B22" s="87"/>
      <c r="C22" s="122" t="s">
        <v>74</v>
      </c>
      <c r="D22" s="108">
        <f t="shared" ref="D22:P22" si="7">SUM(D19:D21)</f>
        <v>5285232.54</v>
      </c>
      <c r="E22" s="108">
        <f t="shared" si="7"/>
        <v>6604411.5800000001</v>
      </c>
      <c r="F22" s="108">
        <f t="shared" si="7"/>
        <v>4437708.2200000007</v>
      </c>
      <c r="G22" s="108">
        <f t="shared" si="7"/>
        <v>1891311.75</v>
      </c>
      <c r="H22" s="108">
        <f t="shared" si="7"/>
        <v>1365257.32</v>
      </c>
      <c r="I22" s="108">
        <f t="shared" si="7"/>
        <v>789605.39999999991</v>
      </c>
      <c r="J22" s="108">
        <f t="shared" si="7"/>
        <v>840317.54999999981</v>
      </c>
      <c r="K22" s="108">
        <f t="shared" ref="K22:O22" si="8">SUM(K19:K21)</f>
        <v>494402.92000000004</v>
      </c>
      <c r="L22" s="108">
        <f t="shared" si="8"/>
        <v>1166376.32</v>
      </c>
      <c r="M22" s="108">
        <f t="shared" si="8"/>
        <v>3015863.5199999996</v>
      </c>
      <c r="N22" s="206"/>
      <c r="O22" s="108">
        <f t="shared" si="8"/>
        <v>4326604.12</v>
      </c>
      <c r="P22" s="109">
        <f t="shared" si="7"/>
        <v>5384807.0299999993</v>
      </c>
      <c r="R22" s="178"/>
      <c r="T22" s="122"/>
      <c r="U22" s="108"/>
      <c r="V22" s="112"/>
      <c r="X22" s="112"/>
      <c r="AB22" s="112"/>
    </row>
    <row r="23" spans="2:52" x14ac:dyDescent="0.25">
      <c r="B23" s="87"/>
      <c r="C23" s="122" t="s">
        <v>73</v>
      </c>
      <c r="D23" s="88">
        <f>ROUND(-'Authorized Margins 2018'!J10*'WACAP 2019'!D18,2)</f>
        <v>-5791265.5999999996</v>
      </c>
      <c r="E23" s="88">
        <f>ROUND(-'Authorized Margins 2018'!K10*'WACAP 2019'!E18,2)</f>
        <v>-4263336.3</v>
      </c>
      <c r="F23" s="88">
        <f>ROUND(-'Authorized Margins 2018'!L10*'WACAP 2019'!F18,2)</f>
        <v>-3903208.4</v>
      </c>
      <c r="G23" s="88">
        <f>ROUND(-'Authorized Margins 2018'!M10*'WACAP 2019'!G18,2)</f>
        <v>-2392534.44</v>
      </c>
      <c r="H23" s="88">
        <f>ROUND(-'Authorized Margins 2018'!N10*'WACAP 2019'!H18,2)</f>
        <v>-1361088.48</v>
      </c>
      <c r="I23" s="88">
        <f>ROUND(-'Authorized Margins 2018'!O10*'WACAP 2019'!I18,2)</f>
        <v>-894547.15</v>
      </c>
      <c r="J23" s="88">
        <f>ROUND(-'Authorized Margins 2018'!D10*'WACAP 2019'!J18,2)</f>
        <v>-800633.4</v>
      </c>
      <c r="K23" s="88">
        <f>ROUND(-'Authorized Margins 2018'!E10*'WACAP 2019'!K18,2)</f>
        <v>-667303</v>
      </c>
      <c r="L23" s="88">
        <f>ROUND(-'Authorized Margins 2018'!F10*'WACAP 2019'!L18,2)</f>
        <v>-988974.47</v>
      </c>
      <c r="M23" s="88">
        <f>ROUND(-'Authorized Margins 2018'!G10*'WACAP 2019'!M18,2)</f>
        <v>-2493395.34</v>
      </c>
      <c r="N23" s="205"/>
      <c r="O23" s="88">
        <f>ROUND(-'Authorized Margins 2018'!H10*'WACAP 2019'!O18,2)</f>
        <v>-4650489.92</v>
      </c>
      <c r="P23" s="110">
        <f>ROUND(-'Authorized Margins 2018'!I10*'WACAP 2019'!P18,2)</f>
        <v>-6197203.7999999998</v>
      </c>
      <c r="R23" s="178"/>
      <c r="AT23" s="113"/>
      <c r="AV23" s="113"/>
    </row>
    <row r="24" spans="2:52" x14ac:dyDescent="0.25">
      <c r="B24" s="87"/>
      <c r="C24" s="122" t="s">
        <v>75</v>
      </c>
      <c r="D24" s="90">
        <f t="shared" ref="D24:P24" si="9">SUM(D22:D23)</f>
        <v>-506033.05999999959</v>
      </c>
      <c r="E24" s="90">
        <f t="shared" si="9"/>
        <v>2341075.2800000003</v>
      </c>
      <c r="F24" s="90">
        <f t="shared" si="9"/>
        <v>534499.82000000076</v>
      </c>
      <c r="G24" s="90">
        <f t="shared" si="9"/>
        <v>-501222.68999999994</v>
      </c>
      <c r="H24" s="90">
        <f t="shared" si="9"/>
        <v>4168.8400000000838</v>
      </c>
      <c r="I24" s="90">
        <f t="shared" si="9"/>
        <v>-104941.75000000012</v>
      </c>
      <c r="J24" s="90">
        <f t="shared" si="9"/>
        <v>39684.14999999979</v>
      </c>
      <c r="K24" s="90">
        <f t="shared" si="9"/>
        <v>-172900.07999999996</v>
      </c>
      <c r="L24" s="90">
        <f t="shared" si="9"/>
        <v>177401.85000000009</v>
      </c>
      <c r="M24" s="90">
        <f t="shared" si="9"/>
        <v>522468.1799999997</v>
      </c>
      <c r="N24" s="215">
        <f>-'WACAP 2018'!Q26</f>
        <v>1444647.4400000013</v>
      </c>
      <c r="O24" s="90">
        <f t="shared" si="9"/>
        <v>-323885.79999999981</v>
      </c>
      <c r="P24" s="111">
        <f t="shared" si="9"/>
        <v>-812396.77000000048</v>
      </c>
      <c r="R24" s="180">
        <f>SUM(D24:Q24)-N24</f>
        <v>1197917.9700000007</v>
      </c>
      <c r="AR24" s="122"/>
      <c r="AS24" s="108"/>
      <c r="AT24" s="112"/>
      <c r="AV24" s="112"/>
      <c r="AZ24" s="112"/>
    </row>
    <row r="25" spans="2:52" x14ac:dyDescent="0.25">
      <c r="B25" s="87"/>
      <c r="C25" s="122" t="s">
        <v>137</v>
      </c>
      <c r="D25" s="187">
        <f>ROUND(ROUND('WACAP 2018'!O27*D$5,2)/365*D$6,2)</f>
        <v>-6355.66</v>
      </c>
      <c r="E25" s="187">
        <f>ROUND(ROUND(D27*E$5,2)/365*E$6,2)</f>
        <v>-7776.67</v>
      </c>
      <c r="F25" s="187">
        <f t="shared" ref="F25:M25" si="10">ROUND(ROUND(E27*F$5,2)/365*F$6,2)</f>
        <v>1655.35</v>
      </c>
      <c r="G25" s="187">
        <f t="shared" si="10"/>
        <v>4087.13</v>
      </c>
      <c r="H25" s="187">
        <f t="shared" si="10"/>
        <v>1922.24</v>
      </c>
      <c r="I25" s="187">
        <f t="shared" si="10"/>
        <v>1887.52</v>
      </c>
      <c r="J25" s="187">
        <f t="shared" si="10"/>
        <v>1486.94</v>
      </c>
      <c r="K25" s="187">
        <f t="shared" si="10"/>
        <v>1679.26</v>
      </c>
      <c r="L25" s="187">
        <f t="shared" si="10"/>
        <v>851.08</v>
      </c>
      <c r="M25" s="187">
        <f t="shared" si="10"/>
        <v>1687.21</v>
      </c>
      <c r="N25" s="231">
        <f>'Ammort Split 2019'!N25</f>
        <v>66080.39</v>
      </c>
      <c r="O25" s="187">
        <f>ROUND(ROUND(N27*O$5,2)/365*O$6,2)</f>
        <v>10697.77</v>
      </c>
      <c r="P25" s="188">
        <f t="shared" ref="P25" si="11">ROUND(ROUND(O27*P$5,2)/365*P$6,2)</f>
        <v>9612.67</v>
      </c>
      <c r="R25" s="196">
        <f>SUM(D25:Q25)</f>
        <v>87515.23000000001</v>
      </c>
    </row>
    <row r="26" spans="2:52" x14ac:dyDescent="0.25">
      <c r="B26" s="87"/>
      <c r="C26" s="122" t="s">
        <v>138</v>
      </c>
      <c r="D26" s="189">
        <f t="shared" ref="D26:P26" si="12">SUM(D24:D25)</f>
        <v>-512388.71999999956</v>
      </c>
      <c r="E26" s="189">
        <f t="shared" si="12"/>
        <v>2333298.6100000003</v>
      </c>
      <c r="F26" s="189">
        <f t="shared" si="12"/>
        <v>536155.17000000074</v>
      </c>
      <c r="G26" s="189">
        <f t="shared" si="12"/>
        <v>-497135.55999999994</v>
      </c>
      <c r="H26" s="189">
        <f t="shared" si="12"/>
        <v>6091.0800000000836</v>
      </c>
      <c r="I26" s="189">
        <f t="shared" si="12"/>
        <v>-103054.23000000011</v>
      </c>
      <c r="J26" s="189">
        <f t="shared" si="12"/>
        <v>41171.089999999793</v>
      </c>
      <c r="K26" s="189">
        <f t="shared" si="12"/>
        <v>-171220.81999999995</v>
      </c>
      <c r="L26" s="189">
        <f t="shared" si="12"/>
        <v>178252.93000000008</v>
      </c>
      <c r="M26" s="189">
        <f t="shared" si="12"/>
        <v>524155.38999999972</v>
      </c>
      <c r="N26" s="209">
        <f t="shared" si="12"/>
        <v>1510727.8300000012</v>
      </c>
      <c r="O26" s="189">
        <f t="shared" si="12"/>
        <v>-313188.0299999998</v>
      </c>
      <c r="P26" s="190">
        <f t="shared" si="12"/>
        <v>-802784.10000000044</v>
      </c>
      <c r="R26" s="198">
        <f>SUM(R24:R25)</f>
        <v>1285433.2000000007</v>
      </c>
    </row>
    <row r="27" spans="2:52" x14ac:dyDescent="0.25">
      <c r="B27" s="87"/>
      <c r="C27" s="122" t="s">
        <v>139</v>
      </c>
      <c r="D27" s="90">
        <f>'WACAP 2018'!O27+'WACAP 2019'!D26</f>
        <v>-1957036.1600000006</v>
      </c>
      <c r="E27" s="90">
        <f t="shared" ref="E27:P27" si="13">D27+E26</f>
        <v>376262.44999999972</v>
      </c>
      <c r="F27" s="90">
        <f t="shared" si="13"/>
        <v>912417.62000000046</v>
      </c>
      <c r="G27" s="90">
        <f t="shared" si="13"/>
        <v>415282.06000000052</v>
      </c>
      <c r="H27" s="90">
        <f t="shared" si="13"/>
        <v>421373.1400000006</v>
      </c>
      <c r="I27" s="90">
        <f t="shared" si="13"/>
        <v>318318.9100000005</v>
      </c>
      <c r="J27" s="90">
        <f t="shared" si="13"/>
        <v>359490.00000000029</v>
      </c>
      <c r="K27" s="90">
        <f t="shared" si="13"/>
        <v>188269.18000000034</v>
      </c>
      <c r="L27" s="90">
        <f t="shared" si="13"/>
        <v>366522.11000000045</v>
      </c>
      <c r="M27" s="90">
        <f t="shared" si="13"/>
        <v>890677.50000000023</v>
      </c>
      <c r="N27" s="207">
        <f t="shared" si="13"/>
        <v>2401405.3300000015</v>
      </c>
      <c r="O27" s="90">
        <f t="shared" si="13"/>
        <v>2088217.3000000017</v>
      </c>
      <c r="P27" s="191">
        <f t="shared" si="13"/>
        <v>1285433.2000000011</v>
      </c>
      <c r="R27" s="178"/>
      <c r="V27" s="108">
        <f>ROUND(U32/Z32,0)</f>
        <v>190723</v>
      </c>
    </row>
    <row r="28" spans="2:52" x14ac:dyDescent="0.25">
      <c r="B28" s="87"/>
      <c r="C28" s="89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207"/>
      <c r="O28" s="90"/>
      <c r="P28" s="111"/>
      <c r="R28" s="178"/>
      <c r="T28" s="122"/>
      <c r="U28" s="108"/>
      <c r="V28" s="108">
        <f>ROUND(U33/Z33,0)</f>
        <v>663264</v>
      </c>
      <c r="AR28" s="122"/>
      <c r="AS28" s="108"/>
      <c r="AT28" s="112"/>
      <c r="AV28" s="112"/>
      <c r="AZ28" s="112"/>
    </row>
    <row r="29" spans="2:52" x14ac:dyDescent="0.25">
      <c r="B29" s="279" t="s">
        <v>85</v>
      </c>
      <c r="C29" s="271">
        <v>505</v>
      </c>
      <c r="D29" s="113"/>
      <c r="E29" s="113"/>
      <c r="F29" s="108"/>
      <c r="G29" s="113"/>
      <c r="H29" s="113"/>
      <c r="I29" s="113"/>
      <c r="J29" s="113"/>
      <c r="K29" s="113"/>
      <c r="L29" s="113"/>
      <c r="M29" s="113"/>
      <c r="N29" s="204"/>
      <c r="O29" s="113"/>
      <c r="P29" s="115"/>
      <c r="R29" s="178"/>
      <c r="U29">
        <v>505</v>
      </c>
      <c r="V29" s="108">
        <f>ROUND(U34/Z34,0)</f>
        <v>568662</v>
      </c>
      <c r="W29" s="108">
        <f>SUM(V27:V29)</f>
        <v>1422649</v>
      </c>
    </row>
    <row r="30" spans="2:52" ht="15.75" x14ac:dyDescent="0.25">
      <c r="B30" s="87" t="s">
        <v>64</v>
      </c>
      <c r="C30" t="s">
        <v>172</v>
      </c>
      <c r="D30" s="250">
        <v>475</v>
      </c>
      <c r="E30" s="250">
        <v>479</v>
      </c>
      <c r="F30" s="250">
        <v>478</v>
      </c>
      <c r="G30" s="250">
        <v>479</v>
      </c>
      <c r="H30" s="250">
        <v>477</v>
      </c>
      <c r="I30" s="250">
        <v>478</v>
      </c>
      <c r="J30" s="250">
        <v>478</v>
      </c>
      <c r="K30" s="250">
        <v>478</v>
      </c>
      <c r="L30" s="250">
        <v>480</v>
      </c>
      <c r="M30" s="250">
        <v>481</v>
      </c>
      <c r="N30" s="204"/>
      <c r="O30" s="250">
        <v>481</v>
      </c>
      <c r="P30" s="294">
        <v>479</v>
      </c>
      <c r="Q30" s="108"/>
      <c r="R30" s="180"/>
      <c r="V30" s="253">
        <v>1422636</v>
      </c>
      <c r="W30" t="s">
        <v>92</v>
      </c>
      <c r="X30" s="113"/>
    </row>
    <row r="31" spans="2:52" x14ac:dyDescent="0.25">
      <c r="B31" s="87" t="s">
        <v>71</v>
      </c>
      <c r="C31" t="s">
        <v>117</v>
      </c>
      <c r="D31" s="251"/>
      <c r="E31" s="251"/>
      <c r="F31" s="251"/>
      <c r="G31" s="251"/>
      <c r="H31" s="251"/>
      <c r="I31" s="251"/>
      <c r="J31" s="251"/>
      <c r="K31" s="251"/>
      <c r="L31" s="251"/>
      <c r="M31" s="116"/>
      <c r="N31" s="206"/>
      <c r="O31" s="116"/>
      <c r="P31" s="117"/>
      <c r="Q31" s="108"/>
      <c r="R31" s="180"/>
      <c r="T31" s="122"/>
      <c r="U31" s="108"/>
      <c r="V31" s="112"/>
      <c r="X31" s="112"/>
      <c r="AB31" s="112">
        <f>Z31-X31</f>
        <v>0</v>
      </c>
    </row>
    <row r="32" spans="2:52" ht="15.75" x14ac:dyDescent="0.25">
      <c r="B32" s="87" t="s">
        <v>71</v>
      </c>
      <c r="C32" t="s">
        <v>95</v>
      </c>
      <c r="D32" s="251">
        <v>34179.919999999998</v>
      </c>
      <c r="E32" s="251">
        <v>34768.1</v>
      </c>
      <c r="F32" s="251">
        <v>36803.620000000003</v>
      </c>
      <c r="G32" s="251">
        <v>32246.880000000001</v>
      </c>
      <c r="H32" s="251">
        <v>24615.73</v>
      </c>
      <c r="I32" s="251">
        <v>18807.37</v>
      </c>
      <c r="J32" s="251">
        <v>15807.1</v>
      </c>
      <c r="K32" s="251">
        <v>15067.69</v>
      </c>
      <c r="L32" s="251">
        <v>16169.87</v>
      </c>
      <c r="M32" s="251">
        <v>23148.720000000001</v>
      </c>
      <c r="N32" s="206"/>
      <c r="O32" s="251">
        <v>30802.25</v>
      </c>
      <c r="P32" s="287">
        <v>34046.019999999997</v>
      </c>
      <c r="Q32" s="108"/>
      <c r="R32" s="180"/>
      <c r="T32" s="122" t="s">
        <v>90</v>
      </c>
      <c r="U32" s="292">
        <v>34046.019999999997</v>
      </c>
      <c r="V32" s="112">
        <f>U32/V27</f>
        <v>0.17851030027841422</v>
      </c>
      <c r="X32" s="112">
        <f>U32/V27</f>
        <v>0.17851030027841422</v>
      </c>
      <c r="Z32">
        <v>0.17851</v>
      </c>
      <c r="AB32" s="112">
        <f>Z32-X32</f>
        <v>-3.002784142169812E-7</v>
      </c>
    </row>
    <row r="33" spans="2:28" ht="15.75" x14ac:dyDescent="0.25">
      <c r="B33" s="87" t="s">
        <v>71</v>
      </c>
      <c r="C33" t="s">
        <v>97</v>
      </c>
      <c r="D33" s="251">
        <v>99484.49</v>
      </c>
      <c r="E33" s="251">
        <v>102595.79</v>
      </c>
      <c r="F33" s="251">
        <v>111335.74</v>
      </c>
      <c r="G33" s="251">
        <v>83417.279999999999</v>
      </c>
      <c r="H33" s="251">
        <v>58009.41</v>
      </c>
      <c r="I33" s="251">
        <v>43411.4</v>
      </c>
      <c r="J33" s="251">
        <v>39559.06</v>
      </c>
      <c r="K33" s="251">
        <v>39455.199999999997</v>
      </c>
      <c r="L33" s="251">
        <v>42494.6</v>
      </c>
      <c r="M33" s="251">
        <v>57638.77</v>
      </c>
      <c r="N33" s="206"/>
      <c r="O33" s="251">
        <v>77630.990000000005</v>
      </c>
      <c r="P33" s="287">
        <v>95888.08</v>
      </c>
      <c r="Q33" s="108"/>
      <c r="R33" s="180"/>
      <c r="T33" s="122" t="s">
        <v>90</v>
      </c>
      <c r="U33" s="292">
        <v>95888.08</v>
      </c>
      <c r="V33" s="112">
        <f>U33/V28</f>
        <v>0.14457000530708738</v>
      </c>
      <c r="X33" s="112">
        <f>U33/V28</f>
        <v>0.14457000530708738</v>
      </c>
      <c r="Z33">
        <v>0.14457</v>
      </c>
      <c r="AB33" s="112">
        <f>Z33-X33</f>
        <v>-5.3070873806682073E-9</v>
      </c>
    </row>
    <row r="34" spans="2:28" ht="15.75" x14ac:dyDescent="0.25">
      <c r="B34" s="87" t="s">
        <v>71</v>
      </c>
      <c r="C34" t="s">
        <v>96</v>
      </c>
      <c r="D34" s="252">
        <v>77265.63</v>
      </c>
      <c r="E34" s="252">
        <v>99244.05</v>
      </c>
      <c r="F34" s="252">
        <v>114125.53</v>
      </c>
      <c r="G34" s="252">
        <v>79991.960000000006</v>
      </c>
      <c r="H34" s="252">
        <v>34962.5</v>
      </c>
      <c r="I34" s="252">
        <v>24179.84</v>
      </c>
      <c r="J34" s="252">
        <v>24400.73</v>
      </c>
      <c r="K34" s="252">
        <v>28876.22</v>
      </c>
      <c r="L34" s="252">
        <v>37296.03</v>
      </c>
      <c r="M34" s="252">
        <v>104021.38</v>
      </c>
      <c r="N34" s="205"/>
      <c r="O34" s="252">
        <v>62623.06</v>
      </c>
      <c r="P34" s="288">
        <v>79294.2</v>
      </c>
      <c r="Q34" s="108"/>
      <c r="R34" s="180"/>
      <c r="T34" s="122" t="s">
        <v>90</v>
      </c>
      <c r="U34" s="292">
        <v>79294.2</v>
      </c>
      <c r="V34" s="112">
        <f>U34/V29</f>
        <v>0.13943994851071462</v>
      </c>
      <c r="X34" s="112">
        <f>U34/V29</f>
        <v>0.13943994851071462</v>
      </c>
      <c r="Z34">
        <v>0.13944000000000001</v>
      </c>
      <c r="AB34" s="112">
        <f>Z34-X34</f>
        <v>5.1489285390893258E-8</v>
      </c>
    </row>
    <row r="35" spans="2:28" ht="15.75" x14ac:dyDescent="0.25">
      <c r="B35" s="86"/>
      <c r="C35" s="122" t="s">
        <v>74</v>
      </c>
      <c r="D35" s="108">
        <f>SUM(D31:D34)</f>
        <v>210930.04</v>
      </c>
      <c r="E35" s="108">
        <f t="shared" ref="E35:P35" si="14">SUM(E31:E34)</f>
        <v>236607.94</v>
      </c>
      <c r="F35" s="108">
        <f t="shared" si="14"/>
        <v>262264.89</v>
      </c>
      <c r="G35" s="108">
        <f t="shared" si="14"/>
        <v>195656.12</v>
      </c>
      <c r="H35" s="108">
        <f t="shared" si="14"/>
        <v>117587.64</v>
      </c>
      <c r="I35" s="108">
        <f t="shared" si="14"/>
        <v>86398.61</v>
      </c>
      <c r="J35" s="108">
        <f t="shared" si="14"/>
        <v>79766.89</v>
      </c>
      <c r="K35" s="108">
        <f t="shared" si="14"/>
        <v>83399.11</v>
      </c>
      <c r="L35" s="108">
        <f t="shared" si="14"/>
        <v>95960.5</v>
      </c>
      <c r="M35" s="108">
        <f t="shared" si="14"/>
        <v>184808.87</v>
      </c>
      <c r="N35" s="206"/>
      <c r="O35" s="108">
        <f t="shared" si="14"/>
        <v>171056.3</v>
      </c>
      <c r="P35" s="126">
        <f t="shared" si="14"/>
        <v>209228.3</v>
      </c>
      <c r="R35" s="178"/>
      <c r="T35" s="122" t="s">
        <v>91</v>
      </c>
      <c r="U35" s="255">
        <v>600205.28</v>
      </c>
      <c r="V35" s="112">
        <f>U35/V30</f>
        <v>0.42189659196027657</v>
      </c>
      <c r="X35" s="112">
        <f>U35/V30</f>
        <v>0.42189659196027657</v>
      </c>
      <c r="Z35" s="290">
        <v>0.42197000000000001</v>
      </c>
      <c r="AB35" s="112">
        <f>Z35-X35</f>
        <v>7.3408039723443785E-5</v>
      </c>
    </row>
    <row r="36" spans="2:28" x14ac:dyDescent="0.25">
      <c r="B36" s="86"/>
      <c r="C36" s="122" t="s">
        <v>73</v>
      </c>
      <c r="D36" s="88">
        <f>ROUND(-'Authorized Margins 2018'!J14*'WACAP 2019'!D30,2)</f>
        <v>-236659.25</v>
      </c>
      <c r="E36" s="88">
        <f>ROUND(-'Authorized Margins 2018'!K14*'WACAP 2019'!E30,2)</f>
        <v>-202674.48</v>
      </c>
      <c r="F36" s="88">
        <f>ROUND(-'Authorized Margins 2018'!L14*'WACAP 2019'!F30,2)</f>
        <v>-190196.2</v>
      </c>
      <c r="G36" s="88">
        <f>ROUND(-'Authorized Margins 2018'!M14*'WACAP 2019'!G30,2)</f>
        <v>-138483.69</v>
      </c>
      <c r="H36" s="88">
        <f>ROUND(-'Authorized Margins 2018'!N14*'WACAP 2019'!H30,2)</f>
        <v>-100274.94</v>
      </c>
      <c r="I36" s="88">
        <f>ROUND(-'Authorized Margins 2018'!O14*'WACAP 2019'!I30,2)</f>
        <v>-90595.34</v>
      </c>
      <c r="J36" s="88">
        <f>ROUND(-'Authorized Margins 2018'!D14*'WACAP 2019'!J30,2)</f>
        <v>-72895</v>
      </c>
      <c r="K36" s="88">
        <f>ROUND(-'Authorized Margins 2018'!E14*'WACAP 2019'!K30,2)</f>
        <v>-77163.539999999994</v>
      </c>
      <c r="L36" s="88">
        <f>ROUND(-'Authorized Margins 2018'!F14*'WACAP 2019'!L30,2)</f>
        <v>-100656</v>
      </c>
      <c r="M36" s="88">
        <f>ROUND(-'Authorized Margins 2018'!G14*'WACAP 2019'!M30,2)</f>
        <v>-171846.87</v>
      </c>
      <c r="N36" s="205"/>
      <c r="O36" s="88">
        <f>ROUND(-'Authorized Margins 2018'!H14*'WACAP 2019'!O30,2)</f>
        <v>-148162.43</v>
      </c>
      <c r="P36" s="110">
        <f>ROUND(-'Authorized Margins 2018'!I14*'WACAP 2019'!P30,2)</f>
        <v>-206175.97</v>
      </c>
      <c r="R36" s="178"/>
    </row>
    <row r="37" spans="2:28" x14ac:dyDescent="0.25">
      <c r="B37" s="86"/>
      <c r="C37" s="122" t="s">
        <v>75</v>
      </c>
      <c r="D37" s="90">
        <f t="shared" ref="D37:P37" si="15">SUM(D35:D36)</f>
        <v>-25729.209999999992</v>
      </c>
      <c r="E37" s="90">
        <f t="shared" si="15"/>
        <v>33933.459999999992</v>
      </c>
      <c r="F37" s="90">
        <f t="shared" si="15"/>
        <v>72068.69</v>
      </c>
      <c r="G37" s="90">
        <f t="shared" si="15"/>
        <v>57172.429999999993</v>
      </c>
      <c r="H37" s="90">
        <f t="shared" si="15"/>
        <v>17312.699999999997</v>
      </c>
      <c r="I37" s="90">
        <f t="shared" si="15"/>
        <v>-4196.7299999999959</v>
      </c>
      <c r="J37" s="90">
        <f t="shared" si="15"/>
        <v>6871.8899999999994</v>
      </c>
      <c r="K37" s="90">
        <f t="shared" si="15"/>
        <v>6235.570000000007</v>
      </c>
      <c r="L37" s="90">
        <f t="shared" si="15"/>
        <v>-4695.5</v>
      </c>
      <c r="M37" s="90">
        <f t="shared" si="15"/>
        <v>12962</v>
      </c>
      <c r="N37" s="215">
        <f>-'WACAP 2018'!Q39</f>
        <v>-7433.6600000000544</v>
      </c>
      <c r="O37" s="90">
        <f t="shared" si="15"/>
        <v>22893.869999999995</v>
      </c>
      <c r="P37" s="111">
        <f t="shared" si="15"/>
        <v>3052.3299999999872</v>
      </c>
      <c r="R37" s="180">
        <f>SUM(D37:Q37)-N37</f>
        <v>197881.50000000003</v>
      </c>
    </row>
    <row r="38" spans="2:28" x14ac:dyDescent="0.25">
      <c r="B38" s="87"/>
      <c r="C38" s="122" t="s">
        <v>137</v>
      </c>
      <c r="D38" s="187">
        <f>ROUND(ROUND('WACAP 2018'!O40*D$5,2)/365*D$6,2)</f>
        <v>32.700000000000003</v>
      </c>
      <c r="E38" s="187">
        <f>ROUND(ROUND(D40*E$5,2)/365*E$6,2)</f>
        <v>-72.569999999999993</v>
      </c>
      <c r="F38" s="187">
        <f t="shared" ref="F38:P38" si="16">ROUND(ROUND(E40*F$5,2)/365*F$6,2)</f>
        <v>68.62</v>
      </c>
      <c r="G38" s="187">
        <f t="shared" si="16"/>
        <v>393.01</v>
      </c>
      <c r="H38" s="187">
        <f t="shared" si="16"/>
        <v>672.56</v>
      </c>
      <c r="I38" s="187">
        <f t="shared" si="16"/>
        <v>731.43</v>
      </c>
      <c r="J38" s="187">
        <f t="shared" si="16"/>
        <v>746.56</v>
      </c>
      <c r="K38" s="187">
        <f t="shared" si="16"/>
        <v>782.15</v>
      </c>
      <c r="L38" s="187">
        <f t="shared" si="16"/>
        <v>788.64</v>
      </c>
      <c r="M38" s="187">
        <f t="shared" si="16"/>
        <v>785.09</v>
      </c>
      <c r="N38" s="231">
        <f>'Ammort Split 2019'!N38</f>
        <v>-340.03</v>
      </c>
      <c r="O38" s="187">
        <f>ROUND(ROUND(N40*O$5,2)/365*O$6,2)</f>
        <v>786.38</v>
      </c>
      <c r="P38" s="188">
        <f t="shared" si="16"/>
        <v>921.6</v>
      </c>
      <c r="R38" s="196">
        <f>SUM(D38:Q38)</f>
        <v>6296.1400000000012</v>
      </c>
    </row>
    <row r="39" spans="2:28" x14ac:dyDescent="0.25">
      <c r="B39" s="87"/>
      <c r="C39" s="122" t="s">
        <v>138</v>
      </c>
      <c r="D39" s="189">
        <f t="shared" ref="D39:P39" si="17">SUM(D37:D38)</f>
        <v>-25696.509999999991</v>
      </c>
      <c r="E39" s="189">
        <f t="shared" si="17"/>
        <v>33860.889999999992</v>
      </c>
      <c r="F39" s="189">
        <f t="shared" si="17"/>
        <v>72137.31</v>
      </c>
      <c r="G39" s="189">
        <f t="shared" si="17"/>
        <v>57565.439999999995</v>
      </c>
      <c r="H39" s="189">
        <f t="shared" si="17"/>
        <v>17985.259999999998</v>
      </c>
      <c r="I39" s="189">
        <f t="shared" si="17"/>
        <v>-3465.2999999999961</v>
      </c>
      <c r="J39" s="189">
        <f t="shared" si="17"/>
        <v>7618.4499999999989</v>
      </c>
      <c r="K39" s="189">
        <f t="shared" si="17"/>
        <v>7017.7200000000066</v>
      </c>
      <c r="L39" s="189">
        <f t="shared" si="17"/>
        <v>-3906.86</v>
      </c>
      <c r="M39" s="189">
        <f t="shared" si="17"/>
        <v>13747.09</v>
      </c>
      <c r="N39" s="209">
        <f t="shared" si="17"/>
        <v>-7773.6900000000542</v>
      </c>
      <c r="O39" s="189">
        <f t="shared" si="17"/>
        <v>23680.249999999996</v>
      </c>
      <c r="P39" s="190">
        <f t="shared" si="17"/>
        <v>3973.9299999999871</v>
      </c>
      <c r="R39" s="198">
        <f>SUM(R37:R38)</f>
        <v>204177.64000000004</v>
      </c>
    </row>
    <row r="40" spans="2:28" x14ac:dyDescent="0.25">
      <c r="B40" s="87"/>
      <c r="C40" s="122" t="s">
        <v>139</v>
      </c>
      <c r="D40" s="90">
        <f>'WACAP 2018'!O40+'WACAP 2019'!D39</f>
        <v>-18262.849999999926</v>
      </c>
      <c r="E40" s="90">
        <f t="shared" ref="E40:P40" si="18">D40+E39</f>
        <v>15598.040000000066</v>
      </c>
      <c r="F40" s="90">
        <f t="shared" si="18"/>
        <v>87735.350000000064</v>
      </c>
      <c r="G40" s="90">
        <f t="shared" si="18"/>
        <v>145300.79000000007</v>
      </c>
      <c r="H40" s="90">
        <f t="shared" si="18"/>
        <v>163286.05000000008</v>
      </c>
      <c r="I40" s="90">
        <f t="shared" si="18"/>
        <v>159820.75000000009</v>
      </c>
      <c r="J40" s="90">
        <f t="shared" si="18"/>
        <v>167439.2000000001</v>
      </c>
      <c r="K40" s="90">
        <f t="shared" si="18"/>
        <v>174456.9200000001</v>
      </c>
      <c r="L40" s="90">
        <f t="shared" si="18"/>
        <v>170550.06000000011</v>
      </c>
      <c r="M40" s="90">
        <f t="shared" si="18"/>
        <v>184297.15000000011</v>
      </c>
      <c r="N40" s="207">
        <f t="shared" si="18"/>
        <v>176523.46000000005</v>
      </c>
      <c r="O40" s="90">
        <f t="shared" si="18"/>
        <v>200203.71000000005</v>
      </c>
      <c r="P40" s="191">
        <f t="shared" si="18"/>
        <v>204177.64000000004</v>
      </c>
      <c r="R40" s="178"/>
      <c r="V40" s="108">
        <f>ROUND(U45/Z45,0)</f>
        <v>194349</v>
      </c>
    </row>
    <row r="41" spans="2:28" x14ac:dyDescent="0.25">
      <c r="B41" s="86"/>
      <c r="C41" s="89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207"/>
      <c r="O41" s="90"/>
      <c r="P41" s="111"/>
      <c r="R41" s="178"/>
      <c r="T41" s="122"/>
      <c r="U41" s="108"/>
      <c r="V41" s="108">
        <f>ROUND(U46/Z46,0)</f>
        <v>150108</v>
      </c>
    </row>
    <row r="42" spans="2:28" x14ac:dyDescent="0.25">
      <c r="B42" s="279" t="s">
        <v>85</v>
      </c>
      <c r="C42" s="271">
        <v>511</v>
      </c>
      <c r="D42" s="113"/>
      <c r="E42" s="113"/>
      <c r="F42" s="108"/>
      <c r="G42" s="113"/>
      <c r="H42" s="113"/>
      <c r="I42" s="113"/>
      <c r="J42" s="113"/>
      <c r="K42" s="113"/>
      <c r="L42" s="113"/>
      <c r="M42" s="113"/>
      <c r="N42" s="204"/>
      <c r="O42" s="113"/>
      <c r="P42" s="115"/>
      <c r="R42" s="178"/>
      <c r="U42">
        <v>511</v>
      </c>
      <c r="V42" s="108">
        <f>ROUND(U47/Z47,0)</f>
        <v>30410</v>
      </c>
      <c r="W42" s="108">
        <f>SUM(V40:V42)</f>
        <v>374867</v>
      </c>
    </row>
    <row r="43" spans="2:28" ht="15.75" x14ac:dyDescent="0.25">
      <c r="B43" s="87" t="s">
        <v>64</v>
      </c>
      <c r="C43" t="s">
        <v>172</v>
      </c>
      <c r="D43" s="250">
        <v>13</v>
      </c>
      <c r="E43" s="250">
        <v>13</v>
      </c>
      <c r="F43" s="250">
        <v>13</v>
      </c>
      <c r="G43" s="250">
        <v>12</v>
      </c>
      <c r="H43" s="250">
        <v>11</v>
      </c>
      <c r="I43" s="250">
        <v>11</v>
      </c>
      <c r="J43" s="250">
        <v>12</v>
      </c>
      <c r="K43" s="250">
        <v>14</v>
      </c>
      <c r="L43" s="250">
        <v>14</v>
      </c>
      <c r="M43" s="250">
        <v>14</v>
      </c>
      <c r="N43" s="274"/>
      <c r="O43" s="250">
        <v>15</v>
      </c>
      <c r="P43" s="294">
        <v>15</v>
      </c>
      <c r="Q43" s="108"/>
      <c r="R43" s="180"/>
      <c r="V43" s="253">
        <v>368658</v>
      </c>
      <c r="W43" t="s">
        <v>92</v>
      </c>
      <c r="X43" s="113"/>
    </row>
    <row r="44" spans="2:28" x14ac:dyDescent="0.25">
      <c r="B44" s="87" t="s">
        <v>71</v>
      </c>
      <c r="C44" t="s">
        <v>117</v>
      </c>
      <c r="D44" s="251"/>
      <c r="E44" s="251"/>
      <c r="F44" s="251"/>
      <c r="G44" s="251"/>
      <c r="H44" s="251"/>
      <c r="I44" s="251"/>
      <c r="J44" s="251"/>
      <c r="K44" s="251"/>
      <c r="L44" s="251"/>
      <c r="M44" s="116"/>
      <c r="N44" s="206"/>
      <c r="O44" s="116"/>
      <c r="P44" s="117"/>
      <c r="Q44" s="108"/>
      <c r="R44" s="180"/>
      <c r="T44" s="122"/>
      <c r="U44" s="108"/>
      <c r="V44" s="112"/>
      <c r="X44" s="112"/>
      <c r="AB44" s="112">
        <f>Z44-X44</f>
        <v>0</v>
      </c>
    </row>
    <row r="45" spans="2:28" ht="15.75" x14ac:dyDescent="0.25">
      <c r="B45" s="87" t="s">
        <v>71</v>
      </c>
      <c r="C45" t="s">
        <v>98</v>
      </c>
      <c r="D45" s="251">
        <v>24408.720000000001</v>
      </c>
      <c r="E45" s="251">
        <v>24347.09</v>
      </c>
      <c r="F45" s="251">
        <v>26046.639999999999</v>
      </c>
      <c r="G45" s="251">
        <v>21717.279999999999</v>
      </c>
      <c r="H45" s="251">
        <v>16779</v>
      </c>
      <c r="I45" s="251">
        <v>15091.22</v>
      </c>
      <c r="J45" s="251">
        <v>17932.71</v>
      </c>
      <c r="K45" s="251">
        <v>18108.96</v>
      </c>
      <c r="L45" s="251">
        <v>18207.560000000001</v>
      </c>
      <c r="M45" s="251">
        <v>26756.82</v>
      </c>
      <c r="N45" s="206"/>
      <c r="O45" s="251">
        <v>26775.89</v>
      </c>
      <c r="P45" s="287">
        <v>27850.22</v>
      </c>
      <c r="Q45" s="108"/>
      <c r="R45" s="180"/>
      <c r="T45" s="122" t="s">
        <v>90</v>
      </c>
      <c r="U45" s="255">
        <v>27850.22</v>
      </c>
      <c r="V45" s="112">
        <f>U45/V40</f>
        <v>0.14330004270667718</v>
      </c>
      <c r="X45" s="112">
        <f>U45/V40</f>
        <v>0.14330004270667718</v>
      </c>
      <c r="Z45" s="291">
        <v>0.14330000000000001</v>
      </c>
      <c r="AB45" s="112">
        <f>Z45-X45</f>
        <v>-4.270667716688159E-8</v>
      </c>
    </row>
    <row r="46" spans="2:28" ht="15.75" x14ac:dyDescent="0.25">
      <c r="B46" s="87" t="s">
        <v>71</v>
      </c>
      <c r="C46" t="s">
        <v>99</v>
      </c>
      <c r="D46" s="251">
        <v>17642.72</v>
      </c>
      <c r="E46" s="251">
        <v>17141.97</v>
      </c>
      <c r="F46" s="251">
        <v>17869.32</v>
      </c>
      <c r="G46" s="251">
        <v>18878.98</v>
      </c>
      <c r="H46" s="251">
        <v>15487.99</v>
      </c>
      <c r="I46" s="251">
        <v>14520.07</v>
      </c>
      <c r="J46" s="251">
        <v>14364.33</v>
      </c>
      <c r="K46" s="251">
        <v>18497.830000000002</v>
      </c>
      <c r="L46" s="251">
        <v>17425.45</v>
      </c>
      <c r="M46" s="251">
        <v>22192.17</v>
      </c>
      <c r="N46" s="206"/>
      <c r="O46" s="251">
        <v>24679.29</v>
      </c>
      <c r="P46" s="287">
        <v>16487.87</v>
      </c>
      <c r="Q46" s="108"/>
      <c r="R46" s="180"/>
      <c r="T46" s="122" t="s">
        <v>90</v>
      </c>
      <c r="U46" s="255">
        <v>16487.87</v>
      </c>
      <c r="V46" s="112">
        <f>U46/V41</f>
        <v>0.10984004849841447</v>
      </c>
      <c r="X46" s="112">
        <f>U46/V41</f>
        <v>0.10984004849841447</v>
      </c>
      <c r="Z46">
        <v>0.10983999999999999</v>
      </c>
      <c r="AB46" s="112">
        <f>Z46-X46</f>
        <v>-4.8498414478848062E-8</v>
      </c>
    </row>
    <row r="47" spans="2:28" ht="15.75" x14ac:dyDescent="0.25">
      <c r="B47" s="87" t="s">
        <v>71</v>
      </c>
      <c r="C47" t="s">
        <v>100</v>
      </c>
      <c r="D47" s="252">
        <v>0</v>
      </c>
      <c r="E47" s="252">
        <v>0</v>
      </c>
      <c r="F47" s="252">
        <v>0</v>
      </c>
      <c r="G47" s="252">
        <v>423.17</v>
      </c>
      <c r="H47" s="252">
        <v>259.12</v>
      </c>
      <c r="I47" s="252">
        <v>1016.82</v>
      </c>
      <c r="J47" s="252">
        <v>1606.73</v>
      </c>
      <c r="K47" s="252">
        <v>1540.8</v>
      </c>
      <c r="L47" s="252">
        <v>952.08</v>
      </c>
      <c r="M47" s="252">
        <v>1230.6199999999999</v>
      </c>
      <c r="N47" s="205"/>
      <c r="O47" s="252">
        <v>2046.46</v>
      </c>
      <c r="P47" s="288">
        <v>823.81</v>
      </c>
      <c r="Q47" s="108"/>
      <c r="R47" s="180"/>
      <c r="T47" s="122" t="s">
        <v>90</v>
      </c>
      <c r="U47" s="255">
        <v>823.81</v>
      </c>
      <c r="V47" s="112">
        <f>U47/V42</f>
        <v>2.7090101940151264E-2</v>
      </c>
      <c r="X47" s="112">
        <f>U47/V42</f>
        <v>2.7090101940151264E-2</v>
      </c>
      <c r="Z47">
        <v>2.7089999999999999E-2</v>
      </c>
      <c r="AB47" s="112">
        <f>Z47-X47</f>
        <v>-1.0194015126474554E-7</v>
      </c>
    </row>
    <row r="48" spans="2:28" ht="15.75" x14ac:dyDescent="0.25">
      <c r="B48" s="87"/>
      <c r="C48" s="122" t="s">
        <v>74</v>
      </c>
      <c r="D48" s="108">
        <f t="shared" ref="D48:P48" si="19">SUM(D44:D47)</f>
        <v>42051.44</v>
      </c>
      <c r="E48" s="108">
        <f t="shared" si="19"/>
        <v>41489.06</v>
      </c>
      <c r="F48" s="108">
        <f t="shared" si="19"/>
        <v>43915.96</v>
      </c>
      <c r="G48" s="108">
        <f t="shared" si="19"/>
        <v>41019.429999999993</v>
      </c>
      <c r="H48" s="108">
        <f t="shared" si="19"/>
        <v>32526.109999999997</v>
      </c>
      <c r="I48" s="108">
        <f t="shared" si="19"/>
        <v>30628.11</v>
      </c>
      <c r="J48" s="108">
        <f t="shared" si="19"/>
        <v>33903.770000000004</v>
      </c>
      <c r="K48" s="108">
        <f t="shared" si="19"/>
        <v>38147.590000000004</v>
      </c>
      <c r="L48" s="108">
        <f t="shared" si="19"/>
        <v>36585.090000000004</v>
      </c>
      <c r="M48" s="108">
        <f t="shared" si="19"/>
        <v>50179.61</v>
      </c>
      <c r="N48" s="206"/>
      <c r="O48" s="108">
        <f t="shared" si="19"/>
        <v>53501.64</v>
      </c>
      <c r="P48" s="126">
        <f t="shared" si="19"/>
        <v>45161.899999999994</v>
      </c>
      <c r="R48" s="178"/>
      <c r="T48" s="122" t="s">
        <v>91</v>
      </c>
      <c r="U48" s="255">
        <v>158168.07999999999</v>
      </c>
      <c r="V48" s="112">
        <f>U48/V43</f>
        <v>0.42903742764296443</v>
      </c>
      <c r="X48" s="112">
        <f>U48/V43</f>
        <v>0.42903742764296443</v>
      </c>
      <c r="Z48" s="290">
        <v>0.42197000000000001</v>
      </c>
      <c r="AB48" s="112">
        <f>Z48-X48</f>
        <v>-7.0674276429644189E-3</v>
      </c>
    </row>
    <row r="49" spans="2:28" x14ac:dyDescent="0.25">
      <c r="B49" s="87"/>
      <c r="C49" s="122" t="s">
        <v>73</v>
      </c>
      <c r="D49" s="88">
        <f>ROUND(-'Authorized Margins 2018'!J16*'WACAP 2019'!D43,2)</f>
        <v>-27464.58</v>
      </c>
      <c r="E49" s="88">
        <f>ROUND(-'Authorized Margins 2018'!K16*'WACAP 2019'!E43,2)</f>
        <v>-22140.3</v>
      </c>
      <c r="F49" s="88">
        <f>ROUND(-'Authorized Margins 2018'!L16*'WACAP 2019'!F43,2)</f>
        <v>-27445.86</v>
      </c>
      <c r="G49" s="88">
        <f>ROUND(-'Authorized Margins 2018'!M16*'WACAP 2019'!G43,2)</f>
        <v>-15686.52</v>
      </c>
      <c r="H49" s="88">
        <f>ROUND(-'Authorized Margins 2018'!N16*'WACAP 2019'!H43,2)</f>
        <v>-8773.82</v>
      </c>
      <c r="I49" s="88">
        <f>ROUND(-'Authorized Margins 2018'!O16*'WACAP 2019'!I43,2)</f>
        <v>-9574.73</v>
      </c>
      <c r="J49" s="88">
        <f>ROUND(-'Authorized Margins 2018'!D16*'WACAP 2019'!J43,2)</f>
        <v>-6888</v>
      </c>
      <c r="K49" s="88">
        <f>ROUND(-'Authorized Margins 2018'!E16*'WACAP 2019'!K43,2)</f>
        <v>-11372.34</v>
      </c>
      <c r="L49" s="88">
        <f>ROUND(-'Authorized Margins 2018'!F16*'WACAP 2019'!L43,2)</f>
        <v>-10659.32</v>
      </c>
      <c r="M49" s="88">
        <f>ROUND(-'Authorized Margins 2018'!G16*'WACAP 2019'!M43,2)</f>
        <v>-12106.08</v>
      </c>
      <c r="N49" s="205"/>
      <c r="O49" s="88">
        <f>ROUND(-'Authorized Margins 2018'!H16*'WACAP 2019'!O43,2)</f>
        <v>-17439.3</v>
      </c>
      <c r="P49" s="110">
        <f>ROUND(-'Authorized Margins 2018'!I16*'WACAP 2019'!P43,2)</f>
        <v>-28242.9</v>
      </c>
      <c r="R49" s="178"/>
    </row>
    <row r="50" spans="2:28" x14ac:dyDescent="0.25">
      <c r="B50" s="87"/>
      <c r="C50" s="122" t="s">
        <v>75</v>
      </c>
      <c r="D50" s="90">
        <f t="shared" ref="D50:P50" si="20">SUM(D48:D49)</f>
        <v>14586.86</v>
      </c>
      <c r="E50" s="90">
        <f t="shared" si="20"/>
        <v>19348.759999999998</v>
      </c>
      <c r="F50" s="90">
        <f t="shared" si="20"/>
        <v>16470.099999999999</v>
      </c>
      <c r="G50" s="90">
        <f t="shared" si="20"/>
        <v>25332.909999999993</v>
      </c>
      <c r="H50" s="90">
        <f t="shared" si="20"/>
        <v>23752.289999999997</v>
      </c>
      <c r="I50" s="90">
        <f t="shared" si="20"/>
        <v>21053.38</v>
      </c>
      <c r="J50" s="90">
        <f t="shared" si="20"/>
        <v>27015.770000000004</v>
      </c>
      <c r="K50" s="90">
        <f t="shared" si="20"/>
        <v>26775.250000000004</v>
      </c>
      <c r="L50" s="90">
        <f t="shared" si="20"/>
        <v>25925.770000000004</v>
      </c>
      <c r="M50" s="90">
        <f t="shared" si="20"/>
        <v>38073.53</v>
      </c>
      <c r="N50" s="215">
        <f>-'WACAP 2018'!Q52</f>
        <v>-245706.20000000004</v>
      </c>
      <c r="O50" s="90">
        <f t="shared" si="20"/>
        <v>36062.339999999997</v>
      </c>
      <c r="P50" s="111">
        <f t="shared" si="20"/>
        <v>16918.999999999993</v>
      </c>
      <c r="R50" s="180">
        <f>SUM(D50:Q50)-N50</f>
        <v>291315.96000000002</v>
      </c>
    </row>
    <row r="51" spans="2:28" x14ac:dyDescent="0.25">
      <c r="B51" s="87"/>
      <c r="C51" s="122" t="s">
        <v>137</v>
      </c>
      <c r="D51" s="187">
        <f>ROUND(ROUND('WACAP 2018'!O53*D$5,2)/365*D$6,2)</f>
        <v>1080.97</v>
      </c>
      <c r="E51" s="187">
        <f>ROUND(ROUND(D53*E$5,2)/365*E$6,2)</f>
        <v>1038.6199999999999</v>
      </c>
      <c r="F51" s="187">
        <f t="shared" ref="F51:P51" si="21">ROUND(ROUND(E53*F$5,2)/365*F$6,2)</f>
        <v>1239.5999999999999</v>
      </c>
      <c r="G51" s="187">
        <f t="shared" si="21"/>
        <v>1341.47</v>
      </c>
      <c r="H51" s="187">
        <f t="shared" si="21"/>
        <v>1509.65</v>
      </c>
      <c r="I51" s="187">
        <f t="shared" si="21"/>
        <v>1574.11</v>
      </c>
      <c r="J51" s="187">
        <f t="shared" si="21"/>
        <v>1747.2</v>
      </c>
      <c r="K51" s="187">
        <f t="shared" si="21"/>
        <v>1881.56</v>
      </c>
      <c r="L51" s="187">
        <f t="shared" si="21"/>
        <v>1950.41</v>
      </c>
      <c r="M51" s="187">
        <f t="shared" si="21"/>
        <v>2114.4299999999998</v>
      </c>
      <c r="N51" s="231">
        <f>'Ammort Split 2019'!N51</f>
        <v>-11238.970000000001</v>
      </c>
      <c r="O51" s="187">
        <f>ROUND(ROUND(N53*O$5,2)/365*O$6,2)</f>
        <v>1080.6199999999999</v>
      </c>
      <c r="P51" s="188">
        <f t="shared" si="21"/>
        <v>1287.6199999999999</v>
      </c>
      <c r="R51" s="196">
        <f>SUM(D51:Q51)</f>
        <v>6607.2899999999972</v>
      </c>
    </row>
    <row r="52" spans="2:28" x14ac:dyDescent="0.25">
      <c r="B52" s="87"/>
      <c r="C52" s="122" t="s">
        <v>138</v>
      </c>
      <c r="D52" s="189">
        <f t="shared" ref="D52:P52" si="22">SUM(D50:D51)</f>
        <v>15667.83</v>
      </c>
      <c r="E52" s="189">
        <f t="shared" si="22"/>
        <v>20387.379999999997</v>
      </c>
      <c r="F52" s="189">
        <f t="shared" si="22"/>
        <v>17709.699999999997</v>
      </c>
      <c r="G52" s="189">
        <f t="shared" si="22"/>
        <v>26674.379999999994</v>
      </c>
      <c r="H52" s="189">
        <f t="shared" si="22"/>
        <v>25261.94</v>
      </c>
      <c r="I52" s="189">
        <f t="shared" si="22"/>
        <v>22627.49</v>
      </c>
      <c r="J52" s="189">
        <f t="shared" si="22"/>
        <v>28762.970000000005</v>
      </c>
      <c r="K52" s="189">
        <f t="shared" si="22"/>
        <v>28656.810000000005</v>
      </c>
      <c r="L52" s="189">
        <f t="shared" si="22"/>
        <v>27876.180000000004</v>
      </c>
      <c r="M52" s="189">
        <f t="shared" si="22"/>
        <v>40187.96</v>
      </c>
      <c r="N52" s="209">
        <f t="shared" si="22"/>
        <v>-256945.17000000004</v>
      </c>
      <c r="O52" s="189">
        <f t="shared" si="22"/>
        <v>37142.959999999999</v>
      </c>
      <c r="P52" s="190">
        <f t="shared" si="22"/>
        <v>18206.619999999992</v>
      </c>
      <c r="R52" s="198">
        <f>SUM(R50:R51)</f>
        <v>297923.25</v>
      </c>
    </row>
    <row r="53" spans="2:28" ht="15.75" thickBot="1" x14ac:dyDescent="0.3">
      <c r="B53" s="87"/>
      <c r="C53" s="273" t="s">
        <v>139</v>
      </c>
      <c r="D53" s="234">
        <f>'WACAP 2018'!O53+'WACAP 2019'!D52</f>
        <v>261374.02999999997</v>
      </c>
      <c r="E53" s="234">
        <f t="shared" ref="E53:P53" si="23">D53+E52</f>
        <v>281761.40999999997</v>
      </c>
      <c r="F53" s="234">
        <f t="shared" si="23"/>
        <v>299471.11</v>
      </c>
      <c r="G53" s="234">
        <f t="shared" si="23"/>
        <v>326145.49</v>
      </c>
      <c r="H53" s="234">
        <f t="shared" si="23"/>
        <v>351407.43</v>
      </c>
      <c r="I53" s="234">
        <f t="shared" si="23"/>
        <v>374034.92</v>
      </c>
      <c r="J53" s="234">
        <f t="shared" si="23"/>
        <v>402797.89</v>
      </c>
      <c r="K53" s="233">
        <f t="shared" si="23"/>
        <v>431454.7</v>
      </c>
      <c r="L53" s="90">
        <f t="shared" si="23"/>
        <v>459330.88</v>
      </c>
      <c r="M53" s="90">
        <f t="shared" si="23"/>
        <v>499518.84</v>
      </c>
      <c r="N53" s="207">
        <f t="shared" si="23"/>
        <v>242573.66999999998</v>
      </c>
      <c r="O53" s="90">
        <f t="shared" si="23"/>
        <v>279716.63</v>
      </c>
      <c r="P53" s="191">
        <f t="shared" si="23"/>
        <v>297923.25</v>
      </c>
      <c r="Q53" s="178"/>
      <c r="R53" s="178"/>
    </row>
    <row r="54" spans="2:28" ht="15.75" thickBot="1" x14ac:dyDescent="0.3">
      <c r="B54" s="239"/>
      <c r="D54" s="113"/>
      <c r="E54" s="113"/>
      <c r="F54" s="108"/>
      <c r="G54" s="113"/>
      <c r="H54" s="113"/>
      <c r="I54" s="113"/>
      <c r="J54" s="113"/>
      <c r="K54" s="236"/>
      <c r="L54" s="236"/>
      <c r="M54" s="236"/>
      <c r="N54" s="236"/>
      <c r="O54" s="236"/>
      <c r="P54" s="236"/>
      <c r="Q54" s="281"/>
      <c r="R54" s="240"/>
    </row>
    <row r="55" spans="2:28" x14ac:dyDescent="0.25">
      <c r="B55" s="280" t="s">
        <v>86</v>
      </c>
      <c r="C55" s="239" t="s">
        <v>154</v>
      </c>
      <c r="D55" s="236"/>
      <c r="E55" s="236"/>
      <c r="F55" s="241"/>
      <c r="G55" s="236"/>
      <c r="H55" s="236"/>
      <c r="I55" s="236"/>
      <c r="J55" s="236"/>
      <c r="K55" s="236"/>
      <c r="L55" s="236"/>
      <c r="M55" s="236"/>
      <c r="N55" s="236"/>
      <c r="O55" s="236"/>
      <c r="P55" s="237"/>
      <c r="Q55" s="240"/>
      <c r="R55" s="235"/>
      <c r="T55">
        <v>504</v>
      </c>
      <c r="U55" s="122" t="s">
        <v>154</v>
      </c>
    </row>
    <row r="56" spans="2:28" ht="15.75" x14ac:dyDescent="0.25">
      <c r="B56" s="87" t="s">
        <v>64</v>
      </c>
      <c r="C56" t="s">
        <v>172</v>
      </c>
      <c r="D56" s="250">
        <v>1</v>
      </c>
      <c r="E56" s="250">
        <v>1</v>
      </c>
      <c r="F56" s="250">
        <v>1</v>
      </c>
      <c r="G56" s="250">
        <v>1</v>
      </c>
      <c r="H56" s="250">
        <v>1</v>
      </c>
      <c r="I56" s="250">
        <v>1</v>
      </c>
      <c r="J56" s="250">
        <v>1</v>
      </c>
      <c r="K56" s="250">
        <v>1</v>
      </c>
      <c r="L56" s="250">
        <v>1</v>
      </c>
      <c r="M56" s="250">
        <v>1</v>
      </c>
      <c r="N56" s="204"/>
      <c r="O56" s="250">
        <v>1</v>
      </c>
      <c r="P56" s="294">
        <v>1</v>
      </c>
      <c r="Q56" s="113"/>
      <c r="R56" s="179"/>
      <c r="V56" s="253">
        <v>3958</v>
      </c>
      <c r="W56" t="s">
        <v>92</v>
      </c>
      <c r="X56" s="113">
        <f>V56</f>
        <v>3958</v>
      </c>
    </row>
    <row r="57" spans="2:28" ht="15.75" x14ac:dyDescent="0.25">
      <c r="B57" s="87" t="s">
        <v>71</v>
      </c>
      <c r="C57" t="s">
        <v>70</v>
      </c>
      <c r="D57" s="251">
        <v>1137.43</v>
      </c>
      <c r="E57" s="251">
        <v>1070.55</v>
      </c>
      <c r="F57" s="251">
        <v>1269.57</v>
      </c>
      <c r="G57" s="251">
        <v>816.22</v>
      </c>
      <c r="H57" s="251">
        <v>522.54999999999995</v>
      </c>
      <c r="I57" s="251">
        <v>149.27000000000001</v>
      </c>
      <c r="J57" s="251">
        <v>84.93</v>
      </c>
      <c r="K57" s="251">
        <v>35.869999999999997</v>
      </c>
      <c r="L57" s="251">
        <v>31.94</v>
      </c>
      <c r="M57" s="251">
        <v>143.25</v>
      </c>
      <c r="N57" s="206"/>
      <c r="O57" s="251">
        <v>683.85</v>
      </c>
      <c r="P57" s="287">
        <v>915.96</v>
      </c>
      <c r="Q57" s="108"/>
      <c r="R57" s="180"/>
      <c r="T57" s="122" t="s">
        <v>90</v>
      </c>
      <c r="U57" s="255">
        <v>915.96</v>
      </c>
      <c r="V57" s="112">
        <f>U57/V56</f>
        <v>0.23141990904497223</v>
      </c>
      <c r="X57" s="112">
        <f>U57/X56</f>
        <v>0.23141990904497223</v>
      </c>
      <c r="Z57">
        <v>0.23141999999999999</v>
      </c>
      <c r="AB57" s="112">
        <f>Z57-X57</f>
        <v>9.0955027759465068E-8</v>
      </c>
    </row>
    <row r="58" spans="2:28" ht="15.75" x14ac:dyDescent="0.25">
      <c r="B58" s="87" t="s">
        <v>72</v>
      </c>
      <c r="C58" s="104" t="s">
        <v>143</v>
      </c>
      <c r="D58" s="276">
        <v>1070.55</v>
      </c>
      <c r="E58" s="276">
        <v>1269.57</v>
      </c>
      <c r="F58" s="276">
        <v>816.22</v>
      </c>
      <c r="G58" s="276">
        <v>522.54999999999995</v>
      </c>
      <c r="H58" s="276">
        <v>149.27000000000001</v>
      </c>
      <c r="I58" s="276">
        <v>84.93</v>
      </c>
      <c r="J58" s="276">
        <v>35.869999999999997</v>
      </c>
      <c r="K58" s="276">
        <v>31.94</v>
      </c>
      <c r="L58" s="276">
        <v>143.25</v>
      </c>
      <c r="M58" s="276">
        <v>683.85</v>
      </c>
      <c r="N58" s="277"/>
      <c r="O58" s="276">
        <v>915.96</v>
      </c>
      <c r="P58" s="276">
        <v>1053.42</v>
      </c>
      <c r="Q58" s="180"/>
      <c r="R58" s="180"/>
      <c r="T58" s="122" t="s">
        <v>91</v>
      </c>
      <c r="U58" s="255">
        <v>1724.03</v>
      </c>
      <c r="V58" s="112">
        <f>U58/V56</f>
        <v>0.43558110156644769</v>
      </c>
      <c r="X58" s="112">
        <f>U58/X56</f>
        <v>0.43558110156644769</v>
      </c>
      <c r="Z58" s="249">
        <v>0.43558000000000002</v>
      </c>
      <c r="AB58" s="112">
        <f>Z58-X58</f>
        <v>-1.1015664476698994E-6</v>
      </c>
    </row>
    <row r="59" spans="2:28" x14ac:dyDescent="0.25">
      <c r="B59" s="87" t="s">
        <v>72</v>
      </c>
      <c r="C59" t="s">
        <v>144</v>
      </c>
      <c r="D59" s="189">
        <f>-'WACAP 2018'!O58</f>
        <v>-1137.43</v>
      </c>
      <c r="E59" s="189">
        <f t="shared" ref="E59:M59" si="24">-D58</f>
        <v>-1070.55</v>
      </c>
      <c r="F59" s="189">
        <f t="shared" si="24"/>
        <v>-1269.57</v>
      </c>
      <c r="G59" s="189">
        <f t="shared" si="24"/>
        <v>-816.22</v>
      </c>
      <c r="H59" s="189">
        <f t="shared" si="24"/>
        <v>-522.54999999999995</v>
      </c>
      <c r="I59" s="189">
        <f t="shared" si="24"/>
        <v>-149.27000000000001</v>
      </c>
      <c r="J59" s="189">
        <f t="shared" si="24"/>
        <v>-84.93</v>
      </c>
      <c r="K59" s="189">
        <f t="shared" si="24"/>
        <v>-35.869999999999997</v>
      </c>
      <c r="L59" s="189">
        <f>-K58</f>
        <v>-31.94</v>
      </c>
      <c r="M59" s="88">
        <f t="shared" si="24"/>
        <v>-143.25</v>
      </c>
      <c r="N59" s="205"/>
      <c r="O59" s="88">
        <f>-M58</f>
        <v>-683.85</v>
      </c>
      <c r="P59" s="88">
        <f>-O58</f>
        <v>-915.96</v>
      </c>
      <c r="Q59" s="180"/>
      <c r="R59" s="180"/>
      <c r="T59" s="122"/>
      <c r="U59" s="108"/>
      <c r="V59" s="112"/>
      <c r="X59" s="112"/>
      <c r="AB59" s="112"/>
    </row>
    <row r="60" spans="2:28" x14ac:dyDescent="0.25">
      <c r="B60" s="7"/>
      <c r="C60" s="122" t="s">
        <v>74</v>
      </c>
      <c r="D60" s="108">
        <f t="shared" ref="D60:F60" si="25">SUM(D57:D59)</f>
        <v>1070.55</v>
      </c>
      <c r="E60" s="108">
        <f t="shared" si="25"/>
        <v>1269.57</v>
      </c>
      <c r="F60" s="108">
        <f t="shared" si="25"/>
        <v>816.22</v>
      </c>
      <c r="G60" s="108">
        <f>SUM(G57:G59)</f>
        <v>522.54999999999995</v>
      </c>
      <c r="H60" s="108">
        <f t="shared" ref="H60:P60" si="26">SUM(H57:H59)</f>
        <v>149.26999999999998</v>
      </c>
      <c r="I60" s="108">
        <f t="shared" si="26"/>
        <v>84.93</v>
      </c>
      <c r="J60" s="108">
        <f t="shared" si="26"/>
        <v>35.870000000000005</v>
      </c>
      <c r="K60" s="108">
        <f t="shared" si="26"/>
        <v>31.940000000000005</v>
      </c>
      <c r="L60" s="108">
        <f t="shared" si="26"/>
        <v>143.25</v>
      </c>
      <c r="M60" s="108">
        <f t="shared" si="26"/>
        <v>683.85</v>
      </c>
      <c r="N60" s="206"/>
      <c r="O60" s="108">
        <f t="shared" si="26"/>
        <v>915.95999999999992</v>
      </c>
      <c r="P60" s="109">
        <f t="shared" si="26"/>
        <v>1053.42</v>
      </c>
      <c r="R60" s="178"/>
    </row>
    <row r="61" spans="2:28" x14ac:dyDescent="0.25">
      <c r="B61" s="87"/>
      <c r="C61" s="122" t="s">
        <v>73</v>
      </c>
      <c r="D61" s="88">
        <f>ROUND(-'Authorized Margins 2018'!J12*'WACAP 2019'!D56,2)</f>
        <v>-127.65</v>
      </c>
      <c r="E61" s="88">
        <f>ROUND(-'Authorized Margins 2018'!K12*'WACAP 2019'!E56,2)</f>
        <v>-93.93</v>
      </c>
      <c r="F61" s="88">
        <f>ROUND(-'Authorized Margins 2018'!L12*'WACAP 2019'!F56,2)</f>
        <v>-78.319999999999993</v>
      </c>
      <c r="G61" s="88">
        <f>ROUND(-'Authorized Margins 2018'!M12*'WACAP 2019'!G56,2)</f>
        <v>-48.24</v>
      </c>
      <c r="H61" s="88">
        <f>ROUND(-'Authorized Margins 2018'!N12*'WACAP 2019'!H56,2)</f>
        <v>-31.22</v>
      </c>
      <c r="I61" s="88">
        <f>ROUND(-'Authorized Margins 2018'!O12*'WACAP 2019'!I56,2)</f>
        <v>-23.85</v>
      </c>
      <c r="J61" s="88">
        <f>ROUND(-'Authorized Margins 2018'!D12*'WACAP 2019'!J56,2)</f>
        <v>-24.45</v>
      </c>
      <c r="K61" s="88">
        <f>ROUND(-'Authorized Margins 2018'!E12*'WACAP 2019'!K56,2)</f>
        <v>-21.6</v>
      </c>
      <c r="L61" s="88">
        <f>ROUND(-'Authorized Margins 2018'!F12*'WACAP 2019'!L56,2)</f>
        <v>-32.049999999999997</v>
      </c>
      <c r="M61" s="88">
        <f>ROUND(-'Authorized Margins 2018'!G12*'WACAP 2019'!M56,2)</f>
        <v>-59.39</v>
      </c>
      <c r="N61" s="205"/>
      <c r="O61" s="88">
        <f>ROUND(-'Authorized Margins 2018'!H12*'WACAP 2019'!O56,2)</f>
        <v>-89.84</v>
      </c>
      <c r="P61" s="110">
        <f>ROUND(-'Authorized Margins 2018'!I12*'WACAP 2019'!P56,2)</f>
        <v>-127</v>
      </c>
      <c r="R61" s="178"/>
      <c r="U61" s="108"/>
    </row>
    <row r="62" spans="2:28" x14ac:dyDescent="0.25">
      <c r="B62" s="87"/>
      <c r="C62" s="122" t="s">
        <v>75</v>
      </c>
      <c r="D62" s="90">
        <f t="shared" ref="D62:P62" si="27">SUM(D60:D61)</f>
        <v>942.9</v>
      </c>
      <c r="E62" s="90">
        <f t="shared" si="27"/>
        <v>1175.6399999999999</v>
      </c>
      <c r="F62" s="90">
        <f t="shared" si="27"/>
        <v>737.90000000000009</v>
      </c>
      <c r="G62" s="90">
        <f t="shared" si="27"/>
        <v>474.30999999999995</v>
      </c>
      <c r="H62" s="90">
        <f t="shared" si="27"/>
        <v>118.04999999999998</v>
      </c>
      <c r="I62" s="90">
        <f t="shared" si="27"/>
        <v>61.080000000000005</v>
      </c>
      <c r="J62" s="90">
        <f t="shared" si="27"/>
        <v>11.420000000000005</v>
      </c>
      <c r="K62" s="90">
        <f t="shared" si="27"/>
        <v>10.340000000000003</v>
      </c>
      <c r="L62" s="90">
        <f t="shared" si="27"/>
        <v>111.2</v>
      </c>
      <c r="M62" s="90">
        <f t="shared" si="27"/>
        <v>624.46</v>
      </c>
      <c r="N62" s="215">
        <f>-'WACAP 2018'!Q64</f>
        <v>-6518.3300000000017</v>
      </c>
      <c r="O62" s="90">
        <f t="shared" si="27"/>
        <v>826.11999999999989</v>
      </c>
      <c r="P62" s="111">
        <f t="shared" si="27"/>
        <v>926.42000000000007</v>
      </c>
      <c r="R62" s="180">
        <f>SUM(D62:Q62)-N62</f>
        <v>6019.84</v>
      </c>
      <c r="U62" s="108">
        <v>948.8900000000001</v>
      </c>
    </row>
    <row r="63" spans="2:28" x14ac:dyDescent="0.25">
      <c r="B63" s="87"/>
      <c r="C63" s="122" t="s">
        <v>137</v>
      </c>
      <c r="D63" s="187">
        <f>ROUND(ROUND('WACAP 2018'!O65*D$5,2)/365*D$6,2)</f>
        <v>28.68</v>
      </c>
      <c r="E63" s="187">
        <f>ROUND(ROUND(D65*E$5,2)/365*E$6,2)</f>
        <v>29.76</v>
      </c>
      <c r="F63" s="187">
        <f t="shared" ref="F63:M63" si="28">ROUND(ROUND(E65*F$5,2)/365*F$6,2)</f>
        <v>38.25</v>
      </c>
      <c r="G63" s="187">
        <f t="shared" si="28"/>
        <v>42.43</v>
      </c>
      <c r="H63" s="187">
        <f t="shared" si="28"/>
        <v>46.23</v>
      </c>
      <c r="I63" s="187">
        <f t="shared" si="28"/>
        <v>45.48</v>
      </c>
      <c r="J63" s="187">
        <f t="shared" si="28"/>
        <v>47.92</v>
      </c>
      <c r="K63" s="187">
        <f t="shared" si="28"/>
        <v>48.2</v>
      </c>
      <c r="L63" s="187">
        <f t="shared" si="28"/>
        <v>46.91</v>
      </c>
      <c r="M63" s="187">
        <f t="shared" si="28"/>
        <v>48.5</v>
      </c>
      <c r="N63" s="231">
        <f>'Ammort Split 2019'!N63</f>
        <v>-298.17</v>
      </c>
      <c r="O63" s="187">
        <f>ROUND(ROUND(N65*O$5,2)/365*O$6,2)</f>
        <v>19.559999999999999</v>
      </c>
      <c r="P63" s="188">
        <f t="shared" ref="P63" si="29">ROUND(ROUND(O65*P$5,2)/365*P$6,2)</f>
        <v>24.11</v>
      </c>
      <c r="R63" s="196">
        <f>SUM(D63:Q63)</f>
        <v>167.86</v>
      </c>
      <c r="U63" s="108">
        <v>3.09</v>
      </c>
    </row>
    <row r="64" spans="2:28" x14ac:dyDescent="0.25">
      <c r="B64" s="87"/>
      <c r="C64" s="122" t="s">
        <v>138</v>
      </c>
      <c r="D64" s="189">
        <f t="shared" ref="D64:P64" si="30">SUM(D62:D63)</f>
        <v>971.57999999999993</v>
      </c>
      <c r="E64" s="189">
        <f t="shared" si="30"/>
        <v>1205.3999999999999</v>
      </c>
      <c r="F64" s="189">
        <f t="shared" si="30"/>
        <v>776.15000000000009</v>
      </c>
      <c r="G64" s="189">
        <f t="shared" si="30"/>
        <v>516.7399999999999</v>
      </c>
      <c r="H64" s="189">
        <f t="shared" si="30"/>
        <v>164.27999999999997</v>
      </c>
      <c r="I64" s="189">
        <f t="shared" si="30"/>
        <v>106.56</v>
      </c>
      <c r="J64" s="189">
        <f t="shared" si="30"/>
        <v>59.34</v>
      </c>
      <c r="K64" s="189">
        <f t="shared" si="30"/>
        <v>58.540000000000006</v>
      </c>
      <c r="L64" s="189">
        <f t="shared" si="30"/>
        <v>158.11000000000001</v>
      </c>
      <c r="M64" s="189">
        <f t="shared" si="30"/>
        <v>672.96</v>
      </c>
      <c r="N64" s="209">
        <f t="shared" si="30"/>
        <v>-6816.5000000000018</v>
      </c>
      <c r="O64" s="189">
        <f t="shared" si="30"/>
        <v>845.67999999999984</v>
      </c>
      <c r="P64" s="190">
        <f t="shared" si="30"/>
        <v>950.53000000000009</v>
      </c>
      <c r="R64" s="198">
        <f>SUM(R62:R63)</f>
        <v>6187.7</v>
      </c>
      <c r="U64" s="108">
        <v>951.98000000000013</v>
      </c>
    </row>
    <row r="65" spans="2:28" x14ac:dyDescent="0.25">
      <c r="B65" s="87"/>
      <c r="C65" s="122" t="s">
        <v>139</v>
      </c>
      <c r="D65" s="90">
        <f>'WACAP 2018'!O65+'WACAP 2019'!D64</f>
        <v>7489.91</v>
      </c>
      <c r="E65" s="90">
        <f t="shared" ref="E65:P65" si="31">D65+E64</f>
        <v>8695.31</v>
      </c>
      <c r="F65" s="90">
        <f t="shared" si="31"/>
        <v>9471.4599999999991</v>
      </c>
      <c r="G65" s="90">
        <f t="shared" si="31"/>
        <v>9988.1999999999989</v>
      </c>
      <c r="H65" s="90">
        <f t="shared" si="31"/>
        <v>10152.48</v>
      </c>
      <c r="I65" s="90">
        <f t="shared" si="31"/>
        <v>10259.039999999999</v>
      </c>
      <c r="J65" s="90">
        <f t="shared" si="31"/>
        <v>10318.379999999999</v>
      </c>
      <c r="K65" s="90">
        <f t="shared" si="31"/>
        <v>10376.92</v>
      </c>
      <c r="L65" s="90">
        <f t="shared" si="31"/>
        <v>10535.03</v>
      </c>
      <c r="M65" s="90">
        <f t="shared" si="31"/>
        <v>11207.990000000002</v>
      </c>
      <c r="N65" s="207">
        <f t="shared" si="31"/>
        <v>4391.49</v>
      </c>
      <c r="O65" s="90">
        <f t="shared" si="31"/>
        <v>5237.17</v>
      </c>
      <c r="P65" s="191">
        <f t="shared" si="31"/>
        <v>6187.7</v>
      </c>
      <c r="R65" s="178"/>
      <c r="U65" s="108">
        <v>1808.02</v>
      </c>
      <c r="V65" s="108">
        <f>1808.02-1805.56</f>
        <v>2.4600000000000364</v>
      </c>
    </row>
    <row r="66" spans="2:28" x14ac:dyDescent="0.25">
      <c r="B66" s="87"/>
      <c r="C66" s="89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204"/>
      <c r="O66" s="90"/>
      <c r="P66" s="111"/>
      <c r="R66" s="178"/>
      <c r="T66" s="122"/>
      <c r="U66" s="108"/>
      <c r="V66" s="108"/>
    </row>
    <row r="67" spans="2:28" x14ac:dyDescent="0.25">
      <c r="B67" s="279" t="s">
        <v>86</v>
      </c>
      <c r="C67" s="271">
        <v>504</v>
      </c>
      <c r="D67" s="113"/>
      <c r="E67" s="113"/>
      <c r="F67" s="108"/>
      <c r="G67" s="113"/>
      <c r="H67" s="113"/>
      <c r="I67" s="113"/>
      <c r="J67" s="113"/>
      <c r="K67" s="113"/>
      <c r="L67" s="113"/>
      <c r="M67" s="113"/>
      <c r="N67" s="204"/>
      <c r="O67" s="113"/>
      <c r="P67" s="115"/>
      <c r="R67" s="178"/>
      <c r="U67">
        <v>504</v>
      </c>
    </row>
    <row r="68" spans="2:28" ht="15.75" x14ac:dyDescent="0.25">
      <c r="B68" s="87" t="s">
        <v>64</v>
      </c>
      <c r="C68" t="s">
        <v>172</v>
      </c>
      <c r="D68" s="250">
        <v>26545</v>
      </c>
      <c r="E68" s="250">
        <v>26585</v>
      </c>
      <c r="F68" s="250">
        <v>26564</v>
      </c>
      <c r="G68" s="250">
        <v>26465</v>
      </c>
      <c r="H68" s="250">
        <v>26386</v>
      </c>
      <c r="I68" s="250">
        <v>26319</v>
      </c>
      <c r="J68" s="250">
        <v>26276</v>
      </c>
      <c r="K68" s="250">
        <v>26268</v>
      </c>
      <c r="L68" s="250">
        <v>26300</v>
      </c>
      <c r="M68" s="250">
        <v>26526</v>
      </c>
      <c r="N68" s="204"/>
      <c r="O68" s="250">
        <v>26673</v>
      </c>
      <c r="P68" s="294">
        <v>26797</v>
      </c>
      <c r="Q68" s="113"/>
      <c r="R68" s="179"/>
      <c r="V68" s="253">
        <v>11976706</v>
      </c>
      <c r="W68" t="s">
        <v>92</v>
      </c>
      <c r="X68" s="113"/>
    </row>
    <row r="69" spans="2:28" ht="15.75" x14ac:dyDescent="0.25">
      <c r="B69" s="87" t="s">
        <v>71</v>
      </c>
      <c r="C69" t="s">
        <v>70</v>
      </c>
      <c r="D69" s="251">
        <v>3043133.11</v>
      </c>
      <c r="E69" s="251">
        <v>3244574.11</v>
      </c>
      <c r="F69" s="251">
        <v>3697205.87</v>
      </c>
      <c r="G69" s="251">
        <v>2113981.9</v>
      </c>
      <c r="H69" s="251">
        <v>1248101.71</v>
      </c>
      <c r="I69" s="251">
        <v>805125.81</v>
      </c>
      <c r="J69" s="251">
        <v>709410.37</v>
      </c>
      <c r="K69" s="251">
        <v>648656</v>
      </c>
      <c r="L69" s="251">
        <v>620869.32999999996</v>
      </c>
      <c r="M69" s="251">
        <v>1126102.92</v>
      </c>
      <c r="N69" s="206"/>
      <c r="O69" s="251">
        <v>1834162.29</v>
      </c>
      <c r="P69" s="287">
        <v>2778115.34</v>
      </c>
      <c r="Q69" s="108"/>
      <c r="R69" s="180"/>
      <c r="T69" s="122" t="s">
        <v>90</v>
      </c>
      <c r="U69" s="255">
        <v>2778115.34</v>
      </c>
      <c r="V69" s="112">
        <f>U69/V68</f>
        <v>0.23195988446238888</v>
      </c>
      <c r="X69" s="112">
        <f>U69/V68</f>
        <v>0.23195988446238888</v>
      </c>
      <c r="Z69">
        <v>0.23141999999999999</v>
      </c>
      <c r="AB69" s="112">
        <f t="shared" ref="AB69" si="32">Z69-X69</f>
        <v>-5.3988446238889543E-4</v>
      </c>
    </row>
    <row r="70" spans="2:28" ht="15.75" x14ac:dyDescent="0.25">
      <c r="B70" s="248" t="s">
        <v>72</v>
      </c>
      <c r="C70" s="249" t="s">
        <v>114</v>
      </c>
      <c r="D70" s="128">
        <f>ROUND(ROUND(10187002*0.8988,0)*0.23142,2)</f>
        <v>2118899.34</v>
      </c>
      <c r="E70" s="128">
        <f>ROUND(ROUND(12666270*0.9016,0)*0.23142,2)</f>
        <v>2642795.34</v>
      </c>
      <c r="F70" s="128">
        <f>ROUND(ROUND(8619566*0.9062,0)*0.23142,2)</f>
        <v>1807633.42</v>
      </c>
      <c r="G70" s="128">
        <f>ROUND(ROUND(4713041*0.8984,0)*0.23142,2)</f>
        <v>979877.64</v>
      </c>
      <c r="H70" s="128">
        <f>ROUND(ROUND(2695771*0.8858,0)*0.23142,2)</f>
        <v>552611.06000000006</v>
      </c>
      <c r="I70" s="128">
        <f>ROUND(ROUND(2099565*0.8784,0)*0.23142,2)</f>
        <v>426798.19</v>
      </c>
      <c r="J70" s="128">
        <f>ROUND(ROUND(2183931*0.8827,0)*0.23142,2)</f>
        <v>446121.29</v>
      </c>
      <c r="K70" s="128">
        <f>ROUND(ROUND(1243727*0.8744,0)*0.23142,2)</f>
        <v>251672.72</v>
      </c>
      <c r="L70" s="128">
        <f>ROUND(ROUND(2978172*0.8851,0)*0.23142,2)</f>
        <v>610018.49</v>
      </c>
      <c r="M70" s="128">
        <f>ROUND(ROUND(6393900*0.8771,0)*0.23142,2)</f>
        <v>1297824.19</v>
      </c>
      <c r="N70" s="206"/>
      <c r="O70" s="128">
        <f>ROUND(ROUND(10324809*0.8841,0)*0.23142,2)</f>
        <v>2112439.71</v>
      </c>
      <c r="P70" s="289">
        <f>ROUND(ROUND(11506709*0.9041,0)*0.23142,2)</f>
        <v>2407512.25</v>
      </c>
      <c r="Q70" s="108"/>
      <c r="R70" s="180"/>
      <c r="T70" s="122" t="s">
        <v>91</v>
      </c>
      <c r="U70" s="255">
        <v>5228298.07</v>
      </c>
      <c r="V70" s="112">
        <f>U70/V68</f>
        <v>0.43653890059587336</v>
      </c>
      <c r="X70" s="112">
        <f>U70/V68</f>
        <v>0.43653890059587336</v>
      </c>
      <c r="Z70" s="249">
        <f>+Z58</f>
        <v>0.43558000000000002</v>
      </c>
      <c r="AB70" s="112">
        <f>Z70-X70</f>
        <v>-9.5890059587333543E-4</v>
      </c>
    </row>
    <row r="71" spans="2:28" x14ac:dyDescent="0.25">
      <c r="B71" s="87" t="s">
        <v>72</v>
      </c>
      <c r="C71" t="s">
        <v>115</v>
      </c>
      <c r="D71" s="88">
        <f>-'WACAP 2018'!O70</f>
        <v>-2112086.7999999998</v>
      </c>
      <c r="E71" s="88">
        <f t="shared" ref="E71:F71" si="33">-D70</f>
        <v>-2118899.34</v>
      </c>
      <c r="F71" s="88">
        <f t="shared" si="33"/>
        <v>-2642795.34</v>
      </c>
      <c r="G71" s="88">
        <f>-F70</f>
        <v>-1807633.42</v>
      </c>
      <c r="H71" s="88">
        <f>-G70</f>
        <v>-979877.64</v>
      </c>
      <c r="I71" s="88">
        <f>-H70</f>
        <v>-552611.06000000006</v>
      </c>
      <c r="J71" s="88">
        <f>-I70</f>
        <v>-426798.19</v>
      </c>
      <c r="K71" s="88">
        <f t="shared" ref="K71:M71" si="34">-J70</f>
        <v>-446121.29</v>
      </c>
      <c r="L71" s="88">
        <f>-K70</f>
        <v>-251672.72</v>
      </c>
      <c r="M71" s="88">
        <f t="shared" si="34"/>
        <v>-610018.49</v>
      </c>
      <c r="N71" s="205"/>
      <c r="O71" s="88">
        <f>-M70</f>
        <v>-1297824.19</v>
      </c>
      <c r="P71" s="110">
        <f>-O70</f>
        <v>-2112439.71</v>
      </c>
      <c r="Q71" s="108"/>
      <c r="R71" s="180"/>
      <c r="T71" s="122"/>
      <c r="U71" s="108"/>
      <c r="V71" s="112"/>
      <c r="X71" s="112"/>
      <c r="AB71" s="112"/>
    </row>
    <row r="72" spans="2:28" x14ac:dyDescent="0.25">
      <c r="B72" s="87"/>
      <c r="C72" s="122" t="s">
        <v>74</v>
      </c>
      <c r="D72" s="108">
        <f t="shared" ref="D72:P72" si="35">SUM(D69:D71)</f>
        <v>3049945.6499999994</v>
      </c>
      <c r="E72" s="108">
        <f t="shared" si="35"/>
        <v>3768470.1099999994</v>
      </c>
      <c r="F72" s="108">
        <f t="shared" si="35"/>
        <v>2862043.95</v>
      </c>
      <c r="G72" s="108">
        <f>SUM(G69:G71)</f>
        <v>1286226.1200000001</v>
      </c>
      <c r="H72" s="108">
        <f t="shared" si="35"/>
        <v>820835.13</v>
      </c>
      <c r="I72" s="108">
        <f t="shared" si="35"/>
        <v>679312.94</v>
      </c>
      <c r="J72" s="108">
        <f t="shared" si="35"/>
        <v>728733.47</v>
      </c>
      <c r="K72" s="108">
        <f t="shared" ref="K72:O72" si="36">SUM(K69:K71)</f>
        <v>454207.43</v>
      </c>
      <c r="L72" s="108">
        <f t="shared" si="36"/>
        <v>979215.09999999986</v>
      </c>
      <c r="M72" s="108">
        <f t="shared" si="36"/>
        <v>1813908.6199999999</v>
      </c>
      <c r="N72" s="206"/>
      <c r="O72" s="108">
        <f t="shared" si="36"/>
        <v>2648777.81</v>
      </c>
      <c r="P72" s="109">
        <f t="shared" si="35"/>
        <v>3073187.88</v>
      </c>
      <c r="R72" s="178"/>
    </row>
    <row r="73" spans="2:28" x14ac:dyDescent="0.25">
      <c r="B73" s="87"/>
      <c r="C73" s="122" t="s">
        <v>73</v>
      </c>
      <c r="D73" s="88">
        <f>ROUND(-'Authorized Margins 2018'!J12*'WACAP 2019'!D68,2)</f>
        <v>-3388469.25</v>
      </c>
      <c r="E73" s="88">
        <f>ROUND(-'Authorized Margins 2018'!K12*'WACAP 2019'!E68,2)</f>
        <v>-2497129.0499999998</v>
      </c>
      <c r="F73" s="88">
        <f>ROUND(-'Authorized Margins 2018'!L12*'WACAP 2019'!F68,2)</f>
        <v>-2080492.48</v>
      </c>
      <c r="G73" s="88">
        <f>ROUND(-'Authorized Margins 2018'!M12*'WACAP 2019'!G68,2)</f>
        <v>-1276671.6000000001</v>
      </c>
      <c r="H73" s="88">
        <f>ROUND(-'Authorized Margins 2018'!N12*'WACAP 2019'!H68,2)</f>
        <v>-823770.92</v>
      </c>
      <c r="I73" s="88">
        <f>ROUND(-'Authorized Margins 2018'!O12*'WACAP 2019'!I68,2)</f>
        <v>-627708.15</v>
      </c>
      <c r="J73" s="88">
        <f>ROUND(-'Authorized Margins 2018'!D12*'WACAP 2019'!J68,2)</f>
        <v>-642448.19999999995</v>
      </c>
      <c r="K73" s="88">
        <f>ROUND(-'Authorized Margins 2018'!E12*'WACAP 2019'!K68,2)</f>
        <v>-567388.80000000005</v>
      </c>
      <c r="L73" s="88">
        <f>ROUND(-'Authorized Margins 2018'!F12*'WACAP 2019'!L68,2)</f>
        <v>-842915</v>
      </c>
      <c r="M73" s="88">
        <f>ROUND(-'Authorized Margins 2018'!G12*'WACAP 2019'!M68,2)</f>
        <v>-1575379.14</v>
      </c>
      <c r="N73" s="205"/>
      <c r="O73" s="88">
        <f>ROUND(-'Authorized Margins 2018'!H12*'WACAP 2019'!O68,2)</f>
        <v>-2396302.3199999998</v>
      </c>
      <c r="P73" s="110">
        <f>ROUND(-'Authorized Margins 2018'!I12*'WACAP 2019'!P68,2)</f>
        <v>-3403219</v>
      </c>
      <c r="R73" s="178"/>
    </row>
    <row r="74" spans="2:28" x14ac:dyDescent="0.25">
      <c r="B74" s="87"/>
      <c r="C74" s="122" t="s">
        <v>75</v>
      </c>
      <c r="D74" s="90">
        <f t="shared" ref="D74:P74" si="37">SUM(D72:D73)</f>
        <v>-338523.60000000056</v>
      </c>
      <c r="E74" s="90">
        <f t="shared" si="37"/>
        <v>1271341.0599999996</v>
      </c>
      <c r="F74" s="90">
        <f t="shared" si="37"/>
        <v>781551.4700000002</v>
      </c>
      <c r="G74" s="90">
        <f t="shared" si="37"/>
        <v>9554.5200000000186</v>
      </c>
      <c r="H74" s="90">
        <f t="shared" si="37"/>
        <v>-2935.7900000000373</v>
      </c>
      <c r="I74" s="90">
        <f t="shared" si="37"/>
        <v>51604.789999999921</v>
      </c>
      <c r="J74" s="90">
        <f t="shared" si="37"/>
        <v>86285.270000000019</v>
      </c>
      <c r="K74" s="90">
        <f t="shared" si="37"/>
        <v>-113181.37000000005</v>
      </c>
      <c r="L74" s="90">
        <f t="shared" si="37"/>
        <v>136300.09999999986</v>
      </c>
      <c r="M74" s="90">
        <f t="shared" si="37"/>
        <v>238529.47999999998</v>
      </c>
      <c r="N74" s="215">
        <f>-'WACAP 2018'!Q76</f>
        <v>28946.250000001055</v>
      </c>
      <c r="O74" s="90">
        <f t="shared" si="37"/>
        <v>252475.49000000022</v>
      </c>
      <c r="P74" s="111">
        <f t="shared" si="37"/>
        <v>-330031.12000000011</v>
      </c>
      <c r="R74" s="180">
        <f>SUM(D74:Q74)-N74</f>
        <v>2042970.2999999986</v>
      </c>
    </row>
    <row r="75" spans="2:28" x14ac:dyDescent="0.25">
      <c r="B75" s="87"/>
      <c r="C75" s="122" t="s">
        <v>137</v>
      </c>
      <c r="D75" s="187">
        <f>ROUND(ROUND('WACAP 2018'!O77*D$5,2)/365*D$6,2)</f>
        <v>-127.35</v>
      </c>
      <c r="E75" s="187">
        <f>ROUND(ROUND(D77*E$5,2)/365*E$6,2)</f>
        <v>-1460.72</v>
      </c>
      <c r="F75" s="187">
        <f>ROUND(ROUND(E77*F$5,2)/365*F$6,2)</f>
        <v>3969.55</v>
      </c>
      <c r="G75" s="187">
        <f t="shared" ref="G75:P75" si="38">ROUND(ROUND(F77*G$5,2)/365*G$6,2)</f>
        <v>7560.44</v>
      </c>
      <c r="H75" s="187">
        <f t="shared" si="38"/>
        <v>7891.67</v>
      </c>
      <c r="I75" s="187">
        <f t="shared" si="38"/>
        <v>7659.3</v>
      </c>
      <c r="J75" s="187">
        <f t="shared" si="38"/>
        <v>8264.06</v>
      </c>
      <c r="K75" s="187">
        <f t="shared" si="38"/>
        <v>8705.7199999999993</v>
      </c>
      <c r="L75" s="187">
        <f t="shared" si="38"/>
        <v>7952.61</v>
      </c>
      <c r="M75" s="187">
        <f t="shared" si="38"/>
        <v>8762.2000000000007</v>
      </c>
      <c r="N75" s="231">
        <f>'Ammort Split 2019'!N75</f>
        <v>1324.06</v>
      </c>
      <c r="O75" s="187">
        <f>ROUND(ROUND(N77*O$5,2)/365*O$6,2)</f>
        <v>9716.0300000000007</v>
      </c>
      <c r="P75" s="188">
        <f t="shared" si="38"/>
        <v>11246.84</v>
      </c>
      <c r="R75" s="196">
        <f>SUM(D75:Q75)</f>
        <v>81464.409999999989</v>
      </c>
    </row>
    <row r="76" spans="2:28" x14ac:dyDescent="0.25">
      <c r="B76" s="87"/>
      <c r="C76" s="122" t="s">
        <v>138</v>
      </c>
      <c r="D76" s="189">
        <f t="shared" ref="D76:P76" si="39">SUM(D74:D75)</f>
        <v>-338650.95000000054</v>
      </c>
      <c r="E76" s="189">
        <f t="shared" si="39"/>
        <v>1269880.3399999996</v>
      </c>
      <c r="F76" s="189">
        <f t="shared" si="39"/>
        <v>785521.02000000025</v>
      </c>
      <c r="G76" s="189">
        <f t="shared" si="39"/>
        <v>17114.960000000017</v>
      </c>
      <c r="H76" s="189">
        <f t="shared" si="39"/>
        <v>4955.8799999999628</v>
      </c>
      <c r="I76" s="189">
        <f t="shared" si="39"/>
        <v>59264.089999999924</v>
      </c>
      <c r="J76" s="189">
        <f t="shared" si="39"/>
        <v>94549.330000000016</v>
      </c>
      <c r="K76" s="189">
        <f t="shared" si="39"/>
        <v>-104475.65000000005</v>
      </c>
      <c r="L76" s="189">
        <f t="shared" si="39"/>
        <v>144252.70999999985</v>
      </c>
      <c r="M76" s="189">
        <f t="shared" si="39"/>
        <v>247291.68</v>
      </c>
      <c r="N76" s="209">
        <f t="shared" si="39"/>
        <v>30270.310000001056</v>
      </c>
      <c r="O76" s="189">
        <f t="shared" si="39"/>
        <v>262191.52000000025</v>
      </c>
      <c r="P76" s="190">
        <f t="shared" si="39"/>
        <v>-318784.28000000009</v>
      </c>
      <c r="R76" s="198">
        <f>SUM(R74:R75)</f>
        <v>2124434.7099999986</v>
      </c>
    </row>
    <row r="77" spans="2:28" x14ac:dyDescent="0.25">
      <c r="B77" s="87"/>
      <c r="C77" s="122" t="s">
        <v>139</v>
      </c>
      <c r="D77" s="90">
        <f>'WACAP 2018'!O77+'WACAP 2019'!D76</f>
        <v>-367597.20000000222</v>
      </c>
      <c r="E77" s="90">
        <f t="shared" ref="E77:P77" si="40">D77+E76</f>
        <v>902283.13999999734</v>
      </c>
      <c r="F77" s="90">
        <f t="shared" si="40"/>
        <v>1687804.1599999976</v>
      </c>
      <c r="G77" s="90">
        <f t="shared" si="40"/>
        <v>1704919.1199999976</v>
      </c>
      <c r="H77" s="90">
        <f t="shared" si="40"/>
        <v>1709874.9999999974</v>
      </c>
      <c r="I77" s="90">
        <f t="shared" si="40"/>
        <v>1769139.0899999973</v>
      </c>
      <c r="J77" s="90">
        <f t="shared" si="40"/>
        <v>1863688.4199999974</v>
      </c>
      <c r="K77" s="90">
        <f t="shared" si="40"/>
        <v>1759212.7699999972</v>
      </c>
      <c r="L77" s="90">
        <f t="shared" si="40"/>
        <v>1903465.4799999972</v>
      </c>
      <c r="M77" s="90">
        <f t="shared" si="40"/>
        <v>2150757.1599999974</v>
      </c>
      <c r="N77" s="207">
        <f t="shared" si="40"/>
        <v>2181027.4699999983</v>
      </c>
      <c r="O77" s="90">
        <f t="shared" si="40"/>
        <v>2443218.9899999984</v>
      </c>
      <c r="P77" s="191">
        <f t="shared" si="40"/>
        <v>2124434.7099999981</v>
      </c>
      <c r="R77" s="178"/>
      <c r="V77" s="108">
        <f>ROUND(U98/Z98,0)</f>
        <v>887875</v>
      </c>
    </row>
    <row r="78" spans="2:28" ht="15.75" thickBot="1" x14ac:dyDescent="0.3">
      <c r="B78" s="283"/>
      <c r="C78" s="89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119"/>
      <c r="R78" s="119"/>
      <c r="T78" s="122"/>
      <c r="U78" s="108"/>
      <c r="V78" s="108">
        <f>ROUND(U99/Z99,0)</f>
        <v>275531</v>
      </c>
    </row>
    <row r="79" spans="2:28" x14ac:dyDescent="0.25">
      <c r="B79" s="280" t="s">
        <v>86</v>
      </c>
      <c r="C79" s="242" t="s">
        <v>169</v>
      </c>
      <c r="D79" s="236"/>
      <c r="E79" s="236"/>
      <c r="F79" s="241"/>
      <c r="G79" s="236"/>
      <c r="H79" s="236"/>
      <c r="I79" s="236"/>
      <c r="J79" s="236"/>
      <c r="K79" s="236"/>
      <c r="L79" s="236"/>
      <c r="M79" s="236"/>
      <c r="N79" s="236"/>
      <c r="O79" s="236"/>
      <c r="P79" s="237"/>
      <c r="Q79" s="240"/>
      <c r="R79" s="235"/>
      <c r="T79" s="122"/>
      <c r="U79" s="108"/>
      <c r="V79" s="108"/>
    </row>
    <row r="80" spans="2:28" x14ac:dyDescent="0.25">
      <c r="B80" s="87" t="s">
        <v>64</v>
      </c>
      <c r="C80" t="s">
        <v>172</v>
      </c>
      <c r="D80" s="250"/>
      <c r="E80" s="250"/>
      <c r="F80" s="250"/>
      <c r="G80" s="250"/>
      <c r="H80" s="250"/>
      <c r="I80" s="250"/>
      <c r="J80" s="250"/>
      <c r="K80" s="250"/>
      <c r="L80" s="250"/>
      <c r="M80" s="250">
        <v>7</v>
      </c>
      <c r="N80" s="204"/>
      <c r="O80" s="250">
        <v>7</v>
      </c>
      <c r="P80" s="294">
        <v>7</v>
      </c>
      <c r="Q80" s="113"/>
      <c r="R80" s="179"/>
      <c r="T80" s="122"/>
      <c r="U80" s="108"/>
      <c r="V80" s="108"/>
    </row>
    <row r="81" spans="2:24" x14ac:dyDescent="0.25">
      <c r="B81" s="87" t="s">
        <v>71</v>
      </c>
      <c r="C81" t="s">
        <v>98</v>
      </c>
      <c r="D81" s="251"/>
      <c r="E81" s="251"/>
      <c r="F81" s="251"/>
      <c r="G81" s="251"/>
      <c r="H81" s="251"/>
      <c r="I81" s="251"/>
      <c r="J81" s="251"/>
      <c r="K81" s="251"/>
      <c r="L81" s="251"/>
      <c r="M81" s="116"/>
      <c r="N81" s="206"/>
      <c r="O81" s="251">
        <v>18669.12</v>
      </c>
      <c r="P81" s="287">
        <v>19643.849999999999</v>
      </c>
      <c r="Q81" s="108"/>
      <c r="R81" s="180"/>
      <c r="T81" s="122"/>
      <c r="U81" s="108"/>
      <c r="V81" s="108"/>
    </row>
    <row r="82" spans="2:24" x14ac:dyDescent="0.25">
      <c r="B82" s="87" t="s">
        <v>71</v>
      </c>
      <c r="C82" t="s">
        <v>99</v>
      </c>
      <c r="D82" s="251"/>
      <c r="E82" s="251"/>
      <c r="F82" s="251"/>
      <c r="G82" s="251"/>
      <c r="H82" s="251"/>
      <c r="I82" s="251"/>
      <c r="J82" s="251"/>
      <c r="K82" s="251"/>
      <c r="L82" s="251"/>
      <c r="M82" s="116"/>
      <c r="N82" s="206"/>
      <c r="O82" s="251">
        <v>35157.15</v>
      </c>
      <c r="P82" s="287">
        <v>39654.980000000003</v>
      </c>
      <c r="Q82" s="108"/>
      <c r="R82" s="180"/>
      <c r="T82" s="122"/>
      <c r="U82" s="108"/>
      <c r="V82" s="108"/>
    </row>
    <row r="83" spans="2:24" x14ac:dyDescent="0.25">
      <c r="B83" s="87" t="s">
        <v>71</v>
      </c>
      <c r="C83" t="s">
        <v>100</v>
      </c>
      <c r="D83" s="251"/>
      <c r="E83" s="251"/>
      <c r="F83" s="251"/>
      <c r="G83" s="251"/>
      <c r="H83" s="251"/>
      <c r="I83" s="251"/>
      <c r="J83" s="251"/>
      <c r="K83" s="251"/>
      <c r="L83" s="251"/>
      <c r="M83" s="116"/>
      <c r="N83" s="206"/>
      <c r="O83" s="251">
        <v>24299.87</v>
      </c>
      <c r="P83" s="287">
        <v>27107.24</v>
      </c>
      <c r="Q83" s="108"/>
      <c r="R83" s="180"/>
      <c r="T83" s="122"/>
      <c r="U83" s="108"/>
      <c r="V83" s="108"/>
    </row>
    <row r="84" spans="2:24" x14ac:dyDescent="0.25">
      <c r="B84" s="87" t="s">
        <v>72</v>
      </c>
      <c r="C84" s="270" t="s">
        <v>164</v>
      </c>
      <c r="D84" s="276"/>
      <c r="E84" s="276"/>
      <c r="F84" s="276"/>
      <c r="G84" s="276"/>
      <c r="H84" s="276"/>
      <c r="I84" s="276"/>
      <c r="J84" s="276"/>
      <c r="K84" s="276"/>
      <c r="L84" s="276"/>
      <c r="M84" s="276">
        <v>18669.12</v>
      </c>
      <c r="N84" s="206"/>
      <c r="O84" s="276">
        <v>19643.849999999999</v>
      </c>
      <c r="P84" s="285">
        <v>19935.75</v>
      </c>
      <c r="Q84" s="108"/>
      <c r="R84" s="180"/>
      <c r="T84" s="122"/>
      <c r="U84" s="108"/>
      <c r="V84" s="108"/>
    </row>
    <row r="85" spans="2:24" x14ac:dyDescent="0.25">
      <c r="B85" s="87" t="s">
        <v>72</v>
      </c>
      <c r="C85" s="270" t="s">
        <v>165</v>
      </c>
      <c r="D85" s="276"/>
      <c r="E85" s="276"/>
      <c r="F85" s="276"/>
      <c r="G85" s="276"/>
      <c r="H85" s="276"/>
      <c r="I85" s="276"/>
      <c r="J85" s="276"/>
      <c r="K85" s="276"/>
      <c r="L85" s="276"/>
      <c r="M85" s="276">
        <v>35157.15</v>
      </c>
      <c r="N85" s="206"/>
      <c r="O85" s="276">
        <v>39654.980000000003</v>
      </c>
      <c r="P85" s="285">
        <v>41795.550000000003</v>
      </c>
      <c r="Q85" s="108"/>
      <c r="R85" s="180"/>
      <c r="T85" s="122"/>
      <c r="U85" s="108"/>
      <c r="V85" s="108"/>
    </row>
    <row r="86" spans="2:24" x14ac:dyDescent="0.25">
      <c r="B86" s="87" t="s">
        <v>72</v>
      </c>
      <c r="C86" s="270" t="s">
        <v>166</v>
      </c>
      <c r="D86" s="276"/>
      <c r="E86" s="276"/>
      <c r="F86" s="276"/>
      <c r="G86" s="276"/>
      <c r="H86" s="276"/>
      <c r="I86" s="276"/>
      <c r="J86" s="276"/>
      <c r="K86" s="276"/>
      <c r="L86" s="276"/>
      <c r="M86" s="276">
        <v>24299.87</v>
      </c>
      <c r="N86" s="206"/>
      <c r="O86" s="276">
        <v>27107.24</v>
      </c>
      <c r="P86" s="285">
        <v>31678.16</v>
      </c>
      <c r="Q86" s="108"/>
      <c r="R86" s="180"/>
      <c r="T86" s="122"/>
      <c r="U86" s="108"/>
      <c r="V86" s="108"/>
    </row>
    <row r="87" spans="2:24" x14ac:dyDescent="0.25">
      <c r="B87" s="87" t="s">
        <v>72</v>
      </c>
      <c r="C87" t="s">
        <v>144</v>
      </c>
      <c r="D87" s="189"/>
      <c r="E87" s="189">
        <f t="shared" ref="E87:M87" si="41">-D84</f>
        <v>0</v>
      </c>
      <c r="F87" s="189">
        <f t="shared" si="41"/>
        <v>0</v>
      </c>
      <c r="G87" s="189">
        <f t="shared" si="41"/>
        <v>0</v>
      </c>
      <c r="H87" s="189">
        <f t="shared" si="41"/>
        <v>0</v>
      </c>
      <c r="I87" s="189">
        <f t="shared" si="41"/>
        <v>0</v>
      </c>
      <c r="J87" s="189">
        <f t="shared" si="41"/>
        <v>0</v>
      </c>
      <c r="K87" s="189">
        <f t="shared" si="41"/>
        <v>0</v>
      </c>
      <c r="L87" s="189">
        <f t="shared" si="41"/>
        <v>0</v>
      </c>
      <c r="M87" s="88">
        <f t="shared" si="41"/>
        <v>0</v>
      </c>
      <c r="N87" s="206"/>
      <c r="O87" s="88">
        <f>-M84-M85-M86</f>
        <v>-78126.14</v>
      </c>
      <c r="P87" s="88">
        <f>-O84-O85-O86</f>
        <v>-86406.07</v>
      </c>
      <c r="Q87" s="180"/>
      <c r="R87" s="180"/>
      <c r="T87" s="122"/>
      <c r="U87" s="108"/>
      <c r="V87" s="108"/>
    </row>
    <row r="88" spans="2:24" x14ac:dyDescent="0.25">
      <c r="B88" s="87"/>
      <c r="C88" s="122" t="s">
        <v>74</v>
      </c>
      <c r="D88" s="108">
        <f t="shared" ref="D88:L88" si="42">SUM(D81:D87)</f>
        <v>0</v>
      </c>
      <c r="E88" s="108">
        <f t="shared" si="42"/>
        <v>0</v>
      </c>
      <c r="F88" s="108">
        <f t="shared" si="42"/>
        <v>0</v>
      </c>
      <c r="G88" s="108">
        <f t="shared" si="42"/>
        <v>0</v>
      </c>
      <c r="H88" s="108">
        <f t="shared" si="42"/>
        <v>0</v>
      </c>
      <c r="I88" s="108">
        <f t="shared" si="42"/>
        <v>0</v>
      </c>
      <c r="J88" s="108">
        <f t="shared" si="42"/>
        <v>0</v>
      </c>
      <c r="K88" s="108">
        <f t="shared" si="42"/>
        <v>0</v>
      </c>
      <c r="L88" s="108">
        <f t="shared" si="42"/>
        <v>0</v>
      </c>
      <c r="M88" s="108">
        <f>SUM(M81:M87)</f>
        <v>78126.14</v>
      </c>
      <c r="N88" s="286"/>
      <c r="O88" s="108">
        <f>SUM(O81:O87)</f>
        <v>86406.069999999992</v>
      </c>
      <c r="P88" s="109">
        <f>SUM(P81:P87)</f>
        <v>93409.459999999992</v>
      </c>
      <c r="R88" s="178"/>
      <c r="T88" s="122"/>
      <c r="U88" s="108"/>
      <c r="V88" s="108"/>
    </row>
    <row r="89" spans="2:24" x14ac:dyDescent="0.25">
      <c r="B89" s="87"/>
      <c r="C89" s="122" t="s">
        <v>73</v>
      </c>
      <c r="D89" s="88">
        <f>ROUND(-'Authorized Margins 2018'!J36*'WACAP 2019'!D80,2)</f>
        <v>0</v>
      </c>
      <c r="E89" s="88">
        <f>ROUND(-'Authorized Margins 2018'!K36*'WACAP 2019'!E80,2)</f>
        <v>0</v>
      </c>
      <c r="F89" s="88">
        <f>ROUND(-'Authorized Margins 2018'!L36*'WACAP 2019'!F80,2)</f>
        <v>0</v>
      </c>
      <c r="G89" s="88">
        <f>ROUND(-'Authorized Margins 2018'!M36*'WACAP 2019'!G80,2)</f>
        <v>0</v>
      </c>
      <c r="H89" s="88">
        <f>ROUND(-'Authorized Margins 2018'!N36*'WACAP 2019'!H80,2)</f>
        <v>0</v>
      </c>
      <c r="I89" s="88">
        <f>ROUND(-'Authorized Margins 2018'!O36*'WACAP 2019'!I80,2)</f>
        <v>0</v>
      </c>
      <c r="J89" s="88">
        <f>ROUND(-'Authorized Margins 2018'!D36*'WACAP 2019'!J80,2)</f>
        <v>0</v>
      </c>
      <c r="K89" s="88">
        <f>ROUND(-'Authorized Margins 2018'!E36*'WACAP 2019'!K80,2)</f>
        <v>0</v>
      </c>
      <c r="L89" s="88">
        <f>ROUND(-'Authorized Margins 2018'!F36*'WACAP 2019'!L80,2)</f>
        <v>0</v>
      </c>
      <c r="M89" s="88">
        <f>ROUND(-'Authorized Margins 2018'!G16*'WACAP 2019'!M80,2)</f>
        <v>-6053.04</v>
      </c>
      <c r="N89" s="205"/>
      <c r="O89" s="88">
        <f>ROUND(-'Authorized Margins 2018'!H16*'WACAP 2019'!O80,2)</f>
        <v>-8138.34</v>
      </c>
      <c r="P89" s="110">
        <f>ROUND(-'Authorized Margins 2018'!I16*'WACAP 2019'!P80,2)</f>
        <v>-13180.02</v>
      </c>
      <c r="R89" s="178"/>
      <c r="T89" s="122"/>
      <c r="U89" s="108"/>
      <c r="V89" s="108"/>
    </row>
    <row r="90" spans="2:24" x14ac:dyDescent="0.25">
      <c r="B90" s="87"/>
      <c r="C90" s="122" t="s">
        <v>75</v>
      </c>
      <c r="D90" s="90">
        <f t="shared" ref="D90:M90" si="43">SUM(D88:D89)</f>
        <v>0</v>
      </c>
      <c r="E90" s="90">
        <f t="shared" si="43"/>
        <v>0</v>
      </c>
      <c r="F90" s="90">
        <f t="shared" si="43"/>
        <v>0</v>
      </c>
      <c r="G90" s="90">
        <f t="shared" si="43"/>
        <v>0</v>
      </c>
      <c r="H90" s="90">
        <f t="shared" si="43"/>
        <v>0</v>
      </c>
      <c r="I90" s="90">
        <f t="shared" si="43"/>
        <v>0</v>
      </c>
      <c r="J90" s="90">
        <f t="shared" si="43"/>
        <v>0</v>
      </c>
      <c r="K90" s="90">
        <f t="shared" si="43"/>
        <v>0</v>
      </c>
      <c r="L90" s="90">
        <f t="shared" si="43"/>
        <v>0</v>
      </c>
      <c r="M90" s="90">
        <f t="shared" si="43"/>
        <v>72073.100000000006</v>
      </c>
      <c r="N90" s="215">
        <f>-'WACAP 2018'!Q88</f>
        <v>0</v>
      </c>
      <c r="O90" s="90">
        <f t="shared" ref="O90:P90" si="44">SUM(O88:O89)</f>
        <v>78267.73</v>
      </c>
      <c r="P90" s="111">
        <f t="shared" si="44"/>
        <v>80229.439999999988</v>
      </c>
      <c r="R90" s="180">
        <f>SUM(D90:Q90)-N90</f>
        <v>230570.27000000002</v>
      </c>
      <c r="T90" s="122"/>
      <c r="U90" s="108"/>
      <c r="V90" s="108"/>
    </row>
    <row r="91" spans="2:24" x14ac:dyDescent="0.25">
      <c r="B91" s="87"/>
      <c r="C91" s="122" t="s">
        <v>137</v>
      </c>
      <c r="D91" s="187"/>
      <c r="E91" s="187"/>
      <c r="F91" s="187"/>
      <c r="G91" s="187"/>
      <c r="H91" s="187"/>
      <c r="I91" s="187"/>
      <c r="J91" s="187"/>
      <c r="K91" s="187"/>
      <c r="L91" s="187"/>
      <c r="M91" s="187">
        <f>ROUND(ROUND(L93*M$5,2)/365*M$6,2)</f>
        <v>0</v>
      </c>
      <c r="N91" s="231">
        <f>'Ammort Split 2019'!N87</f>
        <v>0</v>
      </c>
      <c r="O91" s="187">
        <f>ROUND(ROUND(N93*O$5,2)/365*O$6,2)</f>
        <v>321.07</v>
      </c>
      <c r="P91" s="188">
        <f>ROUND(ROUND(O93*P$5,2)/365*P$6,2)</f>
        <v>693.54</v>
      </c>
      <c r="R91" s="196">
        <f>SUM(D91:Q91)</f>
        <v>1014.6099999999999</v>
      </c>
      <c r="T91" s="122"/>
      <c r="U91" s="108"/>
      <c r="V91" s="108"/>
    </row>
    <row r="92" spans="2:24" x14ac:dyDescent="0.25">
      <c r="B92" s="87"/>
      <c r="C92" s="122" t="s">
        <v>138</v>
      </c>
      <c r="D92" s="189">
        <f t="shared" ref="D92:P92" si="45">SUM(D90:D91)</f>
        <v>0</v>
      </c>
      <c r="E92" s="189">
        <f t="shared" si="45"/>
        <v>0</v>
      </c>
      <c r="F92" s="189">
        <f t="shared" si="45"/>
        <v>0</v>
      </c>
      <c r="G92" s="189">
        <f t="shared" si="45"/>
        <v>0</v>
      </c>
      <c r="H92" s="189">
        <f t="shared" si="45"/>
        <v>0</v>
      </c>
      <c r="I92" s="189">
        <f t="shared" si="45"/>
        <v>0</v>
      </c>
      <c r="J92" s="189">
        <f t="shared" si="45"/>
        <v>0</v>
      </c>
      <c r="K92" s="189">
        <f t="shared" si="45"/>
        <v>0</v>
      </c>
      <c r="L92" s="189">
        <f t="shared" si="45"/>
        <v>0</v>
      </c>
      <c r="M92" s="189">
        <f t="shared" si="45"/>
        <v>72073.100000000006</v>
      </c>
      <c r="N92" s="209">
        <f t="shared" si="45"/>
        <v>0</v>
      </c>
      <c r="O92" s="189">
        <f t="shared" si="45"/>
        <v>78588.800000000003</v>
      </c>
      <c r="P92" s="190">
        <f t="shared" si="45"/>
        <v>80922.979999999981</v>
      </c>
      <c r="R92" s="198">
        <f>SUM(R90:R91)</f>
        <v>231584.88</v>
      </c>
      <c r="T92" s="122"/>
      <c r="U92" s="108"/>
      <c r="V92" s="108"/>
    </row>
    <row r="93" spans="2:24" x14ac:dyDescent="0.25">
      <c r="B93" s="87"/>
      <c r="C93" s="122" t="s">
        <v>139</v>
      </c>
      <c r="D93" s="128"/>
      <c r="E93" s="90">
        <f t="shared" ref="E93" si="46">D93+E92</f>
        <v>0</v>
      </c>
      <c r="F93" s="90">
        <f t="shared" ref="F93" si="47">E93+F92</f>
        <v>0</v>
      </c>
      <c r="G93" s="90">
        <f t="shared" ref="G93" si="48">F93+G92</f>
        <v>0</v>
      </c>
      <c r="H93" s="90">
        <f t="shared" ref="H93" si="49">G93+H92</f>
        <v>0</v>
      </c>
      <c r="I93" s="90">
        <f t="shared" ref="I93" si="50">H93+I92</f>
        <v>0</v>
      </c>
      <c r="J93" s="90">
        <f t="shared" ref="J93" si="51">I93+J92</f>
        <v>0</v>
      </c>
      <c r="K93" s="90">
        <f t="shared" ref="K93" si="52">J93+K92</f>
        <v>0</v>
      </c>
      <c r="L93" s="90">
        <f t="shared" ref="L93" si="53">K93+L92</f>
        <v>0</v>
      </c>
      <c r="M93" s="90">
        <f t="shared" ref="M93" si="54">L93+M92</f>
        <v>72073.100000000006</v>
      </c>
      <c r="N93" s="207">
        <f t="shared" ref="N93" si="55">M93+N92</f>
        <v>72073.100000000006</v>
      </c>
      <c r="O93" s="90">
        <f t="shared" ref="O93" si="56">N93+O92</f>
        <v>150661.90000000002</v>
      </c>
      <c r="P93" s="191">
        <f t="shared" ref="P93" si="57">O93+P92</f>
        <v>231584.88</v>
      </c>
      <c r="R93" s="178"/>
      <c r="T93" s="122"/>
      <c r="U93" s="108"/>
      <c r="V93" s="108"/>
    </row>
    <row r="94" spans="2:24" x14ac:dyDescent="0.25">
      <c r="B94" s="87"/>
      <c r="C94" s="89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204"/>
      <c r="O94" s="90"/>
      <c r="P94" s="111"/>
      <c r="R94" s="178"/>
      <c r="T94" s="122"/>
      <c r="U94" s="108"/>
      <c r="V94" s="108"/>
    </row>
    <row r="95" spans="2:24" x14ac:dyDescent="0.25">
      <c r="B95" s="279" t="s">
        <v>86</v>
      </c>
      <c r="C95" s="271">
        <v>511</v>
      </c>
      <c r="D95" s="113"/>
      <c r="E95" s="113"/>
      <c r="F95" s="108"/>
      <c r="G95" s="113"/>
      <c r="H95" s="113"/>
      <c r="I95" s="113"/>
      <c r="J95" s="113"/>
      <c r="K95" s="113"/>
      <c r="L95" s="113"/>
      <c r="M95" s="113"/>
      <c r="N95" s="204"/>
      <c r="O95" s="113"/>
      <c r="P95" s="115"/>
      <c r="R95" s="178"/>
      <c r="U95">
        <v>511</v>
      </c>
      <c r="V95" s="108">
        <f>ROUND(U100/Z100,0)</f>
        <v>106750</v>
      </c>
      <c r="W95" s="108">
        <f>SUM(V75:V95)</f>
        <v>1270156</v>
      </c>
    </row>
    <row r="96" spans="2:24" ht="15.75" x14ac:dyDescent="0.25">
      <c r="B96" s="87" t="s">
        <v>64</v>
      </c>
      <c r="C96" t="s">
        <v>172</v>
      </c>
      <c r="D96" s="250">
        <v>74</v>
      </c>
      <c r="E96" s="250">
        <v>74</v>
      </c>
      <c r="F96" s="250">
        <v>73</v>
      </c>
      <c r="G96" s="250">
        <v>73</v>
      </c>
      <c r="H96" s="250">
        <v>73</v>
      </c>
      <c r="I96" s="250">
        <v>73</v>
      </c>
      <c r="J96" s="250">
        <v>74</v>
      </c>
      <c r="K96" s="250">
        <v>75</v>
      </c>
      <c r="L96" s="250">
        <v>75</v>
      </c>
      <c r="M96" s="250">
        <v>75</v>
      </c>
      <c r="N96" s="204"/>
      <c r="O96" s="250">
        <v>75</v>
      </c>
      <c r="P96" s="294">
        <v>75</v>
      </c>
      <c r="Q96" s="113"/>
      <c r="R96" s="179"/>
      <c r="V96" s="253">
        <v>1270156</v>
      </c>
      <c r="W96" t="s">
        <v>92</v>
      </c>
      <c r="X96" s="113"/>
    </row>
    <row r="97" spans="2:28" x14ac:dyDescent="0.25">
      <c r="B97" s="87" t="s">
        <v>71</v>
      </c>
      <c r="C97" t="s">
        <v>117</v>
      </c>
      <c r="D97" s="251"/>
      <c r="E97" s="251"/>
      <c r="F97" s="251"/>
      <c r="G97" s="251"/>
      <c r="H97" s="251"/>
      <c r="I97" s="251"/>
      <c r="J97" s="251"/>
      <c r="K97" s="251"/>
      <c r="L97" s="251"/>
      <c r="M97" s="116"/>
      <c r="N97" s="206"/>
      <c r="O97" s="116"/>
      <c r="P97" s="117"/>
      <c r="Q97" s="108"/>
      <c r="R97" s="180"/>
      <c r="T97" s="122" t="s">
        <v>90</v>
      </c>
      <c r="U97" s="108"/>
      <c r="V97" s="112"/>
      <c r="X97" s="112"/>
      <c r="AB97" s="112">
        <f>Z97-X97</f>
        <v>0</v>
      </c>
    </row>
    <row r="98" spans="2:28" ht="15.75" x14ac:dyDescent="0.25">
      <c r="B98" s="87" t="s">
        <v>71</v>
      </c>
      <c r="C98" t="s">
        <v>98</v>
      </c>
      <c r="D98" s="251">
        <v>137096.94</v>
      </c>
      <c r="E98" s="251">
        <v>142202.75</v>
      </c>
      <c r="F98" s="251">
        <v>148808.72</v>
      </c>
      <c r="G98" s="251">
        <v>101345.27</v>
      </c>
      <c r="H98" s="251">
        <v>68346.91</v>
      </c>
      <c r="I98" s="251">
        <v>49023.82</v>
      </c>
      <c r="J98" s="251">
        <v>39985.11</v>
      </c>
      <c r="K98" s="251">
        <v>42022.45</v>
      </c>
      <c r="L98" s="251">
        <v>36146.300000000003</v>
      </c>
      <c r="M98" s="251">
        <v>62882.46</v>
      </c>
      <c r="N98" s="206"/>
      <c r="O98" s="251">
        <v>97254.58</v>
      </c>
      <c r="P98" s="287">
        <v>127232.51</v>
      </c>
      <c r="Q98" s="108"/>
      <c r="R98" s="180"/>
      <c r="T98" s="122" t="s">
        <v>90</v>
      </c>
      <c r="U98" s="255">
        <v>127232.51</v>
      </c>
      <c r="V98" s="112">
        <f>U98/V77</f>
        <v>0.14330002534140504</v>
      </c>
      <c r="X98" s="112">
        <f>U98/V77</f>
        <v>0.14330002534140504</v>
      </c>
      <c r="Z98" s="291">
        <v>0.14330000000000001</v>
      </c>
      <c r="AB98" s="112">
        <f>Z98-X98</f>
        <v>-2.5341405029966069E-8</v>
      </c>
    </row>
    <row r="99" spans="2:28" ht="15.75" x14ac:dyDescent="0.25">
      <c r="B99" s="87" t="s">
        <v>71</v>
      </c>
      <c r="C99" t="s">
        <v>99</v>
      </c>
      <c r="D99" s="251">
        <v>40242.300000000003</v>
      </c>
      <c r="E99" s="251">
        <v>40294.370000000003</v>
      </c>
      <c r="F99" s="251">
        <v>44890.31</v>
      </c>
      <c r="G99" s="251">
        <v>28516.880000000001</v>
      </c>
      <c r="H99" s="251">
        <v>22122.75</v>
      </c>
      <c r="I99" s="251">
        <v>15140.33</v>
      </c>
      <c r="J99" s="251">
        <v>13956.5</v>
      </c>
      <c r="K99" s="251">
        <v>11827.35</v>
      </c>
      <c r="L99" s="251">
        <v>10390.42</v>
      </c>
      <c r="M99" s="251">
        <v>23311.23</v>
      </c>
      <c r="N99" s="206"/>
      <c r="O99" s="251">
        <v>30469.07</v>
      </c>
      <c r="P99" s="287">
        <v>30264.34</v>
      </c>
      <c r="Q99" s="108"/>
      <c r="R99" s="180"/>
      <c r="T99" s="122" t="s">
        <v>90</v>
      </c>
      <c r="U99" s="255">
        <v>30264.34</v>
      </c>
      <c r="V99" s="112">
        <f>U99/V78</f>
        <v>0.10984005429516099</v>
      </c>
      <c r="X99" s="112">
        <f>U99/V78</f>
        <v>0.10984005429516099</v>
      </c>
      <c r="Z99">
        <v>0.10983999999999999</v>
      </c>
      <c r="AB99" s="112">
        <f>Z99-X99</f>
        <v>-5.4295160992201552E-8</v>
      </c>
    </row>
    <row r="100" spans="2:28" ht="15.75" x14ac:dyDescent="0.25">
      <c r="B100" s="87" t="s">
        <v>71</v>
      </c>
      <c r="C100" t="s">
        <v>100</v>
      </c>
      <c r="D100" s="251">
        <v>4186.92</v>
      </c>
      <c r="E100" s="251">
        <v>4559.41</v>
      </c>
      <c r="F100" s="251">
        <v>5498.64</v>
      </c>
      <c r="G100" s="251">
        <v>1679.4</v>
      </c>
      <c r="H100" s="251">
        <v>375.09</v>
      </c>
      <c r="I100" s="251">
        <v>0</v>
      </c>
      <c r="J100" s="251"/>
      <c r="K100" s="251"/>
      <c r="L100" s="251"/>
      <c r="M100" s="251">
        <v>794.06</v>
      </c>
      <c r="N100" s="206"/>
      <c r="O100" s="251">
        <v>2193.0700000000002</v>
      </c>
      <c r="P100" s="287">
        <v>2891.86</v>
      </c>
      <c r="Q100" s="108"/>
      <c r="R100" s="180"/>
      <c r="T100" s="122" t="s">
        <v>90</v>
      </c>
      <c r="U100" s="255">
        <v>2891.86</v>
      </c>
      <c r="V100" s="112">
        <f>U100/V95</f>
        <v>2.7090023419203749E-2</v>
      </c>
      <c r="X100" s="112">
        <f>U100/V95</f>
        <v>2.7090023419203749E-2</v>
      </c>
      <c r="Z100">
        <v>2.7089999999999999E-2</v>
      </c>
      <c r="AB100" s="112">
        <f t="shared" ref="AB100" si="58">Z100-X100</f>
        <v>-2.3419203749874828E-8</v>
      </c>
    </row>
    <row r="101" spans="2:28" ht="15.75" x14ac:dyDescent="0.25">
      <c r="B101" s="248" t="s">
        <v>72</v>
      </c>
      <c r="C101" s="249" t="s">
        <v>114</v>
      </c>
      <c r="D101" s="128">
        <f>ROUND(ROUND(10187002*0.1012,0)*0.10984,2)</f>
        <v>113236.8</v>
      </c>
      <c r="E101" s="128">
        <f>ROUND(ROUND(12666270*0.0984,0)*0.10984,2)</f>
        <v>136900.29</v>
      </c>
      <c r="F101" s="128">
        <f>ROUND(ROUND(8619566*0.0938,0)*0.10984,2)</f>
        <v>88807.29</v>
      </c>
      <c r="G101" s="128">
        <f>ROUND(ROUND(4713041*0.1016,0)*0.10984,2)</f>
        <v>52596.33</v>
      </c>
      <c r="H101" s="128">
        <f>ROUND(ROUND(2695771*0.1142,0)*0.10984,2)</f>
        <v>33815.01</v>
      </c>
      <c r="I101" s="128">
        <f>ROUND(ROUND(2099565*0.1216,0)*0.10984,2)</f>
        <v>28042.92</v>
      </c>
      <c r="J101" s="128">
        <f>ROUND(ROUND(2183931*0.1173,0)*0.10984,2)</f>
        <v>28138.26</v>
      </c>
      <c r="K101" s="128">
        <f>ROUND(ROUND(1243727*0.1256,0)*0.10984,2)</f>
        <v>17158.330000000002</v>
      </c>
      <c r="L101" s="128">
        <f>ROUND(ROUND(2978172*0.1149,0)*0.10984,2)</f>
        <v>37586.370000000003</v>
      </c>
      <c r="M101" s="128">
        <f>ROUND(ROUND(6393900*0.1229,0)*0.10984,2)</f>
        <v>86313.37</v>
      </c>
      <c r="N101" s="206"/>
      <c r="O101" s="128">
        <f>ROUND(ROUND(10324809*0.1159,0)*0.10984,2)</f>
        <v>131439.49</v>
      </c>
      <c r="P101" s="128">
        <f>ROUND(ROUND(11506709*0.0959,0)*0.10984,2)</f>
        <v>121207.67</v>
      </c>
      <c r="Q101" s="180"/>
      <c r="R101" s="180"/>
      <c r="T101" s="122" t="s">
        <v>91</v>
      </c>
      <c r="U101" s="255">
        <v>535932.37</v>
      </c>
      <c r="V101" s="112">
        <f>U101/V96</f>
        <v>0.42194216300989801</v>
      </c>
      <c r="X101" s="112">
        <f>U101/V96</f>
        <v>0.42194216300989801</v>
      </c>
      <c r="Z101" s="290">
        <f>+Z48</f>
        <v>0.42197000000000001</v>
      </c>
      <c r="AB101" s="112">
        <f>Z101-X101</f>
        <v>2.7836990102003689E-5</v>
      </c>
    </row>
    <row r="102" spans="2:28" x14ac:dyDescent="0.25">
      <c r="B102" s="87" t="s">
        <v>72</v>
      </c>
      <c r="C102" t="s">
        <v>115</v>
      </c>
      <c r="D102" s="88">
        <f>-'WACAP 2018'!O85</f>
        <v>-120997.44</v>
      </c>
      <c r="E102" s="88">
        <f t="shared" ref="E102:F102" si="59">-D101</f>
        <v>-113236.8</v>
      </c>
      <c r="F102" s="88">
        <f t="shared" si="59"/>
        <v>-136900.29</v>
      </c>
      <c r="G102" s="88">
        <f>-F101</f>
        <v>-88807.29</v>
      </c>
      <c r="H102" s="88">
        <f>-G101</f>
        <v>-52596.33</v>
      </c>
      <c r="I102" s="88">
        <f>-H101</f>
        <v>-33815.01</v>
      </c>
      <c r="J102" s="88">
        <f>-I101</f>
        <v>-28042.92</v>
      </c>
      <c r="K102" s="88">
        <f t="shared" ref="K102:M102" si="60">-J101</f>
        <v>-28138.26</v>
      </c>
      <c r="L102" s="88">
        <f t="shared" si="60"/>
        <v>-17158.330000000002</v>
      </c>
      <c r="M102" s="88">
        <f t="shared" si="60"/>
        <v>-37586.370000000003</v>
      </c>
      <c r="N102" s="205"/>
      <c r="O102" s="88">
        <f>-M101</f>
        <v>-86313.37</v>
      </c>
      <c r="P102" s="110">
        <f>-O101</f>
        <v>-131439.49</v>
      </c>
      <c r="Q102" s="108"/>
      <c r="R102" s="180"/>
      <c r="T102" s="122"/>
      <c r="U102" s="108"/>
      <c r="V102" s="112"/>
      <c r="X102" s="112"/>
      <c r="AB102" s="112"/>
    </row>
    <row r="103" spans="2:28" x14ac:dyDescent="0.25">
      <c r="B103" s="87"/>
      <c r="C103" s="122" t="s">
        <v>74</v>
      </c>
      <c r="D103" s="108">
        <f t="shared" ref="D103:P103" si="61">SUM(D97:D102)</f>
        <v>173765.52000000002</v>
      </c>
      <c r="E103" s="108">
        <f t="shared" si="61"/>
        <v>210720.02000000002</v>
      </c>
      <c r="F103" s="108">
        <f t="shared" si="61"/>
        <v>151104.67000000001</v>
      </c>
      <c r="G103" s="108">
        <f t="shared" si="61"/>
        <v>95330.590000000011</v>
      </c>
      <c r="H103" s="108">
        <f t="shared" si="61"/>
        <v>72063.430000000008</v>
      </c>
      <c r="I103" s="108">
        <f t="shared" si="61"/>
        <v>58392.060000000005</v>
      </c>
      <c r="J103" s="108">
        <f t="shared" si="61"/>
        <v>54036.95</v>
      </c>
      <c r="K103" s="108">
        <f t="shared" ref="K103:O103" si="62">SUM(K97:K102)</f>
        <v>42869.87000000001</v>
      </c>
      <c r="L103" s="108">
        <f t="shared" si="62"/>
        <v>66964.759999999995</v>
      </c>
      <c r="M103" s="108">
        <f t="shared" si="62"/>
        <v>135714.75</v>
      </c>
      <c r="N103" s="206"/>
      <c r="O103" s="108">
        <f t="shared" si="62"/>
        <v>175042.84</v>
      </c>
      <c r="P103" s="126">
        <f t="shared" si="61"/>
        <v>150156.89000000001</v>
      </c>
      <c r="R103" s="178"/>
    </row>
    <row r="104" spans="2:28" x14ac:dyDescent="0.25">
      <c r="B104" s="87"/>
      <c r="C104" s="122" t="s">
        <v>73</v>
      </c>
      <c r="D104" s="88">
        <f>ROUND(-'Authorized Margins 2018'!J16*'WACAP 2019'!D96,2)</f>
        <v>-156336.84</v>
      </c>
      <c r="E104" s="88">
        <f>ROUND(-'Authorized Margins 2018'!K16*'WACAP 2019'!E96,2)</f>
        <v>-126029.4</v>
      </c>
      <c r="F104" s="88">
        <f>ROUND(-'Authorized Margins 2018'!L16*'WACAP 2019'!F96,2)</f>
        <v>-154119.06</v>
      </c>
      <c r="G104" s="88">
        <f>ROUND(-'Authorized Margins 2018'!M16*'WACAP 2019'!G96,2)</f>
        <v>-95426.33</v>
      </c>
      <c r="H104" s="88">
        <f>ROUND(-'Authorized Margins 2018'!N16*'WACAP 2019'!H96,2)</f>
        <v>-58226.26</v>
      </c>
      <c r="I104" s="88">
        <f>ROUND(-'Authorized Margins 2018'!O16*'WACAP 2019'!I96,2)</f>
        <v>-63541.39</v>
      </c>
      <c r="J104" s="88">
        <f>ROUND(-'Authorized Margins 2018'!D16*'WACAP 2019'!J96,2)</f>
        <v>-42476</v>
      </c>
      <c r="K104" s="88">
        <f>ROUND(-'Authorized Margins 2018'!E16*'WACAP 2019'!K96,2)</f>
        <v>-60923.25</v>
      </c>
      <c r="L104" s="88">
        <f>ROUND(-'Authorized Margins 2018'!F16*'WACAP 2019'!L96,2)</f>
        <v>-57103.5</v>
      </c>
      <c r="M104" s="88">
        <f>ROUND(-'Authorized Margins 2018'!G16*'WACAP 2019'!M96,2)</f>
        <v>-64854</v>
      </c>
      <c r="N104" s="205"/>
      <c r="O104" s="88">
        <f>ROUND(-'Authorized Margins 2018'!H16*'WACAP 2019'!O96,2)</f>
        <v>-87196.5</v>
      </c>
      <c r="P104" s="110">
        <f>ROUND(-'Authorized Margins 2018'!I16*'WACAP 2019'!P96,2)</f>
        <v>-141214.5</v>
      </c>
      <c r="R104" s="178"/>
    </row>
    <row r="105" spans="2:28" x14ac:dyDescent="0.25">
      <c r="B105" s="87"/>
      <c r="C105" s="122" t="s">
        <v>75</v>
      </c>
      <c r="D105" s="90">
        <f t="shared" ref="D105:P105" si="63">SUM(D103:D104)</f>
        <v>17428.680000000022</v>
      </c>
      <c r="E105" s="90">
        <f t="shared" si="63"/>
        <v>84690.620000000024</v>
      </c>
      <c r="F105" s="90">
        <f t="shared" si="63"/>
        <v>-3014.3899999999849</v>
      </c>
      <c r="G105" s="90">
        <f t="shared" si="63"/>
        <v>-95.739999999990687</v>
      </c>
      <c r="H105" s="90">
        <f t="shared" si="63"/>
        <v>13837.170000000006</v>
      </c>
      <c r="I105" s="90">
        <f t="shared" si="63"/>
        <v>-5149.3299999999945</v>
      </c>
      <c r="J105" s="90">
        <f t="shared" si="63"/>
        <v>11560.949999999997</v>
      </c>
      <c r="K105" s="90">
        <f t="shared" si="63"/>
        <v>-18053.37999999999</v>
      </c>
      <c r="L105" s="90">
        <f t="shared" si="63"/>
        <v>9861.2599999999948</v>
      </c>
      <c r="M105" s="90">
        <f t="shared" si="63"/>
        <v>70860.75</v>
      </c>
      <c r="N105" s="215">
        <f>-'WACAP 2018'!Q91</f>
        <v>-233597.07000000004</v>
      </c>
      <c r="O105" s="90">
        <f t="shared" si="63"/>
        <v>87846.34</v>
      </c>
      <c r="P105" s="111">
        <f t="shared" si="63"/>
        <v>8942.390000000014</v>
      </c>
      <c r="R105" s="180">
        <f>SUM(D105:Q105)-N105</f>
        <v>278715.32000000007</v>
      </c>
    </row>
    <row r="106" spans="2:28" x14ac:dyDescent="0.25">
      <c r="B106" s="87"/>
      <c r="C106" s="122" t="s">
        <v>137</v>
      </c>
      <c r="D106" s="187">
        <f>ROUND(ROUND('WACAP 2018'!O92*D$5,2)/365*D$6,2)</f>
        <v>1027.7</v>
      </c>
      <c r="E106" s="187">
        <f>ROUND(ROUND(D108*E$5,2)/365*E$6,2)</f>
        <v>1001.58</v>
      </c>
      <c r="F106" s="187">
        <f t="shared" ref="F106:P106" si="64">ROUND(ROUND(E108*F$5,2)/365*F$6,2)</f>
        <v>1485.9</v>
      </c>
      <c r="G106" s="187">
        <f t="shared" si="64"/>
        <v>1506.07</v>
      </c>
      <c r="H106" s="187">
        <f t="shared" si="64"/>
        <v>1562.8</v>
      </c>
      <c r="I106" s="187">
        <f t="shared" si="64"/>
        <v>1581.37</v>
      </c>
      <c r="J106" s="187">
        <f t="shared" si="64"/>
        <v>1632.41</v>
      </c>
      <c r="K106" s="187">
        <f t="shared" si="64"/>
        <v>1694.04</v>
      </c>
      <c r="L106" s="187">
        <f t="shared" si="64"/>
        <v>1565.44</v>
      </c>
      <c r="M106" s="187">
        <f t="shared" si="64"/>
        <v>1646.69</v>
      </c>
      <c r="N106" s="231">
        <f>'Ammort Split 2019'!N90</f>
        <v>-10685.080000000002</v>
      </c>
      <c r="O106" s="187">
        <f>ROUND(ROUND(N108*O$5,2)/365*O$6,2)</f>
        <v>828.35</v>
      </c>
      <c r="P106" s="188">
        <f t="shared" si="64"/>
        <v>1264.1600000000001</v>
      </c>
      <c r="R106" s="196">
        <f>SUM(D106:Q106)</f>
        <v>6111.4299999999985</v>
      </c>
    </row>
    <row r="107" spans="2:28" x14ac:dyDescent="0.25">
      <c r="B107" s="87"/>
      <c r="C107" s="122" t="s">
        <v>138</v>
      </c>
      <c r="D107" s="189">
        <f t="shared" ref="D107:P107" si="65">SUM(D105:D106)</f>
        <v>18456.380000000023</v>
      </c>
      <c r="E107" s="189">
        <f t="shared" si="65"/>
        <v>85692.200000000026</v>
      </c>
      <c r="F107" s="189">
        <f t="shared" si="65"/>
        <v>-1528.4899999999848</v>
      </c>
      <c r="G107" s="189">
        <f t="shared" si="65"/>
        <v>1410.3300000000092</v>
      </c>
      <c r="H107" s="189">
        <f t="shared" si="65"/>
        <v>15399.970000000005</v>
      </c>
      <c r="I107" s="189">
        <f t="shared" si="65"/>
        <v>-3567.9599999999946</v>
      </c>
      <c r="J107" s="189">
        <f t="shared" si="65"/>
        <v>13193.359999999997</v>
      </c>
      <c r="K107" s="189">
        <f t="shared" si="65"/>
        <v>-16359.339999999989</v>
      </c>
      <c r="L107" s="189">
        <f t="shared" si="65"/>
        <v>11426.699999999995</v>
      </c>
      <c r="M107" s="189">
        <f t="shared" si="65"/>
        <v>72507.44</v>
      </c>
      <c r="N107" s="209">
        <f t="shared" si="65"/>
        <v>-244282.15000000002</v>
      </c>
      <c r="O107" s="189">
        <f t="shared" si="65"/>
        <v>88674.69</v>
      </c>
      <c r="P107" s="190">
        <f t="shared" si="65"/>
        <v>10206.550000000014</v>
      </c>
      <c r="R107" s="198">
        <f>SUM(R105:R106)</f>
        <v>284826.75000000006</v>
      </c>
    </row>
    <row r="108" spans="2:28" x14ac:dyDescent="0.25">
      <c r="B108" s="87"/>
      <c r="C108" s="122" t="s">
        <v>139</v>
      </c>
      <c r="D108" s="90">
        <f>'WACAP 2018'!O92+'WACAP 2019'!D107</f>
        <v>252053.45000000004</v>
      </c>
      <c r="E108" s="90">
        <f t="shared" ref="E108:P108" si="66">D108+E107</f>
        <v>337745.65000000008</v>
      </c>
      <c r="F108" s="90">
        <f t="shared" si="66"/>
        <v>336217.16000000009</v>
      </c>
      <c r="G108" s="90">
        <f t="shared" si="66"/>
        <v>337627.49000000011</v>
      </c>
      <c r="H108" s="90">
        <f t="shared" si="66"/>
        <v>353027.46000000014</v>
      </c>
      <c r="I108" s="90">
        <f t="shared" si="66"/>
        <v>349459.50000000012</v>
      </c>
      <c r="J108" s="90">
        <f t="shared" si="66"/>
        <v>362652.8600000001</v>
      </c>
      <c r="K108" s="90">
        <f t="shared" si="66"/>
        <v>346293.52000000014</v>
      </c>
      <c r="L108" s="90">
        <f t="shared" si="66"/>
        <v>357720.22000000015</v>
      </c>
      <c r="M108" s="90">
        <f t="shared" si="66"/>
        <v>430227.66000000015</v>
      </c>
      <c r="N108" s="207">
        <f t="shared" si="66"/>
        <v>185945.51000000013</v>
      </c>
      <c r="O108" s="90">
        <f t="shared" si="66"/>
        <v>274620.20000000013</v>
      </c>
      <c r="P108" s="191">
        <f t="shared" si="66"/>
        <v>284826.75000000012</v>
      </c>
      <c r="R108" s="178"/>
    </row>
    <row r="109" spans="2:28" x14ac:dyDescent="0.25">
      <c r="B109" s="86"/>
      <c r="D109" s="113"/>
      <c r="E109" s="113"/>
      <c r="F109" s="108"/>
      <c r="G109" s="113"/>
      <c r="H109" s="113"/>
      <c r="I109" s="113"/>
      <c r="J109" s="113"/>
      <c r="K109" s="113"/>
      <c r="L109" s="113"/>
      <c r="M109" s="113"/>
      <c r="N109" s="204"/>
      <c r="O109" s="113"/>
      <c r="P109" s="115"/>
      <c r="R109" s="178"/>
    </row>
    <row r="110" spans="2:28" x14ac:dyDescent="0.25">
      <c r="B110" s="279" t="s">
        <v>86</v>
      </c>
      <c r="C110" s="271">
        <v>512</v>
      </c>
      <c r="D110" s="229" t="s">
        <v>149</v>
      </c>
      <c r="E110" s="113"/>
      <c r="F110" s="108"/>
      <c r="G110" s="113"/>
      <c r="H110" s="113"/>
      <c r="I110" s="113"/>
      <c r="J110" s="113"/>
      <c r="L110" s="113"/>
      <c r="M110" s="113"/>
      <c r="N110" s="204"/>
      <c r="O110" s="113"/>
      <c r="P110" s="115"/>
      <c r="R110" s="178"/>
      <c r="T110" s="224"/>
      <c r="U110" s="224"/>
      <c r="V110" s="224"/>
      <c r="W110" s="224"/>
      <c r="X110" s="224"/>
      <c r="Y110" s="224"/>
      <c r="Z110" s="224"/>
      <c r="AA110" s="224"/>
      <c r="AB110" s="224"/>
    </row>
    <row r="111" spans="2:28" x14ac:dyDescent="0.25">
      <c r="B111" s="87" t="s">
        <v>64</v>
      </c>
      <c r="C111" t="s">
        <v>172</v>
      </c>
      <c r="D111" s="105">
        <v>0</v>
      </c>
      <c r="E111" s="105">
        <v>0</v>
      </c>
      <c r="F111" s="105">
        <v>0</v>
      </c>
      <c r="G111" s="105">
        <v>0</v>
      </c>
      <c r="H111" s="105">
        <v>0</v>
      </c>
      <c r="I111" s="105">
        <v>0</v>
      </c>
      <c r="J111" s="105">
        <v>0</v>
      </c>
      <c r="K111" s="105">
        <v>0</v>
      </c>
      <c r="L111" s="105">
        <v>0</v>
      </c>
      <c r="M111" s="105">
        <v>0</v>
      </c>
      <c r="N111" s="204"/>
      <c r="O111" s="105">
        <v>0</v>
      </c>
      <c r="P111" s="106">
        <v>0</v>
      </c>
      <c r="Q111" s="113"/>
      <c r="R111" s="179"/>
      <c r="T111" s="224"/>
      <c r="U111" s="224"/>
      <c r="V111" s="225"/>
      <c r="W111" s="224"/>
      <c r="X111" s="225"/>
      <c r="Y111" s="224"/>
      <c r="Z111" s="224"/>
      <c r="AA111" s="224"/>
      <c r="AB111" s="224"/>
    </row>
    <row r="112" spans="2:28" x14ac:dyDescent="0.25">
      <c r="B112" s="87" t="s">
        <v>71</v>
      </c>
      <c r="C112" t="s">
        <v>70</v>
      </c>
      <c r="D112" s="95">
        <v>0</v>
      </c>
      <c r="E112" s="95">
        <v>0</v>
      </c>
      <c r="F112" s="95">
        <v>0</v>
      </c>
      <c r="G112" s="95">
        <v>0</v>
      </c>
      <c r="H112" s="95">
        <v>0</v>
      </c>
      <c r="I112" s="95">
        <v>0</v>
      </c>
      <c r="J112" s="95">
        <v>0</v>
      </c>
      <c r="K112" s="95">
        <v>0</v>
      </c>
      <c r="L112" s="95">
        <v>0</v>
      </c>
      <c r="M112" s="95">
        <v>0</v>
      </c>
      <c r="N112" s="205"/>
      <c r="O112" s="95">
        <v>0</v>
      </c>
      <c r="P112" s="107">
        <v>0</v>
      </c>
      <c r="Q112" s="108"/>
      <c r="R112" s="180"/>
      <c r="T112" s="226"/>
      <c r="U112" s="227"/>
      <c r="V112" s="228"/>
      <c r="W112" s="224"/>
      <c r="X112" s="228"/>
      <c r="Y112" s="224"/>
      <c r="Z112" s="224"/>
      <c r="AA112" s="224"/>
      <c r="AB112" s="228"/>
    </row>
    <row r="113" spans="1:28" x14ac:dyDescent="0.25">
      <c r="B113" s="87"/>
      <c r="C113" s="122" t="s">
        <v>74</v>
      </c>
      <c r="D113" s="108">
        <f t="shared" ref="D113:P113" si="67">D112</f>
        <v>0</v>
      </c>
      <c r="E113" s="108">
        <f t="shared" si="67"/>
        <v>0</v>
      </c>
      <c r="F113" s="108">
        <f t="shared" si="67"/>
        <v>0</v>
      </c>
      <c r="G113" s="108">
        <f t="shared" si="67"/>
        <v>0</v>
      </c>
      <c r="H113" s="108">
        <f t="shared" si="67"/>
        <v>0</v>
      </c>
      <c r="I113" s="108">
        <f t="shared" si="67"/>
        <v>0</v>
      </c>
      <c r="J113" s="108">
        <f t="shared" si="67"/>
        <v>0</v>
      </c>
      <c r="K113" s="108">
        <f t="shared" si="67"/>
        <v>0</v>
      </c>
      <c r="L113" s="108">
        <f t="shared" si="67"/>
        <v>0</v>
      </c>
      <c r="M113" s="108">
        <f t="shared" si="67"/>
        <v>0</v>
      </c>
      <c r="N113" s="206"/>
      <c r="O113" s="108">
        <f t="shared" si="67"/>
        <v>0</v>
      </c>
      <c r="P113" s="109">
        <f t="shared" si="67"/>
        <v>0</v>
      </c>
      <c r="R113" s="178"/>
      <c r="T113" s="226"/>
      <c r="U113" s="227"/>
      <c r="V113" s="228"/>
      <c r="W113" s="224"/>
      <c r="X113" s="228"/>
      <c r="Y113" s="224"/>
      <c r="Z113" s="224"/>
      <c r="AA113" s="224"/>
      <c r="AB113" s="228"/>
    </row>
    <row r="114" spans="1:28" x14ac:dyDescent="0.25">
      <c r="B114" s="87"/>
      <c r="C114" s="122" t="s">
        <v>73</v>
      </c>
      <c r="D114" s="88">
        <v>0</v>
      </c>
      <c r="E114" s="88">
        <v>0</v>
      </c>
      <c r="F114" s="88">
        <v>0</v>
      </c>
      <c r="G114" s="88">
        <v>0</v>
      </c>
      <c r="H114" s="88">
        <v>0</v>
      </c>
      <c r="I114" s="88">
        <v>0</v>
      </c>
      <c r="J114" s="88">
        <v>0</v>
      </c>
      <c r="K114" s="88">
        <v>0</v>
      </c>
      <c r="L114" s="88">
        <v>0</v>
      </c>
      <c r="M114" s="88">
        <v>0</v>
      </c>
      <c r="N114" s="205"/>
      <c r="O114" s="88">
        <v>0</v>
      </c>
      <c r="P114" s="110">
        <v>0</v>
      </c>
      <c r="R114" s="178"/>
    </row>
    <row r="115" spans="1:28" x14ac:dyDescent="0.25">
      <c r="B115" s="87"/>
      <c r="C115" s="122" t="s">
        <v>75</v>
      </c>
      <c r="D115" s="90">
        <f t="shared" ref="D115:P115" si="68">SUM(D113:D114)</f>
        <v>0</v>
      </c>
      <c r="E115" s="90">
        <f t="shared" si="68"/>
        <v>0</v>
      </c>
      <c r="F115" s="90">
        <f t="shared" si="68"/>
        <v>0</v>
      </c>
      <c r="G115" s="90">
        <f t="shared" si="68"/>
        <v>0</v>
      </c>
      <c r="H115" s="90">
        <f t="shared" si="68"/>
        <v>0</v>
      </c>
      <c r="I115" s="90">
        <f t="shared" si="68"/>
        <v>0</v>
      </c>
      <c r="J115" s="90">
        <f t="shared" si="68"/>
        <v>0</v>
      </c>
      <c r="K115" s="90">
        <f t="shared" si="68"/>
        <v>0</v>
      </c>
      <c r="L115" s="90">
        <f t="shared" si="68"/>
        <v>0</v>
      </c>
      <c r="M115" s="90">
        <f t="shared" si="68"/>
        <v>0</v>
      </c>
      <c r="N115" s="215">
        <f>-'WACAP 2018'!Q101</f>
        <v>-496.46</v>
      </c>
      <c r="O115" s="90">
        <f t="shared" si="68"/>
        <v>0</v>
      </c>
      <c r="P115" s="111">
        <f t="shared" si="68"/>
        <v>0</v>
      </c>
      <c r="R115" s="180">
        <f>SUM(D115:Q115)-N115</f>
        <v>0</v>
      </c>
    </row>
    <row r="116" spans="1:28" x14ac:dyDescent="0.25">
      <c r="B116" s="87"/>
      <c r="C116" s="122" t="s">
        <v>137</v>
      </c>
      <c r="D116" s="187">
        <f>ROUND(ROUND('WACAP 2018'!O102*D$5,2)/365*D$6,2)</f>
        <v>2.1800000000000002</v>
      </c>
      <c r="E116" s="187">
        <f>ROUND(ROUND(D118*E$5,2)/365*E$6,2)</f>
        <v>1.98</v>
      </c>
      <c r="F116" s="187">
        <f t="shared" ref="F116:P116" si="69">ROUND(ROUND(E118*F$5,2)/365*F$6,2)</f>
        <v>2.2000000000000002</v>
      </c>
      <c r="G116" s="187">
        <f t="shared" si="69"/>
        <v>2.25</v>
      </c>
      <c r="H116" s="187">
        <f t="shared" si="69"/>
        <v>2.34</v>
      </c>
      <c r="I116" s="187">
        <f t="shared" si="69"/>
        <v>2.27</v>
      </c>
      <c r="J116" s="187">
        <f t="shared" si="69"/>
        <v>2.38</v>
      </c>
      <c r="K116" s="187">
        <f t="shared" si="69"/>
        <v>2.39</v>
      </c>
      <c r="L116" s="187">
        <f t="shared" si="69"/>
        <v>2.33</v>
      </c>
      <c r="M116" s="187">
        <f t="shared" si="69"/>
        <v>2.38</v>
      </c>
      <c r="N116" s="231">
        <f>'Ammort Split 2019'!N100</f>
        <v>-22.7</v>
      </c>
      <c r="O116" s="187">
        <f>ROUND(ROUND(N118*O$5,2)/365*O$6,2)</f>
        <v>0</v>
      </c>
      <c r="P116" s="188">
        <f t="shared" si="69"/>
        <v>0</v>
      </c>
      <c r="R116" s="196">
        <f>SUM(D116:Q116)</f>
        <v>0</v>
      </c>
    </row>
    <row r="117" spans="1:28" x14ac:dyDescent="0.25">
      <c r="B117" s="87"/>
      <c r="C117" s="122" t="s">
        <v>138</v>
      </c>
      <c r="D117" s="189">
        <f t="shared" ref="D117:P117" si="70">SUM(D115:D116)</f>
        <v>2.1800000000000002</v>
      </c>
      <c r="E117" s="189">
        <f t="shared" si="70"/>
        <v>1.98</v>
      </c>
      <c r="F117" s="189">
        <f t="shared" si="70"/>
        <v>2.2000000000000002</v>
      </c>
      <c r="G117" s="189">
        <f t="shared" si="70"/>
        <v>2.25</v>
      </c>
      <c r="H117" s="189">
        <f t="shared" si="70"/>
        <v>2.34</v>
      </c>
      <c r="I117" s="189">
        <f t="shared" si="70"/>
        <v>2.27</v>
      </c>
      <c r="J117" s="189">
        <f t="shared" si="70"/>
        <v>2.38</v>
      </c>
      <c r="K117" s="189">
        <f t="shared" si="70"/>
        <v>2.39</v>
      </c>
      <c r="L117" s="189">
        <f t="shared" si="70"/>
        <v>2.33</v>
      </c>
      <c r="M117" s="189">
        <f t="shared" si="70"/>
        <v>2.38</v>
      </c>
      <c r="N117" s="209">
        <f t="shared" si="70"/>
        <v>-519.16</v>
      </c>
      <c r="O117" s="189">
        <f t="shared" si="70"/>
        <v>0</v>
      </c>
      <c r="P117" s="190">
        <f t="shared" si="70"/>
        <v>0</v>
      </c>
      <c r="R117" s="198">
        <f>SUM(R115:R116)</f>
        <v>0</v>
      </c>
    </row>
    <row r="118" spans="1:28" ht="15.75" thickBot="1" x14ac:dyDescent="0.3">
      <c r="B118" s="238"/>
      <c r="C118" s="273" t="s">
        <v>139</v>
      </c>
      <c r="D118" s="234">
        <f>'WACAP 2018'!O102+'WACAP 2019'!D117</f>
        <v>498.64000000000004</v>
      </c>
      <c r="E118" s="234">
        <f t="shared" ref="E118:P118" si="71">D118+E117</f>
        <v>500.62000000000006</v>
      </c>
      <c r="F118" s="234">
        <f t="shared" si="71"/>
        <v>502.82000000000005</v>
      </c>
      <c r="G118" s="234">
        <f t="shared" si="71"/>
        <v>505.07000000000005</v>
      </c>
      <c r="H118" s="234">
        <f t="shared" si="71"/>
        <v>507.41</v>
      </c>
      <c r="I118" s="234">
        <f t="shared" si="71"/>
        <v>509.68</v>
      </c>
      <c r="J118" s="234">
        <f t="shared" si="71"/>
        <v>512.06000000000006</v>
      </c>
      <c r="K118" s="233">
        <f t="shared" si="71"/>
        <v>514.45000000000005</v>
      </c>
      <c r="L118" s="90">
        <f t="shared" si="71"/>
        <v>516.78000000000009</v>
      </c>
      <c r="M118" s="90">
        <f t="shared" si="71"/>
        <v>519.16000000000008</v>
      </c>
      <c r="N118" s="207">
        <f t="shared" si="71"/>
        <v>0</v>
      </c>
      <c r="O118" s="90">
        <f t="shared" si="71"/>
        <v>0</v>
      </c>
      <c r="P118" s="191">
        <f t="shared" si="71"/>
        <v>0</v>
      </c>
      <c r="R118" s="178"/>
      <c r="V118" s="108">
        <f>ROUND(U123/Z123,0)</f>
        <v>0</v>
      </c>
    </row>
    <row r="119" spans="1:28" ht="15.75" thickBot="1" x14ac:dyDescent="0.3">
      <c r="B119" s="239"/>
      <c r="C119" s="272"/>
      <c r="D119" s="113"/>
      <c r="E119" s="113"/>
      <c r="F119" s="108"/>
      <c r="G119" s="113"/>
      <c r="H119" s="113"/>
      <c r="I119" s="113"/>
      <c r="J119" s="113"/>
      <c r="K119" s="236"/>
      <c r="L119" s="236"/>
      <c r="M119" s="236"/>
      <c r="N119" s="236"/>
      <c r="O119" s="236"/>
      <c r="P119" s="282"/>
      <c r="Q119" s="240"/>
      <c r="R119" s="240"/>
      <c r="T119" s="122"/>
      <c r="U119" s="108"/>
      <c r="V119" s="108">
        <f>ROUND(U124/Z124,0)</f>
        <v>0</v>
      </c>
    </row>
    <row r="120" spans="1:28" x14ac:dyDescent="0.25">
      <c r="A120" s="6"/>
      <c r="B120" s="242" t="s">
        <v>87</v>
      </c>
      <c r="C120" s="239" t="s">
        <v>174</v>
      </c>
      <c r="D120" s="236"/>
      <c r="E120" s="236"/>
      <c r="F120" s="241"/>
      <c r="G120" s="236"/>
      <c r="H120" s="236"/>
      <c r="I120" s="236"/>
      <c r="J120" s="236"/>
      <c r="K120" s="236"/>
      <c r="L120" s="236"/>
      <c r="M120" s="236"/>
      <c r="N120" s="236"/>
      <c r="O120" s="236"/>
      <c r="P120" s="237"/>
      <c r="Q120" s="240"/>
      <c r="R120" s="235"/>
      <c r="U120">
        <v>505</v>
      </c>
      <c r="V120" s="108">
        <f>ROUND(U125/Z125,0)</f>
        <v>0</v>
      </c>
      <c r="W120" s="108">
        <f>SUM(V116:V120)</f>
        <v>0</v>
      </c>
    </row>
    <row r="121" spans="1:28" ht="15.75" x14ac:dyDescent="0.25">
      <c r="B121" s="87" t="s">
        <v>64</v>
      </c>
      <c r="C121" t="s">
        <v>172</v>
      </c>
      <c r="D121" s="250">
        <v>1</v>
      </c>
      <c r="E121" s="250">
        <v>1</v>
      </c>
      <c r="F121" s="250">
        <v>1</v>
      </c>
      <c r="G121" s="250">
        <v>1</v>
      </c>
      <c r="H121" s="250">
        <v>1</v>
      </c>
      <c r="I121" s="250">
        <v>1</v>
      </c>
      <c r="J121" s="250">
        <v>1</v>
      </c>
      <c r="K121" s="250">
        <v>1</v>
      </c>
      <c r="L121" s="250">
        <v>1</v>
      </c>
      <c r="M121" s="250">
        <v>1</v>
      </c>
      <c r="N121" s="204"/>
      <c r="O121" s="250">
        <v>1</v>
      </c>
      <c r="P121" s="294">
        <v>1</v>
      </c>
      <c r="Q121" s="113"/>
      <c r="R121" s="179"/>
      <c r="V121" s="253">
        <v>0</v>
      </c>
      <c r="W121" t="s">
        <v>92</v>
      </c>
      <c r="X121" s="113">
        <f>V121</f>
        <v>0</v>
      </c>
    </row>
    <row r="122" spans="1:28" x14ac:dyDescent="0.25">
      <c r="B122" s="87" t="s">
        <v>71</v>
      </c>
      <c r="C122" t="s">
        <v>95</v>
      </c>
      <c r="D122" s="251">
        <v>14.1</v>
      </c>
      <c r="E122" s="251">
        <v>1.25</v>
      </c>
      <c r="F122" s="251">
        <v>0</v>
      </c>
      <c r="G122" s="251">
        <v>0</v>
      </c>
      <c r="H122" s="251">
        <v>22.85</v>
      </c>
      <c r="I122" s="251">
        <v>26.96</v>
      </c>
      <c r="J122" s="251">
        <v>0</v>
      </c>
      <c r="K122" s="251">
        <v>29.1</v>
      </c>
      <c r="L122" s="251">
        <v>0</v>
      </c>
      <c r="M122" s="251">
        <v>0</v>
      </c>
      <c r="N122" s="206"/>
      <c r="O122" s="251">
        <v>56.59</v>
      </c>
      <c r="P122" s="117">
        <v>87.65</v>
      </c>
      <c r="Q122" s="108"/>
      <c r="R122" s="180"/>
      <c r="T122" s="122" t="s">
        <v>90</v>
      </c>
      <c r="U122" s="108"/>
      <c r="V122" s="112"/>
      <c r="X122" s="112"/>
      <c r="AB122" s="112">
        <f>Z122-X122</f>
        <v>0</v>
      </c>
    </row>
    <row r="123" spans="1:28" ht="15.75" x14ac:dyDescent="0.25">
      <c r="B123" s="87" t="s">
        <v>71</v>
      </c>
      <c r="C123" t="s">
        <v>97</v>
      </c>
      <c r="D123" s="251">
        <v>0</v>
      </c>
      <c r="E123" s="251">
        <v>0</v>
      </c>
      <c r="F123" s="251">
        <v>0</v>
      </c>
      <c r="G123" s="251">
        <v>0</v>
      </c>
      <c r="H123" s="251">
        <v>0</v>
      </c>
      <c r="I123" s="251">
        <v>0</v>
      </c>
      <c r="J123" s="251">
        <v>0</v>
      </c>
      <c r="K123" s="251"/>
      <c r="L123" s="251"/>
      <c r="M123" s="116"/>
      <c r="N123" s="206"/>
      <c r="O123" s="116"/>
      <c r="P123" s="117"/>
      <c r="Q123" s="108"/>
      <c r="R123" s="180"/>
      <c r="T123" s="122" t="s">
        <v>90</v>
      </c>
      <c r="U123" s="255">
        <v>0</v>
      </c>
      <c r="V123" s="112" t="e">
        <f>U123/V118</f>
        <v>#DIV/0!</v>
      </c>
      <c r="X123" s="112" t="e">
        <f>U123/V118</f>
        <v>#DIV/0!</v>
      </c>
      <c r="Z123">
        <v>0.17851</v>
      </c>
      <c r="AB123" s="112" t="e">
        <f>Z123-X123</f>
        <v>#DIV/0!</v>
      </c>
    </row>
    <row r="124" spans="1:28" ht="15.75" x14ac:dyDescent="0.25">
      <c r="B124" s="87" t="s">
        <v>72</v>
      </c>
      <c r="C124" s="270" t="s">
        <v>101</v>
      </c>
      <c r="D124" s="276">
        <v>1.25</v>
      </c>
      <c r="E124" s="276">
        <v>0</v>
      </c>
      <c r="F124" s="276">
        <v>0</v>
      </c>
      <c r="G124" s="276">
        <v>22.85</v>
      </c>
      <c r="H124" s="276">
        <v>26.96</v>
      </c>
      <c r="I124" s="276">
        <v>0</v>
      </c>
      <c r="J124" s="276">
        <v>29.1</v>
      </c>
      <c r="K124" s="276">
        <v>0</v>
      </c>
      <c r="L124" s="276">
        <v>73.37</v>
      </c>
      <c r="M124" s="276">
        <v>56.59</v>
      </c>
      <c r="N124" s="206"/>
      <c r="O124" s="276">
        <v>87.65</v>
      </c>
      <c r="P124" s="285">
        <v>46.59</v>
      </c>
      <c r="Q124" s="108"/>
      <c r="R124" s="180"/>
      <c r="T124" s="122" t="s">
        <v>90</v>
      </c>
      <c r="U124" s="255">
        <v>0</v>
      </c>
      <c r="V124" s="112" t="e">
        <f>U124/V119</f>
        <v>#DIV/0!</v>
      </c>
      <c r="X124" s="112" t="e">
        <f>U124/V119</f>
        <v>#DIV/0!</v>
      </c>
      <c r="Z124">
        <v>0.14457</v>
      </c>
      <c r="AB124" s="112" t="e">
        <f>Z124-X124</f>
        <v>#DIV/0!</v>
      </c>
    </row>
    <row r="125" spans="1:28" ht="15.75" x14ac:dyDescent="0.25">
      <c r="B125" s="87" t="s">
        <v>72</v>
      </c>
      <c r="C125" s="270" t="s">
        <v>145</v>
      </c>
      <c r="D125" s="276">
        <v>0</v>
      </c>
      <c r="E125" s="276">
        <v>0</v>
      </c>
      <c r="F125" s="276">
        <v>0</v>
      </c>
      <c r="G125" s="276">
        <v>0</v>
      </c>
      <c r="H125" s="276">
        <v>0</v>
      </c>
      <c r="I125" s="276">
        <v>0</v>
      </c>
      <c r="J125" s="276">
        <v>0</v>
      </c>
      <c r="K125" s="276"/>
      <c r="L125" s="276"/>
      <c r="M125" s="277"/>
      <c r="N125" s="206"/>
      <c r="O125" s="277"/>
      <c r="P125" s="278"/>
      <c r="Q125" s="108"/>
      <c r="R125" s="180"/>
      <c r="T125" s="122" t="s">
        <v>90</v>
      </c>
      <c r="U125" s="255">
        <v>0</v>
      </c>
      <c r="V125" s="112" t="e">
        <f>U125/V120</f>
        <v>#DIV/0!</v>
      </c>
      <c r="X125" s="112" t="e">
        <f>U125/V120</f>
        <v>#DIV/0!</v>
      </c>
      <c r="Z125">
        <v>0.13944000000000001</v>
      </c>
      <c r="AB125" s="112" t="e">
        <f>Z125-X125</f>
        <v>#DIV/0!</v>
      </c>
    </row>
    <row r="126" spans="1:28" ht="15.75" x14ac:dyDescent="0.25">
      <c r="B126" s="87" t="s">
        <v>72</v>
      </c>
      <c r="C126" t="s">
        <v>102</v>
      </c>
      <c r="D126" s="108">
        <f>-'WACAP 2018'!O108</f>
        <v>-14.1</v>
      </c>
      <c r="E126" s="108">
        <f t="shared" ref="E126:P127" si="72">-D124</f>
        <v>-1.25</v>
      </c>
      <c r="F126" s="108">
        <f t="shared" si="72"/>
        <v>0</v>
      </c>
      <c r="G126" s="108">
        <f t="shared" si="72"/>
        <v>0</v>
      </c>
      <c r="H126" s="108">
        <f t="shared" si="72"/>
        <v>-22.85</v>
      </c>
      <c r="I126" s="108">
        <f t="shared" si="72"/>
        <v>-26.96</v>
      </c>
      <c r="J126" s="108">
        <f t="shared" si="72"/>
        <v>0</v>
      </c>
      <c r="K126" s="108">
        <f>-J124</f>
        <v>-29.1</v>
      </c>
      <c r="L126" s="108">
        <f>-K124</f>
        <v>0</v>
      </c>
      <c r="M126" s="108">
        <f t="shared" si="72"/>
        <v>-73.37</v>
      </c>
      <c r="N126" s="206"/>
      <c r="O126" s="108">
        <f>-M124</f>
        <v>-56.59</v>
      </c>
      <c r="P126" s="109">
        <f t="shared" si="72"/>
        <v>-87.65</v>
      </c>
      <c r="Q126" s="108"/>
      <c r="R126" s="180"/>
      <c r="T126" s="122" t="s">
        <v>91</v>
      </c>
      <c r="U126" s="255">
        <v>0</v>
      </c>
      <c r="V126" s="112" t="e">
        <f>U126/V121</f>
        <v>#DIV/0!</v>
      </c>
      <c r="X126" s="112" t="e">
        <f>U126/X121</f>
        <v>#DIV/0!</v>
      </c>
      <c r="Z126" s="290">
        <f>+Z35</f>
        <v>0.42197000000000001</v>
      </c>
      <c r="AB126" s="112" t="e">
        <f>Z126-X126</f>
        <v>#DIV/0!</v>
      </c>
    </row>
    <row r="127" spans="1:28" x14ac:dyDescent="0.25">
      <c r="B127" s="87" t="s">
        <v>72</v>
      </c>
      <c r="C127" t="s">
        <v>146</v>
      </c>
      <c r="D127" s="88">
        <f>-'WACAP 2018'!O109</f>
        <v>0</v>
      </c>
      <c r="E127" s="88">
        <f t="shared" si="72"/>
        <v>0</v>
      </c>
      <c r="F127" s="88">
        <f t="shared" si="72"/>
        <v>0</v>
      </c>
      <c r="G127" s="88">
        <f t="shared" si="72"/>
        <v>0</v>
      </c>
      <c r="H127" s="88">
        <f t="shared" si="72"/>
        <v>0</v>
      </c>
      <c r="I127" s="88">
        <f t="shared" si="72"/>
        <v>0</v>
      </c>
      <c r="J127" s="88">
        <f t="shared" si="72"/>
        <v>0</v>
      </c>
      <c r="K127" s="88">
        <f t="shared" si="72"/>
        <v>0</v>
      </c>
      <c r="L127" s="88">
        <f>-K125</f>
        <v>0</v>
      </c>
      <c r="M127" s="88">
        <f t="shared" si="72"/>
        <v>0</v>
      </c>
      <c r="N127" s="205"/>
      <c r="O127" s="88">
        <f>-M125</f>
        <v>0</v>
      </c>
      <c r="P127" s="110">
        <f t="shared" si="72"/>
        <v>0</v>
      </c>
      <c r="Q127" s="108"/>
      <c r="R127" s="180"/>
    </row>
    <row r="128" spans="1:28" x14ac:dyDescent="0.25">
      <c r="B128" s="86"/>
      <c r="C128" s="122" t="s">
        <v>74</v>
      </c>
      <c r="D128" s="108">
        <f t="shared" ref="D128:P128" si="73">SUM(D122:D127)</f>
        <v>1.25</v>
      </c>
      <c r="E128" s="108">
        <f t="shared" si="73"/>
        <v>0</v>
      </c>
      <c r="F128" s="108">
        <f t="shared" si="73"/>
        <v>0</v>
      </c>
      <c r="G128" s="108">
        <f t="shared" si="73"/>
        <v>22.85</v>
      </c>
      <c r="H128" s="108">
        <f t="shared" si="73"/>
        <v>26.96</v>
      </c>
      <c r="I128" s="108">
        <f t="shared" si="73"/>
        <v>0</v>
      </c>
      <c r="J128" s="108">
        <f t="shared" si="73"/>
        <v>29.1</v>
      </c>
      <c r="K128" s="108">
        <f t="shared" si="73"/>
        <v>0</v>
      </c>
      <c r="L128" s="108">
        <f t="shared" si="73"/>
        <v>73.37</v>
      </c>
      <c r="M128" s="108">
        <f t="shared" si="73"/>
        <v>-16.78</v>
      </c>
      <c r="N128" s="206"/>
      <c r="O128" s="108">
        <f t="shared" si="73"/>
        <v>87.65</v>
      </c>
      <c r="P128" s="109">
        <f t="shared" si="73"/>
        <v>46.59</v>
      </c>
      <c r="R128" s="178"/>
    </row>
    <row r="129" spans="2:28" x14ac:dyDescent="0.25">
      <c r="B129" s="86"/>
      <c r="C129" s="122" t="s">
        <v>73</v>
      </c>
      <c r="D129" s="88">
        <f>ROUND(-'Authorized Margins 2018'!J14*'WACAP 2019'!D121,2)</f>
        <v>-498.23</v>
      </c>
      <c r="E129" s="88">
        <f>ROUND(-'Authorized Margins 2018'!K14*'WACAP 2019'!E121,2)</f>
        <v>-423.12</v>
      </c>
      <c r="F129" s="88">
        <f>ROUND(-'Authorized Margins 2018'!L14*'WACAP 2019'!F121,2)</f>
        <v>-397.9</v>
      </c>
      <c r="G129" s="88">
        <f>ROUND(-'Authorized Margins 2018'!M14*'WACAP 2019'!G121,2)</f>
        <v>-289.11</v>
      </c>
      <c r="H129" s="88">
        <f>ROUND(-'Authorized Margins 2018'!N14*'WACAP 2019'!H121,2)</f>
        <v>-210.22</v>
      </c>
      <c r="I129" s="88">
        <f>ROUND(-'Authorized Margins 2018'!O14*'WACAP 2019'!I121,2)</f>
        <v>-189.53</v>
      </c>
      <c r="J129" s="88">
        <f>ROUND(-'Authorized Margins 2018'!D14*'WACAP 2019'!J121,2)</f>
        <v>-152.5</v>
      </c>
      <c r="K129" s="88">
        <f>ROUND(-'Authorized Margins 2018'!E14*'WACAP 2019'!K121,2)</f>
        <v>-161.43</v>
      </c>
      <c r="L129" s="88">
        <f>ROUND(-'Authorized Margins 2018'!F14*'WACAP 2019'!L121,2)</f>
        <v>-209.7</v>
      </c>
      <c r="M129" s="88">
        <f>ROUND(-'Authorized Margins 2018'!G14*'WACAP 2019'!M121,2)</f>
        <v>-357.27</v>
      </c>
      <c r="N129" s="205"/>
      <c r="O129" s="88">
        <f>ROUND(-'Authorized Margins 2018'!H14*'WACAP 2019'!O121,2)</f>
        <v>-308.02999999999997</v>
      </c>
      <c r="P129" s="110">
        <f>ROUND(-'Authorized Margins 2018'!I14*'WACAP 2019'!P121,2)</f>
        <v>-430.43</v>
      </c>
      <c r="R129" s="178"/>
    </row>
    <row r="130" spans="2:28" x14ac:dyDescent="0.25">
      <c r="B130" s="86"/>
      <c r="C130" s="122" t="s">
        <v>75</v>
      </c>
      <c r="D130" s="90">
        <f t="shared" ref="D130:P130" si="74">SUM(D128:D129)</f>
        <v>-496.98</v>
      </c>
      <c r="E130" s="90">
        <f t="shared" si="74"/>
        <v>-423.12</v>
      </c>
      <c r="F130" s="90">
        <f t="shared" si="74"/>
        <v>-397.9</v>
      </c>
      <c r="G130" s="90">
        <f t="shared" si="74"/>
        <v>-266.26</v>
      </c>
      <c r="H130" s="90">
        <f t="shared" si="74"/>
        <v>-183.26</v>
      </c>
      <c r="I130" s="90">
        <f t="shared" si="74"/>
        <v>-189.53</v>
      </c>
      <c r="J130" s="90">
        <f t="shared" si="74"/>
        <v>-123.4</v>
      </c>
      <c r="K130" s="90">
        <f t="shared" si="74"/>
        <v>-161.43</v>
      </c>
      <c r="L130" s="90">
        <f t="shared" si="74"/>
        <v>-136.32999999999998</v>
      </c>
      <c r="M130" s="90">
        <f t="shared" si="74"/>
        <v>-374.04999999999995</v>
      </c>
      <c r="N130" s="215">
        <f>-'WACAP 2018'!Q116</f>
        <v>3548.04</v>
      </c>
      <c r="O130" s="90">
        <f t="shared" si="74"/>
        <v>-220.37999999999997</v>
      </c>
      <c r="P130" s="111">
        <f t="shared" si="74"/>
        <v>-383.84000000000003</v>
      </c>
      <c r="R130" s="180">
        <f>SUM(D130:Q130)-N130</f>
        <v>-3356.4799999999996</v>
      </c>
    </row>
    <row r="131" spans="2:28" x14ac:dyDescent="0.25">
      <c r="B131" s="87"/>
      <c r="C131" s="122" t="s">
        <v>137</v>
      </c>
      <c r="D131" s="187">
        <f>ROUND(ROUND('WACAP 2018'!O117*D$5,2)/365*D$6,2)</f>
        <v>-15.61</v>
      </c>
      <c r="E131" s="187">
        <f>ROUND(ROUND(D133*E$5,2)/365*E$6,2)</f>
        <v>-16.14</v>
      </c>
      <c r="F131" s="187">
        <f t="shared" ref="F131:P131" si="75">ROUND(ROUND(E133*F$5,2)/365*F$6,2)</f>
        <v>-19.8</v>
      </c>
      <c r="G131" s="187">
        <f t="shared" si="75"/>
        <v>-22.03</v>
      </c>
      <c r="H131" s="187">
        <f t="shared" si="75"/>
        <v>-24.1</v>
      </c>
      <c r="I131" s="187">
        <f t="shared" si="75"/>
        <v>-24.25</v>
      </c>
      <c r="J131" s="187">
        <f t="shared" si="75"/>
        <v>-26.29</v>
      </c>
      <c r="K131" s="187">
        <f t="shared" si="75"/>
        <v>-26.98</v>
      </c>
      <c r="L131" s="187">
        <f t="shared" si="75"/>
        <v>-26.97</v>
      </c>
      <c r="M131" s="187">
        <f t="shared" si="75"/>
        <v>-28.21</v>
      </c>
      <c r="N131" s="231">
        <f>'Ammort Split 2019'!N115</f>
        <v>162.29999999999998</v>
      </c>
      <c r="O131" s="187">
        <f>ROUND(ROUND(N133*O$5,2)/365*O$6,2)</f>
        <v>-12.56</v>
      </c>
      <c r="P131" s="188">
        <f t="shared" si="75"/>
        <v>-14.06</v>
      </c>
      <c r="R131" s="196">
        <f>SUM(D131:Q131)</f>
        <v>-94.700000000000017</v>
      </c>
    </row>
    <row r="132" spans="2:28" x14ac:dyDescent="0.25">
      <c r="B132" s="87"/>
      <c r="C132" s="122" t="s">
        <v>138</v>
      </c>
      <c r="D132" s="189">
        <f>SUM(D130:D131)</f>
        <v>-512.59</v>
      </c>
      <c r="E132" s="189">
        <f t="shared" ref="E132:P132" si="76">SUM(E130:E131)</f>
        <v>-439.26</v>
      </c>
      <c r="F132" s="189">
        <f t="shared" si="76"/>
        <v>-417.7</v>
      </c>
      <c r="G132" s="189">
        <f t="shared" si="76"/>
        <v>-288.28999999999996</v>
      </c>
      <c r="H132" s="189">
        <f t="shared" si="76"/>
        <v>-207.35999999999999</v>
      </c>
      <c r="I132" s="189">
        <f t="shared" si="76"/>
        <v>-213.78</v>
      </c>
      <c r="J132" s="189">
        <f t="shared" si="76"/>
        <v>-149.69</v>
      </c>
      <c r="K132" s="189">
        <f t="shared" si="76"/>
        <v>-188.41</v>
      </c>
      <c r="L132" s="189">
        <f t="shared" si="76"/>
        <v>-163.29999999999998</v>
      </c>
      <c r="M132" s="189">
        <f t="shared" si="76"/>
        <v>-402.25999999999993</v>
      </c>
      <c r="N132" s="209">
        <f t="shared" si="76"/>
        <v>3710.34</v>
      </c>
      <c r="O132" s="189">
        <f t="shared" si="76"/>
        <v>-232.93999999999997</v>
      </c>
      <c r="P132" s="190">
        <f t="shared" si="76"/>
        <v>-397.90000000000003</v>
      </c>
      <c r="R132" s="198">
        <f>SUM(R130:R131)</f>
        <v>-3451.1799999999994</v>
      </c>
    </row>
    <row r="133" spans="2:28" x14ac:dyDescent="0.25">
      <c r="B133" s="87"/>
      <c r="C133" s="122" t="s">
        <v>139</v>
      </c>
      <c r="D133" s="90">
        <f>'WACAP 2018'!O117+'WACAP 2019'!D132</f>
        <v>-4060.6299999999978</v>
      </c>
      <c r="E133" s="90">
        <f t="shared" ref="E133:P133" si="77">D133+E132</f>
        <v>-4499.8899999999976</v>
      </c>
      <c r="F133" s="90">
        <f t="shared" si="77"/>
        <v>-4917.5899999999974</v>
      </c>
      <c r="G133" s="90">
        <f t="shared" si="77"/>
        <v>-5205.8799999999974</v>
      </c>
      <c r="H133" s="90">
        <f t="shared" si="77"/>
        <v>-5413.2399999999971</v>
      </c>
      <c r="I133" s="90">
        <f t="shared" si="77"/>
        <v>-5627.0199999999968</v>
      </c>
      <c r="J133" s="90">
        <f t="shared" si="77"/>
        <v>-5776.7099999999964</v>
      </c>
      <c r="K133" s="90">
        <f t="shared" si="77"/>
        <v>-5965.1199999999963</v>
      </c>
      <c r="L133" s="90">
        <f t="shared" si="77"/>
        <v>-6128.4199999999964</v>
      </c>
      <c r="M133" s="90">
        <f t="shared" si="77"/>
        <v>-6530.6799999999967</v>
      </c>
      <c r="N133" s="207">
        <f t="shared" si="77"/>
        <v>-2820.3399999999965</v>
      </c>
      <c r="O133" s="90">
        <f t="shared" si="77"/>
        <v>-3053.2799999999966</v>
      </c>
      <c r="P133" s="191">
        <f t="shared" si="77"/>
        <v>-3451.1799999999967</v>
      </c>
      <c r="R133" s="178"/>
    </row>
    <row r="134" spans="2:28" x14ac:dyDescent="0.25">
      <c r="B134" s="86"/>
      <c r="C134" s="89"/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207"/>
      <c r="O134" s="90"/>
      <c r="P134" s="111"/>
      <c r="R134" s="178"/>
      <c r="T134" s="122"/>
      <c r="U134" s="108"/>
      <c r="V134" s="108">
        <f>ROUND(U137/Z137,0)</f>
        <v>112879</v>
      </c>
    </row>
    <row r="135" spans="2:28" x14ac:dyDescent="0.25">
      <c r="B135" s="279" t="s">
        <v>88</v>
      </c>
      <c r="C135" s="271">
        <v>570</v>
      </c>
      <c r="D135" s="113"/>
      <c r="E135" s="113"/>
      <c r="F135" s="108"/>
      <c r="G135" s="113"/>
      <c r="H135" s="113"/>
      <c r="I135" s="113"/>
      <c r="J135" s="113"/>
      <c r="K135" s="113"/>
      <c r="L135" s="113"/>
      <c r="M135" s="113"/>
      <c r="N135" s="204"/>
      <c r="O135" s="113"/>
      <c r="P135" s="115"/>
      <c r="R135" s="178"/>
      <c r="U135">
        <v>570</v>
      </c>
      <c r="V135" s="108">
        <f>ROUND(U138/Z138,0)</f>
        <v>117354</v>
      </c>
      <c r="W135" s="108">
        <f>SUM(V134:V135)</f>
        <v>230233</v>
      </c>
    </row>
    <row r="136" spans="2:28" ht="15.75" x14ac:dyDescent="0.25">
      <c r="B136" s="87" t="s">
        <v>64</v>
      </c>
      <c r="C136" t="s">
        <v>172</v>
      </c>
      <c r="D136" s="250">
        <v>8</v>
      </c>
      <c r="E136" s="250">
        <v>8</v>
      </c>
      <c r="F136" s="250">
        <v>7</v>
      </c>
      <c r="G136" s="250">
        <v>7</v>
      </c>
      <c r="H136" s="250">
        <v>7</v>
      </c>
      <c r="I136" s="250">
        <v>7</v>
      </c>
      <c r="J136" s="250">
        <v>8</v>
      </c>
      <c r="K136" s="250">
        <v>8</v>
      </c>
      <c r="L136" s="250">
        <v>8</v>
      </c>
      <c r="M136" s="250">
        <v>8</v>
      </c>
      <c r="N136" s="204"/>
      <c r="O136" s="250">
        <v>8</v>
      </c>
      <c r="P136" s="294">
        <v>8</v>
      </c>
      <c r="Q136" s="113"/>
      <c r="R136" s="179"/>
      <c r="V136" s="253">
        <v>230233</v>
      </c>
      <c r="W136" t="s">
        <v>92</v>
      </c>
      <c r="X136" s="113">
        <f>V136</f>
        <v>230233</v>
      </c>
    </row>
    <row r="137" spans="2:28" ht="15.75" x14ac:dyDescent="0.25">
      <c r="B137" s="87" t="s">
        <v>71</v>
      </c>
      <c r="C137" t="s">
        <v>103</v>
      </c>
      <c r="D137" s="251">
        <v>9622.91</v>
      </c>
      <c r="E137" s="251">
        <v>9606.64</v>
      </c>
      <c r="F137" s="251">
        <v>9743.14</v>
      </c>
      <c r="G137" s="251">
        <v>9318.4599999999991</v>
      </c>
      <c r="H137" s="251">
        <v>8122.21</v>
      </c>
      <c r="I137" s="251">
        <v>7127.76</v>
      </c>
      <c r="J137" s="251">
        <v>6345.37</v>
      </c>
      <c r="K137" s="251">
        <v>7848.97</v>
      </c>
      <c r="L137" s="251">
        <v>6023.96</v>
      </c>
      <c r="M137" s="251">
        <v>6363.13</v>
      </c>
      <c r="N137" s="207"/>
      <c r="O137" s="251">
        <v>10635.04</v>
      </c>
      <c r="P137" s="287">
        <v>8911.7900000000009</v>
      </c>
      <c r="Q137" s="108"/>
      <c r="R137" s="180"/>
      <c r="T137" s="122" t="s">
        <v>90</v>
      </c>
      <c r="U137" s="255">
        <v>8911.7900000000009</v>
      </c>
      <c r="V137" s="112">
        <f>U137/V134</f>
        <v>7.8949937543741536E-2</v>
      </c>
      <c r="X137" s="112">
        <f>U137/V134</f>
        <v>7.8949937543741536E-2</v>
      </c>
      <c r="Z137">
        <v>7.8950000000000006E-2</v>
      </c>
      <c r="AB137" s="112">
        <f>Z137-X137</f>
        <v>6.2456258470566794E-8</v>
      </c>
    </row>
    <row r="138" spans="2:28" ht="15.75" x14ac:dyDescent="0.25">
      <c r="B138" s="87" t="s">
        <v>71</v>
      </c>
      <c r="C138" t="s">
        <v>104</v>
      </c>
      <c r="D138" s="251">
        <v>3115.63</v>
      </c>
      <c r="E138" s="251">
        <v>3082.7</v>
      </c>
      <c r="F138" s="251">
        <v>3299.5</v>
      </c>
      <c r="G138" s="251">
        <v>2924.98</v>
      </c>
      <c r="H138" s="251">
        <v>1991.48</v>
      </c>
      <c r="I138" s="251">
        <v>1168.3800000000001</v>
      </c>
      <c r="J138" s="251">
        <v>688.23</v>
      </c>
      <c r="K138" s="251">
        <v>463.34</v>
      </c>
      <c r="L138" s="251">
        <v>389.96</v>
      </c>
      <c r="M138" s="251">
        <v>693.4</v>
      </c>
      <c r="N138" s="207"/>
      <c r="O138" s="251">
        <v>2205.61</v>
      </c>
      <c r="P138" s="287">
        <v>2638.12</v>
      </c>
      <c r="Q138" s="108"/>
      <c r="R138" s="180"/>
      <c r="T138" s="122" t="s">
        <v>90</v>
      </c>
      <c r="U138" s="255">
        <v>2638.12</v>
      </c>
      <c r="V138" s="112">
        <f>U138/V135</f>
        <v>2.2480017724150859E-2</v>
      </c>
      <c r="X138" s="112">
        <f>U138/V135</f>
        <v>2.2480017724150859E-2</v>
      </c>
      <c r="Z138">
        <v>2.248E-2</v>
      </c>
      <c r="AB138" s="112">
        <f>Z138-X138</f>
        <v>-1.7724150858794419E-8</v>
      </c>
    </row>
    <row r="139" spans="2:28" ht="15.75" x14ac:dyDescent="0.25">
      <c r="B139" s="87" t="s">
        <v>72</v>
      </c>
      <c r="C139" s="104" t="s">
        <v>105</v>
      </c>
      <c r="D139" s="276">
        <v>9606.64</v>
      </c>
      <c r="E139" s="276">
        <v>9743.14</v>
      </c>
      <c r="F139" s="276">
        <v>9318.4599999999991</v>
      </c>
      <c r="G139" s="276">
        <v>8122.21</v>
      </c>
      <c r="H139" s="276">
        <v>7127.76</v>
      </c>
      <c r="I139" s="276">
        <v>6345.37</v>
      </c>
      <c r="J139" s="276">
        <v>7848.97</v>
      </c>
      <c r="K139" s="276">
        <v>6023.96</v>
      </c>
      <c r="L139" s="276">
        <v>6363.13</v>
      </c>
      <c r="M139" s="276">
        <v>10635.04</v>
      </c>
      <c r="N139" s="207"/>
      <c r="O139" s="276">
        <v>8911.7900000000009</v>
      </c>
      <c r="P139" s="285">
        <v>9570.31</v>
      </c>
      <c r="Q139" s="108"/>
      <c r="R139" s="180"/>
      <c r="T139" s="122" t="s">
        <v>91</v>
      </c>
      <c r="U139" s="255">
        <v>94027.15</v>
      </c>
      <c r="V139" s="112">
        <f>U139/V136</f>
        <v>0.4083999687273327</v>
      </c>
      <c r="X139" s="112">
        <f>U139/X136</f>
        <v>0.4083999687273327</v>
      </c>
      <c r="Z139" s="290">
        <v>0.40839999999999999</v>
      </c>
      <c r="AB139" s="112">
        <f>Z139-X139</f>
        <v>3.1272667289083955E-8</v>
      </c>
    </row>
    <row r="140" spans="2:28" x14ac:dyDescent="0.25">
      <c r="B140" s="87" t="s">
        <v>72</v>
      </c>
      <c r="C140" s="104" t="s">
        <v>106</v>
      </c>
      <c r="D140" s="276">
        <v>3082.7</v>
      </c>
      <c r="E140" s="276">
        <v>3299.5</v>
      </c>
      <c r="F140" s="276">
        <v>2924.98</v>
      </c>
      <c r="G140" s="276">
        <v>1991.48</v>
      </c>
      <c r="H140" s="276">
        <v>1168.3800000000001</v>
      </c>
      <c r="I140" s="276">
        <v>688.23</v>
      </c>
      <c r="J140" s="276">
        <v>463.34</v>
      </c>
      <c r="K140" s="276">
        <v>389.47</v>
      </c>
      <c r="L140" s="276">
        <v>693.4</v>
      </c>
      <c r="M140" s="276">
        <v>2205.61</v>
      </c>
      <c r="N140" s="207"/>
      <c r="O140" s="276">
        <v>2638.12</v>
      </c>
      <c r="P140" s="285">
        <v>2985.23</v>
      </c>
      <c r="Q140" s="108"/>
      <c r="R140" s="180"/>
      <c r="U140" s="232"/>
      <c r="AB140" s="112"/>
    </row>
    <row r="141" spans="2:28" x14ac:dyDescent="0.25">
      <c r="B141" s="87" t="s">
        <v>72</v>
      </c>
      <c r="C141" t="s">
        <v>107</v>
      </c>
      <c r="D141" s="108">
        <f>-'WACAP 2018'!O123</f>
        <v>-9622.91</v>
      </c>
      <c r="E141" s="108">
        <f t="shared" ref="E141:M142" si="78">-D139</f>
        <v>-9606.64</v>
      </c>
      <c r="F141" s="108">
        <f t="shared" si="78"/>
        <v>-9743.14</v>
      </c>
      <c r="G141" s="108">
        <f t="shared" si="78"/>
        <v>-9318.4599999999991</v>
      </c>
      <c r="H141" s="108">
        <f t="shared" si="78"/>
        <v>-8122.21</v>
      </c>
      <c r="I141" s="108">
        <f t="shared" si="78"/>
        <v>-7127.76</v>
      </c>
      <c r="J141" s="108">
        <f t="shared" si="78"/>
        <v>-6345.37</v>
      </c>
      <c r="K141" s="108">
        <f t="shared" si="78"/>
        <v>-7848.97</v>
      </c>
      <c r="L141" s="108">
        <f>-K139</f>
        <v>-6023.96</v>
      </c>
      <c r="M141" s="108">
        <f t="shared" si="78"/>
        <v>-6363.13</v>
      </c>
      <c r="N141" s="206"/>
      <c r="O141" s="108">
        <f t="shared" ref="O141:O142" si="79">-M139</f>
        <v>-10635.04</v>
      </c>
      <c r="P141" s="109">
        <f>-O139</f>
        <v>-8911.7900000000009</v>
      </c>
      <c r="Q141" s="108"/>
      <c r="R141" s="180"/>
    </row>
    <row r="142" spans="2:28" x14ac:dyDescent="0.25">
      <c r="B142" s="87" t="s">
        <v>72</v>
      </c>
      <c r="C142" t="s">
        <v>108</v>
      </c>
      <c r="D142" s="88">
        <f>-'WACAP 2018'!O124</f>
        <v>-3115.63</v>
      </c>
      <c r="E142" s="88">
        <f t="shared" si="78"/>
        <v>-3082.7</v>
      </c>
      <c r="F142" s="88">
        <f t="shared" si="78"/>
        <v>-3299.5</v>
      </c>
      <c r="G142" s="88">
        <f t="shared" si="78"/>
        <v>-2924.98</v>
      </c>
      <c r="H142" s="88">
        <f t="shared" si="78"/>
        <v>-1991.48</v>
      </c>
      <c r="I142" s="88">
        <f t="shared" si="78"/>
        <v>-1168.3800000000001</v>
      </c>
      <c r="J142" s="88">
        <f t="shared" si="78"/>
        <v>-688.23</v>
      </c>
      <c r="K142" s="88">
        <f t="shared" si="78"/>
        <v>-463.34</v>
      </c>
      <c r="L142" s="88">
        <f>-K140</f>
        <v>-389.47</v>
      </c>
      <c r="M142" s="88">
        <f t="shared" si="78"/>
        <v>-693.4</v>
      </c>
      <c r="N142" s="205"/>
      <c r="O142" s="88">
        <f t="shared" si="79"/>
        <v>-2205.61</v>
      </c>
      <c r="P142" s="110">
        <f>-O140</f>
        <v>-2638.12</v>
      </c>
      <c r="Q142" s="108"/>
      <c r="R142" s="180"/>
    </row>
    <row r="143" spans="2:28" x14ac:dyDescent="0.25">
      <c r="B143" s="87"/>
      <c r="C143" s="122" t="s">
        <v>74</v>
      </c>
      <c r="D143" s="108">
        <f t="shared" ref="D143:F143" si="80">SUM(D137:D142)</f>
        <v>12689.34</v>
      </c>
      <c r="E143" s="108">
        <f t="shared" si="80"/>
        <v>13042.64</v>
      </c>
      <c r="F143" s="108">
        <f t="shared" si="80"/>
        <v>12243.439999999999</v>
      </c>
      <c r="G143" s="108">
        <f>SUM(G137:G142)</f>
        <v>10113.689999999999</v>
      </c>
      <c r="H143" s="108">
        <f t="shared" ref="H143:P143" si="81">SUM(H137:H142)</f>
        <v>8296.1400000000031</v>
      </c>
      <c r="I143" s="108">
        <f t="shared" si="81"/>
        <v>7033.5999999999976</v>
      </c>
      <c r="J143" s="108">
        <f t="shared" si="81"/>
        <v>8312.3100000000013</v>
      </c>
      <c r="K143" s="108">
        <f t="shared" si="81"/>
        <v>6413.4299999999994</v>
      </c>
      <c r="L143" s="108">
        <f t="shared" si="81"/>
        <v>7057.0199999999986</v>
      </c>
      <c r="M143" s="108">
        <f t="shared" si="81"/>
        <v>12840.65</v>
      </c>
      <c r="N143" s="206"/>
      <c r="O143" s="108">
        <f t="shared" si="81"/>
        <v>11549.91</v>
      </c>
      <c r="P143" s="111">
        <f t="shared" si="81"/>
        <v>12555.54</v>
      </c>
      <c r="R143" s="178"/>
    </row>
    <row r="144" spans="2:28" x14ac:dyDescent="0.25">
      <c r="B144" s="87"/>
      <c r="C144" s="122" t="s">
        <v>73</v>
      </c>
      <c r="D144" s="88">
        <f>ROUND(-'Authorized Margins 2018'!J18*'WACAP 2019'!D136,2)</f>
        <v>-18824.16</v>
      </c>
      <c r="E144" s="88">
        <f>ROUND(-'Authorized Margins 2018'!K18*'WACAP 2019'!E136,2)</f>
        <v>-18920.32</v>
      </c>
      <c r="F144" s="88">
        <f>ROUND(-'Authorized Margins 2018'!L18*'WACAP 2019'!F136,2)</f>
        <v>-13555.43</v>
      </c>
      <c r="G144" s="88">
        <f>ROUND(-'Authorized Margins 2018'!M18*'WACAP 2019'!G136,2)</f>
        <v>-13490.89</v>
      </c>
      <c r="H144" s="88">
        <f>ROUND(-'Authorized Margins 2018'!N18*'WACAP 2019'!H136,2)</f>
        <v>-9723.49</v>
      </c>
      <c r="I144" s="88">
        <f>ROUND(-'Authorized Margins 2018'!O18*'WACAP 2019'!I136,2)</f>
        <v>-8083.39</v>
      </c>
      <c r="J144" s="88">
        <f>ROUND(-'Authorized Margins 2018'!D18*'WACAP 2019'!J136,2)</f>
        <v>-7533.76</v>
      </c>
      <c r="K144" s="88">
        <f>ROUND(-'Authorized Margins 2018'!E18*'WACAP 2019'!K136,2)</f>
        <v>-8838.16</v>
      </c>
      <c r="L144" s="88">
        <f>ROUND(-'Authorized Margins 2018'!F18*'WACAP 2019'!L136,2)</f>
        <v>-6932.32</v>
      </c>
      <c r="M144" s="88">
        <f>ROUND(-'Authorized Margins 2018'!G18*'WACAP 2019'!M136,2)</f>
        <v>-8996.48</v>
      </c>
      <c r="N144" s="205"/>
      <c r="O144" s="88">
        <f>ROUND(-'Authorized Margins 2018'!H18*'WACAP 2019'!O136,2)</f>
        <v>-12708</v>
      </c>
      <c r="P144" s="110">
        <f>ROUND(-'Authorized Margins 2018'!I18*'WACAP 2019'!P136,2)</f>
        <v>-14600.88</v>
      </c>
      <c r="R144" s="178"/>
    </row>
    <row r="145" spans="1:28" x14ac:dyDescent="0.25">
      <c r="B145" s="87"/>
      <c r="C145" s="122" t="s">
        <v>75</v>
      </c>
      <c r="D145" s="90">
        <f t="shared" ref="D145:P145" si="82">SUM(D143:D144)</f>
        <v>-6134.82</v>
      </c>
      <c r="E145" s="90">
        <f t="shared" si="82"/>
        <v>-5877.68</v>
      </c>
      <c r="F145" s="90">
        <f t="shared" si="82"/>
        <v>-1311.9900000000016</v>
      </c>
      <c r="G145" s="90">
        <f t="shared" si="82"/>
        <v>-3377.2000000000007</v>
      </c>
      <c r="H145" s="90">
        <f t="shared" si="82"/>
        <v>-1427.3499999999967</v>
      </c>
      <c r="I145" s="90">
        <f t="shared" si="82"/>
        <v>-1049.7900000000027</v>
      </c>
      <c r="J145" s="90">
        <f t="shared" si="82"/>
        <v>778.55000000000109</v>
      </c>
      <c r="K145" s="90">
        <f t="shared" si="82"/>
        <v>-2424.7300000000005</v>
      </c>
      <c r="L145" s="90">
        <f t="shared" si="82"/>
        <v>124.69999999999891</v>
      </c>
      <c r="M145" s="90">
        <f t="shared" si="82"/>
        <v>3844.17</v>
      </c>
      <c r="N145" s="215">
        <f>-'WACAP 2018'!Q131</f>
        <v>34503.840000000004</v>
      </c>
      <c r="O145" s="90">
        <f t="shared" si="82"/>
        <v>-1158.0900000000001</v>
      </c>
      <c r="P145" s="111">
        <f t="shared" si="82"/>
        <v>-2045.3399999999983</v>
      </c>
      <c r="R145" s="180">
        <f>SUM(D145:Q145)-N145</f>
        <v>-20059.57</v>
      </c>
    </row>
    <row r="146" spans="1:28" x14ac:dyDescent="0.25">
      <c r="B146" s="87"/>
      <c r="C146" s="122" t="s">
        <v>137</v>
      </c>
      <c r="D146" s="187">
        <f>ROUND(ROUND('WACAP 2018'!O132*D$5,2)/365*D$6,2)</f>
        <v>-151.80000000000001</v>
      </c>
      <c r="E146" s="187">
        <f>ROUND(ROUND(D148*E$5,2)/365*E$6,2)</f>
        <v>-162.09</v>
      </c>
      <c r="F146" s="187">
        <f t="shared" ref="F146:P146" si="83">ROUND(ROUND(E148*F$5,2)/365*F$6,2)</f>
        <v>-206.03</v>
      </c>
      <c r="G146" s="187">
        <f t="shared" si="83"/>
        <v>-216.57</v>
      </c>
      <c r="H146" s="187">
        <f t="shared" si="83"/>
        <v>-240.43</v>
      </c>
      <c r="I146" s="187">
        <f t="shared" si="83"/>
        <v>-240.14</v>
      </c>
      <c r="J146" s="187">
        <f t="shared" si="83"/>
        <v>-256.45</v>
      </c>
      <c r="K146" s="187">
        <f t="shared" si="83"/>
        <v>-254.01</v>
      </c>
      <c r="L146" s="187">
        <f t="shared" si="83"/>
        <v>-257.93</v>
      </c>
      <c r="M146" s="187">
        <f t="shared" si="83"/>
        <v>-263.26</v>
      </c>
      <c r="N146" s="231">
        <f>'Ammort Split 2019'!N130</f>
        <v>1578.2499999999998</v>
      </c>
      <c r="O146" s="187">
        <f>ROUND(ROUND(N148*O$5,2)/365*O$6,2)</f>
        <v>-78.08</v>
      </c>
      <c r="P146" s="188">
        <f t="shared" si="83"/>
        <v>-86.37</v>
      </c>
      <c r="R146" s="196">
        <f>SUM(D146:Q146)</f>
        <v>-834.91000000000031</v>
      </c>
    </row>
    <row r="147" spans="1:28" x14ac:dyDescent="0.25">
      <c r="B147" s="87"/>
      <c r="C147" s="122" t="s">
        <v>138</v>
      </c>
      <c r="D147" s="189">
        <f>SUM(D145:D146)</f>
        <v>-6286.62</v>
      </c>
      <c r="E147" s="189">
        <f t="shared" ref="E147:P147" si="84">SUM(E145:E146)</f>
        <v>-6039.77</v>
      </c>
      <c r="F147" s="189">
        <f t="shared" si="84"/>
        <v>-1518.0200000000016</v>
      </c>
      <c r="G147" s="189">
        <f t="shared" si="84"/>
        <v>-3593.7700000000009</v>
      </c>
      <c r="H147" s="189">
        <f t="shared" si="84"/>
        <v>-1667.7799999999968</v>
      </c>
      <c r="I147" s="189">
        <f t="shared" si="84"/>
        <v>-1289.9300000000026</v>
      </c>
      <c r="J147" s="189">
        <f t="shared" si="84"/>
        <v>522.10000000000105</v>
      </c>
      <c r="K147" s="189">
        <f t="shared" si="84"/>
        <v>-2678.7400000000007</v>
      </c>
      <c r="L147" s="189">
        <f t="shared" si="84"/>
        <v>-133.2300000000011</v>
      </c>
      <c r="M147" s="189">
        <f t="shared" si="84"/>
        <v>3580.91</v>
      </c>
      <c r="N147" s="209">
        <f>SUM(N145:N146)</f>
        <v>36082.090000000004</v>
      </c>
      <c r="O147" s="189">
        <f t="shared" si="84"/>
        <v>-1236.17</v>
      </c>
      <c r="P147" s="190">
        <f t="shared" si="84"/>
        <v>-2131.7099999999982</v>
      </c>
      <c r="R147" s="198">
        <f>SUM(R145:R146)</f>
        <v>-20894.48</v>
      </c>
    </row>
    <row r="148" spans="1:28" x14ac:dyDescent="0.25">
      <c r="B148" s="87"/>
      <c r="C148" s="122" t="s">
        <v>139</v>
      </c>
      <c r="D148" s="90">
        <f>'WACAP 2018'!O132+'WACAP 2019'!D147</f>
        <v>-40790.459999999992</v>
      </c>
      <c r="E148" s="90">
        <f t="shared" ref="E148:P148" si="85">D148+E147</f>
        <v>-46830.229999999996</v>
      </c>
      <c r="F148" s="90">
        <f t="shared" si="85"/>
        <v>-48348.25</v>
      </c>
      <c r="G148" s="90">
        <f t="shared" si="85"/>
        <v>-51942.020000000004</v>
      </c>
      <c r="H148" s="90">
        <f t="shared" si="85"/>
        <v>-53609.8</v>
      </c>
      <c r="I148" s="90">
        <f t="shared" si="85"/>
        <v>-54899.73</v>
      </c>
      <c r="J148" s="90">
        <f t="shared" si="85"/>
        <v>-54377.630000000005</v>
      </c>
      <c r="K148" s="90">
        <f t="shared" si="85"/>
        <v>-57056.37</v>
      </c>
      <c r="L148" s="90">
        <f t="shared" si="85"/>
        <v>-57189.600000000006</v>
      </c>
      <c r="M148" s="90">
        <f t="shared" si="85"/>
        <v>-53608.69</v>
      </c>
      <c r="N148" s="207">
        <f>M148+N147</f>
        <v>-17526.599999999999</v>
      </c>
      <c r="O148" s="90">
        <f t="shared" si="85"/>
        <v>-18762.769999999997</v>
      </c>
      <c r="P148" s="191">
        <f t="shared" si="85"/>
        <v>-20894.479999999996</v>
      </c>
      <c r="R148" s="178"/>
    </row>
    <row r="149" spans="1:28" x14ac:dyDescent="0.25">
      <c r="B149" s="86"/>
      <c r="D149" s="113"/>
      <c r="E149" s="113"/>
      <c r="F149" s="108"/>
      <c r="G149" s="113"/>
      <c r="H149" s="113"/>
      <c r="I149" s="113"/>
      <c r="J149" s="113"/>
      <c r="K149" s="113"/>
      <c r="L149" s="113"/>
      <c r="M149" s="113"/>
      <c r="N149" s="204"/>
      <c r="O149" s="113"/>
      <c r="P149" s="115"/>
      <c r="R149" s="178"/>
      <c r="T149" s="226"/>
      <c r="U149" s="227"/>
      <c r="V149" s="227"/>
      <c r="W149" s="224"/>
      <c r="X149" s="224"/>
      <c r="Y149" s="224"/>
      <c r="Z149" s="224"/>
      <c r="AA149" s="224"/>
      <c r="AB149" s="224"/>
    </row>
    <row r="150" spans="1:28" x14ac:dyDescent="0.25">
      <c r="A150" s="6"/>
      <c r="B150" s="104" t="s">
        <v>88</v>
      </c>
      <c r="C150" s="271">
        <v>577</v>
      </c>
      <c r="D150" s="229" t="s">
        <v>149</v>
      </c>
      <c r="F150" s="108"/>
      <c r="G150" s="113"/>
      <c r="H150" s="113"/>
      <c r="I150" s="113"/>
      <c r="J150" s="113"/>
      <c r="L150" s="113"/>
      <c r="M150" s="113"/>
      <c r="N150" s="204"/>
      <c r="O150" s="113"/>
      <c r="P150" s="115"/>
      <c r="R150" s="178"/>
      <c r="T150" s="224"/>
      <c r="U150" s="224"/>
      <c r="V150" s="227"/>
      <c r="W150" s="227"/>
      <c r="X150" s="224"/>
      <c r="Y150" s="224"/>
      <c r="Z150" s="224"/>
      <c r="AA150" s="224"/>
      <c r="AB150" s="224"/>
    </row>
    <row r="151" spans="1:28" x14ac:dyDescent="0.25">
      <c r="B151" s="87" t="s">
        <v>64</v>
      </c>
      <c r="C151" t="s">
        <v>172</v>
      </c>
      <c r="D151" s="105"/>
      <c r="E151" s="105"/>
      <c r="F151" s="105"/>
      <c r="G151" s="105"/>
      <c r="H151" s="105"/>
      <c r="I151" s="105"/>
      <c r="J151" s="105"/>
      <c r="K151" s="105"/>
      <c r="L151" s="105"/>
      <c r="M151" s="105"/>
      <c r="N151" s="204"/>
      <c r="O151" s="105"/>
      <c r="P151" s="106"/>
      <c r="Q151" s="113"/>
      <c r="R151" s="179"/>
      <c r="T151" s="224"/>
      <c r="U151" s="224"/>
      <c r="V151" s="225"/>
      <c r="W151" s="224"/>
      <c r="X151" s="225"/>
      <c r="Y151" s="224"/>
      <c r="Z151" s="224"/>
      <c r="AA151" s="224"/>
      <c r="AB151" s="224"/>
    </row>
    <row r="152" spans="1:28" x14ac:dyDescent="0.25">
      <c r="B152" s="87" t="s">
        <v>71</v>
      </c>
      <c r="C152" t="s">
        <v>109</v>
      </c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206"/>
      <c r="O152" s="116"/>
      <c r="P152" s="117"/>
      <c r="Q152" s="108"/>
      <c r="R152" s="180"/>
      <c r="T152" s="226"/>
      <c r="U152" s="227"/>
      <c r="V152" s="228"/>
      <c r="W152" s="224"/>
      <c r="X152" s="228"/>
      <c r="Y152" s="224"/>
      <c r="Z152" s="224"/>
      <c r="AA152" s="224"/>
      <c r="AB152" s="228"/>
    </row>
    <row r="153" spans="1:28" x14ac:dyDescent="0.25">
      <c r="B153" s="87" t="s">
        <v>71</v>
      </c>
      <c r="C153" t="s">
        <v>96</v>
      </c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206"/>
      <c r="O153" s="116"/>
      <c r="P153" s="117"/>
      <c r="Q153" s="108"/>
      <c r="R153" s="180"/>
      <c r="T153" s="226"/>
      <c r="U153" s="227"/>
      <c r="V153" s="228"/>
      <c r="W153" s="224"/>
      <c r="X153" s="228"/>
      <c r="Y153" s="224"/>
      <c r="Z153" s="224"/>
      <c r="AA153" s="224"/>
      <c r="AB153" s="228"/>
    </row>
    <row r="154" spans="1:28" x14ac:dyDescent="0.25">
      <c r="B154" s="87" t="s">
        <v>72</v>
      </c>
      <c r="C154" t="s">
        <v>110</v>
      </c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206"/>
      <c r="O154" s="116"/>
      <c r="P154" s="117"/>
      <c r="Q154" s="108"/>
      <c r="R154" s="180"/>
      <c r="T154" s="226"/>
      <c r="U154" s="227"/>
      <c r="V154" s="228"/>
      <c r="W154" s="224"/>
      <c r="X154" s="228"/>
      <c r="Y154" s="224"/>
      <c r="Z154" s="224"/>
      <c r="AA154" s="224"/>
      <c r="AB154" s="228"/>
    </row>
    <row r="155" spans="1:28" x14ac:dyDescent="0.25">
      <c r="B155" s="87" t="s">
        <v>72</v>
      </c>
      <c r="C155" t="s">
        <v>111</v>
      </c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206"/>
      <c r="O155" s="116"/>
      <c r="P155" s="117"/>
      <c r="Q155" s="108"/>
      <c r="R155" s="180"/>
      <c r="T155" s="224"/>
      <c r="U155" s="224"/>
      <c r="V155" s="224"/>
      <c r="W155" s="224"/>
      <c r="X155" s="224"/>
      <c r="Y155" s="224"/>
      <c r="Z155" s="224"/>
      <c r="AA155" s="224"/>
      <c r="AB155" s="228"/>
    </row>
    <row r="156" spans="1:28" x14ac:dyDescent="0.25">
      <c r="B156" s="87" t="s">
        <v>72</v>
      </c>
      <c r="C156" t="s">
        <v>112</v>
      </c>
      <c r="D156" s="108">
        <f>-'WACAP 2018'!O138</f>
        <v>0</v>
      </c>
      <c r="E156" s="108">
        <f>-D154</f>
        <v>0</v>
      </c>
      <c r="F156" s="108">
        <f>-E154</f>
        <v>0</v>
      </c>
      <c r="G156" s="108">
        <f>-F154</f>
        <v>0</v>
      </c>
      <c r="H156" s="108">
        <f t="shared" ref="E156:M157" si="86">-G154</f>
        <v>0</v>
      </c>
      <c r="I156" s="108">
        <f t="shared" si="86"/>
        <v>0</v>
      </c>
      <c r="J156" s="108">
        <f t="shared" si="86"/>
        <v>0</v>
      </c>
      <c r="K156" s="108">
        <f t="shared" si="86"/>
        <v>0</v>
      </c>
      <c r="L156" s="108">
        <f t="shared" si="86"/>
        <v>0</v>
      </c>
      <c r="M156" s="108">
        <f t="shared" si="86"/>
        <v>0</v>
      </c>
      <c r="N156" s="206"/>
      <c r="O156" s="108">
        <f t="shared" ref="O156:O157" si="87">-M154</f>
        <v>0</v>
      </c>
      <c r="P156" s="109">
        <f>-O154</f>
        <v>0</v>
      </c>
      <c r="Q156" s="108"/>
      <c r="R156" s="180"/>
    </row>
    <row r="157" spans="1:28" x14ac:dyDescent="0.25">
      <c r="B157" s="87" t="s">
        <v>72</v>
      </c>
      <c r="C157" t="s">
        <v>113</v>
      </c>
      <c r="D157" s="88">
        <f>-'WACAP 2018'!O139</f>
        <v>0</v>
      </c>
      <c r="E157" s="88">
        <f t="shared" si="86"/>
        <v>0</v>
      </c>
      <c r="F157" s="88">
        <f t="shared" si="86"/>
        <v>0</v>
      </c>
      <c r="G157" s="88">
        <f t="shared" si="86"/>
        <v>0</v>
      </c>
      <c r="H157" s="88">
        <f t="shared" si="86"/>
        <v>0</v>
      </c>
      <c r="I157" s="88">
        <f t="shared" si="86"/>
        <v>0</v>
      </c>
      <c r="J157" s="88">
        <f t="shared" si="86"/>
        <v>0</v>
      </c>
      <c r="K157" s="88">
        <f t="shared" si="86"/>
        <v>0</v>
      </c>
      <c r="L157" s="88">
        <f t="shared" si="86"/>
        <v>0</v>
      </c>
      <c r="M157" s="88">
        <f t="shared" si="86"/>
        <v>0</v>
      </c>
      <c r="N157" s="205"/>
      <c r="O157" s="88">
        <f t="shared" si="87"/>
        <v>0</v>
      </c>
      <c r="P157" s="110">
        <f>-O155</f>
        <v>0</v>
      </c>
      <c r="Q157" s="108"/>
      <c r="R157" s="180"/>
    </row>
    <row r="158" spans="1:28" x14ac:dyDescent="0.25">
      <c r="B158" s="4"/>
      <c r="C158" s="122" t="s">
        <v>74</v>
      </c>
      <c r="D158" s="108">
        <f t="shared" ref="D158:F158" si="88">SUM(D152:D157)</f>
        <v>0</v>
      </c>
      <c r="E158" s="108">
        <f t="shared" si="88"/>
        <v>0</v>
      </c>
      <c r="F158" s="108">
        <f t="shared" si="88"/>
        <v>0</v>
      </c>
      <c r="G158" s="108">
        <f>SUM(G152:G157)</f>
        <v>0</v>
      </c>
      <c r="H158" s="108">
        <f t="shared" ref="H158:P158" si="89">SUM(H152:H157)</f>
        <v>0</v>
      </c>
      <c r="I158" s="108">
        <f t="shared" si="89"/>
        <v>0</v>
      </c>
      <c r="J158" s="108">
        <f t="shared" si="89"/>
        <v>0</v>
      </c>
      <c r="K158" s="108">
        <f t="shared" si="89"/>
        <v>0</v>
      </c>
      <c r="L158" s="108">
        <f t="shared" si="89"/>
        <v>0</v>
      </c>
      <c r="M158" s="108">
        <f t="shared" si="89"/>
        <v>0</v>
      </c>
      <c r="N158" s="206"/>
      <c r="O158" s="108">
        <f t="shared" si="89"/>
        <v>0</v>
      </c>
      <c r="P158" s="111">
        <f t="shared" si="89"/>
        <v>0</v>
      </c>
      <c r="R158" s="178"/>
    </row>
    <row r="159" spans="1:28" x14ac:dyDescent="0.25">
      <c r="B159" s="4"/>
      <c r="C159" s="122" t="s">
        <v>73</v>
      </c>
      <c r="D159" s="88">
        <v>0</v>
      </c>
      <c r="E159" s="88">
        <v>0</v>
      </c>
      <c r="F159" s="88">
        <v>0</v>
      </c>
      <c r="G159" s="88">
        <v>0</v>
      </c>
      <c r="H159" s="88">
        <v>0</v>
      </c>
      <c r="I159" s="88">
        <v>0</v>
      </c>
      <c r="J159" s="88">
        <v>0</v>
      </c>
      <c r="K159" s="88">
        <v>0</v>
      </c>
      <c r="L159" s="88">
        <v>0</v>
      </c>
      <c r="M159" s="88">
        <v>0</v>
      </c>
      <c r="N159" s="205"/>
      <c r="O159" s="88">
        <v>0</v>
      </c>
      <c r="P159" s="110">
        <v>0</v>
      </c>
      <c r="R159" s="178"/>
    </row>
    <row r="160" spans="1:28" x14ac:dyDescent="0.25">
      <c r="B160" s="4"/>
      <c r="C160" s="122" t="s">
        <v>75</v>
      </c>
      <c r="D160" s="90">
        <f t="shared" ref="D160:P160" si="90">SUM(D158:D159)</f>
        <v>0</v>
      </c>
      <c r="E160" s="90">
        <f t="shared" si="90"/>
        <v>0</v>
      </c>
      <c r="F160" s="90">
        <f t="shared" si="90"/>
        <v>0</v>
      </c>
      <c r="G160" s="90">
        <f t="shared" si="90"/>
        <v>0</v>
      </c>
      <c r="H160" s="90">
        <f t="shared" si="90"/>
        <v>0</v>
      </c>
      <c r="I160" s="90">
        <f t="shared" si="90"/>
        <v>0</v>
      </c>
      <c r="J160" s="90">
        <f t="shared" si="90"/>
        <v>0</v>
      </c>
      <c r="K160" s="90">
        <f t="shared" si="90"/>
        <v>0</v>
      </c>
      <c r="L160" s="90">
        <f t="shared" si="90"/>
        <v>0</v>
      </c>
      <c r="M160" s="90">
        <f t="shared" si="90"/>
        <v>0</v>
      </c>
      <c r="N160" s="215">
        <f>-'WACAP 2018'!Q146</f>
        <v>4415.5599999999995</v>
      </c>
      <c r="O160" s="90">
        <f t="shared" si="90"/>
        <v>0</v>
      </c>
      <c r="P160" s="111">
        <f t="shared" si="90"/>
        <v>0</v>
      </c>
      <c r="R160" s="180">
        <f>SUM(D160:Q160)-N160</f>
        <v>0</v>
      </c>
    </row>
    <row r="161" spans="2:20" x14ac:dyDescent="0.25">
      <c r="B161" s="87"/>
      <c r="C161" s="122" t="s">
        <v>137</v>
      </c>
      <c r="D161" s="187">
        <f>ROUND(ROUND('WACAP 2018'!O147*D$5,2)/365*D$6,2)</f>
        <v>-19.43</v>
      </c>
      <c r="E161" s="187">
        <f>ROUND(ROUND(D163*E$5,2)/365*E$6,2)</f>
        <v>-17.62</v>
      </c>
      <c r="F161" s="187">
        <f t="shared" ref="F161:P161" si="91">ROUND(ROUND(E163*F$5,2)/365*F$6,2)</f>
        <v>-19.59</v>
      </c>
      <c r="G161" s="187">
        <f t="shared" si="91"/>
        <v>-20.03</v>
      </c>
      <c r="H161" s="187">
        <f t="shared" si="91"/>
        <v>-20.79</v>
      </c>
      <c r="I161" s="187">
        <f t="shared" si="91"/>
        <v>-20.22</v>
      </c>
      <c r="J161" s="187">
        <f t="shared" si="91"/>
        <v>-21.18</v>
      </c>
      <c r="K161" s="187">
        <f t="shared" si="91"/>
        <v>-21.27</v>
      </c>
      <c r="L161" s="187">
        <f t="shared" si="91"/>
        <v>-20.68</v>
      </c>
      <c r="M161" s="187">
        <f>ROUND(ROUND(L163*M$5,2)/365*M$6,2)</f>
        <v>-21.16</v>
      </c>
      <c r="N161" s="231">
        <f>'Ammort Split 2019'!N145</f>
        <v>201.97000000000003</v>
      </c>
      <c r="O161" s="187">
        <f>ROUND(ROUND(N163*O$5,2)/365*O$6,2)</f>
        <v>0</v>
      </c>
      <c r="P161" s="188">
        <f t="shared" si="91"/>
        <v>0</v>
      </c>
      <c r="R161" s="196">
        <f>SUM(D161:Q161)</f>
        <v>0</v>
      </c>
    </row>
    <row r="162" spans="2:20" x14ac:dyDescent="0.25">
      <c r="B162" s="87"/>
      <c r="C162" s="122" t="s">
        <v>138</v>
      </c>
      <c r="D162" s="189">
        <f t="shared" ref="D162:P162" si="92">SUM(D160:D161)</f>
        <v>-19.43</v>
      </c>
      <c r="E162" s="189">
        <f t="shared" si="92"/>
        <v>-17.62</v>
      </c>
      <c r="F162" s="189">
        <f t="shared" si="92"/>
        <v>-19.59</v>
      </c>
      <c r="G162" s="189">
        <f t="shared" si="92"/>
        <v>-20.03</v>
      </c>
      <c r="H162" s="189">
        <f t="shared" si="92"/>
        <v>-20.79</v>
      </c>
      <c r="I162" s="189">
        <f t="shared" si="92"/>
        <v>-20.22</v>
      </c>
      <c r="J162" s="189">
        <f t="shared" si="92"/>
        <v>-21.18</v>
      </c>
      <c r="K162" s="189">
        <f t="shared" si="92"/>
        <v>-21.27</v>
      </c>
      <c r="L162" s="189">
        <f t="shared" si="92"/>
        <v>-20.68</v>
      </c>
      <c r="M162" s="189">
        <f t="shared" si="92"/>
        <v>-21.16</v>
      </c>
      <c r="N162" s="209">
        <f t="shared" si="92"/>
        <v>4617.53</v>
      </c>
      <c r="O162" s="189">
        <f t="shared" si="92"/>
        <v>0</v>
      </c>
      <c r="P162" s="190">
        <f t="shared" si="92"/>
        <v>0</v>
      </c>
      <c r="R162" s="198">
        <f>SUM(R160:R161)</f>
        <v>0</v>
      </c>
    </row>
    <row r="163" spans="2:20" x14ac:dyDescent="0.25">
      <c r="B163" s="87"/>
      <c r="C163" s="122" t="s">
        <v>139</v>
      </c>
      <c r="D163" s="90">
        <f>'WACAP 2018'!O147+'WACAP 2019'!D162</f>
        <v>-4434.99</v>
      </c>
      <c r="E163" s="90">
        <f t="shared" ref="E163:P163" si="93">D163+E162</f>
        <v>-4452.6099999999997</v>
      </c>
      <c r="F163" s="90">
        <f t="shared" si="93"/>
        <v>-4472.2</v>
      </c>
      <c r="G163" s="90">
        <f t="shared" si="93"/>
        <v>-4492.2299999999996</v>
      </c>
      <c r="H163" s="90">
        <f t="shared" si="93"/>
        <v>-4513.0199999999995</v>
      </c>
      <c r="I163" s="90">
        <f t="shared" si="93"/>
        <v>-4533.24</v>
      </c>
      <c r="J163" s="90">
        <f t="shared" si="93"/>
        <v>-4554.42</v>
      </c>
      <c r="K163" s="90">
        <f t="shared" si="93"/>
        <v>-4575.6900000000005</v>
      </c>
      <c r="L163" s="90">
        <f t="shared" si="93"/>
        <v>-4596.3700000000008</v>
      </c>
      <c r="M163" s="90">
        <f t="shared" si="93"/>
        <v>-4617.5300000000007</v>
      </c>
      <c r="N163" s="207">
        <f t="shared" si="93"/>
        <v>0</v>
      </c>
      <c r="O163" s="90">
        <f t="shared" si="93"/>
        <v>0</v>
      </c>
      <c r="P163" s="191">
        <f t="shared" si="93"/>
        <v>0</v>
      </c>
      <c r="R163" s="178"/>
    </row>
    <row r="164" spans="2:20" ht="15.75" thickBot="1" x14ac:dyDescent="0.3">
      <c r="B164" s="118"/>
      <c r="C164" s="119"/>
      <c r="D164" s="119"/>
      <c r="E164" s="119"/>
      <c r="F164" s="176"/>
      <c r="G164" s="119"/>
      <c r="H164" s="119"/>
      <c r="I164" s="119"/>
      <c r="J164" s="119"/>
      <c r="K164" s="119"/>
      <c r="L164" s="119"/>
      <c r="M164" s="119"/>
      <c r="N164" s="119"/>
      <c r="O164" s="119"/>
      <c r="P164" s="120"/>
      <c r="Q164" s="120"/>
      <c r="R164" s="181"/>
    </row>
    <row r="165" spans="2:20" x14ac:dyDescent="0.25">
      <c r="F165" s="108"/>
    </row>
    <row r="166" spans="2:20" x14ac:dyDescent="0.25">
      <c r="C166" s="122" t="s">
        <v>89</v>
      </c>
      <c r="D166" s="90">
        <f t="shared" ref="D166:L166" si="94">D12+D24+D62+D74+D37+D130+D50+D105+D115+D145+D160</f>
        <v>-843959.23</v>
      </c>
      <c r="E166" s="90">
        <f t="shared" si="94"/>
        <v>3745264.0199999996</v>
      </c>
      <c r="F166" s="90">
        <f t="shared" si="94"/>
        <v>1400603.7000000011</v>
      </c>
      <c r="G166" s="90">
        <f t="shared" si="94"/>
        <v>-412427.72</v>
      </c>
      <c r="H166" s="90">
        <f t="shared" si="94"/>
        <v>54642.650000000052</v>
      </c>
      <c r="I166" s="90">
        <f t="shared" si="94"/>
        <v>-42807.880000000179</v>
      </c>
      <c r="J166" s="90">
        <f t="shared" si="94"/>
        <v>172084.5999999998</v>
      </c>
      <c r="K166" s="90">
        <f t="shared" si="94"/>
        <v>-273699.82999999996</v>
      </c>
      <c r="L166" s="90">
        <f t="shared" si="94"/>
        <v>344893.05</v>
      </c>
      <c r="M166" s="90">
        <f>M12+M24+M62+M74+M90+M37+M130+M50+M105+M115+M145+M160</f>
        <v>959061.61999999965</v>
      </c>
      <c r="N166" s="207">
        <f t="shared" ref="N166:N167" si="95">N12+N24+N62+N74+N37+N130+N50+N105+N115+N145+N160</f>
        <v>1013703.1200000023</v>
      </c>
      <c r="O166" s="90">
        <f>O12+O24+O62+O74+O90+O37+O130+O50+O105+O115+O145+O160</f>
        <v>153107.62000000037</v>
      </c>
      <c r="P166" s="90">
        <f>P12+P24+P62+P74+P90+P37+P130+P50+P105+P115+P145+P160</f>
        <v>-1034787.4900000007</v>
      </c>
      <c r="R166" s="187">
        <f>R12+R24+R74+R90+R37+R130+R50+R105+R115+R145+R160+R62</f>
        <v>4221975.1099999994</v>
      </c>
      <c r="T166" s="108"/>
    </row>
    <row r="167" spans="2:20" x14ac:dyDescent="0.25">
      <c r="C167" s="122" t="s">
        <v>170</v>
      </c>
      <c r="D167" s="199">
        <f>D13+D25+D63+D75+D38+D131+D51+D106+D116+D146+D161+0.02</f>
        <v>-4459.74</v>
      </c>
      <c r="E167" s="199">
        <f>E13+E25+E63+E75+E38+E131+E51+E106+E116+E146+E161+0.01</f>
        <v>-7399.5099999999993</v>
      </c>
      <c r="F167" s="199">
        <f>F13+F25+F63+F75+F38+F131+F51+F106+F116+F146+F161+0.01</f>
        <v>8252.24</v>
      </c>
      <c r="G167" s="199">
        <f>G13+G25+G63+G75+G38+G131+G51+G106+G116+G146+G161-0.02</f>
        <v>14713.199999999997</v>
      </c>
      <c r="H167" s="199">
        <f>H13+H25+H63+H75+H38+H131+H51+H106+H116+H146+H161+0.01</f>
        <v>13362.709999999997</v>
      </c>
      <c r="I167" s="199">
        <f>I13+I25+I63+I75+I38+I131+I51+I106+I116+I146+I161+0.01</f>
        <v>13236.280000000002</v>
      </c>
      <c r="J167" s="199">
        <f>J13+J25+J63+J75+J38+J131+J51+J106+J116+J146+J161+0.02</f>
        <v>13664.839999999997</v>
      </c>
      <c r="K167" s="199">
        <f>K13+K25+K63+K75+K38+K131+K51+K106+K116+K146+K161-0.01</f>
        <v>14532.519999999997</v>
      </c>
      <c r="L167" s="199">
        <f>L13+L25+L63+L75+L38+L131+L51+L106+L116+L146+L161-0.01</f>
        <v>12892.15</v>
      </c>
      <c r="M167" s="199">
        <f>M13+M25+M63+M75+M91+M38+M131+M51+M106+M116+M146+M161-0.01</f>
        <v>14775.100000000002</v>
      </c>
      <c r="N167" s="208">
        <f t="shared" si="95"/>
        <v>46368.350000000006</v>
      </c>
      <c r="O167" s="199">
        <f>O13+O25+O63+O75+O91+O38+O131+O51+O106+O116+O146+O161-0.01</f>
        <v>23359.129999999997</v>
      </c>
      <c r="P167" s="199">
        <f>P13+P25+P63+P75+P91+P38+P131+P51+P106+P116+P146+P161-0.02</f>
        <v>24950.09</v>
      </c>
      <c r="R167" s="189">
        <f>R13+R25+R75+R91+R38+R131+R51+R106+R116+R146+R161+R63</f>
        <v>188247.36</v>
      </c>
      <c r="T167" s="108"/>
    </row>
    <row r="168" spans="2:20" x14ac:dyDescent="0.25">
      <c r="C168" s="122" t="s">
        <v>139</v>
      </c>
      <c r="D168" s="90">
        <f>SUM(D166:D167)+'WACAP 2018'!O152</f>
        <v>-1862122.1400000039</v>
      </c>
      <c r="E168" s="90">
        <f t="shared" ref="E168:L168" si="96">SUM(E166:E167)+D168</f>
        <v>1875742.3699999959</v>
      </c>
      <c r="F168" s="90">
        <f t="shared" si="96"/>
        <v>3284598.3099999968</v>
      </c>
      <c r="G168" s="90">
        <f t="shared" si="96"/>
        <v>2886883.7899999968</v>
      </c>
      <c r="H168" s="90">
        <f t="shared" si="96"/>
        <v>2954889.1499999966</v>
      </c>
      <c r="I168" s="90">
        <f t="shared" si="96"/>
        <v>2925317.5499999966</v>
      </c>
      <c r="J168" s="90">
        <f t="shared" si="96"/>
        <v>3111066.9899999965</v>
      </c>
      <c r="K168" s="90">
        <f t="shared" si="96"/>
        <v>2851899.6799999964</v>
      </c>
      <c r="L168" s="90">
        <f t="shared" si="96"/>
        <v>3209684.8799999966</v>
      </c>
      <c r="M168" s="90">
        <f>SUM(M166:M167)+L168</f>
        <v>4183521.5999999964</v>
      </c>
      <c r="N168" s="207">
        <f>SUM(N166:N167)+M168</f>
        <v>5243593.0699999984</v>
      </c>
      <c r="O168" s="90">
        <f>SUM(O166:O167)+N168</f>
        <v>5420059.8199999984</v>
      </c>
      <c r="P168" s="128">
        <f>SUM(P166:P167)+O168</f>
        <v>4410222.4199999981</v>
      </c>
      <c r="R168" s="128">
        <f>SUM(R166:R167)</f>
        <v>4410222.47</v>
      </c>
      <c r="T168" s="108"/>
    </row>
    <row r="169" spans="2:20" x14ac:dyDescent="0.25">
      <c r="C169" s="89"/>
      <c r="E169" s="187"/>
      <c r="F169" s="90"/>
      <c r="G169" s="90"/>
      <c r="H169" s="90"/>
      <c r="I169" s="90"/>
      <c r="J169" s="90"/>
      <c r="K169" s="90"/>
      <c r="L169" s="90"/>
      <c r="M169" s="90"/>
      <c r="N169" s="207"/>
      <c r="O169" s="90"/>
      <c r="P169" s="90"/>
    </row>
    <row r="170" spans="2:20" ht="15.75" thickBot="1" x14ac:dyDescent="0.3">
      <c r="B170" s="257"/>
      <c r="F170" s="108"/>
      <c r="N170" s="217" t="s">
        <v>147</v>
      </c>
    </row>
    <row r="171" spans="2:20" ht="15.75" x14ac:dyDescent="0.25">
      <c r="B171" s="266" t="s">
        <v>167</v>
      </c>
      <c r="C171" s="267"/>
      <c r="D171" s="268" t="s">
        <v>155</v>
      </c>
      <c r="E171" s="269" t="s">
        <v>156</v>
      </c>
      <c r="F171" s="269" t="s">
        <v>157</v>
      </c>
      <c r="G171" s="269" t="s">
        <v>158</v>
      </c>
      <c r="H171" s="269" t="s">
        <v>23</v>
      </c>
      <c r="I171" s="269" t="s">
        <v>159</v>
      </c>
      <c r="J171" s="269" t="s">
        <v>160</v>
      </c>
      <c r="K171" s="269" t="s">
        <v>161</v>
      </c>
      <c r="L171" s="269" t="s">
        <v>162</v>
      </c>
      <c r="M171" s="269" t="s">
        <v>168</v>
      </c>
      <c r="N171" s="200" t="s">
        <v>147</v>
      </c>
      <c r="O171" s="269" t="s">
        <v>171</v>
      </c>
      <c r="P171" s="269" t="s">
        <v>173</v>
      </c>
    </row>
    <row r="172" spans="2:20" ht="15.75" x14ac:dyDescent="0.25">
      <c r="B172" s="258" t="s">
        <v>127</v>
      </c>
      <c r="C172" s="259" t="s">
        <v>79</v>
      </c>
      <c r="D172" s="260">
        <f>-D166</f>
        <v>843959.23</v>
      </c>
      <c r="E172" s="260">
        <f t="shared" ref="E172:O172" si="97">-E166</f>
        <v>-3745264.0199999996</v>
      </c>
      <c r="F172" s="260">
        <f t="shared" si="97"/>
        <v>-1400603.7000000011</v>
      </c>
      <c r="G172" s="260">
        <f t="shared" si="97"/>
        <v>412427.72</v>
      </c>
      <c r="H172" s="260">
        <f t="shared" si="97"/>
        <v>-54642.650000000052</v>
      </c>
      <c r="I172" s="260">
        <f t="shared" si="97"/>
        <v>42807.880000000179</v>
      </c>
      <c r="J172" s="260">
        <f t="shared" si="97"/>
        <v>-172084.5999999998</v>
      </c>
      <c r="K172" s="260">
        <f t="shared" si="97"/>
        <v>273699.82999999996</v>
      </c>
      <c r="L172" s="260">
        <f t="shared" si="97"/>
        <v>-344893.05</v>
      </c>
      <c r="M172" s="260">
        <f t="shared" si="97"/>
        <v>-959061.61999999965</v>
      </c>
      <c r="N172" s="213">
        <f t="shared" si="97"/>
        <v>-1013703.1200000023</v>
      </c>
      <c r="O172" s="260">
        <f t="shared" si="97"/>
        <v>-153107.62000000037</v>
      </c>
      <c r="P172" s="260">
        <f>-P166</f>
        <v>1034787.4900000007</v>
      </c>
      <c r="S172" s="108">
        <f t="shared" ref="S172:S177" si="98">SUM(D172:L172)</f>
        <v>-4144593.3599999994</v>
      </c>
    </row>
    <row r="173" spans="2:20" ht="15.75" x14ac:dyDescent="0.25">
      <c r="B173" s="261" t="s">
        <v>128</v>
      </c>
      <c r="C173" s="262" t="s">
        <v>77</v>
      </c>
      <c r="D173" s="260">
        <f t="shared" ref="D173:O173" si="99">D12+D24</f>
        <v>-506033.05999999959</v>
      </c>
      <c r="E173" s="260">
        <f t="shared" si="99"/>
        <v>2341075.2800000003</v>
      </c>
      <c r="F173" s="260">
        <f t="shared" si="99"/>
        <v>534499.82000000076</v>
      </c>
      <c r="G173" s="260">
        <f t="shared" si="99"/>
        <v>-501222.68999999994</v>
      </c>
      <c r="H173" s="260">
        <f t="shared" si="99"/>
        <v>4168.8400000000838</v>
      </c>
      <c r="I173" s="260">
        <f t="shared" si="99"/>
        <v>-104941.75000000012</v>
      </c>
      <c r="J173" s="260">
        <f t="shared" si="99"/>
        <v>39684.14999999979</v>
      </c>
      <c r="K173" s="260">
        <f t="shared" si="99"/>
        <v>-172900.07999999996</v>
      </c>
      <c r="L173" s="260">
        <f t="shared" si="99"/>
        <v>177401.85000000009</v>
      </c>
      <c r="M173" s="260">
        <f t="shared" si="99"/>
        <v>522468.1799999997</v>
      </c>
      <c r="N173" s="213">
        <f t="shared" si="99"/>
        <v>1436041.1500000013</v>
      </c>
      <c r="O173" s="260">
        <f t="shared" si="99"/>
        <v>-323885.79999999981</v>
      </c>
      <c r="P173" s="260">
        <f>P12+P24</f>
        <v>-812396.77000000048</v>
      </c>
      <c r="S173" s="108">
        <f t="shared" si="98"/>
        <v>1811732.3600000013</v>
      </c>
    </row>
    <row r="174" spans="2:20" ht="15.75" x14ac:dyDescent="0.25">
      <c r="B174" s="261" t="s">
        <v>129</v>
      </c>
      <c r="C174" s="262" t="s">
        <v>80</v>
      </c>
      <c r="D174" s="260">
        <f t="shared" ref="D174:P174" si="100">D37+D50</f>
        <v>-11142.349999999991</v>
      </c>
      <c r="E174" s="260">
        <f t="shared" si="100"/>
        <v>53282.219999999987</v>
      </c>
      <c r="F174" s="260">
        <f t="shared" si="100"/>
        <v>88538.790000000008</v>
      </c>
      <c r="G174" s="260">
        <f t="shared" si="100"/>
        <v>82505.339999999982</v>
      </c>
      <c r="H174" s="260">
        <f t="shared" si="100"/>
        <v>41064.989999999991</v>
      </c>
      <c r="I174" s="260">
        <f t="shared" si="100"/>
        <v>16856.650000000005</v>
      </c>
      <c r="J174" s="260">
        <f t="shared" si="100"/>
        <v>33887.660000000003</v>
      </c>
      <c r="K174" s="260">
        <f t="shared" si="100"/>
        <v>33010.820000000007</v>
      </c>
      <c r="L174" s="260">
        <f t="shared" si="100"/>
        <v>21230.270000000004</v>
      </c>
      <c r="M174" s="260">
        <f t="shared" si="100"/>
        <v>51035.53</v>
      </c>
      <c r="N174" s="213">
        <f t="shared" si="100"/>
        <v>-253139.8600000001</v>
      </c>
      <c r="O174" s="260">
        <f t="shared" si="100"/>
        <v>58956.209999999992</v>
      </c>
      <c r="P174" s="260">
        <f t="shared" si="100"/>
        <v>19971.32999999998</v>
      </c>
      <c r="S174" s="108">
        <f t="shared" si="98"/>
        <v>359234.39000000007</v>
      </c>
    </row>
    <row r="175" spans="2:20" ht="15.75" x14ac:dyDescent="0.25">
      <c r="B175" s="261" t="s">
        <v>130</v>
      </c>
      <c r="C175" s="262" t="s">
        <v>78</v>
      </c>
      <c r="D175" s="260">
        <f t="shared" ref="D175:L175" si="101">D62+D74+D105+D115</f>
        <v>-320152.02000000048</v>
      </c>
      <c r="E175" s="260">
        <f t="shared" si="101"/>
        <v>1357207.3199999996</v>
      </c>
      <c r="F175" s="260">
        <f t="shared" si="101"/>
        <v>779274.98000000021</v>
      </c>
      <c r="G175" s="260">
        <f t="shared" si="101"/>
        <v>9933.0900000000274</v>
      </c>
      <c r="H175" s="260">
        <f t="shared" si="101"/>
        <v>11019.429999999968</v>
      </c>
      <c r="I175" s="260">
        <f t="shared" si="101"/>
        <v>46516.539999999928</v>
      </c>
      <c r="J175" s="260">
        <f t="shared" si="101"/>
        <v>97857.640000000014</v>
      </c>
      <c r="K175" s="260">
        <f t="shared" si="101"/>
        <v>-131224.41000000003</v>
      </c>
      <c r="L175" s="260">
        <f t="shared" si="101"/>
        <v>146272.55999999988</v>
      </c>
      <c r="M175" s="260">
        <f>M62+M74+M90+M105+M115</f>
        <v>382087.79</v>
      </c>
      <c r="N175" s="213">
        <f>N62+N74+N105+N115</f>
        <v>-211665.60999999897</v>
      </c>
      <c r="O175" s="260">
        <f>O62+O74+O90+O105+O115</f>
        <v>419415.68000000017</v>
      </c>
      <c r="P175" s="260">
        <f>P62+P74+P90+P105+P115</f>
        <v>-239932.87000000011</v>
      </c>
      <c r="S175" s="108">
        <f t="shared" si="98"/>
        <v>1996705.1299999992</v>
      </c>
    </row>
    <row r="176" spans="2:20" ht="15.75" x14ac:dyDescent="0.25">
      <c r="B176" s="261" t="s">
        <v>131</v>
      </c>
      <c r="C176" s="262" t="s">
        <v>81</v>
      </c>
      <c r="D176" s="260">
        <f t="shared" ref="D176:P176" si="102">D130</f>
        <v>-496.98</v>
      </c>
      <c r="E176" s="260">
        <f t="shared" si="102"/>
        <v>-423.12</v>
      </c>
      <c r="F176" s="260">
        <f t="shared" si="102"/>
        <v>-397.9</v>
      </c>
      <c r="G176" s="260">
        <f t="shared" si="102"/>
        <v>-266.26</v>
      </c>
      <c r="H176" s="260">
        <f t="shared" si="102"/>
        <v>-183.26</v>
      </c>
      <c r="I176" s="260">
        <f t="shared" si="102"/>
        <v>-189.53</v>
      </c>
      <c r="J176" s="260">
        <f t="shared" si="102"/>
        <v>-123.4</v>
      </c>
      <c r="K176" s="260">
        <f t="shared" si="102"/>
        <v>-161.43</v>
      </c>
      <c r="L176" s="260">
        <f t="shared" si="102"/>
        <v>-136.32999999999998</v>
      </c>
      <c r="M176" s="260">
        <f t="shared" si="102"/>
        <v>-374.04999999999995</v>
      </c>
      <c r="N176" s="213">
        <f t="shared" si="102"/>
        <v>3548.04</v>
      </c>
      <c r="O176" s="260">
        <f t="shared" si="102"/>
        <v>-220.37999999999997</v>
      </c>
      <c r="P176" s="260">
        <f t="shared" si="102"/>
        <v>-383.84000000000003</v>
      </c>
      <c r="S176" s="108">
        <f t="shared" si="98"/>
        <v>-2378.2099999999996</v>
      </c>
    </row>
    <row r="177" spans="2:19" ht="15.75" x14ac:dyDescent="0.25">
      <c r="B177" s="263" t="s">
        <v>132</v>
      </c>
      <c r="C177" s="264" t="s">
        <v>82</v>
      </c>
      <c r="D177" s="265">
        <f t="shared" ref="D177:P177" si="103">D145+D160</f>
        <v>-6134.82</v>
      </c>
      <c r="E177" s="265">
        <f t="shared" si="103"/>
        <v>-5877.68</v>
      </c>
      <c r="F177" s="265">
        <f t="shared" si="103"/>
        <v>-1311.9900000000016</v>
      </c>
      <c r="G177" s="265">
        <f t="shared" si="103"/>
        <v>-3377.2000000000007</v>
      </c>
      <c r="H177" s="265">
        <f t="shared" si="103"/>
        <v>-1427.3499999999967</v>
      </c>
      <c r="I177" s="265">
        <f t="shared" si="103"/>
        <v>-1049.7900000000027</v>
      </c>
      <c r="J177" s="265">
        <f t="shared" si="103"/>
        <v>778.55000000000109</v>
      </c>
      <c r="K177" s="265">
        <f t="shared" si="103"/>
        <v>-2424.7300000000005</v>
      </c>
      <c r="L177" s="265">
        <f t="shared" si="103"/>
        <v>124.69999999999891</v>
      </c>
      <c r="M177" s="265">
        <f t="shared" si="103"/>
        <v>3844.17</v>
      </c>
      <c r="N177" s="214">
        <f t="shared" si="103"/>
        <v>38919.4</v>
      </c>
      <c r="O177" s="265">
        <f t="shared" si="103"/>
        <v>-1158.0900000000001</v>
      </c>
      <c r="P177" s="265">
        <f t="shared" si="103"/>
        <v>-2045.3399999999983</v>
      </c>
      <c r="S177" s="108">
        <f t="shared" si="98"/>
        <v>-20700.309999999998</v>
      </c>
    </row>
    <row r="178" spans="2:19" ht="16.5" customHeight="1" thickBot="1" x14ac:dyDescent="0.3">
      <c r="L178" s="230" t="s">
        <v>152</v>
      </c>
      <c r="M178" s="230" t="s">
        <v>152</v>
      </c>
      <c r="O178" s="230" t="s">
        <v>152</v>
      </c>
    </row>
    <row r="179" spans="2:19" ht="15.75" x14ac:dyDescent="0.25">
      <c r="E179" s="187"/>
      <c r="F179" s="187"/>
      <c r="G179" s="187"/>
      <c r="H179" s="187"/>
      <c r="I179" s="187"/>
      <c r="J179" s="187"/>
      <c r="K179" s="187"/>
      <c r="L179" s="177">
        <v>43709</v>
      </c>
      <c r="M179" s="177">
        <v>43739</v>
      </c>
      <c r="O179" s="177">
        <v>43739</v>
      </c>
    </row>
    <row r="180" spans="2:19" x14ac:dyDescent="0.25">
      <c r="D180" s="108"/>
      <c r="E180" s="108"/>
      <c r="F180" s="108"/>
      <c r="G180" s="108"/>
      <c r="H180" s="108"/>
      <c r="I180" s="108"/>
      <c r="J180" s="108"/>
      <c r="K180" s="108"/>
      <c r="L180" s="99">
        <v>-346148.82999999996</v>
      </c>
      <c r="M180" s="99">
        <v>-937908.65999999957</v>
      </c>
      <c r="O180" s="99">
        <v>-7744.9900000005691</v>
      </c>
    </row>
    <row r="181" spans="2:19" x14ac:dyDescent="0.25">
      <c r="L181" s="99">
        <v>177401.85000000009</v>
      </c>
      <c r="M181" s="99">
        <v>522468.1799999997</v>
      </c>
      <c r="O181" s="99">
        <v>-323885.79999999981</v>
      </c>
    </row>
    <row r="182" spans="2:19" x14ac:dyDescent="0.25">
      <c r="L182" s="99">
        <v>21230.270000000004</v>
      </c>
      <c r="M182" s="99">
        <v>51035.53</v>
      </c>
      <c r="O182" s="99">
        <v>58956.209999999992</v>
      </c>
    </row>
    <row r="183" spans="2:19" x14ac:dyDescent="0.25">
      <c r="E183" s="108"/>
      <c r="F183" s="108"/>
      <c r="G183" s="108"/>
      <c r="H183" s="108"/>
      <c r="I183" s="108"/>
      <c r="J183" s="108"/>
      <c r="K183" s="108"/>
      <c r="L183" s="99">
        <v>146272.55999999988</v>
      </c>
      <c r="M183" s="99">
        <v>382087.79</v>
      </c>
      <c r="O183" s="99">
        <v>274053.0500000004</v>
      </c>
    </row>
    <row r="184" spans="2:19" x14ac:dyDescent="0.25">
      <c r="L184" s="99">
        <v>-136.32999999999998</v>
      </c>
      <c r="M184" s="99">
        <v>-374.04999999999995</v>
      </c>
      <c r="O184" s="99">
        <v>-220.37999999999997</v>
      </c>
    </row>
    <row r="185" spans="2:19" x14ac:dyDescent="0.25">
      <c r="L185" s="100">
        <v>1380.4800000000014</v>
      </c>
      <c r="M185" s="100">
        <v>-17308.79</v>
      </c>
      <c r="O185" s="100">
        <v>-1158.0900000000001</v>
      </c>
    </row>
    <row r="187" spans="2:19" ht="15.75" thickBot="1" x14ac:dyDescent="0.3">
      <c r="L187" s="230" t="s">
        <v>151</v>
      </c>
      <c r="M187" s="230" t="s">
        <v>151</v>
      </c>
      <c r="O187" s="230" t="s">
        <v>151</v>
      </c>
    </row>
    <row r="188" spans="2:19" ht="15.75" x14ac:dyDescent="0.25">
      <c r="L188" s="177">
        <v>43709</v>
      </c>
      <c r="M188" s="177">
        <v>43739</v>
      </c>
      <c r="O188" s="177">
        <v>43739</v>
      </c>
    </row>
    <row r="189" spans="2:19" ht="15.75" x14ac:dyDescent="0.25">
      <c r="B189" s="258" t="s">
        <v>127</v>
      </c>
      <c r="C189" s="259" t="s">
        <v>79</v>
      </c>
      <c r="L189" s="99">
        <f t="shared" ref="L189:M194" si="104">L172-L180</f>
        <v>1255.7799999999697</v>
      </c>
      <c r="M189" s="99">
        <f t="shared" si="104"/>
        <v>-21152.960000000079</v>
      </c>
      <c r="O189" s="99">
        <f t="shared" ref="O189" si="105">O172-O180</f>
        <v>-145362.6299999998</v>
      </c>
    </row>
    <row r="190" spans="2:19" ht="15.75" x14ac:dyDescent="0.25">
      <c r="B190" s="261" t="s">
        <v>128</v>
      </c>
      <c r="C190" s="262" t="s">
        <v>77</v>
      </c>
      <c r="L190" s="99">
        <f t="shared" si="104"/>
        <v>0</v>
      </c>
      <c r="M190" s="99">
        <f t="shared" si="104"/>
        <v>0</v>
      </c>
      <c r="O190" s="99">
        <f t="shared" ref="O190" si="106">O173-O181</f>
        <v>0</v>
      </c>
    </row>
    <row r="191" spans="2:19" ht="15.75" x14ac:dyDescent="0.25">
      <c r="B191" s="261" t="s">
        <v>129</v>
      </c>
      <c r="C191" s="262" t="s">
        <v>80</v>
      </c>
      <c r="L191" s="99">
        <f t="shared" si="104"/>
        <v>0</v>
      </c>
      <c r="M191" s="99">
        <f t="shared" si="104"/>
        <v>0</v>
      </c>
      <c r="O191" s="99">
        <f t="shared" ref="O191" si="107">O174-O182</f>
        <v>0</v>
      </c>
    </row>
    <row r="192" spans="2:19" ht="15.75" x14ac:dyDescent="0.25">
      <c r="B192" s="261" t="s">
        <v>130</v>
      </c>
      <c r="C192" s="262" t="s">
        <v>78</v>
      </c>
      <c r="L192" s="99">
        <f t="shared" si="104"/>
        <v>0</v>
      </c>
      <c r="M192" s="99">
        <f t="shared" si="104"/>
        <v>0</v>
      </c>
      <c r="O192" s="99">
        <f t="shared" ref="O192" si="108">O175-O183</f>
        <v>145362.62999999977</v>
      </c>
    </row>
    <row r="193" spans="2:15" ht="15.75" x14ac:dyDescent="0.25">
      <c r="B193" s="261" t="s">
        <v>131</v>
      </c>
      <c r="C193" s="262" t="s">
        <v>81</v>
      </c>
      <c r="L193" s="99">
        <f t="shared" si="104"/>
        <v>0</v>
      </c>
      <c r="M193" s="99">
        <f t="shared" si="104"/>
        <v>0</v>
      </c>
      <c r="O193" s="99">
        <f t="shared" ref="O193" si="109">O176-O184</f>
        <v>0</v>
      </c>
    </row>
    <row r="194" spans="2:15" ht="15.75" x14ac:dyDescent="0.25">
      <c r="B194" s="263" t="s">
        <v>132</v>
      </c>
      <c r="C194" s="264" t="s">
        <v>82</v>
      </c>
      <c r="L194" s="100">
        <f t="shared" si="104"/>
        <v>-1255.7800000000025</v>
      </c>
      <c r="M194" s="100">
        <f t="shared" si="104"/>
        <v>21152.959999999999</v>
      </c>
      <c r="O194" s="100">
        <f t="shared" ref="O194" si="110">O177-O185</f>
        <v>0</v>
      </c>
    </row>
    <row r="197" spans="2:15" x14ac:dyDescent="0.25">
      <c r="D197" s="187"/>
      <c r="E197" s="187"/>
      <c r="F197" s="187"/>
      <c r="G197" s="187"/>
    </row>
    <row r="198" spans="2:15" x14ac:dyDescent="0.25">
      <c r="D198" s="187"/>
      <c r="E198" s="187"/>
      <c r="F198" s="187"/>
      <c r="G198" s="187"/>
    </row>
    <row r="199" spans="2:15" x14ac:dyDescent="0.25">
      <c r="D199" s="187"/>
      <c r="E199" s="187"/>
      <c r="F199" s="187"/>
      <c r="G199" s="187"/>
    </row>
    <row r="200" spans="2:15" x14ac:dyDescent="0.25">
      <c r="D200" s="187"/>
      <c r="E200" s="187"/>
      <c r="F200" s="187"/>
      <c r="G200" s="187"/>
    </row>
  </sheetData>
  <mergeCells count="3">
    <mergeCell ref="B1:P1"/>
    <mergeCell ref="B2:P2"/>
    <mergeCell ref="B3:P3"/>
  </mergeCells>
  <hyperlinks>
    <hyperlink ref="T5" r:id="rId1" xr:uid="{7CDDFDA6-A348-46B9-9BAB-F64A38EBDA8C}"/>
  </hyperlinks>
  <pageMargins left="0.25" right="0.25" top="0.25" bottom="0.25" header="0.3" footer="0.3"/>
  <pageSetup scale="45" fitToHeight="3" orientation="landscape" r:id="rId2"/>
  <rowBreaks count="1" manualBreakCount="1">
    <brk id="77" max="27" man="1"/>
  </rowBreaks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7F5DC-5090-48FA-8C9B-B2AE6C7CE069}">
  <dimension ref="A1:W144"/>
  <sheetViews>
    <sheetView workbookViewId="0">
      <selection sqref="A1:M1"/>
    </sheetView>
  </sheetViews>
  <sheetFormatPr defaultColWidth="9.140625" defaultRowHeight="15" x14ac:dyDescent="0.25"/>
  <cols>
    <col min="1" max="1" width="24.7109375" bestFit="1" customWidth="1"/>
    <col min="2" max="2" width="65.7109375" bestFit="1" customWidth="1"/>
    <col min="3" max="4" width="14" customWidth="1"/>
    <col min="5" max="6" width="14" bestFit="1" customWidth="1"/>
    <col min="7" max="13" width="14" customWidth="1"/>
    <col min="14" max="14" width="12.28515625" bestFit="1" customWidth="1"/>
    <col min="15" max="15" width="18.7109375" bestFit="1" customWidth="1"/>
    <col min="16" max="16" width="13.28515625" bestFit="1" customWidth="1"/>
    <col min="17" max="17" width="10.5703125" bestFit="1" customWidth="1"/>
    <col min="18" max="18" width="7.5703125" bestFit="1" customWidth="1"/>
    <col min="19" max="19" width="10.5703125" bestFit="1" customWidth="1"/>
    <col min="21" max="21" width="8" bestFit="1" customWidth="1"/>
    <col min="23" max="23" width="9.7109375" bestFit="1" customWidth="1"/>
  </cols>
  <sheetData>
    <row r="1" spans="1:23" ht="18.75" x14ac:dyDescent="0.3">
      <c r="A1" s="676" t="s">
        <v>67</v>
      </c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676"/>
    </row>
    <row r="2" spans="1:23" ht="21" x14ac:dyDescent="0.35">
      <c r="A2" s="681" t="s">
        <v>69</v>
      </c>
      <c r="B2" s="681"/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</row>
    <row r="3" spans="1:23" ht="18" thickBot="1" x14ac:dyDescent="0.35">
      <c r="A3" s="693" t="s">
        <v>220</v>
      </c>
      <c r="B3" s="693"/>
      <c r="C3" s="693"/>
      <c r="D3" s="693"/>
      <c r="E3" s="693"/>
      <c r="F3" s="693"/>
      <c r="G3" s="693"/>
      <c r="H3" s="693"/>
      <c r="I3" s="693"/>
      <c r="J3" s="693"/>
      <c r="K3" s="693"/>
      <c r="L3" s="693"/>
      <c r="M3" s="693"/>
    </row>
    <row r="4" spans="1:23" ht="15.75" x14ac:dyDescent="0.25">
      <c r="A4" s="101" t="s">
        <v>66</v>
      </c>
      <c r="B4" s="102"/>
      <c r="C4" s="103">
        <v>44592</v>
      </c>
      <c r="D4" s="103">
        <v>44620</v>
      </c>
      <c r="E4" s="103">
        <v>44651</v>
      </c>
      <c r="F4" s="103">
        <v>44681</v>
      </c>
      <c r="G4" s="103">
        <v>44712</v>
      </c>
      <c r="H4" s="103">
        <v>44742</v>
      </c>
      <c r="I4" s="103">
        <v>44773</v>
      </c>
      <c r="J4" s="103">
        <v>44804</v>
      </c>
      <c r="K4" s="103">
        <v>44834</v>
      </c>
      <c r="L4" s="103">
        <v>44865</v>
      </c>
      <c r="M4" s="200" t="s">
        <v>147</v>
      </c>
      <c r="N4" s="104" t="s">
        <v>137</v>
      </c>
    </row>
    <row r="5" spans="1:23" x14ac:dyDescent="0.25">
      <c r="A5" s="4"/>
      <c r="B5" s="89" t="s">
        <v>136</v>
      </c>
      <c r="C5" s="340">
        <v>3.2500000000000001E-2</v>
      </c>
      <c r="D5" s="370">
        <v>3.2500000000000001E-2</v>
      </c>
      <c r="E5" s="340">
        <v>3.2500000000000001E-2</v>
      </c>
      <c r="F5" s="370">
        <v>3.2500000000000001E-2</v>
      </c>
      <c r="G5" s="370">
        <v>3.2500000000000001E-2</v>
      </c>
      <c r="H5" s="370">
        <v>3.2500000000000001E-2</v>
      </c>
      <c r="I5" s="370">
        <v>3.5999999999999997E-2</v>
      </c>
      <c r="J5" s="370">
        <v>3.5999999999999997E-2</v>
      </c>
      <c r="K5" s="370">
        <v>3.5999999999999997E-2</v>
      </c>
      <c r="L5" s="370">
        <v>4.9099999999999998E-2</v>
      </c>
      <c r="M5" s="201"/>
    </row>
    <row r="6" spans="1:23" ht="15.75" x14ac:dyDescent="0.25">
      <c r="A6" s="183"/>
      <c r="B6" s="89" t="s">
        <v>140</v>
      </c>
      <c r="C6" s="192">
        <v>31</v>
      </c>
      <c r="D6" s="192">
        <v>28</v>
      </c>
      <c r="E6" s="192">
        <v>31</v>
      </c>
      <c r="F6" s="192">
        <v>30</v>
      </c>
      <c r="G6" s="192">
        <v>31</v>
      </c>
      <c r="H6" s="192">
        <v>30</v>
      </c>
      <c r="I6" s="192">
        <v>31</v>
      </c>
      <c r="J6" s="192">
        <v>31</v>
      </c>
      <c r="K6" s="192">
        <v>30</v>
      </c>
      <c r="L6" s="192">
        <v>31</v>
      </c>
      <c r="M6" s="202"/>
    </row>
    <row r="7" spans="1:23" x14ac:dyDescent="0.25">
      <c r="A7" s="86">
        <v>503</v>
      </c>
      <c r="B7" s="104" t="s">
        <v>84</v>
      </c>
      <c r="C7" s="113"/>
      <c r="D7" s="113"/>
      <c r="E7" s="108"/>
      <c r="F7" s="108"/>
      <c r="G7" s="113"/>
      <c r="H7" s="113"/>
      <c r="I7" s="113"/>
      <c r="J7" s="113"/>
      <c r="K7" s="113"/>
      <c r="L7" s="113"/>
      <c r="M7" s="204"/>
      <c r="Q7" s="113"/>
      <c r="S7" s="113"/>
    </row>
    <row r="8" spans="1:23" x14ac:dyDescent="0.25">
      <c r="A8" s="87" t="s">
        <v>64</v>
      </c>
      <c r="B8" t="s">
        <v>65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204"/>
      <c r="O8" s="122"/>
      <c r="P8" s="108"/>
      <c r="Q8" s="112"/>
      <c r="S8" s="112"/>
      <c r="W8" s="112"/>
    </row>
    <row r="9" spans="1:23" x14ac:dyDescent="0.25">
      <c r="A9" s="87" t="s">
        <v>71</v>
      </c>
      <c r="B9" t="s">
        <v>70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206"/>
      <c r="O9" s="122"/>
      <c r="P9" s="108"/>
      <c r="Q9" s="112"/>
      <c r="S9" s="112"/>
      <c r="W9" s="112"/>
    </row>
    <row r="10" spans="1:23" x14ac:dyDescent="0.25">
      <c r="A10" s="87" t="s">
        <v>72</v>
      </c>
      <c r="B10" t="s">
        <v>114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206"/>
    </row>
    <row r="11" spans="1:23" x14ac:dyDescent="0.25">
      <c r="A11" s="87" t="s">
        <v>72</v>
      </c>
      <c r="B11" t="s">
        <v>115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205"/>
    </row>
    <row r="12" spans="1:23" x14ac:dyDescent="0.25">
      <c r="A12" s="87"/>
      <c r="B12" s="89" t="s">
        <v>74</v>
      </c>
      <c r="C12" s="108">
        <f t="shared" ref="C12:M12" si="0">SUM(C9:C11)</f>
        <v>0</v>
      </c>
      <c r="D12" s="108">
        <f t="shared" si="0"/>
        <v>0</v>
      </c>
      <c r="E12" s="108">
        <f t="shared" si="0"/>
        <v>0</v>
      </c>
      <c r="F12" s="108">
        <f t="shared" si="0"/>
        <v>0</v>
      </c>
      <c r="G12" s="108">
        <f t="shared" si="0"/>
        <v>0</v>
      </c>
      <c r="H12" s="108">
        <f t="shared" si="0"/>
        <v>0</v>
      </c>
      <c r="I12" s="108">
        <f t="shared" si="0"/>
        <v>0</v>
      </c>
      <c r="J12" s="108">
        <f t="shared" si="0"/>
        <v>0</v>
      </c>
      <c r="K12" s="108">
        <f t="shared" si="0"/>
        <v>0</v>
      </c>
      <c r="L12" s="108">
        <f t="shared" si="0"/>
        <v>0</v>
      </c>
      <c r="M12" s="206">
        <f t="shared" si="0"/>
        <v>0</v>
      </c>
    </row>
    <row r="13" spans="1:23" x14ac:dyDescent="0.25">
      <c r="A13" s="87"/>
      <c r="B13" s="89" t="s">
        <v>73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205">
        <f>ROUND(-'Authorized Margins'!G41*'WACAP 2017'!M18,2)</f>
        <v>0</v>
      </c>
      <c r="Q13" s="113"/>
      <c r="S13" s="113"/>
    </row>
    <row r="14" spans="1:23" x14ac:dyDescent="0.25">
      <c r="A14" s="87"/>
      <c r="B14" s="89" t="s">
        <v>75</v>
      </c>
      <c r="C14" s="434">
        <f>-'WACAP 2021'!Q19+0.05</f>
        <v>2371653.7699999958</v>
      </c>
      <c r="D14" s="90">
        <f t="shared" ref="D14" si="1">SUM(D12:D13)</f>
        <v>0</v>
      </c>
      <c r="E14" s="90">
        <f t="shared" ref="E14:L14" si="2">SUM(E12:E13)</f>
        <v>0</v>
      </c>
      <c r="F14" s="90">
        <f t="shared" si="2"/>
        <v>0</v>
      </c>
      <c r="G14" s="90">
        <f t="shared" si="2"/>
        <v>0</v>
      </c>
      <c r="H14" s="90">
        <f t="shared" si="2"/>
        <v>0</v>
      </c>
      <c r="I14" s="90">
        <f t="shared" si="2"/>
        <v>0</v>
      </c>
      <c r="J14" s="90">
        <f t="shared" si="2"/>
        <v>0</v>
      </c>
      <c r="K14" s="90">
        <f t="shared" si="2"/>
        <v>0</v>
      </c>
      <c r="L14" s="90">
        <f t="shared" si="2"/>
        <v>0</v>
      </c>
      <c r="M14" s="215"/>
      <c r="O14" s="122"/>
      <c r="P14" s="108"/>
      <c r="Q14" s="112"/>
      <c r="S14" s="112"/>
      <c r="W14" s="112"/>
    </row>
    <row r="15" spans="1:23" x14ac:dyDescent="0.25">
      <c r="A15" s="87"/>
      <c r="B15" s="89" t="s">
        <v>137</v>
      </c>
      <c r="C15" s="216">
        <f>ROUND(ROUND(C14*C$5,2)/365*C$6,2)</f>
        <v>6546.41</v>
      </c>
      <c r="D15" s="216">
        <f t="shared" ref="D15:K15" si="3">ROUND(ROUND(C17*D$5,2)/365*D$6,2)</f>
        <v>5929.21</v>
      </c>
      <c r="E15" s="216">
        <f t="shared" si="3"/>
        <v>6580.85</v>
      </c>
      <c r="F15" s="216">
        <f t="shared" si="3"/>
        <v>6386.14</v>
      </c>
      <c r="G15" s="216">
        <f t="shared" si="3"/>
        <v>6616.64</v>
      </c>
      <c r="H15" s="216">
        <f t="shared" si="3"/>
        <v>6420.88</v>
      </c>
      <c r="I15" s="216">
        <f t="shared" si="3"/>
        <v>7369.07</v>
      </c>
      <c r="J15" s="216">
        <f t="shared" si="3"/>
        <v>7391.6</v>
      </c>
      <c r="K15" s="216">
        <f t="shared" si="3"/>
        <v>7175.03</v>
      </c>
      <c r="L15" s="199">
        <f>ROUND(ROUND(K17*L$5,2)/365*L$6,2)+0.02</f>
        <v>10142.08</v>
      </c>
      <c r="M15" s="208">
        <f>ROUND(ROUND(K17*M$5,2)/365*M$6,2)</f>
        <v>0</v>
      </c>
      <c r="N15" s="108">
        <f>SUM(C15:M15)</f>
        <v>70557.909999999989</v>
      </c>
    </row>
    <row r="16" spans="1:23" x14ac:dyDescent="0.25">
      <c r="A16" s="87"/>
      <c r="B16" s="89" t="s">
        <v>138</v>
      </c>
      <c r="C16" s="189">
        <f>C15</f>
        <v>6546.41</v>
      </c>
      <c r="D16" s="189">
        <f t="shared" ref="D16:M16" si="4">SUM(D14:D15)</f>
        <v>5929.21</v>
      </c>
      <c r="E16" s="189">
        <f t="shared" si="4"/>
        <v>6580.85</v>
      </c>
      <c r="F16" s="189">
        <f t="shared" si="4"/>
        <v>6386.14</v>
      </c>
      <c r="G16" s="189">
        <f t="shared" si="4"/>
        <v>6616.64</v>
      </c>
      <c r="H16" s="189">
        <f t="shared" si="4"/>
        <v>6420.88</v>
      </c>
      <c r="I16" s="189">
        <f t="shared" si="4"/>
        <v>7369.07</v>
      </c>
      <c r="J16" s="189">
        <f t="shared" si="4"/>
        <v>7391.6</v>
      </c>
      <c r="K16" s="189">
        <f t="shared" si="4"/>
        <v>7175.03</v>
      </c>
      <c r="L16" s="189">
        <f t="shared" si="4"/>
        <v>10142.08</v>
      </c>
      <c r="M16" s="209">
        <f t="shared" si="4"/>
        <v>0</v>
      </c>
    </row>
    <row r="17" spans="1:23" x14ac:dyDescent="0.25">
      <c r="A17" s="87"/>
      <c r="B17" s="89" t="s">
        <v>139</v>
      </c>
      <c r="C17" s="90">
        <f>C16+C14</f>
        <v>2378200.179999996</v>
      </c>
      <c r="D17" s="90">
        <f>C17+D16</f>
        <v>2384129.3899999959</v>
      </c>
      <c r="E17" s="90">
        <f t="shared" ref="E17:M17" si="5">D17+E16</f>
        <v>2390710.239999996</v>
      </c>
      <c r="F17" s="90">
        <f t="shared" si="5"/>
        <v>2397096.3799999962</v>
      </c>
      <c r="G17" s="90">
        <f t="shared" si="5"/>
        <v>2403713.0199999963</v>
      </c>
      <c r="H17" s="90">
        <f t="shared" si="5"/>
        <v>2410133.8999999962</v>
      </c>
      <c r="I17" s="90">
        <f t="shared" si="5"/>
        <v>2417502.969999996</v>
      </c>
      <c r="J17" s="90">
        <f t="shared" si="5"/>
        <v>2424894.5699999961</v>
      </c>
      <c r="K17" s="90">
        <f t="shared" si="5"/>
        <v>2432069.5999999959</v>
      </c>
      <c r="L17" s="90">
        <f t="shared" si="5"/>
        <v>2442211.679999996</v>
      </c>
      <c r="M17" s="207">
        <f t="shared" si="5"/>
        <v>2442211.679999996</v>
      </c>
    </row>
    <row r="18" spans="1:23" x14ac:dyDescent="0.25">
      <c r="A18" s="87"/>
      <c r="B18" s="89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207"/>
      <c r="O18" s="122"/>
      <c r="P18" s="108"/>
      <c r="Q18" s="112"/>
      <c r="S18" s="112"/>
      <c r="W18" s="112"/>
    </row>
    <row r="19" spans="1:23" x14ac:dyDescent="0.25">
      <c r="A19" s="86">
        <v>505</v>
      </c>
      <c r="B19" s="104" t="s">
        <v>85</v>
      </c>
      <c r="C19" s="113"/>
      <c r="D19" s="113"/>
      <c r="E19" s="108"/>
      <c r="F19" s="113"/>
      <c r="G19" s="113"/>
      <c r="H19" s="113"/>
      <c r="I19" s="113"/>
      <c r="J19" s="113"/>
      <c r="K19" s="113"/>
      <c r="L19" s="113"/>
      <c r="M19" s="204"/>
    </row>
    <row r="20" spans="1:23" x14ac:dyDescent="0.25">
      <c r="A20" s="87" t="s">
        <v>64</v>
      </c>
      <c r="B20" t="s">
        <v>65</v>
      </c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204"/>
    </row>
    <row r="21" spans="1:23" x14ac:dyDescent="0.25">
      <c r="A21" s="87" t="s">
        <v>71</v>
      </c>
      <c r="B21" t="s">
        <v>117</v>
      </c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206"/>
    </row>
    <row r="22" spans="1:23" x14ac:dyDescent="0.25">
      <c r="A22" s="87" t="s">
        <v>71</v>
      </c>
      <c r="B22" t="s">
        <v>95</v>
      </c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206"/>
    </row>
    <row r="23" spans="1:23" x14ac:dyDescent="0.25">
      <c r="A23" s="87" t="s">
        <v>71</v>
      </c>
      <c r="B23" t="s">
        <v>97</v>
      </c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206"/>
    </row>
    <row r="24" spans="1:23" x14ac:dyDescent="0.25">
      <c r="A24" s="87" t="s">
        <v>71</v>
      </c>
      <c r="B24" t="s">
        <v>96</v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205"/>
    </row>
    <row r="25" spans="1:23" x14ac:dyDescent="0.25">
      <c r="A25" s="86"/>
      <c r="B25" s="89" t="s">
        <v>74</v>
      </c>
      <c r="C25" s="108">
        <f t="shared" ref="C25:M25" si="6">SUM(C21:C24)</f>
        <v>0</v>
      </c>
      <c r="D25" s="108">
        <f t="shared" si="6"/>
        <v>0</v>
      </c>
      <c r="E25" s="108">
        <f t="shared" si="6"/>
        <v>0</v>
      </c>
      <c r="F25" s="108">
        <f t="shared" si="6"/>
        <v>0</v>
      </c>
      <c r="G25" s="108">
        <f t="shared" si="6"/>
        <v>0</v>
      </c>
      <c r="H25" s="108">
        <f t="shared" si="6"/>
        <v>0</v>
      </c>
      <c r="I25" s="108">
        <f t="shared" si="6"/>
        <v>0</v>
      </c>
      <c r="J25" s="108">
        <f t="shared" si="6"/>
        <v>0</v>
      </c>
      <c r="K25" s="108">
        <f t="shared" si="6"/>
        <v>0</v>
      </c>
      <c r="L25" s="108">
        <f t="shared" si="6"/>
        <v>0</v>
      </c>
      <c r="M25" s="206">
        <f t="shared" si="6"/>
        <v>0</v>
      </c>
    </row>
    <row r="26" spans="1:23" x14ac:dyDescent="0.25">
      <c r="A26" s="86"/>
      <c r="B26" s="89" t="s">
        <v>73</v>
      </c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205">
        <f>ROUND(-'Authorized Margins'!G60*'WACAP 2017'!M30,2)</f>
        <v>0</v>
      </c>
    </row>
    <row r="27" spans="1:23" x14ac:dyDescent="0.25">
      <c r="A27" s="86"/>
      <c r="B27" s="89" t="s">
        <v>75</v>
      </c>
      <c r="C27" s="90">
        <f>-'WACAP 2021'!Q31</f>
        <v>207076.29000000007</v>
      </c>
      <c r="D27" s="90">
        <f t="shared" ref="D27" si="7">SUM(D25:D26)</f>
        <v>0</v>
      </c>
      <c r="E27" s="90">
        <f t="shared" ref="E27:L27" si="8">SUM(E25:E26)</f>
        <v>0</v>
      </c>
      <c r="F27" s="90">
        <f t="shared" si="8"/>
        <v>0</v>
      </c>
      <c r="G27" s="90">
        <f t="shared" si="8"/>
        <v>0</v>
      </c>
      <c r="H27" s="90">
        <f t="shared" si="8"/>
        <v>0</v>
      </c>
      <c r="I27" s="90">
        <f t="shared" si="8"/>
        <v>0</v>
      </c>
      <c r="J27" s="90">
        <f t="shared" si="8"/>
        <v>0</v>
      </c>
      <c r="K27" s="90">
        <f t="shared" si="8"/>
        <v>0</v>
      </c>
      <c r="L27" s="90">
        <f t="shared" si="8"/>
        <v>0</v>
      </c>
      <c r="M27" s="207"/>
    </row>
    <row r="28" spans="1:23" x14ac:dyDescent="0.25">
      <c r="A28" s="87"/>
      <c r="B28" s="89" t="s">
        <v>137</v>
      </c>
      <c r="C28" s="187">
        <f>ROUND(ROUND(C27*C$5,2)/365*C$6,2)</f>
        <v>571.59</v>
      </c>
      <c r="D28" s="187">
        <f>ROUND(ROUND(C30*D$5,2)/365*D$6,2)</f>
        <v>517.70000000000005</v>
      </c>
      <c r="E28" s="187">
        <f t="shared" ref="E28:L28" si="9">ROUND(ROUND(D30*E$5,2)/365*E$6,2)</f>
        <v>574.59</v>
      </c>
      <c r="F28" s="187">
        <f t="shared" si="9"/>
        <v>557.59</v>
      </c>
      <c r="G28" s="187">
        <f t="shared" si="9"/>
        <v>577.72</v>
      </c>
      <c r="H28" s="187">
        <f t="shared" si="9"/>
        <v>560.63</v>
      </c>
      <c r="I28" s="187">
        <f t="shared" si="9"/>
        <v>643.41999999999996</v>
      </c>
      <c r="J28" s="187">
        <f t="shared" si="9"/>
        <v>645.38</v>
      </c>
      <c r="K28" s="187">
        <f t="shared" si="9"/>
        <v>626.47</v>
      </c>
      <c r="L28" s="187">
        <f t="shared" si="9"/>
        <v>885.53</v>
      </c>
      <c r="M28" s="208">
        <f>ROUND(ROUND(K30*M$5,2)/365*M$6,2)</f>
        <v>0</v>
      </c>
      <c r="N28" s="108">
        <f>SUM(C28:M28)</f>
        <v>6160.6200000000008</v>
      </c>
    </row>
    <row r="29" spans="1:23" x14ac:dyDescent="0.25">
      <c r="A29" s="87"/>
      <c r="B29" s="89" t="s">
        <v>138</v>
      </c>
      <c r="C29" s="189">
        <f>C28</f>
        <v>571.59</v>
      </c>
      <c r="D29" s="189">
        <f t="shared" ref="D29:M29" si="10">SUM(D27:D28)</f>
        <v>517.70000000000005</v>
      </c>
      <c r="E29" s="189">
        <f t="shared" si="10"/>
        <v>574.59</v>
      </c>
      <c r="F29" s="189">
        <f t="shared" si="10"/>
        <v>557.59</v>
      </c>
      <c r="G29" s="189">
        <f t="shared" si="10"/>
        <v>577.72</v>
      </c>
      <c r="H29" s="189">
        <f t="shared" si="10"/>
        <v>560.63</v>
      </c>
      <c r="I29" s="189">
        <f t="shared" si="10"/>
        <v>643.41999999999996</v>
      </c>
      <c r="J29" s="189">
        <f t="shared" si="10"/>
        <v>645.38</v>
      </c>
      <c r="K29" s="189">
        <f t="shared" si="10"/>
        <v>626.47</v>
      </c>
      <c r="L29" s="189">
        <f t="shared" si="10"/>
        <v>885.53</v>
      </c>
      <c r="M29" s="209">
        <f t="shared" si="10"/>
        <v>0</v>
      </c>
    </row>
    <row r="30" spans="1:23" x14ac:dyDescent="0.25">
      <c r="A30" s="87"/>
      <c r="B30" s="89" t="s">
        <v>139</v>
      </c>
      <c r="C30" s="90">
        <f>C29+C27</f>
        <v>207647.88000000006</v>
      </c>
      <c r="D30" s="90">
        <f>C30+D29</f>
        <v>208165.58000000007</v>
      </c>
      <c r="E30" s="90">
        <f t="shared" ref="E30:M30" si="11">D30+E29</f>
        <v>208740.17000000007</v>
      </c>
      <c r="F30" s="90">
        <f t="shared" si="11"/>
        <v>209297.76000000007</v>
      </c>
      <c r="G30" s="90">
        <f t="shared" si="11"/>
        <v>209875.48000000007</v>
      </c>
      <c r="H30" s="90">
        <f t="shared" si="11"/>
        <v>210436.11000000007</v>
      </c>
      <c r="I30" s="90">
        <f t="shared" si="11"/>
        <v>211079.53000000009</v>
      </c>
      <c r="J30" s="90">
        <f t="shared" si="11"/>
        <v>211724.91000000009</v>
      </c>
      <c r="K30" s="90">
        <f t="shared" si="11"/>
        <v>212351.38000000009</v>
      </c>
      <c r="L30" s="90">
        <f t="shared" si="11"/>
        <v>213236.91000000009</v>
      </c>
      <c r="M30" s="207">
        <f t="shared" si="11"/>
        <v>213236.91000000009</v>
      </c>
    </row>
    <row r="31" spans="1:23" x14ac:dyDescent="0.25">
      <c r="A31" s="86"/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207"/>
    </row>
    <row r="32" spans="1:23" x14ac:dyDescent="0.25">
      <c r="A32" s="86">
        <v>511</v>
      </c>
      <c r="B32" s="104" t="s">
        <v>85</v>
      </c>
      <c r="C32" s="113"/>
      <c r="D32" s="113"/>
      <c r="E32" s="108"/>
      <c r="F32" s="113"/>
      <c r="G32" s="113"/>
      <c r="H32" s="113"/>
      <c r="I32" s="113"/>
      <c r="J32" s="113"/>
      <c r="K32" s="113"/>
      <c r="L32" s="113"/>
      <c r="M32" s="204"/>
    </row>
    <row r="33" spans="1:14" x14ac:dyDescent="0.25">
      <c r="A33" s="87" t="s">
        <v>64</v>
      </c>
      <c r="B33" t="s">
        <v>65</v>
      </c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204"/>
    </row>
    <row r="34" spans="1:14" x14ac:dyDescent="0.25">
      <c r="A34" s="87" t="s">
        <v>71</v>
      </c>
      <c r="B34" t="s">
        <v>117</v>
      </c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206"/>
    </row>
    <row r="35" spans="1:14" x14ac:dyDescent="0.25">
      <c r="A35" s="87" t="s">
        <v>71</v>
      </c>
      <c r="B35" t="s">
        <v>98</v>
      </c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206"/>
    </row>
    <row r="36" spans="1:14" x14ac:dyDescent="0.25">
      <c r="A36" s="87" t="s">
        <v>71</v>
      </c>
      <c r="B36" t="s">
        <v>99</v>
      </c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206"/>
    </row>
    <row r="37" spans="1:14" x14ac:dyDescent="0.25">
      <c r="A37" s="87" t="s">
        <v>71</v>
      </c>
      <c r="B37" t="s">
        <v>100</v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205"/>
    </row>
    <row r="38" spans="1:14" x14ac:dyDescent="0.25">
      <c r="A38" s="87"/>
      <c r="B38" s="89" t="s">
        <v>74</v>
      </c>
      <c r="C38" s="108">
        <f t="shared" ref="C38:M38" si="12">SUM(C34:C37)</f>
        <v>0</v>
      </c>
      <c r="D38" s="108">
        <f t="shared" si="12"/>
        <v>0</v>
      </c>
      <c r="E38" s="108">
        <f t="shared" si="12"/>
        <v>0</v>
      </c>
      <c r="F38" s="108">
        <f t="shared" si="12"/>
        <v>0</v>
      </c>
      <c r="G38" s="108">
        <f t="shared" si="12"/>
        <v>0</v>
      </c>
      <c r="H38" s="108">
        <f t="shared" si="12"/>
        <v>0</v>
      </c>
      <c r="I38" s="108">
        <f t="shared" si="12"/>
        <v>0</v>
      </c>
      <c r="J38" s="108">
        <f t="shared" si="12"/>
        <v>0</v>
      </c>
      <c r="K38" s="108">
        <f t="shared" si="12"/>
        <v>0</v>
      </c>
      <c r="L38" s="108">
        <f t="shared" si="12"/>
        <v>0</v>
      </c>
      <c r="M38" s="206">
        <f t="shared" si="12"/>
        <v>0</v>
      </c>
    </row>
    <row r="39" spans="1:14" x14ac:dyDescent="0.25">
      <c r="A39" s="87"/>
      <c r="B39" s="89" t="s">
        <v>73</v>
      </c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205">
        <f>ROUND(-'Authorized Margins'!G73*'WACAP 2017'!M43,2)</f>
        <v>0</v>
      </c>
    </row>
    <row r="40" spans="1:14" x14ac:dyDescent="0.25">
      <c r="A40" s="87"/>
      <c r="B40" s="89" t="s">
        <v>75</v>
      </c>
      <c r="C40" s="90">
        <f>-'WACAP 2021'!Q43</f>
        <v>-128981.43800000002</v>
      </c>
      <c r="D40" s="90">
        <f t="shared" ref="D40" si="13">SUM(D38:D39)</f>
        <v>0</v>
      </c>
      <c r="E40" s="90">
        <f t="shared" ref="E40:L40" si="14">SUM(E38:E39)</f>
        <v>0</v>
      </c>
      <c r="F40" s="90">
        <f t="shared" si="14"/>
        <v>0</v>
      </c>
      <c r="G40" s="90">
        <f t="shared" si="14"/>
        <v>0</v>
      </c>
      <c r="H40" s="90">
        <f t="shared" si="14"/>
        <v>0</v>
      </c>
      <c r="I40" s="90">
        <f t="shared" si="14"/>
        <v>0</v>
      </c>
      <c r="J40" s="90">
        <f t="shared" si="14"/>
        <v>0</v>
      </c>
      <c r="K40" s="90">
        <f t="shared" si="14"/>
        <v>0</v>
      </c>
      <c r="L40" s="90">
        <f t="shared" si="14"/>
        <v>0</v>
      </c>
      <c r="M40" s="207"/>
    </row>
    <row r="41" spans="1:14" x14ac:dyDescent="0.25">
      <c r="A41" s="87"/>
      <c r="B41" s="89" t="s">
        <v>137</v>
      </c>
      <c r="C41" s="187">
        <f>ROUND(ROUND(C40*C$5,2)/365*C$6,2)</f>
        <v>-356.02</v>
      </c>
      <c r="D41" s="187">
        <f>ROUND(ROUND(C43*D$5,2)/365*D$6,2)</f>
        <v>-322.45999999999998</v>
      </c>
      <c r="E41" s="187">
        <f t="shared" ref="E41:L41" si="15">ROUND(ROUND(D43*E$5,2)/365*E$6,2)</f>
        <v>-357.9</v>
      </c>
      <c r="F41" s="187">
        <f t="shared" si="15"/>
        <v>-347.31</v>
      </c>
      <c r="G41" s="187">
        <f t="shared" si="15"/>
        <v>-359.84</v>
      </c>
      <c r="H41" s="187">
        <f t="shared" si="15"/>
        <v>-349.2</v>
      </c>
      <c r="I41" s="187">
        <f t="shared" si="15"/>
        <v>-400.76</v>
      </c>
      <c r="J41" s="187">
        <f t="shared" si="15"/>
        <v>-401.99</v>
      </c>
      <c r="K41" s="187">
        <f t="shared" si="15"/>
        <v>-390.21</v>
      </c>
      <c r="L41" s="187">
        <f t="shared" si="15"/>
        <v>-551.57000000000005</v>
      </c>
      <c r="M41" s="208">
        <f>ROUND(ROUND(K43*M$5,2)/365*M$6,2)</f>
        <v>0</v>
      </c>
      <c r="N41" s="108">
        <f>SUM(C41:M41)</f>
        <v>-3837.2599999999998</v>
      </c>
    </row>
    <row r="42" spans="1:14" x14ac:dyDescent="0.25">
      <c r="A42" s="87"/>
      <c r="B42" s="89" t="s">
        <v>138</v>
      </c>
      <c r="C42" s="189">
        <f>C41</f>
        <v>-356.02</v>
      </c>
      <c r="D42" s="189">
        <f t="shared" ref="D42:M42" si="16">SUM(D40:D41)</f>
        <v>-322.45999999999998</v>
      </c>
      <c r="E42" s="189">
        <f t="shared" si="16"/>
        <v>-357.9</v>
      </c>
      <c r="F42" s="189">
        <f t="shared" si="16"/>
        <v>-347.31</v>
      </c>
      <c r="G42" s="189">
        <f t="shared" si="16"/>
        <v>-359.84</v>
      </c>
      <c r="H42" s="189">
        <f t="shared" si="16"/>
        <v>-349.2</v>
      </c>
      <c r="I42" s="189">
        <f t="shared" si="16"/>
        <v>-400.76</v>
      </c>
      <c r="J42" s="189">
        <f t="shared" si="16"/>
        <v>-401.99</v>
      </c>
      <c r="K42" s="189">
        <f t="shared" si="16"/>
        <v>-390.21</v>
      </c>
      <c r="L42" s="189">
        <f t="shared" si="16"/>
        <v>-551.57000000000005</v>
      </c>
      <c r="M42" s="209">
        <f t="shared" si="16"/>
        <v>0</v>
      </c>
    </row>
    <row r="43" spans="1:14" x14ac:dyDescent="0.25">
      <c r="A43" s="87"/>
      <c r="B43" s="89" t="s">
        <v>139</v>
      </c>
      <c r="C43" s="90">
        <f>C42+C40</f>
        <v>-129337.45800000003</v>
      </c>
      <c r="D43" s="90">
        <f>C43+D42</f>
        <v>-129659.91800000003</v>
      </c>
      <c r="E43" s="90">
        <f t="shared" ref="E43:M43" si="17">D43+E42</f>
        <v>-130017.81800000003</v>
      </c>
      <c r="F43" s="90">
        <f t="shared" si="17"/>
        <v>-130365.12800000003</v>
      </c>
      <c r="G43" s="90">
        <f t="shared" si="17"/>
        <v>-130724.96800000002</v>
      </c>
      <c r="H43" s="90">
        <f t="shared" si="17"/>
        <v>-131074.16800000003</v>
      </c>
      <c r="I43" s="90">
        <f t="shared" si="17"/>
        <v>-131474.92800000004</v>
      </c>
      <c r="J43" s="90">
        <f t="shared" si="17"/>
        <v>-131876.91800000003</v>
      </c>
      <c r="K43" s="90">
        <f t="shared" si="17"/>
        <v>-132267.12800000003</v>
      </c>
      <c r="L43" s="90">
        <f t="shared" si="17"/>
        <v>-132818.69800000003</v>
      </c>
      <c r="M43" s="207">
        <f t="shared" si="17"/>
        <v>-132818.69800000003</v>
      </c>
    </row>
    <row r="44" spans="1:14" x14ac:dyDescent="0.25">
      <c r="A44" s="86"/>
      <c r="C44" s="113"/>
      <c r="D44" s="113"/>
      <c r="E44" s="108"/>
      <c r="F44" s="113"/>
      <c r="G44" s="113"/>
      <c r="H44" s="113"/>
      <c r="I44" s="113"/>
      <c r="J44" s="113"/>
      <c r="K44" s="113"/>
      <c r="L44" s="113"/>
      <c r="M44" s="204"/>
    </row>
    <row r="45" spans="1:14" x14ac:dyDescent="0.25">
      <c r="A45" s="86" t="s">
        <v>154</v>
      </c>
      <c r="B45" s="104" t="s">
        <v>86</v>
      </c>
      <c r="C45" s="113"/>
      <c r="D45" s="113"/>
      <c r="E45" s="108"/>
      <c r="F45" s="113"/>
      <c r="G45" s="113"/>
      <c r="H45" s="113"/>
      <c r="I45" s="113"/>
      <c r="J45" s="113"/>
      <c r="K45" s="113"/>
      <c r="L45" s="113"/>
      <c r="M45" s="204"/>
    </row>
    <row r="46" spans="1:14" x14ac:dyDescent="0.25">
      <c r="A46" s="87" t="s">
        <v>64</v>
      </c>
      <c r="B46" t="s">
        <v>65</v>
      </c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204"/>
    </row>
    <row r="47" spans="1:14" x14ac:dyDescent="0.25">
      <c r="A47" s="87" t="s">
        <v>71</v>
      </c>
      <c r="B47" t="s">
        <v>70</v>
      </c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206"/>
    </row>
    <row r="48" spans="1:14" x14ac:dyDescent="0.25">
      <c r="A48" s="87" t="s">
        <v>72</v>
      </c>
      <c r="B48" t="s">
        <v>143</v>
      </c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206"/>
    </row>
    <row r="49" spans="1:14" x14ac:dyDescent="0.25">
      <c r="A49" s="87" t="s">
        <v>72</v>
      </c>
      <c r="B49" t="s">
        <v>144</v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205"/>
    </row>
    <row r="50" spans="1:14" x14ac:dyDescent="0.25">
      <c r="A50" s="87"/>
      <c r="B50" s="89" t="s">
        <v>74</v>
      </c>
      <c r="C50" s="108">
        <f t="shared" ref="C50:E50" si="18">SUM(C47:C49)</f>
        <v>0</v>
      </c>
      <c r="D50" s="108">
        <f t="shared" si="18"/>
        <v>0</v>
      </c>
      <c r="E50" s="108">
        <f t="shared" si="18"/>
        <v>0</v>
      </c>
      <c r="F50" s="108">
        <f>SUM(F47:F49)</f>
        <v>0</v>
      </c>
      <c r="G50" s="108">
        <f t="shared" ref="G50:M50" si="19">SUM(G47:G49)</f>
        <v>0</v>
      </c>
      <c r="H50" s="108">
        <f t="shared" si="19"/>
        <v>0</v>
      </c>
      <c r="I50" s="108">
        <f t="shared" si="19"/>
        <v>0</v>
      </c>
      <c r="J50" s="108">
        <f t="shared" si="19"/>
        <v>0</v>
      </c>
      <c r="K50" s="108">
        <f t="shared" si="19"/>
        <v>0</v>
      </c>
      <c r="L50" s="108">
        <f t="shared" si="19"/>
        <v>0</v>
      </c>
      <c r="M50" s="206">
        <f t="shared" si="19"/>
        <v>0</v>
      </c>
    </row>
    <row r="51" spans="1:14" x14ac:dyDescent="0.25">
      <c r="A51" s="87"/>
      <c r="B51" s="89" t="s">
        <v>73</v>
      </c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205">
        <f>ROUND(-'Authorized Margins'!G47*'WACAP 2017'!M56,2)</f>
        <v>0</v>
      </c>
    </row>
    <row r="52" spans="1:14" x14ac:dyDescent="0.25">
      <c r="A52" s="87"/>
      <c r="B52" s="89" t="s">
        <v>75</v>
      </c>
      <c r="C52" s="90">
        <f>-'WACAP 2021'!Q55</f>
        <v>-18834.519999999997</v>
      </c>
      <c r="D52" s="90">
        <f t="shared" ref="D52" si="20">SUM(D50:D51)</f>
        <v>0</v>
      </c>
      <c r="E52" s="90">
        <f t="shared" ref="E52:M52" si="21">SUM(E50:E51)</f>
        <v>0</v>
      </c>
      <c r="F52" s="90">
        <f t="shared" si="21"/>
        <v>0</v>
      </c>
      <c r="G52" s="90">
        <f t="shared" si="21"/>
        <v>0</v>
      </c>
      <c r="H52" s="90">
        <f t="shared" si="21"/>
        <v>0</v>
      </c>
      <c r="I52" s="90">
        <f t="shared" si="21"/>
        <v>0</v>
      </c>
      <c r="J52" s="90">
        <f t="shared" si="21"/>
        <v>0</v>
      </c>
      <c r="K52" s="90">
        <f t="shared" si="21"/>
        <v>0</v>
      </c>
      <c r="L52" s="90">
        <f t="shared" si="21"/>
        <v>0</v>
      </c>
      <c r="M52" s="207">
        <f t="shared" si="21"/>
        <v>0</v>
      </c>
    </row>
    <row r="53" spans="1:14" x14ac:dyDescent="0.25">
      <c r="A53" s="87"/>
      <c r="B53" s="89" t="s">
        <v>137</v>
      </c>
      <c r="C53" s="187">
        <f>ROUND(ROUND(C52*C$5,2)/365*C$6,2)</f>
        <v>-51.99</v>
      </c>
      <c r="D53" s="187">
        <f>ROUND(ROUND(C55*D$5,2)/365*D$6,2)</f>
        <v>-47.09</v>
      </c>
      <c r="E53" s="187">
        <f t="shared" ref="E53:L53" si="22">ROUND(ROUND(D55*E$5,2)/365*E$6,2)</f>
        <v>-52.26</v>
      </c>
      <c r="F53" s="187">
        <f t="shared" si="22"/>
        <v>-50.72</v>
      </c>
      <c r="G53" s="187">
        <f t="shared" si="22"/>
        <v>-52.55</v>
      </c>
      <c r="H53" s="187">
        <f t="shared" si="22"/>
        <v>-50.99</v>
      </c>
      <c r="I53" s="187">
        <f t="shared" si="22"/>
        <v>-58.52</v>
      </c>
      <c r="J53" s="187">
        <f t="shared" si="22"/>
        <v>-58.7</v>
      </c>
      <c r="K53" s="187">
        <f t="shared" si="22"/>
        <v>-56.98</v>
      </c>
      <c r="L53" s="187">
        <f t="shared" si="22"/>
        <v>-80.540000000000006</v>
      </c>
      <c r="M53" s="208">
        <f t="shared" ref="M53" si="23">ROUND(ROUND(K55*M$5,2)/365*M$6,2)</f>
        <v>0</v>
      </c>
      <c r="N53" s="108">
        <f>SUM(C53:M53)</f>
        <v>-560.34</v>
      </c>
    </row>
    <row r="54" spans="1:14" x14ac:dyDescent="0.25">
      <c r="A54" s="87"/>
      <c r="B54" s="89" t="s">
        <v>138</v>
      </c>
      <c r="C54" s="189">
        <f>C53</f>
        <v>-51.99</v>
      </c>
      <c r="D54" s="189">
        <f t="shared" ref="D54:M54" si="24">SUM(D52:D53)</f>
        <v>-47.09</v>
      </c>
      <c r="E54" s="189">
        <f t="shared" si="24"/>
        <v>-52.26</v>
      </c>
      <c r="F54" s="189">
        <f t="shared" si="24"/>
        <v>-50.72</v>
      </c>
      <c r="G54" s="189">
        <f t="shared" si="24"/>
        <v>-52.55</v>
      </c>
      <c r="H54" s="189">
        <f t="shared" si="24"/>
        <v>-50.99</v>
      </c>
      <c r="I54" s="189">
        <f t="shared" si="24"/>
        <v>-58.52</v>
      </c>
      <c r="J54" s="189">
        <f t="shared" si="24"/>
        <v>-58.7</v>
      </c>
      <c r="K54" s="189">
        <f t="shared" si="24"/>
        <v>-56.98</v>
      </c>
      <c r="L54" s="189">
        <f t="shared" si="24"/>
        <v>-80.540000000000006</v>
      </c>
      <c r="M54" s="209">
        <f t="shared" si="24"/>
        <v>0</v>
      </c>
    </row>
    <row r="55" spans="1:14" x14ac:dyDescent="0.25">
      <c r="A55" s="87"/>
      <c r="B55" s="89" t="s">
        <v>139</v>
      </c>
      <c r="C55" s="90">
        <f>C54+C52</f>
        <v>-18886.509999999998</v>
      </c>
      <c r="D55" s="90">
        <f>C55+D54</f>
        <v>-18933.599999999999</v>
      </c>
      <c r="E55" s="90">
        <f t="shared" ref="E55:M55" si="25">D55+E54</f>
        <v>-18985.859999999997</v>
      </c>
      <c r="F55" s="90">
        <f t="shared" si="25"/>
        <v>-19036.579999999998</v>
      </c>
      <c r="G55" s="90">
        <f t="shared" si="25"/>
        <v>-19089.129999999997</v>
      </c>
      <c r="H55" s="90">
        <f t="shared" si="25"/>
        <v>-19140.12</v>
      </c>
      <c r="I55" s="90">
        <f t="shared" si="25"/>
        <v>-19198.64</v>
      </c>
      <c r="J55" s="90">
        <f t="shared" si="25"/>
        <v>-19257.34</v>
      </c>
      <c r="K55" s="90">
        <f t="shared" si="25"/>
        <v>-19314.32</v>
      </c>
      <c r="L55" s="90">
        <f t="shared" si="25"/>
        <v>-19394.86</v>
      </c>
      <c r="M55" s="207">
        <f t="shared" si="25"/>
        <v>-19394.86</v>
      </c>
    </row>
    <row r="56" spans="1:14" x14ac:dyDescent="0.25">
      <c r="A56" s="87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207"/>
    </row>
    <row r="57" spans="1:14" x14ac:dyDescent="0.25">
      <c r="A57" s="86" t="s">
        <v>169</v>
      </c>
      <c r="B57" s="104" t="s">
        <v>86</v>
      </c>
      <c r="C57" s="113"/>
      <c r="D57" s="113"/>
      <c r="E57" s="108"/>
      <c r="F57" s="113"/>
      <c r="G57" s="113"/>
      <c r="H57" s="113"/>
      <c r="I57" s="113"/>
      <c r="J57" s="113"/>
      <c r="K57" s="113"/>
      <c r="L57" s="113"/>
      <c r="M57" s="204"/>
    </row>
    <row r="58" spans="1:14" x14ac:dyDescent="0.25">
      <c r="A58" s="87" t="s">
        <v>64</v>
      </c>
      <c r="B58" t="s">
        <v>172</v>
      </c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204"/>
    </row>
    <row r="59" spans="1:14" x14ac:dyDescent="0.25">
      <c r="A59" s="87" t="s">
        <v>71</v>
      </c>
      <c r="B59" t="s">
        <v>98</v>
      </c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206"/>
    </row>
    <row r="60" spans="1:14" x14ac:dyDescent="0.25">
      <c r="A60" s="87" t="s">
        <v>71</v>
      </c>
      <c r="B60" t="s">
        <v>99</v>
      </c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206"/>
    </row>
    <row r="61" spans="1:14" x14ac:dyDescent="0.25">
      <c r="A61" s="87" t="s">
        <v>71</v>
      </c>
      <c r="B61" t="s">
        <v>100</v>
      </c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206"/>
    </row>
    <row r="62" spans="1:14" x14ac:dyDescent="0.25">
      <c r="A62" s="87" t="s">
        <v>72</v>
      </c>
      <c r="B62" s="270" t="s">
        <v>164</v>
      </c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206"/>
    </row>
    <row r="63" spans="1:14" x14ac:dyDescent="0.25">
      <c r="A63" s="87" t="s">
        <v>72</v>
      </c>
      <c r="B63" s="270" t="s">
        <v>165</v>
      </c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206"/>
    </row>
    <row r="64" spans="1:14" x14ac:dyDescent="0.25">
      <c r="A64" s="87" t="s">
        <v>72</v>
      </c>
      <c r="B64" s="270" t="s">
        <v>166</v>
      </c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206"/>
    </row>
    <row r="65" spans="1:14" x14ac:dyDescent="0.25">
      <c r="A65" s="87" t="s">
        <v>72</v>
      </c>
      <c r="B65" t="s">
        <v>144</v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205"/>
    </row>
    <row r="66" spans="1:14" x14ac:dyDescent="0.25">
      <c r="A66" s="87"/>
      <c r="B66" s="89" t="s">
        <v>74</v>
      </c>
      <c r="C66" s="108">
        <f t="shared" ref="C66:M66" si="26">SUM(C59:C65)</f>
        <v>0</v>
      </c>
      <c r="D66" s="108">
        <f t="shared" si="26"/>
        <v>0</v>
      </c>
      <c r="E66" s="108">
        <f t="shared" si="26"/>
        <v>0</v>
      </c>
      <c r="F66" s="108">
        <f t="shared" si="26"/>
        <v>0</v>
      </c>
      <c r="G66" s="108">
        <f t="shared" si="26"/>
        <v>0</v>
      </c>
      <c r="H66" s="108">
        <f t="shared" si="26"/>
        <v>0</v>
      </c>
      <c r="I66" s="108">
        <f t="shared" si="26"/>
        <v>0</v>
      </c>
      <c r="J66" s="108">
        <f t="shared" si="26"/>
        <v>0</v>
      </c>
      <c r="K66" s="108">
        <f t="shared" si="26"/>
        <v>0</v>
      </c>
      <c r="L66" s="108">
        <f t="shared" si="26"/>
        <v>0</v>
      </c>
      <c r="M66" s="206">
        <f t="shared" si="26"/>
        <v>0</v>
      </c>
    </row>
    <row r="67" spans="1:14" x14ac:dyDescent="0.25">
      <c r="A67" s="87"/>
      <c r="B67" s="89" t="s">
        <v>73</v>
      </c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205">
        <v>0</v>
      </c>
    </row>
    <row r="68" spans="1:14" x14ac:dyDescent="0.25">
      <c r="A68" s="87"/>
      <c r="B68" s="89" t="s">
        <v>75</v>
      </c>
      <c r="C68" s="90">
        <f>-'WACAP 2021'!Q72</f>
        <v>-25884.017000000033</v>
      </c>
      <c r="D68" s="90">
        <f t="shared" ref="D68:L68" si="27">SUM(D66:D67)</f>
        <v>0</v>
      </c>
      <c r="E68" s="90">
        <f t="shared" si="27"/>
        <v>0</v>
      </c>
      <c r="F68" s="90">
        <f t="shared" si="27"/>
        <v>0</v>
      </c>
      <c r="G68" s="90">
        <f t="shared" si="27"/>
        <v>0</v>
      </c>
      <c r="H68" s="90">
        <f t="shared" si="27"/>
        <v>0</v>
      </c>
      <c r="I68" s="90">
        <f t="shared" si="27"/>
        <v>0</v>
      </c>
      <c r="J68" s="90">
        <f t="shared" si="27"/>
        <v>0</v>
      </c>
      <c r="K68" s="90">
        <f t="shared" si="27"/>
        <v>0</v>
      </c>
      <c r="L68" s="90">
        <f t="shared" si="27"/>
        <v>0</v>
      </c>
      <c r="M68" s="207"/>
    </row>
    <row r="69" spans="1:14" x14ac:dyDescent="0.25">
      <c r="A69" s="87"/>
      <c r="B69" s="89" t="s">
        <v>137</v>
      </c>
      <c r="C69" s="187">
        <f>ROUND(ROUND(C68*C$5,2)/365*C$6,2)</f>
        <v>-71.45</v>
      </c>
      <c r="D69" s="187">
        <f t="shared" ref="D69:L69" si="28">ROUND(ROUND(C71*D$5,2)/365*D$6,2)</f>
        <v>-64.709999999999994</v>
      </c>
      <c r="E69" s="187">
        <f t="shared" si="28"/>
        <v>-71.819999999999993</v>
      </c>
      <c r="F69" s="187">
        <f t="shared" si="28"/>
        <v>-69.7</v>
      </c>
      <c r="G69" s="187">
        <f t="shared" si="28"/>
        <v>-72.209999999999994</v>
      </c>
      <c r="H69" s="187">
        <f t="shared" si="28"/>
        <v>-70.08</v>
      </c>
      <c r="I69" s="187">
        <f t="shared" si="28"/>
        <v>-80.430000000000007</v>
      </c>
      <c r="J69" s="187">
        <f t="shared" si="28"/>
        <v>-80.67</v>
      </c>
      <c r="K69" s="187">
        <f t="shared" si="28"/>
        <v>-78.31</v>
      </c>
      <c r="L69" s="187">
        <f t="shared" si="28"/>
        <v>-110.69</v>
      </c>
      <c r="M69" s="208">
        <f>ROUND(ROUND(K71*M$5,2)/365*M$6,2)</f>
        <v>0</v>
      </c>
      <c r="N69" s="108">
        <f>SUM(C69:M69)</f>
        <v>-770.06999999999994</v>
      </c>
    </row>
    <row r="70" spans="1:14" x14ac:dyDescent="0.25">
      <c r="A70" s="87"/>
      <c r="B70" s="89" t="s">
        <v>138</v>
      </c>
      <c r="C70" s="189">
        <f>C69</f>
        <v>-71.45</v>
      </c>
      <c r="D70" s="189">
        <f t="shared" ref="D70:M70" si="29">SUM(D68:D69)</f>
        <v>-64.709999999999994</v>
      </c>
      <c r="E70" s="189">
        <f t="shared" si="29"/>
        <v>-71.819999999999993</v>
      </c>
      <c r="F70" s="189">
        <f t="shared" si="29"/>
        <v>-69.7</v>
      </c>
      <c r="G70" s="189">
        <f t="shared" si="29"/>
        <v>-72.209999999999994</v>
      </c>
      <c r="H70" s="189">
        <f t="shared" si="29"/>
        <v>-70.08</v>
      </c>
      <c r="I70" s="189">
        <f t="shared" si="29"/>
        <v>-80.430000000000007</v>
      </c>
      <c r="J70" s="189">
        <f t="shared" si="29"/>
        <v>-80.67</v>
      </c>
      <c r="K70" s="189">
        <f t="shared" si="29"/>
        <v>-78.31</v>
      </c>
      <c r="L70" s="189">
        <f t="shared" si="29"/>
        <v>-110.69</v>
      </c>
      <c r="M70" s="209">
        <f t="shared" si="29"/>
        <v>0</v>
      </c>
    </row>
    <row r="71" spans="1:14" x14ac:dyDescent="0.25">
      <c r="A71" s="87"/>
      <c r="B71" s="89" t="s">
        <v>139</v>
      </c>
      <c r="C71" s="90">
        <f>C70+C68</f>
        <v>-25955.467000000033</v>
      </c>
      <c r="D71" s="90">
        <f>C71+D70</f>
        <v>-26020.177000000032</v>
      </c>
      <c r="E71" s="90">
        <f t="shared" ref="E71:M71" si="30">D71+E70</f>
        <v>-26091.997000000032</v>
      </c>
      <c r="F71" s="90">
        <f t="shared" si="30"/>
        <v>-26161.697000000033</v>
      </c>
      <c r="G71" s="90">
        <f t="shared" si="30"/>
        <v>-26233.907000000032</v>
      </c>
      <c r="H71" s="90">
        <f t="shared" si="30"/>
        <v>-26303.987000000034</v>
      </c>
      <c r="I71" s="90">
        <f t="shared" si="30"/>
        <v>-26384.417000000034</v>
      </c>
      <c r="J71" s="90">
        <f t="shared" si="30"/>
        <v>-26465.087000000032</v>
      </c>
      <c r="K71" s="90">
        <f t="shared" si="30"/>
        <v>-26543.397000000034</v>
      </c>
      <c r="L71" s="90">
        <f t="shared" si="30"/>
        <v>-26654.087000000032</v>
      </c>
      <c r="M71" s="207">
        <f t="shared" si="30"/>
        <v>-26654.087000000032</v>
      </c>
    </row>
    <row r="72" spans="1:14" x14ac:dyDescent="0.25">
      <c r="A72" s="87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207"/>
    </row>
    <row r="73" spans="1:14" x14ac:dyDescent="0.25">
      <c r="A73" s="86">
        <v>504</v>
      </c>
      <c r="B73" s="104" t="s">
        <v>86</v>
      </c>
      <c r="C73" s="113"/>
      <c r="D73" s="113"/>
      <c r="E73" s="108"/>
      <c r="F73" s="113"/>
      <c r="G73" s="113"/>
      <c r="H73" s="113"/>
      <c r="I73" s="113"/>
      <c r="J73" s="113"/>
      <c r="K73" s="113"/>
      <c r="L73" s="113"/>
      <c r="M73" s="204"/>
    </row>
    <row r="74" spans="1:14" x14ac:dyDescent="0.25">
      <c r="A74" s="87" t="s">
        <v>64</v>
      </c>
      <c r="B74" t="s">
        <v>65</v>
      </c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204"/>
    </row>
    <row r="75" spans="1:14" x14ac:dyDescent="0.25">
      <c r="A75" s="87" t="s">
        <v>71</v>
      </c>
      <c r="B75" t="s">
        <v>70</v>
      </c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206"/>
    </row>
    <row r="76" spans="1:14" x14ac:dyDescent="0.25">
      <c r="A76" s="87" t="s">
        <v>72</v>
      </c>
      <c r="B76" t="s">
        <v>114</v>
      </c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206"/>
    </row>
    <row r="77" spans="1:14" x14ac:dyDescent="0.25">
      <c r="A77" s="87" t="s">
        <v>72</v>
      </c>
      <c r="B77" t="s">
        <v>115</v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205"/>
    </row>
    <row r="78" spans="1:14" x14ac:dyDescent="0.25">
      <c r="A78" s="87"/>
      <c r="B78" s="89" t="s">
        <v>74</v>
      </c>
      <c r="C78" s="108">
        <f t="shared" ref="C78:M78" si="31">SUM(C75:C77)</f>
        <v>0</v>
      </c>
      <c r="D78" s="108">
        <f t="shared" si="31"/>
        <v>0</v>
      </c>
      <c r="E78" s="108">
        <f t="shared" si="31"/>
        <v>0</v>
      </c>
      <c r="F78" s="108">
        <f>SUM(F75:F77)</f>
        <v>0</v>
      </c>
      <c r="G78" s="108">
        <f t="shared" si="31"/>
        <v>0</v>
      </c>
      <c r="H78" s="108">
        <f t="shared" si="31"/>
        <v>0</v>
      </c>
      <c r="I78" s="108">
        <f t="shared" si="31"/>
        <v>0</v>
      </c>
      <c r="J78" s="108">
        <f t="shared" si="31"/>
        <v>0</v>
      </c>
      <c r="K78" s="108">
        <f t="shared" si="31"/>
        <v>0</v>
      </c>
      <c r="L78" s="108">
        <f t="shared" si="31"/>
        <v>0</v>
      </c>
      <c r="M78" s="206">
        <f t="shared" si="31"/>
        <v>0</v>
      </c>
    </row>
    <row r="79" spans="1:14" x14ac:dyDescent="0.25">
      <c r="A79" s="87"/>
      <c r="B79" s="89" t="s">
        <v>73</v>
      </c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205">
        <f>ROUND(-'Authorized Margins'!G47*'WACAP 2017'!M68,2)</f>
        <v>0</v>
      </c>
    </row>
    <row r="80" spans="1:14" x14ac:dyDescent="0.25">
      <c r="A80" s="87"/>
      <c r="B80" s="89" t="s">
        <v>75</v>
      </c>
      <c r="C80" s="90">
        <f>-'WACAP 2021'!Q88</f>
        <v>1493061.1700000011</v>
      </c>
      <c r="D80" s="90">
        <f t="shared" ref="D80" si="32">SUM(D78:D79)</f>
        <v>0</v>
      </c>
      <c r="E80" s="90">
        <f t="shared" ref="E80:L80" si="33">SUM(E78:E79)</f>
        <v>0</v>
      </c>
      <c r="F80" s="90">
        <f t="shared" si="33"/>
        <v>0</v>
      </c>
      <c r="G80" s="90">
        <f t="shared" si="33"/>
        <v>0</v>
      </c>
      <c r="H80" s="90">
        <f t="shared" si="33"/>
        <v>0</v>
      </c>
      <c r="I80" s="90">
        <f t="shared" si="33"/>
        <v>0</v>
      </c>
      <c r="J80" s="90">
        <f t="shared" si="33"/>
        <v>0</v>
      </c>
      <c r="K80" s="90">
        <f t="shared" si="33"/>
        <v>0</v>
      </c>
      <c r="L80" s="90">
        <f t="shared" si="33"/>
        <v>0</v>
      </c>
      <c r="M80" s="207"/>
    </row>
    <row r="81" spans="1:14" x14ac:dyDescent="0.25">
      <c r="A81" s="87"/>
      <c r="B81" s="89" t="s">
        <v>137</v>
      </c>
      <c r="C81" s="216">
        <f>ROUND(ROUND(C80*C$5,2)/365*C$6,2)</f>
        <v>4121.26</v>
      </c>
      <c r="D81" s="216">
        <f>ROUND(ROUND(C83*D$5,2)/365*D$6,2)</f>
        <v>3732.7</v>
      </c>
      <c r="E81" s="216">
        <f>ROUND(ROUND(D83*E$5,2)/365*E$6,2)</f>
        <v>4142.9399999999996</v>
      </c>
      <c r="F81" s="187">
        <f t="shared" ref="F81:K81" si="34">ROUND(ROUND(E83*F$5,2)/365*F$6,2)</f>
        <v>4020.36</v>
      </c>
      <c r="G81" s="187">
        <f t="shared" si="34"/>
        <v>4165.47</v>
      </c>
      <c r="H81" s="187">
        <f t="shared" si="34"/>
        <v>4042.23</v>
      </c>
      <c r="I81" s="187">
        <f t="shared" si="34"/>
        <v>4639.1499999999996</v>
      </c>
      <c r="J81" s="187">
        <f t="shared" si="34"/>
        <v>4653.34</v>
      </c>
      <c r="K81" s="187">
        <f t="shared" si="34"/>
        <v>4517</v>
      </c>
      <c r="L81" s="216">
        <f>ROUND(ROUND(K83*L$5,2)/365*L$6,2)</f>
        <v>6384.88</v>
      </c>
      <c r="M81" s="208">
        <f>ROUND(ROUND(K83*M$5,2)/365*M$6,2)</f>
        <v>0</v>
      </c>
      <c r="N81" s="108">
        <f>SUM(C81:M81)</f>
        <v>44419.329999999994</v>
      </c>
    </row>
    <row r="82" spans="1:14" x14ac:dyDescent="0.25">
      <c r="A82" s="87"/>
      <c r="B82" s="89" t="s">
        <v>138</v>
      </c>
      <c r="C82" s="189">
        <f>C81</f>
        <v>4121.26</v>
      </c>
      <c r="D82" s="189">
        <f t="shared" ref="D82:M82" si="35">SUM(D80:D81)</f>
        <v>3732.7</v>
      </c>
      <c r="E82" s="189">
        <f t="shared" si="35"/>
        <v>4142.9399999999996</v>
      </c>
      <c r="F82" s="189">
        <f t="shared" si="35"/>
        <v>4020.36</v>
      </c>
      <c r="G82" s="189">
        <f t="shared" si="35"/>
        <v>4165.47</v>
      </c>
      <c r="H82" s="189">
        <f t="shared" si="35"/>
        <v>4042.23</v>
      </c>
      <c r="I82" s="189">
        <f t="shared" si="35"/>
        <v>4639.1499999999996</v>
      </c>
      <c r="J82" s="189">
        <f t="shared" si="35"/>
        <v>4653.34</v>
      </c>
      <c r="K82" s="189">
        <f t="shared" si="35"/>
        <v>4517</v>
      </c>
      <c r="L82" s="189">
        <f t="shared" si="35"/>
        <v>6384.88</v>
      </c>
      <c r="M82" s="209">
        <f t="shared" si="35"/>
        <v>0</v>
      </c>
    </row>
    <row r="83" spans="1:14" x14ac:dyDescent="0.25">
      <c r="A83" s="87"/>
      <c r="B83" s="89" t="s">
        <v>139</v>
      </c>
      <c r="C83" s="90">
        <f>C82+C80</f>
        <v>1497182.4300000011</v>
      </c>
      <c r="D83" s="90">
        <f>C83+D82</f>
        <v>1500915.1300000011</v>
      </c>
      <c r="E83" s="90">
        <f t="shared" ref="E83:M83" si="36">D83+E82</f>
        <v>1505058.070000001</v>
      </c>
      <c r="F83" s="90">
        <f t="shared" si="36"/>
        <v>1509078.4300000011</v>
      </c>
      <c r="G83" s="90">
        <f t="shared" si="36"/>
        <v>1513243.9000000011</v>
      </c>
      <c r="H83" s="90">
        <f t="shared" si="36"/>
        <v>1517286.1300000011</v>
      </c>
      <c r="I83" s="90">
        <f t="shared" si="36"/>
        <v>1521925.280000001</v>
      </c>
      <c r="J83" s="90">
        <f t="shared" si="36"/>
        <v>1526578.620000001</v>
      </c>
      <c r="K83" s="90">
        <f t="shared" si="36"/>
        <v>1531095.620000001</v>
      </c>
      <c r="L83" s="90">
        <f t="shared" si="36"/>
        <v>1537480.5000000009</v>
      </c>
      <c r="M83" s="207">
        <f t="shared" si="36"/>
        <v>1537480.5000000009</v>
      </c>
    </row>
    <row r="84" spans="1:14" x14ac:dyDescent="0.25">
      <c r="A84" s="87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207"/>
    </row>
    <row r="85" spans="1:14" x14ac:dyDescent="0.25">
      <c r="A85" s="86">
        <v>511</v>
      </c>
      <c r="B85" s="104" t="s">
        <v>86</v>
      </c>
      <c r="C85" s="113"/>
      <c r="D85" s="113"/>
      <c r="E85" s="108"/>
      <c r="F85" s="113"/>
      <c r="G85" s="113"/>
      <c r="H85" s="113"/>
      <c r="I85" s="113"/>
      <c r="J85" s="113"/>
      <c r="K85" s="113"/>
      <c r="L85" s="113"/>
      <c r="M85" s="204"/>
    </row>
    <row r="86" spans="1:14" x14ac:dyDescent="0.25">
      <c r="A86" s="87" t="s">
        <v>64</v>
      </c>
      <c r="B86" t="s">
        <v>65</v>
      </c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204"/>
    </row>
    <row r="87" spans="1:14" x14ac:dyDescent="0.25">
      <c r="A87" s="87" t="s">
        <v>71</v>
      </c>
      <c r="B87" t="s">
        <v>117</v>
      </c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206"/>
    </row>
    <row r="88" spans="1:14" x14ac:dyDescent="0.25">
      <c r="A88" s="87" t="s">
        <v>71</v>
      </c>
      <c r="B88" t="s">
        <v>98</v>
      </c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206"/>
    </row>
    <row r="89" spans="1:14" x14ac:dyDescent="0.25">
      <c r="A89" s="87" t="s">
        <v>71</v>
      </c>
      <c r="B89" t="s">
        <v>99</v>
      </c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206"/>
    </row>
    <row r="90" spans="1:14" x14ac:dyDescent="0.25">
      <c r="A90" s="87" t="s">
        <v>71</v>
      </c>
      <c r="B90" t="s">
        <v>100</v>
      </c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206"/>
    </row>
    <row r="91" spans="1:14" x14ac:dyDescent="0.25">
      <c r="A91" s="87" t="s">
        <v>72</v>
      </c>
      <c r="B91" t="s">
        <v>114</v>
      </c>
      <c r="C91" s="124"/>
      <c r="D91" s="124"/>
      <c r="E91" s="124"/>
      <c r="F91" s="124"/>
      <c r="G91" s="124"/>
      <c r="H91" s="124"/>
      <c r="I91" s="124"/>
      <c r="J91" s="124"/>
      <c r="K91" s="124"/>
      <c r="L91" s="124"/>
      <c r="M91" s="206"/>
    </row>
    <row r="92" spans="1:14" x14ac:dyDescent="0.25">
      <c r="A92" s="87" t="s">
        <v>72</v>
      </c>
      <c r="B92" t="s">
        <v>115</v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205"/>
    </row>
    <row r="93" spans="1:14" x14ac:dyDescent="0.25">
      <c r="A93" s="87"/>
      <c r="B93" s="89" t="s">
        <v>74</v>
      </c>
      <c r="C93" s="108">
        <f t="shared" ref="C93:M93" si="37">SUM(C87:C92)</f>
        <v>0</v>
      </c>
      <c r="D93" s="108">
        <f t="shared" si="37"/>
        <v>0</v>
      </c>
      <c r="E93" s="108">
        <f t="shared" si="37"/>
        <v>0</v>
      </c>
      <c r="F93" s="108">
        <f t="shared" si="37"/>
        <v>0</v>
      </c>
      <c r="G93" s="108">
        <f t="shared" si="37"/>
        <v>0</v>
      </c>
      <c r="H93" s="108">
        <f t="shared" si="37"/>
        <v>0</v>
      </c>
      <c r="I93" s="108">
        <f t="shared" si="37"/>
        <v>0</v>
      </c>
      <c r="J93" s="108">
        <f t="shared" si="37"/>
        <v>0</v>
      </c>
      <c r="K93" s="108">
        <f t="shared" si="37"/>
        <v>0</v>
      </c>
      <c r="L93" s="108">
        <f t="shared" si="37"/>
        <v>0</v>
      </c>
      <c r="M93" s="206">
        <f t="shared" si="37"/>
        <v>0</v>
      </c>
    </row>
    <row r="94" spans="1:14" x14ac:dyDescent="0.25">
      <c r="A94" s="87"/>
      <c r="B94" s="89" t="s">
        <v>73</v>
      </c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205">
        <f>ROUND(-'Authorized Margins'!G73*'WACAP 2017'!M80,2)</f>
        <v>0</v>
      </c>
    </row>
    <row r="95" spans="1:14" x14ac:dyDescent="0.25">
      <c r="A95" s="87"/>
      <c r="B95" s="89" t="s">
        <v>75</v>
      </c>
      <c r="C95" s="90">
        <f>-'WACAP 2021'!Q105</f>
        <v>277047.62000000005</v>
      </c>
      <c r="D95" s="90">
        <f t="shared" ref="D95" si="38">SUM(D93:D94)</f>
        <v>0</v>
      </c>
      <c r="E95" s="90">
        <f t="shared" ref="E95:L95" si="39">SUM(E93:E94)</f>
        <v>0</v>
      </c>
      <c r="F95" s="90">
        <f t="shared" si="39"/>
        <v>0</v>
      </c>
      <c r="G95" s="90">
        <f t="shared" si="39"/>
        <v>0</v>
      </c>
      <c r="H95" s="90">
        <f t="shared" si="39"/>
        <v>0</v>
      </c>
      <c r="I95" s="90">
        <f t="shared" si="39"/>
        <v>0</v>
      </c>
      <c r="J95" s="90">
        <f t="shared" si="39"/>
        <v>0</v>
      </c>
      <c r="K95" s="90">
        <f t="shared" si="39"/>
        <v>0</v>
      </c>
      <c r="L95" s="90">
        <f t="shared" si="39"/>
        <v>0</v>
      </c>
      <c r="M95" s="207"/>
    </row>
    <row r="96" spans="1:14" x14ac:dyDescent="0.25">
      <c r="A96" s="87"/>
      <c r="B96" s="89" t="s">
        <v>137</v>
      </c>
      <c r="C96" s="187">
        <f>ROUND(ROUND(C95*C$5,2)/365*C$6,2)</f>
        <v>764.73</v>
      </c>
      <c r="D96" s="187">
        <f>ROUND(ROUND(C98*D$5,2)/365*D$6,2)</f>
        <v>692.63</v>
      </c>
      <c r="E96" s="187">
        <f t="shared" ref="E96:L96" si="40">ROUND(ROUND(D98*E$5,2)/365*E$6,2)</f>
        <v>768.75</v>
      </c>
      <c r="F96" s="187">
        <f t="shared" si="40"/>
        <v>746.01</v>
      </c>
      <c r="G96" s="187">
        <f t="shared" si="40"/>
        <v>772.93</v>
      </c>
      <c r="H96" s="187">
        <f t="shared" si="40"/>
        <v>750.06</v>
      </c>
      <c r="I96" s="187">
        <f t="shared" si="40"/>
        <v>860.83</v>
      </c>
      <c r="J96" s="187">
        <f t="shared" si="40"/>
        <v>863.46</v>
      </c>
      <c r="K96" s="187">
        <f t="shared" si="40"/>
        <v>838.16</v>
      </c>
      <c r="L96" s="187">
        <f t="shared" si="40"/>
        <v>1184.76</v>
      </c>
      <c r="M96" s="208">
        <f>ROUND(ROUND(K98*M$5,2)/365*M$6,2)</f>
        <v>0</v>
      </c>
      <c r="N96" s="108">
        <f>SUM(C96:M96)</f>
        <v>8242.32</v>
      </c>
    </row>
    <row r="97" spans="1:14" x14ac:dyDescent="0.25">
      <c r="A97" s="87"/>
      <c r="B97" s="89" t="s">
        <v>138</v>
      </c>
      <c r="C97" s="189">
        <f>C96</f>
        <v>764.73</v>
      </c>
      <c r="D97" s="189">
        <f t="shared" ref="D97:M97" si="41">SUM(D95:D96)</f>
        <v>692.63</v>
      </c>
      <c r="E97" s="189">
        <f t="shared" si="41"/>
        <v>768.75</v>
      </c>
      <c r="F97" s="189">
        <f t="shared" si="41"/>
        <v>746.01</v>
      </c>
      <c r="G97" s="189">
        <f t="shared" si="41"/>
        <v>772.93</v>
      </c>
      <c r="H97" s="189">
        <f t="shared" si="41"/>
        <v>750.06</v>
      </c>
      <c r="I97" s="189">
        <f t="shared" si="41"/>
        <v>860.83</v>
      </c>
      <c r="J97" s="189">
        <f t="shared" si="41"/>
        <v>863.46</v>
      </c>
      <c r="K97" s="189">
        <f t="shared" si="41"/>
        <v>838.16</v>
      </c>
      <c r="L97" s="189">
        <f t="shared" si="41"/>
        <v>1184.76</v>
      </c>
      <c r="M97" s="209">
        <f t="shared" si="41"/>
        <v>0</v>
      </c>
    </row>
    <row r="98" spans="1:14" x14ac:dyDescent="0.25">
      <c r="A98" s="87"/>
      <c r="B98" s="89" t="s">
        <v>139</v>
      </c>
      <c r="C98" s="90">
        <f>C97+C95</f>
        <v>277812.35000000003</v>
      </c>
      <c r="D98" s="90">
        <f>C98+D97</f>
        <v>278504.98000000004</v>
      </c>
      <c r="E98" s="90">
        <f t="shared" ref="E98:M98" si="42">D98+E97</f>
        <v>279273.73000000004</v>
      </c>
      <c r="F98" s="90">
        <f t="shared" si="42"/>
        <v>280019.74000000005</v>
      </c>
      <c r="G98" s="90">
        <f t="shared" si="42"/>
        <v>280792.67000000004</v>
      </c>
      <c r="H98" s="90">
        <f t="shared" si="42"/>
        <v>281542.73000000004</v>
      </c>
      <c r="I98" s="90">
        <f t="shared" si="42"/>
        <v>282403.56000000006</v>
      </c>
      <c r="J98" s="90">
        <f t="shared" si="42"/>
        <v>283267.02000000008</v>
      </c>
      <c r="K98" s="90">
        <f t="shared" si="42"/>
        <v>284105.18000000005</v>
      </c>
      <c r="L98" s="90">
        <f t="shared" si="42"/>
        <v>285289.94000000006</v>
      </c>
      <c r="M98" s="207">
        <f t="shared" si="42"/>
        <v>285289.94000000006</v>
      </c>
    </row>
    <row r="99" spans="1:14" x14ac:dyDescent="0.25">
      <c r="A99" s="86"/>
      <c r="C99" s="113"/>
      <c r="D99" s="113"/>
      <c r="E99" s="108"/>
      <c r="F99" s="113"/>
      <c r="G99" s="113"/>
      <c r="H99" s="113"/>
      <c r="I99" s="113"/>
      <c r="J99" s="113"/>
      <c r="K99" s="113"/>
      <c r="L99" s="113"/>
      <c r="M99" s="204"/>
    </row>
    <row r="100" spans="1:14" x14ac:dyDescent="0.25">
      <c r="A100" s="86" t="s">
        <v>174</v>
      </c>
      <c r="B100" s="104" t="s">
        <v>87</v>
      </c>
      <c r="C100" s="113"/>
      <c r="D100" s="113"/>
      <c r="E100" s="108"/>
      <c r="F100" s="113"/>
      <c r="G100" s="113"/>
      <c r="H100" s="113"/>
      <c r="I100" s="113"/>
      <c r="J100" s="113"/>
      <c r="K100" s="113"/>
      <c r="L100" s="113"/>
      <c r="M100" s="204"/>
    </row>
    <row r="101" spans="1:14" x14ac:dyDescent="0.25">
      <c r="A101" s="87" t="s">
        <v>64</v>
      </c>
      <c r="B101" t="s">
        <v>65</v>
      </c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204"/>
    </row>
    <row r="102" spans="1:14" x14ac:dyDescent="0.25">
      <c r="A102" s="87" t="s">
        <v>71</v>
      </c>
      <c r="B102" t="s">
        <v>95</v>
      </c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206"/>
    </row>
    <row r="103" spans="1:14" x14ac:dyDescent="0.25">
      <c r="A103" s="87" t="s">
        <v>71</v>
      </c>
      <c r="B103" t="s">
        <v>97</v>
      </c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206"/>
    </row>
    <row r="104" spans="1:14" x14ac:dyDescent="0.25">
      <c r="A104" s="87" t="s">
        <v>72</v>
      </c>
      <c r="B104" t="s">
        <v>101</v>
      </c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206"/>
    </row>
    <row r="105" spans="1:14" x14ac:dyDescent="0.25">
      <c r="A105" s="87" t="s">
        <v>72</v>
      </c>
      <c r="B105" t="s">
        <v>145</v>
      </c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206"/>
    </row>
    <row r="106" spans="1:14" x14ac:dyDescent="0.25">
      <c r="A106" s="87" t="s">
        <v>72</v>
      </c>
      <c r="B106" t="s">
        <v>102</v>
      </c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206"/>
    </row>
    <row r="107" spans="1:14" x14ac:dyDescent="0.25">
      <c r="A107" s="87" t="s">
        <v>72</v>
      </c>
      <c r="B107" t="s">
        <v>146</v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205"/>
    </row>
    <row r="108" spans="1:14" x14ac:dyDescent="0.25">
      <c r="A108" s="86"/>
      <c r="B108" s="89" t="s">
        <v>74</v>
      </c>
      <c r="C108" s="108">
        <f t="shared" ref="C108:M108" si="43">SUM(C102:C107)</f>
        <v>0</v>
      </c>
      <c r="D108" s="108">
        <f t="shared" si="43"/>
        <v>0</v>
      </c>
      <c r="E108" s="108">
        <f t="shared" si="43"/>
        <v>0</v>
      </c>
      <c r="F108" s="108">
        <f t="shared" si="43"/>
        <v>0</v>
      </c>
      <c r="G108" s="108">
        <f t="shared" si="43"/>
        <v>0</v>
      </c>
      <c r="H108" s="108">
        <f t="shared" si="43"/>
        <v>0</v>
      </c>
      <c r="I108" s="108">
        <f t="shared" si="43"/>
        <v>0</v>
      </c>
      <c r="J108" s="108">
        <f t="shared" si="43"/>
        <v>0</v>
      </c>
      <c r="K108" s="108">
        <f t="shared" si="43"/>
        <v>0</v>
      </c>
      <c r="L108" s="108">
        <f t="shared" si="43"/>
        <v>0</v>
      </c>
      <c r="M108" s="206">
        <f t="shared" si="43"/>
        <v>0</v>
      </c>
    </row>
    <row r="109" spans="1:14" x14ac:dyDescent="0.25">
      <c r="A109" s="86"/>
      <c r="B109" s="89" t="s">
        <v>73</v>
      </c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205">
        <f>ROUND(-'Authorized Margins'!G60*'WACAP 2017'!M105,2)</f>
        <v>0</v>
      </c>
    </row>
    <row r="110" spans="1:14" x14ac:dyDescent="0.25">
      <c r="A110" s="86"/>
      <c r="B110" s="89" t="s">
        <v>75</v>
      </c>
      <c r="C110" s="90">
        <f>-'WACAP 2021'!Q120</f>
        <v>4413.96</v>
      </c>
      <c r="D110" s="90">
        <f t="shared" ref="D110" si="44">SUM(D108:D109)</f>
        <v>0</v>
      </c>
      <c r="E110" s="90">
        <f t="shared" ref="E110:L110" si="45">SUM(E108:E109)</f>
        <v>0</v>
      </c>
      <c r="F110" s="90">
        <f t="shared" si="45"/>
        <v>0</v>
      </c>
      <c r="G110" s="90">
        <f t="shared" si="45"/>
        <v>0</v>
      </c>
      <c r="H110" s="90">
        <f t="shared" si="45"/>
        <v>0</v>
      </c>
      <c r="I110" s="90">
        <f t="shared" si="45"/>
        <v>0</v>
      </c>
      <c r="J110" s="90">
        <f t="shared" si="45"/>
        <v>0</v>
      </c>
      <c r="K110" s="90">
        <f t="shared" si="45"/>
        <v>0</v>
      </c>
      <c r="L110" s="90">
        <f t="shared" si="45"/>
        <v>0</v>
      </c>
      <c r="M110" s="207"/>
    </row>
    <row r="111" spans="1:14" x14ac:dyDescent="0.25">
      <c r="A111" s="87"/>
      <c r="B111" s="89" t="s">
        <v>137</v>
      </c>
      <c r="C111" s="187">
        <f>ROUND(ROUND(C110*C$5,2)/365*C$6,2)</f>
        <v>12.18</v>
      </c>
      <c r="D111" s="187">
        <f>ROUND(ROUND(C113*D$5,2)/365*D$6,2)</f>
        <v>11.04</v>
      </c>
      <c r="E111" s="187">
        <f t="shared" ref="E111:L111" si="46">ROUND(ROUND(D113*E$5,2)/365*E$6,2)</f>
        <v>12.25</v>
      </c>
      <c r="F111" s="187">
        <f t="shared" si="46"/>
        <v>11.89</v>
      </c>
      <c r="G111" s="187">
        <f t="shared" si="46"/>
        <v>12.31</v>
      </c>
      <c r="H111" s="187">
        <f t="shared" si="46"/>
        <v>11.95</v>
      </c>
      <c r="I111" s="187">
        <f t="shared" si="46"/>
        <v>13.71</v>
      </c>
      <c r="J111" s="187">
        <f t="shared" si="46"/>
        <v>13.76</v>
      </c>
      <c r="K111" s="187">
        <f t="shared" si="46"/>
        <v>13.35</v>
      </c>
      <c r="L111" s="187">
        <f t="shared" si="46"/>
        <v>18.88</v>
      </c>
      <c r="M111" s="208">
        <f>ROUND(ROUND(K113*M$5,2)/365*M$6,2)</f>
        <v>0</v>
      </c>
      <c r="N111" s="108">
        <f>SUM(C111:M111)</f>
        <v>131.32000000000002</v>
      </c>
    </row>
    <row r="112" spans="1:14" x14ac:dyDescent="0.25">
      <c r="A112" s="87"/>
      <c r="B112" s="89" t="s">
        <v>138</v>
      </c>
      <c r="C112" s="189">
        <f>C111</f>
        <v>12.18</v>
      </c>
      <c r="D112" s="189">
        <f t="shared" ref="D112:M112" si="47">SUM(D110:D111)</f>
        <v>11.04</v>
      </c>
      <c r="E112" s="189">
        <f t="shared" si="47"/>
        <v>12.25</v>
      </c>
      <c r="F112" s="189">
        <f t="shared" si="47"/>
        <v>11.89</v>
      </c>
      <c r="G112" s="189">
        <f t="shared" si="47"/>
        <v>12.31</v>
      </c>
      <c r="H112" s="189">
        <f t="shared" si="47"/>
        <v>11.95</v>
      </c>
      <c r="I112" s="189">
        <f t="shared" si="47"/>
        <v>13.71</v>
      </c>
      <c r="J112" s="189">
        <f t="shared" si="47"/>
        <v>13.76</v>
      </c>
      <c r="K112" s="189">
        <f t="shared" si="47"/>
        <v>13.35</v>
      </c>
      <c r="L112" s="189">
        <f t="shared" si="47"/>
        <v>18.88</v>
      </c>
      <c r="M112" s="209">
        <f t="shared" si="47"/>
        <v>0</v>
      </c>
    </row>
    <row r="113" spans="1:14" x14ac:dyDescent="0.25">
      <c r="A113" s="87"/>
      <c r="B113" s="89" t="s">
        <v>139</v>
      </c>
      <c r="C113" s="90">
        <f>C112+C110</f>
        <v>4426.1400000000003</v>
      </c>
      <c r="D113" s="90">
        <f>C113+D112</f>
        <v>4437.18</v>
      </c>
      <c r="E113" s="90">
        <f t="shared" ref="E113:M113" si="48">D113+E112</f>
        <v>4449.43</v>
      </c>
      <c r="F113" s="90">
        <f t="shared" si="48"/>
        <v>4461.3200000000006</v>
      </c>
      <c r="G113" s="90">
        <f t="shared" si="48"/>
        <v>4473.630000000001</v>
      </c>
      <c r="H113" s="90">
        <f t="shared" si="48"/>
        <v>4485.5800000000008</v>
      </c>
      <c r="I113" s="90">
        <f t="shared" si="48"/>
        <v>4499.2900000000009</v>
      </c>
      <c r="J113" s="90">
        <f t="shared" si="48"/>
        <v>4513.0500000000011</v>
      </c>
      <c r="K113" s="90">
        <f t="shared" si="48"/>
        <v>4526.4000000000015</v>
      </c>
      <c r="L113" s="90">
        <f t="shared" si="48"/>
        <v>4545.2800000000016</v>
      </c>
      <c r="M113" s="207">
        <f t="shared" si="48"/>
        <v>4545.2800000000016</v>
      </c>
    </row>
    <row r="114" spans="1:14" x14ac:dyDescent="0.25">
      <c r="A114" s="86"/>
      <c r="B114" s="89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207"/>
    </row>
    <row r="115" spans="1:14" x14ac:dyDescent="0.25">
      <c r="A115" s="86">
        <v>570</v>
      </c>
      <c r="B115" s="104" t="s">
        <v>88</v>
      </c>
      <c r="C115" s="113"/>
      <c r="D115" s="113"/>
      <c r="E115" s="108"/>
      <c r="F115" s="113"/>
      <c r="G115" s="113"/>
      <c r="H115" s="113"/>
      <c r="I115" s="113"/>
      <c r="J115" s="113"/>
      <c r="K115" s="113"/>
      <c r="L115" s="113"/>
      <c r="M115" s="204"/>
    </row>
    <row r="116" spans="1:14" x14ac:dyDescent="0.25">
      <c r="A116" s="87" t="s">
        <v>64</v>
      </c>
      <c r="B116" t="s">
        <v>65</v>
      </c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204"/>
    </row>
    <row r="117" spans="1:14" x14ac:dyDescent="0.25">
      <c r="A117" s="87" t="s">
        <v>71</v>
      </c>
      <c r="B117" t="s">
        <v>103</v>
      </c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206"/>
    </row>
    <row r="118" spans="1:14" x14ac:dyDescent="0.25">
      <c r="A118" s="87" t="s">
        <v>71</v>
      </c>
      <c r="B118" t="s">
        <v>104</v>
      </c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206"/>
    </row>
    <row r="119" spans="1:14" x14ac:dyDescent="0.25">
      <c r="A119" s="87" t="s">
        <v>72</v>
      </c>
      <c r="B119" t="s">
        <v>105</v>
      </c>
      <c r="C119" s="116"/>
      <c r="D119" s="116"/>
      <c r="E119" s="116"/>
      <c r="F119" s="116"/>
      <c r="G119" s="116"/>
      <c r="H119" s="116"/>
      <c r="I119" s="116"/>
      <c r="J119" s="116"/>
      <c r="K119" s="116"/>
      <c r="L119" s="116"/>
      <c r="M119" s="206"/>
    </row>
    <row r="120" spans="1:14" x14ac:dyDescent="0.25">
      <c r="A120" s="87" t="s">
        <v>72</v>
      </c>
      <c r="B120" t="s">
        <v>106</v>
      </c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206"/>
    </row>
    <row r="121" spans="1:14" x14ac:dyDescent="0.25">
      <c r="A121" s="87" t="s">
        <v>72</v>
      </c>
      <c r="B121" t="s">
        <v>107</v>
      </c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206"/>
    </row>
    <row r="122" spans="1:14" x14ac:dyDescent="0.25">
      <c r="A122" s="87" t="s">
        <v>72</v>
      </c>
      <c r="B122" t="s">
        <v>108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205"/>
    </row>
    <row r="123" spans="1:14" x14ac:dyDescent="0.25">
      <c r="A123" s="87"/>
      <c r="B123" s="89" t="s">
        <v>74</v>
      </c>
      <c r="C123" s="108">
        <f t="shared" ref="C123:E123" si="49">SUM(C117:C122)</f>
        <v>0</v>
      </c>
      <c r="D123" s="108">
        <f t="shared" si="49"/>
        <v>0</v>
      </c>
      <c r="E123" s="108">
        <f t="shared" si="49"/>
        <v>0</v>
      </c>
      <c r="F123" s="108">
        <f>SUM(F117:F122)</f>
        <v>0</v>
      </c>
      <c r="G123" s="108">
        <f t="shared" ref="G123:M123" si="50">SUM(G117:G122)</f>
        <v>0</v>
      </c>
      <c r="H123" s="108">
        <f t="shared" si="50"/>
        <v>0</v>
      </c>
      <c r="I123" s="108">
        <f t="shared" si="50"/>
        <v>0</v>
      </c>
      <c r="J123" s="108">
        <f t="shared" si="50"/>
        <v>0</v>
      </c>
      <c r="K123" s="108">
        <f t="shared" si="50"/>
        <v>0</v>
      </c>
      <c r="L123" s="108">
        <f t="shared" si="50"/>
        <v>0</v>
      </c>
      <c r="M123" s="206">
        <f t="shared" si="50"/>
        <v>0</v>
      </c>
    </row>
    <row r="124" spans="1:14" x14ac:dyDescent="0.25">
      <c r="A124" s="87"/>
      <c r="B124" s="89" t="s">
        <v>73</v>
      </c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205">
        <f>ROUND(-'Authorized Margins'!G95*'WACAP 2017'!M120,2)</f>
        <v>0</v>
      </c>
    </row>
    <row r="125" spans="1:14" x14ac:dyDescent="0.25">
      <c r="A125" s="87"/>
      <c r="B125" s="89" t="s">
        <v>75</v>
      </c>
      <c r="C125" s="90">
        <f>-'WACAP 2021'!Q135</f>
        <v>-13960.709999999997</v>
      </c>
      <c r="D125" s="90">
        <f t="shared" ref="D125" si="51">SUM(D123:D124)</f>
        <v>0</v>
      </c>
      <c r="E125" s="90">
        <f t="shared" ref="E125:L125" si="52">SUM(E123:E124)</f>
        <v>0</v>
      </c>
      <c r="F125" s="90">
        <f t="shared" si="52"/>
        <v>0</v>
      </c>
      <c r="G125" s="90">
        <f t="shared" si="52"/>
        <v>0</v>
      </c>
      <c r="H125" s="90">
        <f t="shared" si="52"/>
        <v>0</v>
      </c>
      <c r="I125" s="90">
        <f t="shared" si="52"/>
        <v>0</v>
      </c>
      <c r="J125" s="90">
        <f t="shared" si="52"/>
        <v>0</v>
      </c>
      <c r="K125" s="90">
        <f t="shared" si="52"/>
        <v>0</v>
      </c>
      <c r="L125" s="90">
        <f t="shared" si="52"/>
        <v>0</v>
      </c>
      <c r="M125" s="215"/>
    </row>
    <row r="126" spans="1:14" x14ac:dyDescent="0.25">
      <c r="A126" s="87"/>
      <c r="B126" s="89" t="s">
        <v>137</v>
      </c>
      <c r="C126" s="187">
        <f>ROUND(ROUND(C125*C$5,2)/365*C$6,2)</f>
        <v>-38.54</v>
      </c>
      <c r="D126" s="187">
        <f>ROUND(ROUND(C128*D$5,2)/365*D$6,2)</f>
        <v>-34.9</v>
      </c>
      <c r="E126" s="187">
        <f t="shared" ref="E126:L126" si="53">ROUND(ROUND(D128*E$5,2)/365*E$6,2)</f>
        <v>-38.74</v>
      </c>
      <c r="F126" s="187">
        <f t="shared" si="53"/>
        <v>-37.590000000000003</v>
      </c>
      <c r="G126" s="187">
        <f t="shared" si="53"/>
        <v>-38.950000000000003</v>
      </c>
      <c r="H126" s="187">
        <f t="shared" si="53"/>
        <v>-37.799999999999997</v>
      </c>
      <c r="I126" s="187">
        <f t="shared" si="53"/>
        <v>-43.38</v>
      </c>
      <c r="J126" s="187">
        <f t="shared" si="53"/>
        <v>-43.51</v>
      </c>
      <c r="K126" s="187">
        <f t="shared" si="53"/>
        <v>-42.24</v>
      </c>
      <c r="L126" s="187">
        <f t="shared" si="53"/>
        <v>-59.7</v>
      </c>
      <c r="M126" s="208">
        <f>ROUND(ROUND(K128*M$5,2)/365*M$6,2)</f>
        <v>0</v>
      </c>
      <c r="N126" s="108">
        <f>SUM(C126:M126)</f>
        <v>-415.35</v>
      </c>
    </row>
    <row r="127" spans="1:14" x14ac:dyDescent="0.25">
      <c r="A127" s="87"/>
      <c r="B127" s="89" t="s">
        <v>138</v>
      </c>
      <c r="C127" s="189">
        <f>C126</f>
        <v>-38.54</v>
      </c>
      <c r="D127" s="189">
        <f t="shared" ref="D127:M127" si="54">SUM(D125:D126)</f>
        <v>-34.9</v>
      </c>
      <c r="E127" s="189">
        <f t="shared" si="54"/>
        <v>-38.74</v>
      </c>
      <c r="F127" s="189">
        <f t="shared" si="54"/>
        <v>-37.590000000000003</v>
      </c>
      <c r="G127" s="189">
        <f t="shared" si="54"/>
        <v>-38.950000000000003</v>
      </c>
      <c r="H127" s="189">
        <f t="shared" si="54"/>
        <v>-37.799999999999997</v>
      </c>
      <c r="I127" s="189">
        <f t="shared" si="54"/>
        <v>-43.38</v>
      </c>
      <c r="J127" s="189">
        <f t="shared" si="54"/>
        <v>-43.51</v>
      </c>
      <c r="K127" s="189">
        <f t="shared" si="54"/>
        <v>-42.24</v>
      </c>
      <c r="L127" s="189">
        <f t="shared" si="54"/>
        <v>-59.7</v>
      </c>
      <c r="M127" s="209">
        <f t="shared" si="54"/>
        <v>0</v>
      </c>
    </row>
    <row r="128" spans="1:14" x14ac:dyDescent="0.25">
      <c r="A128" s="87"/>
      <c r="B128" s="89" t="s">
        <v>139</v>
      </c>
      <c r="C128" s="90">
        <f>C127+C125</f>
        <v>-13999.249999999998</v>
      </c>
      <c r="D128" s="90">
        <f>C128+D127</f>
        <v>-14034.149999999998</v>
      </c>
      <c r="E128" s="90">
        <f t="shared" ref="E128:M128" si="55">D128+E127</f>
        <v>-14072.889999999998</v>
      </c>
      <c r="F128" s="90">
        <f t="shared" si="55"/>
        <v>-14110.479999999998</v>
      </c>
      <c r="G128" s="90">
        <f t="shared" si="55"/>
        <v>-14149.429999999998</v>
      </c>
      <c r="H128" s="90">
        <f t="shared" si="55"/>
        <v>-14187.229999999998</v>
      </c>
      <c r="I128" s="90">
        <f t="shared" si="55"/>
        <v>-14230.609999999997</v>
      </c>
      <c r="J128" s="90">
        <f t="shared" si="55"/>
        <v>-14274.119999999997</v>
      </c>
      <c r="K128" s="90">
        <f t="shared" si="55"/>
        <v>-14316.359999999997</v>
      </c>
      <c r="L128" s="90">
        <f t="shared" si="55"/>
        <v>-14376.059999999998</v>
      </c>
      <c r="M128" s="207">
        <f t="shared" si="55"/>
        <v>-14376.059999999998</v>
      </c>
    </row>
    <row r="129" spans="1:14" ht="15.75" thickBot="1" x14ac:dyDescent="0.3">
      <c r="A129" s="118"/>
      <c r="B129" s="119"/>
      <c r="C129" s="119"/>
      <c r="D129" s="119"/>
      <c r="E129" s="176"/>
      <c r="F129" s="119"/>
      <c r="G129" s="119"/>
      <c r="H129" s="119"/>
      <c r="I129" s="119"/>
      <c r="J129" s="119"/>
      <c r="K129" s="119"/>
      <c r="L129" s="119"/>
      <c r="M129" s="211"/>
    </row>
    <row r="130" spans="1:14" x14ac:dyDescent="0.25">
      <c r="E130" s="108"/>
      <c r="M130" s="203"/>
    </row>
    <row r="131" spans="1:14" x14ac:dyDescent="0.25">
      <c r="B131" s="89" t="s">
        <v>89</v>
      </c>
      <c r="C131" s="90">
        <f>C14+C52+C80+C27+C68+C110+C40+C95+C125</f>
        <v>4165592.1249999972</v>
      </c>
      <c r="D131" s="90">
        <f t="shared" ref="D131:L131" si="56">D14+D52+D80+D27+D68+D110+D40+D95+D125</f>
        <v>0</v>
      </c>
      <c r="E131" s="90">
        <f t="shared" si="56"/>
        <v>0</v>
      </c>
      <c r="F131" s="90">
        <f t="shared" si="56"/>
        <v>0</v>
      </c>
      <c r="G131" s="90">
        <f t="shared" si="56"/>
        <v>0</v>
      </c>
      <c r="H131" s="90">
        <f t="shared" si="56"/>
        <v>0</v>
      </c>
      <c r="I131" s="90">
        <f t="shared" si="56"/>
        <v>0</v>
      </c>
      <c r="J131" s="90">
        <f t="shared" si="56"/>
        <v>0</v>
      </c>
      <c r="K131" s="90">
        <f t="shared" si="56"/>
        <v>0</v>
      </c>
      <c r="L131" s="90">
        <f t="shared" si="56"/>
        <v>0</v>
      </c>
      <c r="M131" s="207">
        <f>M14+M52+M80+M27+M68+M110+M40+M95+M125</f>
        <v>0</v>
      </c>
    </row>
    <row r="132" spans="1:14" x14ac:dyDescent="0.25">
      <c r="B132" s="89" t="s">
        <v>141</v>
      </c>
      <c r="C132" s="216">
        <f>C15+C53+C81+C28+C69+C111+C41+C96+C126</f>
        <v>11498.169999999998</v>
      </c>
      <c r="D132" s="216">
        <f t="shared" ref="D132:L132" si="57">D15+D53+D81+D28+D69+D111+D41+D96+D126</f>
        <v>10414.120000000003</v>
      </c>
      <c r="E132" s="216">
        <f t="shared" si="57"/>
        <v>11558.66</v>
      </c>
      <c r="F132" s="216">
        <f t="shared" si="57"/>
        <v>11216.67</v>
      </c>
      <c r="G132" s="216">
        <f t="shared" si="57"/>
        <v>11621.52</v>
      </c>
      <c r="H132" s="216">
        <f t="shared" si="57"/>
        <v>11277.68</v>
      </c>
      <c r="I132" s="216">
        <f t="shared" si="57"/>
        <v>12943.089999999998</v>
      </c>
      <c r="J132" s="216">
        <f t="shared" si="57"/>
        <v>12982.67</v>
      </c>
      <c r="K132" s="216">
        <f t="shared" si="57"/>
        <v>12602.27</v>
      </c>
      <c r="L132" s="216">
        <f t="shared" si="57"/>
        <v>17813.629999999997</v>
      </c>
      <c r="M132" s="302">
        <f>SUM(C132:L132)</f>
        <v>123928.48000000001</v>
      </c>
    </row>
    <row r="133" spans="1:14" x14ac:dyDescent="0.25">
      <c r="B133" s="89" t="s">
        <v>139</v>
      </c>
      <c r="C133" s="90">
        <f>SUM(C131:C132)</f>
        <v>4177090.2949999971</v>
      </c>
      <c r="D133" s="90">
        <f t="shared" ref="D133:K133" si="58">SUM(D131:D132)+C133</f>
        <v>4187504.4149999972</v>
      </c>
      <c r="E133" s="90">
        <f t="shared" si="58"/>
        <v>4199063.0749999974</v>
      </c>
      <c r="F133" s="90">
        <f t="shared" si="58"/>
        <v>4210279.7449999973</v>
      </c>
      <c r="G133" s="90">
        <f t="shared" si="58"/>
        <v>4221901.2649999969</v>
      </c>
      <c r="H133" s="90">
        <f t="shared" si="58"/>
        <v>4233178.9449999966</v>
      </c>
      <c r="I133" s="90">
        <f t="shared" si="58"/>
        <v>4246122.0349999964</v>
      </c>
      <c r="J133" s="90">
        <f t="shared" si="58"/>
        <v>4259104.7049999963</v>
      </c>
      <c r="K133" s="90">
        <f t="shared" si="58"/>
        <v>4271706.9749999959</v>
      </c>
      <c r="L133" s="435">
        <f>SUM(L131:L132)+K133</f>
        <v>4289520.6049999958</v>
      </c>
      <c r="M133" s="207">
        <f>SUM(M131:M132)</f>
        <v>123928.48000000001</v>
      </c>
      <c r="N133" s="90">
        <f>SUM(N5:N132)</f>
        <v>123928.47999999998</v>
      </c>
    </row>
    <row r="134" spans="1:14" x14ac:dyDescent="0.25">
      <c r="B134" s="89"/>
      <c r="C134" s="187"/>
      <c r="D134" s="90"/>
      <c r="E134" s="90"/>
      <c r="F134" s="90"/>
      <c r="G134" s="90"/>
      <c r="H134" s="90"/>
      <c r="I134" s="90"/>
      <c r="J134" s="90"/>
      <c r="K134" s="90"/>
      <c r="L134" s="90"/>
      <c r="M134" s="207"/>
    </row>
    <row r="141" spans="1:14" x14ac:dyDescent="0.25">
      <c r="D141" s="187"/>
      <c r="E141" s="187"/>
      <c r="F141" s="187"/>
      <c r="G141" s="187"/>
      <c r="H141" s="187"/>
      <c r="I141" s="187"/>
      <c r="J141" s="187"/>
      <c r="K141" s="187"/>
      <c r="L141" s="187"/>
    </row>
    <row r="142" spans="1:14" x14ac:dyDescent="0.25"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</row>
    <row r="144" spans="1:14" x14ac:dyDescent="0.25">
      <c r="D144" s="108"/>
      <c r="E144" s="108"/>
      <c r="F144" s="108"/>
      <c r="G144" s="108"/>
      <c r="H144" s="108"/>
      <c r="I144" s="108"/>
      <c r="J144" s="108"/>
      <c r="K144" s="108"/>
      <c r="L144" s="108"/>
    </row>
  </sheetData>
  <mergeCells count="3">
    <mergeCell ref="A1:M1"/>
    <mergeCell ref="A2:M2"/>
    <mergeCell ref="A3:M3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A0FAB-0AB7-4E05-A338-9F284FDD0A90}">
  <dimension ref="A1:W154"/>
  <sheetViews>
    <sheetView workbookViewId="0">
      <selection sqref="A1:M1"/>
    </sheetView>
  </sheetViews>
  <sheetFormatPr defaultColWidth="9.140625" defaultRowHeight="15" x14ac:dyDescent="0.25"/>
  <cols>
    <col min="1" max="1" width="24.7109375" bestFit="1" customWidth="1"/>
    <col min="2" max="2" width="65.7109375" bestFit="1" customWidth="1"/>
    <col min="3" max="4" width="14" customWidth="1"/>
    <col min="5" max="6" width="14" bestFit="1" customWidth="1"/>
    <col min="7" max="13" width="14" customWidth="1"/>
    <col min="14" max="14" width="12.28515625" bestFit="1" customWidth="1"/>
    <col min="15" max="15" width="18.7109375" bestFit="1" customWidth="1"/>
    <col min="16" max="16" width="13.28515625" bestFit="1" customWidth="1"/>
    <col min="17" max="17" width="10.5703125" bestFit="1" customWidth="1"/>
    <col min="18" max="18" width="7.5703125" bestFit="1" customWidth="1"/>
    <col min="19" max="19" width="10.5703125" bestFit="1" customWidth="1"/>
    <col min="21" max="21" width="8" bestFit="1" customWidth="1"/>
    <col min="23" max="23" width="9.7109375" bestFit="1" customWidth="1"/>
  </cols>
  <sheetData>
    <row r="1" spans="1:23" ht="18.75" x14ac:dyDescent="0.3">
      <c r="A1" s="676" t="s">
        <v>67</v>
      </c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676"/>
    </row>
    <row r="2" spans="1:23" ht="21" x14ac:dyDescent="0.35">
      <c r="A2" s="681" t="s">
        <v>69</v>
      </c>
      <c r="B2" s="681"/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</row>
    <row r="3" spans="1:23" ht="18" thickBot="1" x14ac:dyDescent="0.35">
      <c r="A3" s="693" t="s">
        <v>220</v>
      </c>
      <c r="B3" s="693"/>
      <c r="C3" s="693"/>
      <c r="D3" s="693"/>
      <c r="E3" s="693"/>
      <c r="F3" s="693"/>
      <c r="G3" s="693"/>
      <c r="H3" s="693"/>
      <c r="I3" s="693"/>
      <c r="J3" s="693"/>
      <c r="K3" s="693"/>
      <c r="L3" s="693"/>
      <c r="M3" s="693"/>
    </row>
    <row r="4" spans="1:23" ht="15.75" x14ac:dyDescent="0.25">
      <c r="A4" s="101" t="s">
        <v>66</v>
      </c>
      <c r="B4" s="102"/>
      <c r="C4" s="103">
        <v>44227</v>
      </c>
      <c r="D4" s="103">
        <v>44255</v>
      </c>
      <c r="E4" s="103">
        <v>44286</v>
      </c>
      <c r="F4" s="103">
        <v>44316</v>
      </c>
      <c r="G4" s="103">
        <v>44347</v>
      </c>
      <c r="H4" s="103">
        <v>44377</v>
      </c>
      <c r="I4" s="103">
        <v>44408</v>
      </c>
      <c r="J4" s="103">
        <v>44439</v>
      </c>
      <c r="K4" s="103">
        <v>44469</v>
      </c>
      <c r="L4" s="103">
        <v>44500</v>
      </c>
      <c r="M4" s="200" t="s">
        <v>147</v>
      </c>
      <c r="N4" s="104" t="s">
        <v>137</v>
      </c>
    </row>
    <row r="5" spans="1:23" x14ac:dyDescent="0.25">
      <c r="A5" s="4"/>
      <c r="B5" s="89" t="s">
        <v>136</v>
      </c>
      <c r="C5" s="340">
        <v>3.2500000000000001E-2</v>
      </c>
      <c r="D5" s="370">
        <v>3.2500000000000001E-2</v>
      </c>
      <c r="E5" s="340">
        <v>3.2500000000000001E-2</v>
      </c>
      <c r="F5" s="370">
        <v>3.2500000000000001E-2</v>
      </c>
      <c r="G5" s="370">
        <v>3.2500000000000001E-2</v>
      </c>
      <c r="H5" s="370">
        <v>3.2500000000000001E-2</v>
      </c>
      <c r="I5" s="370">
        <v>3.2500000000000001E-2</v>
      </c>
      <c r="J5" s="370">
        <v>3.2500000000000001E-2</v>
      </c>
      <c r="K5" s="370">
        <v>3.2500000000000001E-2</v>
      </c>
      <c r="L5" s="370">
        <v>3.2500000000000001E-2</v>
      </c>
      <c r="M5" s="201"/>
    </row>
    <row r="6" spans="1:23" ht="15.75" x14ac:dyDescent="0.25">
      <c r="A6" s="183"/>
      <c r="B6" s="89" t="s">
        <v>140</v>
      </c>
      <c r="C6" s="192">
        <v>31</v>
      </c>
      <c r="D6" s="192">
        <v>28</v>
      </c>
      <c r="E6" s="192">
        <v>31</v>
      </c>
      <c r="F6" s="192">
        <v>30</v>
      </c>
      <c r="G6" s="192">
        <v>31</v>
      </c>
      <c r="H6" s="192">
        <v>30</v>
      </c>
      <c r="I6" s="192">
        <v>31</v>
      </c>
      <c r="J6" s="192">
        <v>31</v>
      </c>
      <c r="K6" s="192">
        <v>30</v>
      </c>
      <c r="L6" s="192">
        <v>31</v>
      </c>
      <c r="M6" s="202"/>
    </row>
    <row r="7" spans="1:23" x14ac:dyDescent="0.25">
      <c r="A7" s="86">
        <v>503</v>
      </c>
      <c r="B7" s="104" t="s">
        <v>84</v>
      </c>
      <c r="C7" s="113"/>
      <c r="D7" s="113"/>
      <c r="E7" s="108"/>
      <c r="F7" s="108"/>
      <c r="G7" s="113"/>
      <c r="H7" s="113"/>
      <c r="I7" s="113"/>
      <c r="J7" s="113"/>
      <c r="K7" s="113"/>
      <c r="L7" s="113"/>
      <c r="M7" s="204"/>
      <c r="Q7" s="113"/>
      <c r="S7" s="113"/>
    </row>
    <row r="8" spans="1:23" x14ac:dyDescent="0.25">
      <c r="A8" s="87" t="s">
        <v>64</v>
      </c>
      <c r="B8" t="s">
        <v>65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204"/>
      <c r="O8" s="122"/>
      <c r="P8" s="108"/>
      <c r="Q8" s="112"/>
      <c r="S8" s="112"/>
      <c r="W8" s="112"/>
    </row>
    <row r="9" spans="1:23" x14ac:dyDescent="0.25">
      <c r="A9" s="87" t="s">
        <v>71</v>
      </c>
      <c r="B9" t="s">
        <v>70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206"/>
      <c r="O9" s="122"/>
      <c r="P9" s="108"/>
      <c r="Q9" s="112"/>
      <c r="S9" s="112"/>
      <c r="W9" s="112"/>
    </row>
    <row r="10" spans="1:23" x14ac:dyDescent="0.25">
      <c r="A10" s="87" t="s">
        <v>72</v>
      </c>
      <c r="B10" t="s">
        <v>114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206"/>
    </row>
    <row r="11" spans="1:23" x14ac:dyDescent="0.25">
      <c r="A11" s="87" t="s">
        <v>72</v>
      </c>
      <c r="B11" t="s">
        <v>115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205"/>
    </row>
    <row r="12" spans="1:23" x14ac:dyDescent="0.25">
      <c r="A12" s="87"/>
      <c r="B12" s="89" t="s">
        <v>74</v>
      </c>
      <c r="C12" s="108">
        <f t="shared" ref="C12:M12" si="0">SUM(C9:C11)</f>
        <v>0</v>
      </c>
      <c r="D12" s="108">
        <f t="shared" si="0"/>
        <v>0</v>
      </c>
      <c r="E12" s="108">
        <f t="shared" si="0"/>
        <v>0</v>
      </c>
      <c r="F12" s="108">
        <f t="shared" si="0"/>
        <v>0</v>
      </c>
      <c r="G12" s="108">
        <f t="shared" si="0"/>
        <v>0</v>
      </c>
      <c r="H12" s="108">
        <f t="shared" si="0"/>
        <v>0</v>
      </c>
      <c r="I12" s="108">
        <f t="shared" si="0"/>
        <v>0</v>
      </c>
      <c r="J12" s="108">
        <f t="shared" si="0"/>
        <v>0</v>
      </c>
      <c r="K12" s="108">
        <f t="shared" si="0"/>
        <v>0</v>
      </c>
      <c r="L12" s="108">
        <f t="shared" si="0"/>
        <v>0</v>
      </c>
      <c r="M12" s="206">
        <f t="shared" si="0"/>
        <v>0</v>
      </c>
    </row>
    <row r="13" spans="1:23" x14ac:dyDescent="0.25">
      <c r="A13" s="87"/>
      <c r="B13" s="89" t="s">
        <v>73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205">
        <f>ROUND(-'Authorized Margins'!G41*'WACAP 2017'!M18,2)</f>
        <v>0</v>
      </c>
      <c r="Q13" s="113"/>
      <c r="S13" s="113"/>
    </row>
    <row r="14" spans="1:23" x14ac:dyDescent="0.25">
      <c r="A14" s="87"/>
      <c r="B14" s="89" t="s">
        <v>75</v>
      </c>
      <c r="C14" s="90">
        <f>-'WACAP 2020'!Q17</f>
        <v>1420894.4199999983</v>
      </c>
      <c r="D14" s="90">
        <f t="shared" ref="D14" si="1">SUM(D12:D13)</f>
        <v>0</v>
      </c>
      <c r="E14" s="90">
        <f t="shared" ref="E14:L14" si="2">SUM(E12:E13)</f>
        <v>0</v>
      </c>
      <c r="F14" s="90">
        <f t="shared" si="2"/>
        <v>0</v>
      </c>
      <c r="G14" s="90">
        <f t="shared" si="2"/>
        <v>0</v>
      </c>
      <c r="H14" s="90">
        <f t="shared" si="2"/>
        <v>0</v>
      </c>
      <c r="I14" s="90">
        <f t="shared" si="2"/>
        <v>0</v>
      </c>
      <c r="J14" s="90">
        <f t="shared" si="2"/>
        <v>0</v>
      </c>
      <c r="K14" s="90">
        <f t="shared" si="2"/>
        <v>0</v>
      </c>
      <c r="L14" s="90">
        <f t="shared" si="2"/>
        <v>0</v>
      </c>
      <c r="M14" s="215"/>
      <c r="O14" s="122"/>
      <c r="P14" s="108"/>
      <c r="Q14" s="112"/>
      <c r="S14" s="112"/>
      <c r="W14" s="112"/>
    </row>
    <row r="15" spans="1:23" x14ac:dyDescent="0.25">
      <c r="A15" s="87"/>
      <c r="B15" s="89" t="s">
        <v>137</v>
      </c>
      <c r="C15" s="216">
        <f>ROUND(ROUND(C14*C$5,2)/365*C$6,2)</f>
        <v>3922.06</v>
      </c>
      <c r="D15" s="216">
        <f t="shared" ref="D15:K15" si="3">ROUND(ROUND(C17*D$5,2)/365*D$6,2)</f>
        <v>3552.28</v>
      </c>
      <c r="E15" s="216">
        <f t="shared" si="3"/>
        <v>3942.69</v>
      </c>
      <c r="F15" s="216">
        <f t="shared" si="3"/>
        <v>3826.04</v>
      </c>
      <c r="G15" s="216">
        <f t="shared" si="3"/>
        <v>3964.13</v>
      </c>
      <c r="H15" s="216">
        <f t="shared" si="3"/>
        <v>3846.85</v>
      </c>
      <c r="I15" s="216">
        <f t="shared" si="3"/>
        <v>3985.69</v>
      </c>
      <c r="J15" s="216">
        <f t="shared" si="3"/>
        <v>3996.69</v>
      </c>
      <c r="K15" s="216">
        <f t="shared" si="3"/>
        <v>3878.45</v>
      </c>
      <c r="L15" s="199">
        <f>ROUND(ROUND(K17*L$5,2)/365*L$6,2)+0.08</f>
        <v>4018.5099999999998</v>
      </c>
      <c r="M15" s="208">
        <f>ROUND(ROUND(K17*M$5,2)/365*M$6,2)</f>
        <v>0</v>
      </c>
      <c r="N15" s="108">
        <f>SUM(C15:M15)</f>
        <v>38933.39</v>
      </c>
    </row>
    <row r="16" spans="1:23" x14ac:dyDescent="0.25">
      <c r="A16" s="87"/>
      <c r="B16" s="89" t="s">
        <v>138</v>
      </c>
      <c r="C16" s="189">
        <f>C15</f>
        <v>3922.06</v>
      </c>
      <c r="D16" s="189">
        <f t="shared" ref="D16:M16" si="4">SUM(D14:D15)</f>
        <v>3552.28</v>
      </c>
      <c r="E16" s="189">
        <f t="shared" si="4"/>
        <v>3942.69</v>
      </c>
      <c r="F16" s="189">
        <f t="shared" si="4"/>
        <v>3826.04</v>
      </c>
      <c r="G16" s="189">
        <f t="shared" si="4"/>
        <v>3964.13</v>
      </c>
      <c r="H16" s="189">
        <f t="shared" si="4"/>
        <v>3846.85</v>
      </c>
      <c r="I16" s="189">
        <f t="shared" si="4"/>
        <v>3985.69</v>
      </c>
      <c r="J16" s="189">
        <f t="shared" si="4"/>
        <v>3996.69</v>
      </c>
      <c r="K16" s="189">
        <f t="shared" si="4"/>
        <v>3878.45</v>
      </c>
      <c r="L16" s="189">
        <f t="shared" si="4"/>
        <v>4018.5099999999998</v>
      </c>
      <c r="M16" s="209">
        <f t="shared" si="4"/>
        <v>0</v>
      </c>
    </row>
    <row r="17" spans="1:23" x14ac:dyDescent="0.25">
      <c r="A17" s="87"/>
      <c r="B17" s="89" t="s">
        <v>139</v>
      </c>
      <c r="C17" s="90">
        <f>C16+C14</f>
        <v>1424816.4799999984</v>
      </c>
      <c r="D17" s="90">
        <f>C17+D16</f>
        <v>1428368.7599999984</v>
      </c>
      <c r="E17" s="90">
        <f t="shared" ref="E17:M17" si="5">D17+E16</f>
        <v>1432311.4499999983</v>
      </c>
      <c r="F17" s="90">
        <f t="shared" si="5"/>
        <v>1436137.4899999984</v>
      </c>
      <c r="G17" s="90">
        <f t="shared" si="5"/>
        <v>1440101.6199999982</v>
      </c>
      <c r="H17" s="90">
        <f t="shared" si="5"/>
        <v>1443948.4699999983</v>
      </c>
      <c r="I17" s="90">
        <f t="shared" si="5"/>
        <v>1447934.1599999983</v>
      </c>
      <c r="J17" s="90">
        <f t="shared" si="5"/>
        <v>1451930.8499999982</v>
      </c>
      <c r="K17" s="90">
        <f t="shared" si="5"/>
        <v>1455809.2999999982</v>
      </c>
      <c r="L17" s="90">
        <f t="shared" si="5"/>
        <v>1459827.8099999982</v>
      </c>
      <c r="M17" s="207">
        <f t="shared" si="5"/>
        <v>1459827.8099999982</v>
      </c>
    </row>
    <row r="18" spans="1:23" x14ac:dyDescent="0.25">
      <c r="A18" s="87"/>
      <c r="B18" s="89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207"/>
      <c r="O18" s="122"/>
      <c r="P18" s="108"/>
      <c r="Q18" s="112"/>
      <c r="S18" s="112"/>
      <c r="W18" s="112"/>
    </row>
    <row r="19" spans="1:23" x14ac:dyDescent="0.25">
      <c r="A19" s="86">
        <v>505</v>
      </c>
      <c r="B19" s="104" t="s">
        <v>85</v>
      </c>
      <c r="C19" s="113"/>
      <c r="D19" s="113"/>
      <c r="E19" s="108"/>
      <c r="F19" s="113"/>
      <c r="G19" s="113"/>
      <c r="H19" s="113"/>
      <c r="I19" s="113"/>
      <c r="J19" s="113"/>
      <c r="K19" s="113"/>
      <c r="L19" s="113"/>
      <c r="M19" s="204"/>
    </row>
    <row r="20" spans="1:23" x14ac:dyDescent="0.25">
      <c r="A20" s="87" t="s">
        <v>64</v>
      </c>
      <c r="B20" t="s">
        <v>65</v>
      </c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204"/>
    </row>
    <row r="21" spans="1:23" x14ac:dyDescent="0.25">
      <c r="A21" s="87" t="s">
        <v>71</v>
      </c>
      <c r="B21" t="s">
        <v>117</v>
      </c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206"/>
    </row>
    <row r="22" spans="1:23" x14ac:dyDescent="0.25">
      <c r="A22" s="87" t="s">
        <v>71</v>
      </c>
      <c r="B22" t="s">
        <v>95</v>
      </c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206"/>
    </row>
    <row r="23" spans="1:23" x14ac:dyDescent="0.25">
      <c r="A23" s="87" t="s">
        <v>71</v>
      </c>
      <c r="B23" t="s">
        <v>97</v>
      </c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206"/>
    </row>
    <row r="24" spans="1:23" x14ac:dyDescent="0.25">
      <c r="A24" s="87" t="s">
        <v>71</v>
      </c>
      <c r="B24" t="s">
        <v>96</v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205"/>
    </row>
    <row r="25" spans="1:23" x14ac:dyDescent="0.25">
      <c r="A25" s="86"/>
      <c r="B25" s="89" t="s">
        <v>74</v>
      </c>
      <c r="C25" s="108">
        <f t="shared" ref="C25:M25" si="6">SUM(C21:C24)</f>
        <v>0</v>
      </c>
      <c r="D25" s="108">
        <f t="shared" si="6"/>
        <v>0</v>
      </c>
      <c r="E25" s="108">
        <f t="shared" si="6"/>
        <v>0</v>
      </c>
      <c r="F25" s="108">
        <f t="shared" si="6"/>
        <v>0</v>
      </c>
      <c r="G25" s="108">
        <f t="shared" si="6"/>
        <v>0</v>
      </c>
      <c r="H25" s="108">
        <f t="shared" si="6"/>
        <v>0</v>
      </c>
      <c r="I25" s="108">
        <f t="shared" si="6"/>
        <v>0</v>
      </c>
      <c r="J25" s="108">
        <f t="shared" si="6"/>
        <v>0</v>
      </c>
      <c r="K25" s="108">
        <f t="shared" si="6"/>
        <v>0</v>
      </c>
      <c r="L25" s="108">
        <f t="shared" si="6"/>
        <v>0</v>
      </c>
      <c r="M25" s="206">
        <f t="shared" si="6"/>
        <v>0</v>
      </c>
    </row>
    <row r="26" spans="1:23" x14ac:dyDescent="0.25">
      <c r="A26" s="86"/>
      <c r="B26" s="89" t="s">
        <v>73</v>
      </c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205">
        <f>ROUND(-'Authorized Margins'!G60*'WACAP 2017'!M30,2)</f>
        <v>0</v>
      </c>
    </row>
    <row r="27" spans="1:23" x14ac:dyDescent="0.25">
      <c r="A27" s="86"/>
      <c r="B27" s="89" t="s">
        <v>75</v>
      </c>
      <c r="C27" s="90">
        <f>-'WACAP 2020'!Q29</f>
        <v>128396.87999999996</v>
      </c>
      <c r="D27" s="90">
        <f t="shared" ref="D27" si="7">SUM(D25:D26)</f>
        <v>0</v>
      </c>
      <c r="E27" s="90">
        <f t="shared" ref="E27:L27" si="8">SUM(E25:E26)</f>
        <v>0</v>
      </c>
      <c r="F27" s="90">
        <f t="shared" si="8"/>
        <v>0</v>
      </c>
      <c r="G27" s="90">
        <f t="shared" si="8"/>
        <v>0</v>
      </c>
      <c r="H27" s="90">
        <f t="shared" si="8"/>
        <v>0</v>
      </c>
      <c r="I27" s="90">
        <f t="shared" si="8"/>
        <v>0</v>
      </c>
      <c r="J27" s="90">
        <f t="shared" si="8"/>
        <v>0</v>
      </c>
      <c r="K27" s="90">
        <f t="shared" si="8"/>
        <v>0</v>
      </c>
      <c r="L27" s="90">
        <f t="shared" si="8"/>
        <v>0</v>
      </c>
      <c r="M27" s="207"/>
    </row>
    <row r="28" spans="1:23" x14ac:dyDescent="0.25">
      <c r="A28" s="87"/>
      <c r="B28" s="89" t="s">
        <v>137</v>
      </c>
      <c r="C28" s="187">
        <f>ROUND(ROUND(C27*C$5,2)/365*C$6,2)</f>
        <v>354.41</v>
      </c>
      <c r="D28" s="187">
        <f>ROUND(ROUND(C30*D$5,2)/365*D$6,2)</f>
        <v>321</v>
      </c>
      <c r="E28" s="187">
        <f t="shared" ref="E28:L28" si="9">ROUND(ROUND(D30*E$5,2)/365*E$6,2)</f>
        <v>356.27</v>
      </c>
      <c r="F28" s="187">
        <f t="shared" si="9"/>
        <v>345.73</v>
      </c>
      <c r="G28" s="187">
        <f t="shared" si="9"/>
        <v>358.21</v>
      </c>
      <c r="H28" s="187">
        <f t="shared" si="9"/>
        <v>347.61</v>
      </c>
      <c r="I28" s="187">
        <f t="shared" si="9"/>
        <v>360.16</v>
      </c>
      <c r="J28" s="187">
        <f t="shared" si="9"/>
        <v>361.16</v>
      </c>
      <c r="K28" s="187">
        <f t="shared" si="9"/>
        <v>350.47</v>
      </c>
      <c r="L28" s="187">
        <f t="shared" si="9"/>
        <v>363.12</v>
      </c>
      <c r="M28" s="208">
        <f>ROUND(ROUND(K30*M$5,2)/365*M$6,2)</f>
        <v>0</v>
      </c>
      <c r="N28" s="108">
        <f>SUM(C28:M28)</f>
        <v>3518.1399999999994</v>
      </c>
    </row>
    <row r="29" spans="1:23" x14ac:dyDescent="0.25">
      <c r="A29" s="87"/>
      <c r="B29" s="89" t="s">
        <v>138</v>
      </c>
      <c r="C29" s="189">
        <f>C28</f>
        <v>354.41</v>
      </c>
      <c r="D29" s="189">
        <f t="shared" ref="D29:M29" si="10">SUM(D27:D28)</f>
        <v>321</v>
      </c>
      <c r="E29" s="189">
        <f t="shared" si="10"/>
        <v>356.27</v>
      </c>
      <c r="F29" s="189">
        <f t="shared" si="10"/>
        <v>345.73</v>
      </c>
      <c r="G29" s="189">
        <f t="shared" si="10"/>
        <v>358.21</v>
      </c>
      <c r="H29" s="189">
        <f t="shared" si="10"/>
        <v>347.61</v>
      </c>
      <c r="I29" s="189">
        <f t="shared" si="10"/>
        <v>360.16</v>
      </c>
      <c r="J29" s="189">
        <f t="shared" si="10"/>
        <v>361.16</v>
      </c>
      <c r="K29" s="189">
        <f t="shared" si="10"/>
        <v>350.47</v>
      </c>
      <c r="L29" s="189">
        <f t="shared" si="10"/>
        <v>363.12</v>
      </c>
      <c r="M29" s="209">
        <f t="shared" si="10"/>
        <v>0</v>
      </c>
    </row>
    <row r="30" spans="1:23" x14ac:dyDescent="0.25">
      <c r="A30" s="87"/>
      <c r="B30" s="89" t="s">
        <v>139</v>
      </c>
      <c r="C30" s="90">
        <f>C29+C27</f>
        <v>128751.28999999996</v>
      </c>
      <c r="D30" s="90">
        <f>C30+D29</f>
        <v>129072.28999999996</v>
      </c>
      <c r="E30" s="90">
        <f t="shared" ref="E30:M30" si="11">D30+E29</f>
        <v>129428.55999999997</v>
      </c>
      <c r="F30" s="90">
        <f t="shared" si="11"/>
        <v>129774.28999999996</v>
      </c>
      <c r="G30" s="90">
        <f t="shared" si="11"/>
        <v>130132.49999999997</v>
      </c>
      <c r="H30" s="90">
        <f t="shared" si="11"/>
        <v>130480.10999999997</v>
      </c>
      <c r="I30" s="90">
        <f t="shared" si="11"/>
        <v>130840.26999999997</v>
      </c>
      <c r="J30" s="90">
        <f t="shared" si="11"/>
        <v>131201.42999999996</v>
      </c>
      <c r="K30" s="90">
        <f t="shared" si="11"/>
        <v>131551.89999999997</v>
      </c>
      <c r="L30" s="90">
        <f t="shared" si="11"/>
        <v>131915.01999999996</v>
      </c>
      <c r="M30" s="207">
        <f t="shared" si="11"/>
        <v>131915.01999999996</v>
      </c>
    </row>
    <row r="31" spans="1:23" x14ac:dyDescent="0.25">
      <c r="A31" s="86"/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207"/>
    </row>
    <row r="32" spans="1:23" x14ac:dyDescent="0.25">
      <c r="A32" s="86">
        <v>511</v>
      </c>
      <c r="B32" s="104" t="s">
        <v>85</v>
      </c>
      <c r="C32" s="113"/>
      <c r="D32" s="113"/>
      <c r="E32" s="108"/>
      <c r="F32" s="113"/>
      <c r="G32" s="113"/>
      <c r="H32" s="113"/>
      <c r="I32" s="113"/>
      <c r="J32" s="113"/>
      <c r="K32" s="113"/>
      <c r="L32" s="113"/>
      <c r="M32" s="204"/>
    </row>
    <row r="33" spans="1:14" x14ac:dyDescent="0.25">
      <c r="A33" s="87" t="s">
        <v>64</v>
      </c>
      <c r="B33" t="s">
        <v>65</v>
      </c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204"/>
    </row>
    <row r="34" spans="1:14" x14ac:dyDescent="0.25">
      <c r="A34" s="87" t="s">
        <v>71</v>
      </c>
      <c r="B34" t="s">
        <v>117</v>
      </c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206"/>
    </row>
    <row r="35" spans="1:14" x14ac:dyDescent="0.25">
      <c r="A35" s="87" t="s">
        <v>71</v>
      </c>
      <c r="B35" t="s">
        <v>98</v>
      </c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206"/>
    </row>
    <row r="36" spans="1:14" x14ac:dyDescent="0.25">
      <c r="A36" s="87" t="s">
        <v>71</v>
      </c>
      <c r="B36" t="s">
        <v>99</v>
      </c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206"/>
    </row>
    <row r="37" spans="1:14" x14ac:dyDescent="0.25">
      <c r="A37" s="87" t="s">
        <v>71</v>
      </c>
      <c r="B37" t="s">
        <v>100</v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205"/>
    </row>
    <row r="38" spans="1:14" x14ac:dyDescent="0.25">
      <c r="A38" s="87"/>
      <c r="B38" s="89" t="s">
        <v>74</v>
      </c>
      <c r="C38" s="108">
        <f t="shared" ref="C38:M38" si="12">SUM(C34:C37)</f>
        <v>0</v>
      </c>
      <c r="D38" s="108">
        <f t="shared" si="12"/>
        <v>0</v>
      </c>
      <c r="E38" s="108">
        <f t="shared" si="12"/>
        <v>0</v>
      </c>
      <c r="F38" s="108">
        <f t="shared" si="12"/>
        <v>0</v>
      </c>
      <c r="G38" s="108">
        <f t="shared" si="12"/>
        <v>0</v>
      </c>
      <c r="H38" s="108">
        <f t="shared" si="12"/>
        <v>0</v>
      </c>
      <c r="I38" s="108">
        <f t="shared" si="12"/>
        <v>0</v>
      </c>
      <c r="J38" s="108">
        <f t="shared" si="12"/>
        <v>0</v>
      </c>
      <c r="K38" s="108">
        <f t="shared" si="12"/>
        <v>0</v>
      </c>
      <c r="L38" s="108">
        <f t="shared" si="12"/>
        <v>0</v>
      </c>
      <c r="M38" s="206">
        <f t="shared" si="12"/>
        <v>0</v>
      </c>
    </row>
    <row r="39" spans="1:14" x14ac:dyDescent="0.25">
      <c r="A39" s="87"/>
      <c r="B39" s="89" t="s">
        <v>73</v>
      </c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205">
        <f>ROUND(-'Authorized Margins'!G73*'WACAP 2017'!M43,2)</f>
        <v>0</v>
      </c>
    </row>
    <row r="40" spans="1:14" x14ac:dyDescent="0.25">
      <c r="A40" s="87"/>
      <c r="B40" s="89" t="s">
        <v>75</v>
      </c>
      <c r="C40" s="90">
        <f>-'WACAP 2020'!Q41</f>
        <v>-246215.44</v>
      </c>
      <c r="D40" s="90">
        <f t="shared" ref="D40" si="13">SUM(D38:D39)</f>
        <v>0</v>
      </c>
      <c r="E40" s="90">
        <f t="shared" ref="E40:L40" si="14">SUM(E38:E39)</f>
        <v>0</v>
      </c>
      <c r="F40" s="90">
        <f t="shared" si="14"/>
        <v>0</v>
      </c>
      <c r="G40" s="90">
        <f t="shared" si="14"/>
        <v>0</v>
      </c>
      <c r="H40" s="90">
        <f t="shared" si="14"/>
        <v>0</v>
      </c>
      <c r="I40" s="90">
        <f t="shared" si="14"/>
        <v>0</v>
      </c>
      <c r="J40" s="90">
        <f t="shared" si="14"/>
        <v>0</v>
      </c>
      <c r="K40" s="90">
        <f t="shared" si="14"/>
        <v>0</v>
      </c>
      <c r="L40" s="90">
        <f t="shared" si="14"/>
        <v>0</v>
      </c>
      <c r="M40" s="207"/>
    </row>
    <row r="41" spans="1:14" x14ac:dyDescent="0.25">
      <c r="A41" s="87"/>
      <c r="B41" s="89" t="s">
        <v>137</v>
      </c>
      <c r="C41" s="187">
        <f>ROUND(ROUND(C40*C$5,2)/365*C$6,2)</f>
        <v>-679.62</v>
      </c>
      <c r="D41" s="187">
        <f>ROUND(ROUND(C43*D$5,2)/365*D$6,2)</f>
        <v>-615.54999999999995</v>
      </c>
      <c r="E41" s="187">
        <f t="shared" ref="E41:L41" si="15">ROUND(ROUND(D43*E$5,2)/365*E$6,2)</f>
        <v>-683.2</v>
      </c>
      <c r="F41" s="187">
        <f t="shared" si="15"/>
        <v>-662.98</v>
      </c>
      <c r="G41" s="187">
        <f t="shared" si="15"/>
        <v>-686.91</v>
      </c>
      <c r="H41" s="187">
        <f t="shared" si="15"/>
        <v>-666.59</v>
      </c>
      <c r="I41" s="187">
        <f t="shared" si="15"/>
        <v>-690.65</v>
      </c>
      <c r="J41" s="187">
        <f t="shared" si="15"/>
        <v>-692.56</v>
      </c>
      <c r="K41" s="187">
        <f t="shared" si="15"/>
        <v>-672.06</v>
      </c>
      <c r="L41" s="187">
        <f t="shared" si="15"/>
        <v>-696.32</v>
      </c>
      <c r="M41" s="208">
        <f>ROUND(ROUND(K43*M$5,2)/365*M$6,2)</f>
        <v>0</v>
      </c>
      <c r="N41" s="108">
        <f>SUM(C41:M41)</f>
        <v>-6746.4399999999987</v>
      </c>
    </row>
    <row r="42" spans="1:14" x14ac:dyDescent="0.25">
      <c r="A42" s="87"/>
      <c r="B42" s="89" t="s">
        <v>138</v>
      </c>
      <c r="C42" s="189">
        <f>C41</f>
        <v>-679.62</v>
      </c>
      <c r="D42" s="189">
        <f t="shared" ref="D42:M42" si="16">SUM(D40:D41)</f>
        <v>-615.54999999999995</v>
      </c>
      <c r="E42" s="189">
        <f t="shared" si="16"/>
        <v>-683.2</v>
      </c>
      <c r="F42" s="189">
        <f t="shared" si="16"/>
        <v>-662.98</v>
      </c>
      <c r="G42" s="189">
        <f t="shared" si="16"/>
        <v>-686.91</v>
      </c>
      <c r="H42" s="189">
        <f t="shared" si="16"/>
        <v>-666.59</v>
      </c>
      <c r="I42" s="189">
        <f t="shared" si="16"/>
        <v>-690.65</v>
      </c>
      <c r="J42" s="189">
        <f t="shared" si="16"/>
        <v>-692.56</v>
      </c>
      <c r="K42" s="189">
        <f t="shared" si="16"/>
        <v>-672.06</v>
      </c>
      <c r="L42" s="189">
        <f t="shared" si="16"/>
        <v>-696.32</v>
      </c>
      <c r="M42" s="209">
        <f t="shared" si="16"/>
        <v>0</v>
      </c>
    </row>
    <row r="43" spans="1:14" x14ac:dyDescent="0.25">
      <c r="A43" s="87"/>
      <c r="B43" s="89" t="s">
        <v>139</v>
      </c>
      <c r="C43" s="90">
        <f>C42+C40</f>
        <v>-246895.06</v>
      </c>
      <c r="D43" s="90">
        <f>C43+D42</f>
        <v>-247510.61</v>
      </c>
      <c r="E43" s="90">
        <f t="shared" ref="E43:M43" si="17">D43+E42</f>
        <v>-248193.81</v>
      </c>
      <c r="F43" s="90">
        <f t="shared" si="17"/>
        <v>-248856.79</v>
      </c>
      <c r="G43" s="90">
        <f t="shared" si="17"/>
        <v>-249543.7</v>
      </c>
      <c r="H43" s="90">
        <f t="shared" si="17"/>
        <v>-250210.29</v>
      </c>
      <c r="I43" s="90">
        <f t="shared" si="17"/>
        <v>-250900.94</v>
      </c>
      <c r="J43" s="90">
        <f t="shared" si="17"/>
        <v>-251593.5</v>
      </c>
      <c r="K43" s="90">
        <f t="shared" si="17"/>
        <v>-252265.56</v>
      </c>
      <c r="L43" s="90">
        <f t="shared" si="17"/>
        <v>-252961.88</v>
      </c>
      <c r="M43" s="207">
        <f t="shared" si="17"/>
        <v>-252961.88</v>
      </c>
    </row>
    <row r="44" spans="1:14" x14ac:dyDescent="0.25">
      <c r="A44" s="86"/>
      <c r="C44" s="113"/>
      <c r="D44" s="113"/>
      <c r="E44" s="108"/>
      <c r="F44" s="113"/>
      <c r="G44" s="113"/>
      <c r="H44" s="113"/>
      <c r="I44" s="113"/>
      <c r="J44" s="113"/>
      <c r="K44" s="113"/>
      <c r="L44" s="113"/>
      <c r="M44" s="204"/>
    </row>
    <row r="45" spans="1:14" x14ac:dyDescent="0.25">
      <c r="A45" s="86" t="s">
        <v>154</v>
      </c>
      <c r="B45" s="104" t="s">
        <v>86</v>
      </c>
      <c r="C45" s="113"/>
      <c r="D45" s="113"/>
      <c r="E45" s="108"/>
      <c r="F45" s="113"/>
      <c r="G45" s="113"/>
      <c r="H45" s="113"/>
      <c r="I45" s="113"/>
      <c r="J45" s="113"/>
      <c r="K45" s="113"/>
      <c r="L45" s="113"/>
      <c r="M45" s="204"/>
    </row>
    <row r="46" spans="1:14" x14ac:dyDescent="0.25">
      <c r="A46" s="87" t="s">
        <v>64</v>
      </c>
      <c r="B46" t="s">
        <v>65</v>
      </c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204"/>
    </row>
    <row r="47" spans="1:14" x14ac:dyDescent="0.25">
      <c r="A47" s="87" t="s">
        <v>71</v>
      </c>
      <c r="B47" t="s">
        <v>70</v>
      </c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206"/>
    </row>
    <row r="48" spans="1:14" x14ac:dyDescent="0.25">
      <c r="A48" s="87" t="s">
        <v>72</v>
      </c>
      <c r="B48" t="s">
        <v>143</v>
      </c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206"/>
    </row>
    <row r="49" spans="1:14" x14ac:dyDescent="0.25">
      <c r="A49" s="87" t="s">
        <v>72</v>
      </c>
      <c r="B49" t="s">
        <v>144</v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205"/>
    </row>
    <row r="50" spans="1:14" x14ac:dyDescent="0.25">
      <c r="A50" s="87"/>
      <c r="B50" s="89" t="s">
        <v>74</v>
      </c>
      <c r="C50" s="108">
        <f t="shared" ref="C50:E50" si="18">SUM(C47:C49)</f>
        <v>0</v>
      </c>
      <c r="D50" s="108">
        <f t="shared" si="18"/>
        <v>0</v>
      </c>
      <c r="E50" s="108">
        <f t="shared" si="18"/>
        <v>0</v>
      </c>
      <c r="F50" s="108">
        <f>SUM(F47:F49)</f>
        <v>0</v>
      </c>
      <c r="G50" s="108">
        <f t="shared" ref="G50:M50" si="19">SUM(G47:G49)</f>
        <v>0</v>
      </c>
      <c r="H50" s="108">
        <f t="shared" si="19"/>
        <v>0</v>
      </c>
      <c r="I50" s="108">
        <f t="shared" si="19"/>
        <v>0</v>
      </c>
      <c r="J50" s="108">
        <f t="shared" si="19"/>
        <v>0</v>
      </c>
      <c r="K50" s="108">
        <f t="shared" si="19"/>
        <v>0</v>
      </c>
      <c r="L50" s="108">
        <f t="shared" si="19"/>
        <v>0</v>
      </c>
      <c r="M50" s="206">
        <f t="shared" si="19"/>
        <v>0</v>
      </c>
    </row>
    <row r="51" spans="1:14" x14ac:dyDescent="0.25">
      <c r="A51" s="87"/>
      <c r="B51" s="89" t="s">
        <v>73</v>
      </c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205">
        <f>ROUND(-'Authorized Margins'!G47*'WACAP 2017'!M56,2)</f>
        <v>0</v>
      </c>
    </row>
    <row r="52" spans="1:14" x14ac:dyDescent="0.25">
      <c r="A52" s="87"/>
      <c r="B52" s="89" t="s">
        <v>75</v>
      </c>
      <c r="C52" s="90">
        <f>-'WACAP 2020'!Q53</f>
        <v>-12071.150000000001</v>
      </c>
      <c r="D52" s="90">
        <f t="shared" ref="D52" si="20">SUM(D50:D51)</f>
        <v>0</v>
      </c>
      <c r="E52" s="90">
        <f t="shared" ref="E52:M52" si="21">SUM(E50:E51)</f>
        <v>0</v>
      </c>
      <c r="F52" s="90">
        <f t="shared" si="21"/>
        <v>0</v>
      </c>
      <c r="G52" s="90">
        <f t="shared" si="21"/>
        <v>0</v>
      </c>
      <c r="H52" s="90">
        <f t="shared" si="21"/>
        <v>0</v>
      </c>
      <c r="I52" s="90">
        <f t="shared" si="21"/>
        <v>0</v>
      </c>
      <c r="J52" s="90">
        <f t="shared" si="21"/>
        <v>0</v>
      </c>
      <c r="K52" s="90">
        <f t="shared" si="21"/>
        <v>0</v>
      </c>
      <c r="L52" s="90">
        <f t="shared" si="21"/>
        <v>0</v>
      </c>
      <c r="M52" s="207">
        <f t="shared" si="21"/>
        <v>0</v>
      </c>
    </row>
    <row r="53" spans="1:14" x14ac:dyDescent="0.25">
      <c r="A53" s="87"/>
      <c r="B53" s="89" t="s">
        <v>137</v>
      </c>
      <c r="C53" s="187">
        <f>ROUND(ROUND(C52*C$5,2)/365*C$6,2)</f>
        <v>-33.32</v>
      </c>
      <c r="D53" s="187">
        <f>ROUND(ROUND(C55*D$5,2)/365*D$6,2)</f>
        <v>-30.18</v>
      </c>
      <c r="E53" s="187">
        <f t="shared" ref="E53:L53" si="22">ROUND(ROUND(D55*E$5,2)/365*E$6,2)</f>
        <v>-33.5</v>
      </c>
      <c r="F53" s="187">
        <f t="shared" si="22"/>
        <v>-32.5</v>
      </c>
      <c r="G53" s="187">
        <f t="shared" si="22"/>
        <v>-33.68</v>
      </c>
      <c r="H53" s="187">
        <f t="shared" si="22"/>
        <v>-32.68</v>
      </c>
      <c r="I53" s="187">
        <f t="shared" si="22"/>
        <v>-33.86</v>
      </c>
      <c r="J53" s="187">
        <f t="shared" si="22"/>
        <v>-33.950000000000003</v>
      </c>
      <c r="K53" s="187">
        <f t="shared" si="22"/>
        <v>-32.950000000000003</v>
      </c>
      <c r="L53" s="187">
        <f t="shared" si="22"/>
        <v>-34.14</v>
      </c>
      <c r="M53" s="208">
        <f t="shared" ref="M53" si="23">ROUND(ROUND(K55*M$5,2)/365*M$6,2)</f>
        <v>0</v>
      </c>
      <c r="N53" s="108">
        <f>SUM(C53:M53)</f>
        <v>-330.76</v>
      </c>
    </row>
    <row r="54" spans="1:14" x14ac:dyDescent="0.25">
      <c r="A54" s="87"/>
      <c r="B54" s="89" t="s">
        <v>138</v>
      </c>
      <c r="C54" s="189">
        <f>C53</f>
        <v>-33.32</v>
      </c>
      <c r="D54" s="189">
        <f t="shared" ref="D54:M54" si="24">SUM(D52:D53)</f>
        <v>-30.18</v>
      </c>
      <c r="E54" s="189">
        <f t="shared" si="24"/>
        <v>-33.5</v>
      </c>
      <c r="F54" s="189">
        <f t="shared" si="24"/>
        <v>-32.5</v>
      </c>
      <c r="G54" s="189">
        <f t="shared" si="24"/>
        <v>-33.68</v>
      </c>
      <c r="H54" s="189">
        <f t="shared" si="24"/>
        <v>-32.68</v>
      </c>
      <c r="I54" s="189">
        <f t="shared" si="24"/>
        <v>-33.86</v>
      </c>
      <c r="J54" s="189">
        <f t="shared" si="24"/>
        <v>-33.950000000000003</v>
      </c>
      <c r="K54" s="189">
        <f t="shared" si="24"/>
        <v>-32.950000000000003</v>
      </c>
      <c r="L54" s="189">
        <f t="shared" si="24"/>
        <v>-34.14</v>
      </c>
      <c r="M54" s="209">
        <f t="shared" si="24"/>
        <v>0</v>
      </c>
    </row>
    <row r="55" spans="1:14" x14ac:dyDescent="0.25">
      <c r="A55" s="87"/>
      <c r="B55" s="89" t="s">
        <v>139</v>
      </c>
      <c r="C55" s="90">
        <f>C54+C52</f>
        <v>-12104.470000000001</v>
      </c>
      <c r="D55" s="90">
        <f>C55+D54</f>
        <v>-12134.650000000001</v>
      </c>
      <c r="E55" s="90">
        <f t="shared" ref="E55:M55" si="25">D55+E54</f>
        <v>-12168.150000000001</v>
      </c>
      <c r="F55" s="90">
        <f t="shared" si="25"/>
        <v>-12200.650000000001</v>
      </c>
      <c r="G55" s="90">
        <f t="shared" si="25"/>
        <v>-12234.330000000002</v>
      </c>
      <c r="H55" s="90">
        <f t="shared" si="25"/>
        <v>-12267.010000000002</v>
      </c>
      <c r="I55" s="90">
        <f t="shared" si="25"/>
        <v>-12300.870000000003</v>
      </c>
      <c r="J55" s="90">
        <f t="shared" si="25"/>
        <v>-12334.820000000003</v>
      </c>
      <c r="K55" s="90">
        <f t="shared" si="25"/>
        <v>-12367.770000000004</v>
      </c>
      <c r="L55" s="90">
        <f t="shared" si="25"/>
        <v>-12401.910000000003</v>
      </c>
      <c r="M55" s="207">
        <f t="shared" si="25"/>
        <v>-12401.910000000003</v>
      </c>
    </row>
    <row r="56" spans="1:14" x14ac:dyDescent="0.25">
      <c r="A56" s="87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207"/>
    </row>
    <row r="57" spans="1:14" x14ac:dyDescent="0.25">
      <c r="A57" s="86">
        <v>504</v>
      </c>
      <c r="B57" s="104" t="s">
        <v>86</v>
      </c>
      <c r="C57" s="113"/>
      <c r="D57" s="113"/>
      <c r="E57" s="108"/>
      <c r="F57" s="113"/>
      <c r="G57" s="113"/>
      <c r="H57" s="113"/>
      <c r="I57" s="113"/>
      <c r="J57" s="113"/>
      <c r="K57" s="113"/>
      <c r="L57" s="113"/>
      <c r="M57" s="204"/>
    </row>
    <row r="58" spans="1:14" x14ac:dyDescent="0.25">
      <c r="A58" s="87" t="s">
        <v>64</v>
      </c>
      <c r="B58" t="s">
        <v>65</v>
      </c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204"/>
    </row>
    <row r="59" spans="1:14" x14ac:dyDescent="0.25">
      <c r="A59" s="87" t="s">
        <v>71</v>
      </c>
      <c r="B59" t="s">
        <v>70</v>
      </c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206"/>
    </row>
    <row r="60" spans="1:14" x14ac:dyDescent="0.25">
      <c r="A60" s="87" t="s">
        <v>72</v>
      </c>
      <c r="B60" t="s">
        <v>114</v>
      </c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206"/>
    </row>
    <row r="61" spans="1:14" x14ac:dyDescent="0.25">
      <c r="A61" s="87" t="s">
        <v>72</v>
      </c>
      <c r="B61" t="s">
        <v>115</v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205"/>
    </row>
    <row r="62" spans="1:14" x14ac:dyDescent="0.25">
      <c r="A62" s="87"/>
      <c r="B62" s="89" t="s">
        <v>74</v>
      </c>
      <c r="C62" s="108">
        <f t="shared" ref="C62:M62" si="26">SUM(C59:C61)</f>
        <v>0</v>
      </c>
      <c r="D62" s="108">
        <f t="shared" si="26"/>
        <v>0</v>
      </c>
      <c r="E62" s="108">
        <f t="shared" si="26"/>
        <v>0</v>
      </c>
      <c r="F62" s="108">
        <f>SUM(F59:F61)</f>
        <v>0</v>
      </c>
      <c r="G62" s="108">
        <f t="shared" si="26"/>
        <v>0</v>
      </c>
      <c r="H62" s="108">
        <f t="shared" si="26"/>
        <v>0</v>
      </c>
      <c r="I62" s="108">
        <f t="shared" si="26"/>
        <v>0</v>
      </c>
      <c r="J62" s="108">
        <f t="shared" si="26"/>
        <v>0</v>
      </c>
      <c r="K62" s="108">
        <f t="shared" si="26"/>
        <v>0</v>
      </c>
      <c r="L62" s="108">
        <f t="shared" si="26"/>
        <v>0</v>
      </c>
      <c r="M62" s="206">
        <f t="shared" si="26"/>
        <v>0</v>
      </c>
    </row>
    <row r="63" spans="1:14" x14ac:dyDescent="0.25">
      <c r="A63" s="87"/>
      <c r="B63" s="89" t="s">
        <v>73</v>
      </c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205">
        <f>ROUND(-'Authorized Margins'!G47*'WACAP 2017'!M68,2)</f>
        <v>0</v>
      </c>
    </row>
    <row r="64" spans="1:14" x14ac:dyDescent="0.25">
      <c r="A64" s="87"/>
      <c r="B64" s="89" t="s">
        <v>75</v>
      </c>
      <c r="C64" s="90">
        <f>-'WACAP 2020'!Q65</f>
        <v>2484120.0499999998</v>
      </c>
      <c r="D64" s="90">
        <f t="shared" ref="D64" si="27">SUM(D62:D63)</f>
        <v>0</v>
      </c>
      <c r="E64" s="90">
        <f t="shared" ref="E64:L64" si="28">SUM(E62:E63)</f>
        <v>0</v>
      </c>
      <c r="F64" s="90">
        <f t="shared" si="28"/>
        <v>0</v>
      </c>
      <c r="G64" s="90">
        <f t="shared" si="28"/>
        <v>0</v>
      </c>
      <c r="H64" s="90">
        <f t="shared" si="28"/>
        <v>0</v>
      </c>
      <c r="I64" s="90">
        <f t="shared" si="28"/>
        <v>0</v>
      </c>
      <c r="J64" s="90">
        <f t="shared" si="28"/>
        <v>0</v>
      </c>
      <c r="K64" s="90">
        <f t="shared" si="28"/>
        <v>0</v>
      </c>
      <c r="L64" s="90">
        <f t="shared" si="28"/>
        <v>0</v>
      </c>
      <c r="M64" s="207"/>
    </row>
    <row r="65" spans="1:14" x14ac:dyDescent="0.25">
      <c r="A65" s="87"/>
      <c r="B65" s="89" t="s">
        <v>137</v>
      </c>
      <c r="C65" s="216">
        <f>ROUND(ROUND(C64*C$5,2)/365*C$6,2)</f>
        <v>6856.85</v>
      </c>
      <c r="D65" s="216">
        <f>ROUND(ROUND(C67*D$5,2)/365*D$6,2)</f>
        <v>6210.38</v>
      </c>
      <c r="E65" s="216">
        <f>ROUND(ROUND(D67*E$5,2)/365*E$6,2)</f>
        <v>6892.92</v>
      </c>
      <c r="F65" s="187">
        <f t="shared" ref="F65:K65" si="29">ROUND(ROUND(E67*F$5,2)/365*F$6,2)</f>
        <v>6688.98</v>
      </c>
      <c r="G65" s="187">
        <f t="shared" si="29"/>
        <v>6930.41</v>
      </c>
      <c r="H65" s="187">
        <f t="shared" si="29"/>
        <v>6725.36</v>
      </c>
      <c r="I65" s="187">
        <f t="shared" si="29"/>
        <v>6968.1</v>
      </c>
      <c r="J65" s="187">
        <f t="shared" si="29"/>
        <v>6987.34</v>
      </c>
      <c r="K65" s="187">
        <f t="shared" si="29"/>
        <v>6780.6</v>
      </c>
      <c r="L65" s="216">
        <f>ROUND(ROUND(K67*L$5,2)/365*L$6,2)</f>
        <v>7025.34</v>
      </c>
      <c r="M65" s="208">
        <f>ROUND(ROUND(K67*M$5,2)/365*M$6,2)</f>
        <v>0</v>
      </c>
      <c r="N65" s="108">
        <f>SUM(C65:M65)</f>
        <v>68066.28</v>
      </c>
    </row>
    <row r="66" spans="1:14" x14ac:dyDescent="0.25">
      <c r="A66" s="87"/>
      <c r="B66" s="89" t="s">
        <v>138</v>
      </c>
      <c r="C66" s="189">
        <f>C65</f>
        <v>6856.85</v>
      </c>
      <c r="D66" s="189">
        <f t="shared" ref="D66:M66" si="30">SUM(D64:D65)</f>
        <v>6210.38</v>
      </c>
      <c r="E66" s="189">
        <f t="shared" si="30"/>
        <v>6892.92</v>
      </c>
      <c r="F66" s="189">
        <f t="shared" si="30"/>
        <v>6688.98</v>
      </c>
      <c r="G66" s="189">
        <f t="shared" si="30"/>
        <v>6930.41</v>
      </c>
      <c r="H66" s="189">
        <f t="shared" si="30"/>
        <v>6725.36</v>
      </c>
      <c r="I66" s="189">
        <f t="shared" si="30"/>
        <v>6968.1</v>
      </c>
      <c r="J66" s="189">
        <f t="shared" si="30"/>
        <v>6987.34</v>
      </c>
      <c r="K66" s="189">
        <f t="shared" si="30"/>
        <v>6780.6</v>
      </c>
      <c r="L66" s="189">
        <f t="shared" si="30"/>
        <v>7025.34</v>
      </c>
      <c r="M66" s="209">
        <f t="shared" si="30"/>
        <v>0</v>
      </c>
    </row>
    <row r="67" spans="1:14" x14ac:dyDescent="0.25">
      <c r="A67" s="87"/>
      <c r="B67" s="89" t="s">
        <v>139</v>
      </c>
      <c r="C67" s="90">
        <f>C66+C64</f>
        <v>2490976.9</v>
      </c>
      <c r="D67" s="90">
        <f>C67+D66</f>
        <v>2497187.2799999998</v>
      </c>
      <c r="E67" s="90">
        <f t="shared" ref="E67:M67" si="31">D67+E66</f>
        <v>2504080.1999999997</v>
      </c>
      <c r="F67" s="90">
        <f t="shared" si="31"/>
        <v>2510769.1799999997</v>
      </c>
      <c r="G67" s="90">
        <f t="shared" si="31"/>
        <v>2517699.59</v>
      </c>
      <c r="H67" s="90">
        <f t="shared" si="31"/>
        <v>2524424.9499999997</v>
      </c>
      <c r="I67" s="90">
        <f t="shared" si="31"/>
        <v>2531393.0499999998</v>
      </c>
      <c r="J67" s="90">
        <f t="shared" si="31"/>
        <v>2538380.3899999997</v>
      </c>
      <c r="K67" s="90">
        <f t="shared" si="31"/>
        <v>2545160.9899999998</v>
      </c>
      <c r="L67" s="90">
        <f t="shared" si="31"/>
        <v>2552186.3299999996</v>
      </c>
      <c r="M67" s="207">
        <f t="shared" si="31"/>
        <v>2552186.3299999996</v>
      </c>
    </row>
    <row r="68" spans="1:14" x14ac:dyDescent="0.25">
      <c r="A68" s="87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207"/>
    </row>
    <row r="69" spans="1:14" x14ac:dyDescent="0.25">
      <c r="A69" s="86" t="s">
        <v>169</v>
      </c>
      <c r="B69" s="104" t="s">
        <v>86</v>
      </c>
      <c r="C69" s="113"/>
      <c r="D69" s="113"/>
      <c r="E69" s="108"/>
      <c r="F69" s="113"/>
      <c r="G69" s="113"/>
      <c r="H69" s="113"/>
      <c r="I69" s="113"/>
      <c r="J69" s="113"/>
      <c r="K69" s="113"/>
      <c r="L69" s="113"/>
      <c r="M69" s="204"/>
    </row>
    <row r="70" spans="1:14" x14ac:dyDescent="0.25">
      <c r="A70" s="87" t="s">
        <v>64</v>
      </c>
      <c r="B70" t="s">
        <v>172</v>
      </c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204"/>
    </row>
    <row r="71" spans="1:14" x14ac:dyDescent="0.25">
      <c r="A71" s="87" t="s">
        <v>71</v>
      </c>
      <c r="B71" t="s">
        <v>98</v>
      </c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206"/>
    </row>
    <row r="72" spans="1:14" x14ac:dyDescent="0.25">
      <c r="A72" s="87" t="s">
        <v>71</v>
      </c>
      <c r="B72" t="s">
        <v>99</v>
      </c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206"/>
    </row>
    <row r="73" spans="1:14" x14ac:dyDescent="0.25">
      <c r="A73" s="87" t="s">
        <v>71</v>
      </c>
      <c r="B73" t="s">
        <v>100</v>
      </c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206"/>
    </row>
    <row r="74" spans="1:14" x14ac:dyDescent="0.25">
      <c r="A74" s="87" t="s">
        <v>72</v>
      </c>
      <c r="B74" s="270" t="s">
        <v>164</v>
      </c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206"/>
    </row>
    <row r="75" spans="1:14" x14ac:dyDescent="0.25">
      <c r="A75" s="87" t="s">
        <v>72</v>
      </c>
      <c r="B75" s="270" t="s">
        <v>165</v>
      </c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206"/>
    </row>
    <row r="76" spans="1:14" x14ac:dyDescent="0.25">
      <c r="A76" s="87" t="s">
        <v>72</v>
      </c>
      <c r="B76" s="270" t="s">
        <v>166</v>
      </c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206"/>
    </row>
    <row r="77" spans="1:14" x14ac:dyDescent="0.25">
      <c r="A77" s="87" t="s">
        <v>72</v>
      </c>
      <c r="B77" t="s">
        <v>144</v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205"/>
    </row>
    <row r="78" spans="1:14" x14ac:dyDescent="0.25">
      <c r="A78" s="87"/>
      <c r="B78" s="89" t="s">
        <v>74</v>
      </c>
      <c r="C78" s="108">
        <f t="shared" ref="C78:M78" si="32">SUM(C71:C77)</f>
        <v>0</v>
      </c>
      <c r="D78" s="108">
        <f t="shared" si="32"/>
        <v>0</v>
      </c>
      <c r="E78" s="108">
        <f t="shared" si="32"/>
        <v>0</v>
      </c>
      <c r="F78" s="108">
        <f t="shared" si="32"/>
        <v>0</v>
      </c>
      <c r="G78" s="108">
        <f t="shared" si="32"/>
        <v>0</v>
      </c>
      <c r="H78" s="108">
        <f t="shared" si="32"/>
        <v>0</v>
      </c>
      <c r="I78" s="108">
        <f t="shared" si="32"/>
        <v>0</v>
      </c>
      <c r="J78" s="108">
        <f t="shared" si="32"/>
        <v>0</v>
      </c>
      <c r="K78" s="108">
        <f t="shared" si="32"/>
        <v>0</v>
      </c>
      <c r="L78" s="108">
        <f t="shared" si="32"/>
        <v>0</v>
      </c>
      <c r="M78" s="206">
        <f t="shared" si="32"/>
        <v>0</v>
      </c>
    </row>
    <row r="79" spans="1:14" x14ac:dyDescent="0.25">
      <c r="A79" s="87"/>
      <c r="B79" s="89" t="s">
        <v>73</v>
      </c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205">
        <v>0</v>
      </c>
    </row>
    <row r="80" spans="1:14" x14ac:dyDescent="0.25">
      <c r="A80" s="87"/>
      <c r="B80" s="89" t="s">
        <v>75</v>
      </c>
      <c r="C80" s="90">
        <f>-'WACAP 2020'!Q82</f>
        <v>-595590.74</v>
      </c>
      <c r="D80" s="90">
        <f t="shared" ref="D80:L80" si="33">SUM(D78:D79)</f>
        <v>0</v>
      </c>
      <c r="E80" s="90">
        <f t="shared" si="33"/>
        <v>0</v>
      </c>
      <c r="F80" s="90">
        <f t="shared" si="33"/>
        <v>0</v>
      </c>
      <c r="G80" s="90">
        <f t="shared" si="33"/>
        <v>0</v>
      </c>
      <c r="H80" s="90">
        <f t="shared" si="33"/>
        <v>0</v>
      </c>
      <c r="I80" s="90">
        <f t="shared" si="33"/>
        <v>0</v>
      </c>
      <c r="J80" s="90">
        <f t="shared" si="33"/>
        <v>0</v>
      </c>
      <c r="K80" s="90">
        <f t="shared" si="33"/>
        <v>0</v>
      </c>
      <c r="L80" s="90">
        <f t="shared" si="33"/>
        <v>0</v>
      </c>
      <c r="M80" s="207"/>
    </row>
    <row r="81" spans="1:14" x14ac:dyDescent="0.25">
      <c r="A81" s="87"/>
      <c r="B81" s="89" t="s">
        <v>137</v>
      </c>
      <c r="C81" s="187">
        <f>ROUND(ROUND(C80*C$5,2)/365*C$6,2)</f>
        <v>-1643.99</v>
      </c>
      <c r="D81" s="187">
        <f>ROUND(ROUND(C83*D$5,2)/365*D$6,2)</f>
        <v>-1489</v>
      </c>
      <c r="E81" s="187">
        <f t="shared" ref="E81:L81" si="34">ROUND(ROUND(D83*E$5,2)/365*E$6,2)</f>
        <v>-1652.64</v>
      </c>
      <c r="F81" s="187">
        <f t="shared" si="34"/>
        <v>-1603.74</v>
      </c>
      <c r="G81" s="187">
        <f t="shared" si="34"/>
        <v>-1661.63</v>
      </c>
      <c r="H81" s="187">
        <f t="shared" si="34"/>
        <v>-1612.47</v>
      </c>
      <c r="I81" s="187">
        <f t="shared" si="34"/>
        <v>-1670.67</v>
      </c>
      <c r="J81" s="187">
        <f t="shared" si="34"/>
        <v>-1675.28</v>
      </c>
      <c r="K81" s="187">
        <f t="shared" si="34"/>
        <v>-1625.71</v>
      </c>
      <c r="L81" s="187">
        <f t="shared" si="34"/>
        <v>-1684.39</v>
      </c>
      <c r="M81" s="208">
        <f>ROUND(ROUND(K83*M$5,2)/365*M$6,2)</f>
        <v>0</v>
      </c>
      <c r="N81" s="108">
        <f>SUM(C81:M81)</f>
        <v>-16319.52</v>
      </c>
    </row>
    <row r="82" spans="1:14" x14ac:dyDescent="0.25">
      <c r="A82" s="87"/>
      <c r="B82" s="89" t="s">
        <v>138</v>
      </c>
      <c r="C82" s="189">
        <f>C81</f>
        <v>-1643.99</v>
      </c>
      <c r="D82" s="189">
        <f t="shared" ref="D82:M82" si="35">SUM(D80:D81)</f>
        <v>-1489</v>
      </c>
      <c r="E82" s="189">
        <f t="shared" si="35"/>
        <v>-1652.64</v>
      </c>
      <c r="F82" s="189">
        <f t="shared" si="35"/>
        <v>-1603.74</v>
      </c>
      <c r="G82" s="189">
        <f t="shared" si="35"/>
        <v>-1661.63</v>
      </c>
      <c r="H82" s="189">
        <f t="shared" si="35"/>
        <v>-1612.47</v>
      </c>
      <c r="I82" s="189">
        <f t="shared" si="35"/>
        <v>-1670.67</v>
      </c>
      <c r="J82" s="189">
        <f t="shared" si="35"/>
        <v>-1675.28</v>
      </c>
      <c r="K82" s="189">
        <f t="shared" si="35"/>
        <v>-1625.71</v>
      </c>
      <c r="L82" s="189">
        <f t="shared" si="35"/>
        <v>-1684.39</v>
      </c>
      <c r="M82" s="209">
        <f t="shared" si="35"/>
        <v>0</v>
      </c>
    </row>
    <row r="83" spans="1:14" x14ac:dyDescent="0.25">
      <c r="A83" s="87"/>
      <c r="B83" s="89" t="s">
        <v>139</v>
      </c>
      <c r="C83" s="90">
        <f>C82+C80</f>
        <v>-597234.73</v>
      </c>
      <c r="D83" s="90">
        <f>C83+D82</f>
        <v>-598723.73</v>
      </c>
      <c r="E83" s="90">
        <f t="shared" ref="E83:M83" si="36">D83+E82</f>
        <v>-600376.37</v>
      </c>
      <c r="F83" s="90">
        <f t="shared" si="36"/>
        <v>-601980.11</v>
      </c>
      <c r="G83" s="90">
        <f t="shared" si="36"/>
        <v>-603641.74</v>
      </c>
      <c r="H83" s="90">
        <f t="shared" si="36"/>
        <v>-605254.21</v>
      </c>
      <c r="I83" s="90">
        <f t="shared" si="36"/>
        <v>-606924.88</v>
      </c>
      <c r="J83" s="90">
        <f t="shared" si="36"/>
        <v>-608600.16</v>
      </c>
      <c r="K83" s="90">
        <f t="shared" si="36"/>
        <v>-610225.87</v>
      </c>
      <c r="L83" s="90">
        <f t="shared" si="36"/>
        <v>-611910.26</v>
      </c>
      <c r="M83" s="207">
        <f t="shared" si="36"/>
        <v>-611910.26</v>
      </c>
    </row>
    <row r="84" spans="1:14" x14ac:dyDescent="0.25">
      <c r="A84" s="86"/>
      <c r="C84" s="113"/>
      <c r="D84" s="113"/>
      <c r="E84" s="108"/>
      <c r="F84" s="113"/>
      <c r="G84" s="113"/>
      <c r="H84" s="113"/>
      <c r="I84" s="113"/>
      <c r="J84" s="113"/>
      <c r="K84" s="113"/>
      <c r="L84" s="113"/>
      <c r="M84" s="204"/>
    </row>
    <row r="85" spans="1:14" x14ac:dyDescent="0.25">
      <c r="A85" s="86">
        <v>511</v>
      </c>
      <c r="B85" s="104" t="s">
        <v>86</v>
      </c>
      <c r="C85" s="113"/>
      <c r="D85" s="113"/>
      <c r="E85" s="108"/>
      <c r="F85" s="113"/>
      <c r="G85" s="113"/>
      <c r="H85" s="113"/>
      <c r="I85" s="113"/>
      <c r="J85" s="113"/>
      <c r="K85" s="113"/>
      <c r="L85" s="113"/>
      <c r="M85" s="204"/>
    </row>
    <row r="86" spans="1:14" x14ac:dyDescent="0.25">
      <c r="A86" s="87" t="s">
        <v>64</v>
      </c>
      <c r="B86" t="s">
        <v>65</v>
      </c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204"/>
    </row>
    <row r="87" spans="1:14" x14ac:dyDescent="0.25">
      <c r="A87" s="87" t="s">
        <v>71</v>
      </c>
      <c r="B87" t="s">
        <v>117</v>
      </c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206"/>
    </row>
    <row r="88" spans="1:14" x14ac:dyDescent="0.25">
      <c r="A88" s="87" t="s">
        <v>71</v>
      </c>
      <c r="B88" t="s">
        <v>98</v>
      </c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206"/>
    </row>
    <row r="89" spans="1:14" x14ac:dyDescent="0.25">
      <c r="A89" s="87" t="s">
        <v>71</v>
      </c>
      <c r="B89" t="s">
        <v>99</v>
      </c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206"/>
    </row>
    <row r="90" spans="1:14" x14ac:dyDescent="0.25">
      <c r="A90" s="87" t="s">
        <v>71</v>
      </c>
      <c r="B90" t="s">
        <v>100</v>
      </c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206"/>
    </row>
    <row r="91" spans="1:14" x14ac:dyDescent="0.25">
      <c r="A91" s="87" t="s">
        <v>72</v>
      </c>
      <c r="B91" t="s">
        <v>114</v>
      </c>
      <c r="C91" s="124"/>
      <c r="D91" s="124"/>
      <c r="E91" s="124"/>
      <c r="F91" s="124"/>
      <c r="G91" s="124"/>
      <c r="H91" s="124"/>
      <c r="I91" s="124"/>
      <c r="J91" s="124"/>
      <c r="K91" s="124"/>
      <c r="L91" s="124"/>
      <c r="M91" s="206"/>
    </row>
    <row r="92" spans="1:14" x14ac:dyDescent="0.25">
      <c r="A92" s="87" t="s">
        <v>72</v>
      </c>
      <c r="B92" t="s">
        <v>115</v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205"/>
    </row>
    <row r="93" spans="1:14" x14ac:dyDescent="0.25">
      <c r="A93" s="87"/>
      <c r="B93" s="89" t="s">
        <v>74</v>
      </c>
      <c r="C93" s="108">
        <f t="shared" ref="C93:M93" si="37">SUM(C87:C92)</f>
        <v>0</v>
      </c>
      <c r="D93" s="108">
        <f t="shared" si="37"/>
        <v>0</v>
      </c>
      <c r="E93" s="108">
        <f t="shared" si="37"/>
        <v>0</v>
      </c>
      <c r="F93" s="108">
        <f t="shared" si="37"/>
        <v>0</v>
      </c>
      <c r="G93" s="108">
        <f t="shared" si="37"/>
        <v>0</v>
      </c>
      <c r="H93" s="108">
        <f t="shared" si="37"/>
        <v>0</v>
      </c>
      <c r="I93" s="108">
        <f t="shared" si="37"/>
        <v>0</v>
      </c>
      <c r="J93" s="108">
        <f t="shared" si="37"/>
        <v>0</v>
      </c>
      <c r="K93" s="108">
        <f t="shared" si="37"/>
        <v>0</v>
      </c>
      <c r="L93" s="108">
        <f t="shared" si="37"/>
        <v>0</v>
      </c>
      <c r="M93" s="206">
        <f t="shared" si="37"/>
        <v>0</v>
      </c>
    </row>
    <row r="94" spans="1:14" x14ac:dyDescent="0.25">
      <c r="A94" s="87"/>
      <c r="B94" s="89" t="s">
        <v>73</v>
      </c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205">
        <f>ROUND(-'Authorized Margins'!G73*'WACAP 2017'!M80,2)</f>
        <v>0</v>
      </c>
    </row>
    <row r="95" spans="1:14" x14ac:dyDescent="0.25">
      <c r="A95" s="87"/>
      <c r="B95" s="89" t="s">
        <v>75</v>
      </c>
      <c r="C95" s="90">
        <f>-'WACAP 2020'!Q96</f>
        <v>133006.58999999997</v>
      </c>
      <c r="D95" s="90">
        <f t="shared" ref="D95" si="38">SUM(D93:D94)</f>
        <v>0</v>
      </c>
      <c r="E95" s="90">
        <f t="shared" ref="E95:L95" si="39">SUM(E93:E94)</f>
        <v>0</v>
      </c>
      <c r="F95" s="90">
        <f t="shared" si="39"/>
        <v>0</v>
      </c>
      <c r="G95" s="90">
        <f t="shared" si="39"/>
        <v>0</v>
      </c>
      <c r="H95" s="90">
        <f t="shared" si="39"/>
        <v>0</v>
      </c>
      <c r="I95" s="90">
        <f t="shared" si="39"/>
        <v>0</v>
      </c>
      <c r="J95" s="90">
        <f t="shared" si="39"/>
        <v>0</v>
      </c>
      <c r="K95" s="90">
        <f t="shared" si="39"/>
        <v>0</v>
      </c>
      <c r="L95" s="90">
        <f t="shared" si="39"/>
        <v>0</v>
      </c>
      <c r="M95" s="207"/>
    </row>
    <row r="96" spans="1:14" x14ac:dyDescent="0.25">
      <c r="A96" s="87"/>
      <c r="B96" s="89" t="s">
        <v>137</v>
      </c>
      <c r="C96" s="187">
        <f>ROUND(ROUND(C95*C$5,2)/365*C$6,2)</f>
        <v>367.13</v>
      </c>
      <c r="D96" s="187">
        <f>ROUND(ROUND(C98*D$5,2)/365*D$6,2)</f>
        <v>332.52</v>
      </c>
      <c r="E96" s="187">
        <f t="shared" ref="E96:L96" si="40">ROUND(ROUND(D98*E$5,2)/365*E$6,2)</f>
        <v>369.07</v>
      </c>
      <c r="F96" s="187">
        <f t="shared" si="40"/>
        <v>358.15</v>
      </c>
      <c r="G96" s="187">
        <f t="shared" si="40"/>
        <v>371.07</v>
      </c>
      <c r="H96" s="187">
        <f t="shared" si="40"/>
        <v>360.09</v>
      </c>
      <c r="I96" s="187">
        <f t="shared" si="40"/>
        <v>373.09</v>
      </c>
      <c r="J96" s="187">
        <f t="shared" si="40"/>
        <v>374.12</v>
      </c>
      <c r="K96" s="187">
        <f t="shared" si="40"/>
        <v>363.05</v>
      </c>
      <c r="L96" s="187">
        <f t="shared" si="40"/>
        <v>376.16</v>
      </c>
      <c r="M96" s="208">
        <f>ROUND(ROUND(K98*M$5,2)/365*M$6,2)</f>
        <v>0</v>
      </c>
      <c r="N96" s="108">
        <f>SUM(C96:M96)</f>
        <v>3644.45</v>
      </c>
    </row>
    <row r="97" spans="1:14" x14ac:dyDescent="0.25">
      <c r="A97" s="87"/>
      <c r="B97" s="89" t="s">
        <v>138</v>
      </c>
      <c r="C97" s="189">
        <f>C96</f>
        <v>367.13</v>
      </c>
      <c r="D97" s="189">
        <f t="shared" ref="D97:M97" si="41">SUM(D95:D96)</f>
        <v>332.52</v>
      </c>
      <c r="E97" s="189">
        <f t="shared" si="41"/>
        <v>369.07</v>
      </c>
      <c r="F97" s="189">
        <f t="shared" si="41"/>
        <v>358.15</v>
      </c>
      <c r="G97" s="189">
        <f t="shared" si="41"/>
        <v>371.07</v>
      </c>
      <c r="H97" s="189">
        <f t="shared" si="41"/>
        <v>360.09</v>
      </c>
      <c r="I97" s="189">
        <f t="shared" si="41"/>
        <v>373.09</v>
      </c>
      <c r="J97" s="189">
        <f t="shared" si="41"/>
        <v>374.12</v>
      </c>
      <c r="K97" s="189">
        <f t="shared" si="41"/>
        <v>363.05</v>
      </c>
      <c r="L97" s="189">
        <f t="shared" si="41"/>
        <v>376.16</v>
      </c>
      <c r="M97" s="209">
        <f t="shared" si="41"/>
        <v>0</v>
      </c>
    </row>
    <row r="98" spans="1:14" x14ac:dyDescent="0.25">
      <c r="A98" s="87"/>
      <c r="B98" s="89" t="s">
        <v>139</v>
      </c>
      <c r="C98" s="90">
        <f>C97+C95</f>
        <v>133373.71999999997</v>
      </c>
      <c r="D98" s="90">
        <f>C98+D97</f>
        <v>133706.23999999996</v>
      </c>
      <c r="E98" s="90">
        <f t="shared" ref="E98:M98" si="42">D98+E97</f>
        <v>134075.30999999997</v>
      </c>
      <c r="F98" s="90">
        <f t="shared" si="42"/>
        <v>134433.45999999996</v>
      </c>
      <c r="G98" s="90">
        <f t="shared" si="42"/>
        <v>134804.52999999997</v>
      </c>
      <c r="H98" s="90">
        <f t="shared" si="42"/>
        <v>135164.61999999997</v>
      </c>
      <c r="I98" s="90">
        <f t="shared" si="42"/>
        <v>135537.70999999996</v>
      </c>
      <c r="J98" s="90">
        <f t="shared" si="42"/>
        <v>135911.82999999996</v>
      </c>
      <c r="K98" s="90">
        <f t="shared" si="42"/>
        <v>136274.87999999995</v>
      </c>
      <c r="L98" s="90">
        <f t="shared" si="42"/>
        <v>136651.03999999995</v>
      </c>
      <c r="M98" s="207">
        <f t="shared" si="42"/>
        <v>136651.03999999995</v>
      </c>
    </row>
    <row r="99" spans="1:14" x14ac:dyDescent="0.25">
      <c r="A99" s="86"/>
      <c r="C99" s="113"/>
      <c r="D99" s="113"/>
      <c r="E99" s="108"/>
      <c r="F99" s="113"/>
      <c r="G99" s="113"/>
      <c r="H99" s="113"/>
      <c r="I99" s="113"/>
      <c r="J99" s="113"/>
      <c r="K99" s="113"/>
      <c r="L99" s="113"/>
      <c r="M99" s="204"/>
    </row>
    <row r="100" spans="1:14" x14ac:dyDescent="0.25">
      <c r="A100" s="86">
        <v>512</v>
      </c>
      <c r="B100" s="104" t="s">
        <v>86</v>
      </c>
      <c r="C100" s="113"/>
      <c r="D100" s="113"/>
      <c r="E100" s="108"/>
      <c r="F100" s="113"/>
      <c r="G100" s="113"/>
      <c r="H100" s="113"/>
      <c r="I100" s="113"/>
      <c r="J100" s="113"/>
      <c r="K100" s="113"/>
      <c r="L100" s="113"/>
      <c r="M100" s="204"/>
    </row>
    <row r="101" spans="1:14" x14ac:dyDescent="0.25">
      <c r="A101" s="87" t="s">
        <v>64</v>
      </c>
      <c r="B101" t="s">
        <v>65</v>
      </c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204"/>
    </row>
    <row r="102" spans="1:14" x14ac:dyDescent="0.25">
      <c r="A102" s="87" t="s">
        <v>71</v>
      </c>
      <c r="B102" t="s">
        <v>70</v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205"/>
    </row>
    <row r="103" spans="1:14" x14ac:dyDescent="0.25">
      <c r="A103" s="87"/>
      <c r="B103" s="89" t="s">
        <v>74</v>
      </c>
      <c r="C103" s="108">
        <f t="shared" ref="C103:M103" si="43">C102</f>
        <v>0</v>
      </c>
      <c r="D103" s="108">
        <f t="shared" si="43"/>
        <v>0</v>
      </c>
      <c r="E103" s="108">
        <f t="shared" si="43"/>
        <v>0</v>
      </c>
      <c r="F103" s="108">
        <f t="shared" si="43"/>
        <v>0</v>
      </c>
      <c r="G103" s="108">
        <f t="shared" si="43"/>
        <v>0</v>
      </c>
      <c r="H103" s="108">
        <f t="shared" si="43"/>
        <v>0</v>
      </c>
      <c r="I103" s="108">
        <f t="shared" si="43"/>
        <v>0</v>
      </c>
      <c r="J103" s="108">
        <f t="shared" si="43"/>
        <v>0</v>
      </c>
      <c r="K103" s="108">
        <f t="shared" si="43"/>
        <v>0</v>
      </c>
      <c r="L103" s="108">
        <f t="shared" si="43"/>
        <v>0</v>
      </c>
      <c r="M103" s="206">
        <f t="shared" si="43"/>
        <v>0</v>
      </c>
    </row>
    <row r="104" spans="1:14" x14ac:dyDescent="0.25">
      <c r="A104" s="87"/>
      <c r="B104" s="89" t="s">
        <v>73</v>
      </c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205">
        <f>-'Authorized Margins'!G79*'WACAP 2017'!M95</f>
        <v>0</v>
      </c>
    </row>
    <row r="105" spans="1:14" x14ac:dyDescent="0.25">
      <c r="A105" s="87"/>
      <c r="B105" s="89" t="s">
        <v>75</v>
      </c>
      <c r="C105" s="90">
        <f>-'WACAP 2019'!R117</f>
        <v>0</v>
      </c>
      <c r="D105" s="90">
        <f t="shared" ref="D105" si="44">SUM(D103:D104)</f>
        <v>0</v>
      </c>
      <c r="E105" s="90">
        <f t="shared" ref="E105:L105" si="45">SUM(E103:E104)</f>
        <v>0</v>
      </c>
      <c r="F105" s="90">
        <f t="shared" si="45"/>
        <v>0</v>
      </c>
      <c r="G105" s="90">
        <f t="shared" si="45"/>
        <v>0</v>
      </c>
      <c r="H105" s="90">
        <f t="shared" si="45"/>
        <v>0</v>
      </c>
      <c r="I105" s="90">
        <f t="shared" si="45"/>
        <v>0</v>
      </c>
      <c r="J105" s="90">
        <f t="shared" si="45"/>
        <v>0</v>
      </c>
      <c r="K105" s="90">
        <f t="shared" si="45"/>
        <v>0</v>
      </c>
      <c r="L105" s="90">
        <f t="shared" si="45"/>
        <v>0</v>
      </c>
      <c r="M105" s="207"/>
    </row>
    <row r="106" spans="1:14" x14ac:dyDescent="0.25">
      <c r="A106" s="87"/>
      <c r="B106" s="89" t="s">
        <v>137</v>
      </c>
      <c r="C106" s="187">
        <f>ROUND(ROUND(C105*C$5,2)/365*C$6,2)</f>
        <v>0</v>
      </c>
      <c r="D106" s="187">
        <f>ROUND(ROUND(C108*D$5,2)/365*D$6,2)</f>
        <v>0</v>
      </c>
      <c r="E106" s="187">
        <f t="shared" ref="E106:L106" si="46">ROUND(ROUND(D108*E$5,2)/365*E$6,2)</f>
        <v>0</v>
      </c>
      <c r="F106" s="187">
        <f t="shared" si="46"/>
        <v>0</v>
      </c>
      <c r="G106" s="187">
        <f t="shared" si="46"/>
        <v>0</v>
      </c>
      <c r="H106" s="187">
        <f t="shared" si="46"/>
        <v>0</v>
      </c>
      <c r="I106" s="187">
        <f t="shared" si="46"/>
        <v>0</v>
      </c>
      <c r="J106" s="187">
        <f t="shared" si="46"/>
        <v>0</v>
      </c>
      <c r="K106" s="187">
        <f t="shared" si="46"/>
        <v>0</v>
      </c>
      <c r="L106" s="187">
        <f t="shared" si="46"/>
        <v>0</v>
      </c>
      <c r="M106" s="208">
        <f>ROUND(ROUND(K108*M$5,2)/365*M$6,2)</f>
        <v>0</v>
      </c>
      <c r="N106" s="108">
        <f>SUM(C106:M106)</f>
        <v>0</v>
      </c>
    </row>
    <row r="107" spans="1:14" x14ac:dyDescent="0.25">
      <c r="A107" s="87"/>
      <c r="B107" s="89" t="s">
        <v>138</v>
      </c>
      <c r="C107" s="189">
        <f>C106</f>
        <v>0</v>
      </c>
      <c r="D107" s="189">
        <f t="shared" ref="D107:M107" si="47">SUM(D105:D106)</f>
        <v>0</v>
      </c>
      <c r="E107" s="189">
        <f t="shared" si="47"/>
        <v>0</v>
      </c>
      <c r="F107" s="189">
        <f t="shared" si="47"/>
        <v>0</v>
      </c>
      <c r="G107" s="189">
        <f t="shared" si="47"/>
        <v>0</v>
      </c>
      <c r="H107" s="189">
        <f t="shared" si="47"/>
        <v>0</v>
      </c>
      <c r="I107" s="189">
        <f t="shared" si="47"/>
        <v>0</v>
      </c>
      <c r="J107" s="189">
        <f t="shared" si="47"/>
        <v>0</v>
      </c>
      <c r="K107" s="189">
        <f t="shared" si="47"/>
        <v>0</v>
      </c>
      <c r="L107" s="189">
        <f t="shared" si="47"/>
        <v>0</v>
      </c>
      <c r="M107" s="209">
        <f t="shared" si="47"/>
        <v>0</v>
      </c>
    </row>
    <row r="108" spans="1:14" x14ac:dyDescent="0.25">
      <c r="A108" s="87"/>
      <c r="B108" s="89" t="s">
        <v>139</v>
      </c>
      <c r="C108" s="90">
        <f>C107+C105</f>
        <v>0</v>
      </c>
      <c r="D108" s="90">
        <f>C108+D107</f>
        <v>0</v>
      </c>
      <c r="E108" s="90">
        <f t="shared" ref="E108:M108" si="48">D108+E107</f>
        <v>0</v>
      </c>
      <c r="F108" s="90">
        <f t="shared" si="48"/>
        <v>0</v>
      </c>
      <c r="G108" s="90">
        <f t="shared" si="48"/>
        <v>0</v>
      </c>
      <c r="H108" s="90">
        <f t="shared" si="48"/>
        <v>0</v>
      </c>
      <c r="I108" s="90">
        <f t="shared" si="48"/>
        <v>0</v>
      </c>
      <c r="J108" s="90">
        <f t="shared" si="48"/>
        <v>0</v>
      </c>
      <c r="K108" s="90">
        <f t="shared" si="48"/>
        <v>0</v>
      </c>
      <c r="L108" s="90">
        <f t="shared" si="48"/>
        <v>0</v>
      </c>
      <c r="M108" s="207">
        <f t="shared" si="48"/>
        <v>0</v>
      </c>
    </row>
    <row r="109" spans="1:14" x14ac:dyDescent="0.25">
      <c r="A109" s="86"/>
      <c r="C109" s="113"/>
      <c r="D109" s="113"/>
      <c r="E109" s="108"/>
      <c r="F109" s="113"/>
      <c r="G109" s="113"/>
      <c r="H109" s="113"/>
      <c r="I109" s="113"/>
      <c r="J109" s="113"/>
      <c r="K109" s="113"/>
      <c r="L109" s="113"/>
      <c r="M109" s="204"/>
    </row>
    <row r="110" spans="1:14" x14ac:dyDescent="0.25">
      <c r="A110" s="86" t="s">
        <v>174</v>
      </c>
      <c r="B110" s="104" t="s">
        <v>87</v>
      </c>
      <c r="C110" s="113"/>
      <c r="D110" s="113"/>
      <c r="E110" s="108"/>
      <c r="F110" s="113"/>
      <c r="G110" s="113"/>
      <c r="H110" s="113"/>
      <c r="I110" s="113"/>
      <c r="J110" s="113"/>
      <c r="K110" s="113"/>
      <c r="L110" s="113"/>
      <c r="M110" s="204"/>
    </row>
    <row r="111" spans="1:14" x14ac:dyDescent="0.25">
      <c r="A111" s="87" t="s">
        <v>64</v>
      </c>
      <c r="B111" t="s">
        <v>65</v>
      </c>
      <c r="C111" s="105"/>
      <c r="D111" s="105"/>
      <c r="E111" s="105"/>
      <c r="F111" s="105"/>
      <c r="G111" s="105"/>
      <c r="H111" s="105"/>
      <c r="I111" s="105"/>
      <c r="J111" s="105"/>
      <c r="K111" s="105"/>
      <c r="L111" s="105"/>
      <c r="M111" s="204"/>
    </row>
    <row r="112" spans="1:14" x14ac:dyDescent="0.25">
      <c r="A112" s="87" t="s">
        <v>71</v>
      </c>
      <c r="B112" t="s">
        <v>95</v>
      </c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206"/>
    </row>
    <row r="113" spans="1:14" x14ac:dyDescent="0.25">
      <c r="A113" s="87" t="s">
        <v>71</v>
      </c>
      <c r="B113" t="s">
        <v>97</v>
      </c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206"/>
    </row>
    <row r="114" spans="1:14" x14ac:dyDescent="0.25">
      <c r="A114" s="87" t="s">
        <v>72</v>
      </c>
      <c r="B114" t="s">
        <v>101</v>
      </c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  <c r="M114" s="206"/>
    </row>
    <row r="115" spans="1:14" x14ac:dyDescent="0.25">
      <c r="A115" s="87" t="s">
        <v>72</v>
      </c>
      <c r="B115" t="s">
        <v>145</v>
      </c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206"/>
    </row>
    <row r="116" spans="1:14" x14ac:dyDescent="0.25">
      <c r="A116" s="87" t="s">
        <v>72</v>
      </c>
      <c r="B116" t="s">
        <v>102</v>
      </c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  <c r="M116" s="206"/>
    </row>
    <row r="117" spans="1:14" x14ac:dyDescent="0.25">
      <c r="A117" s="87" t="s">
        <v>72</v>
      </c>
      <c r="B117" t="s">
        <v>146</v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205"/>
    </row>
    <row r="118" spans="1:14" x14ac:dyDescent="0.25">
      <c r="A118" s="86"/>
      <c r="B118" s="89" t="s">
        <v>74</v>
      </c>
      <c r="C118" s="108">
        <f t="shared" ref="C118:M118" si="49">SUM(C112:C117)</f>
        <v>0</v>
      </c>
      <c r="D118" s="108">
        <f t="shared" si="49"/>
        <v>0</v>
      </c>
      <c r="E118" s="108">
        <f t="shared" si="49"/>
        <v>0</v>
      </c>
      <c r="F118" s="108">
        <f t="shared" si="49"/>
        <v>0</v>
      </c>
      <c r="G118" s="108">
        <f t="shared" si="49"/>
        <v>0</v>
      </c>
      <c r="H118" s="108">
        <f t="shared" si="49"/>
        <v>0</v>
      </c>
      <c r="I118" s="108">
        <f t="shared" si="49"/>
        <v>0</v>
      </c>
      <c r="J118" s="108">
        <f t="shared" si="49"/>
        <v>0</v>
      </c>
      <c r="K118" s="108">
        <f t="shared" si="49"/>
        <v>0</v>
      </c>
      <c r="L118" s="108">
        <f t="shared" si="49"/>
        <v>0</v>
      </c>
      <c r="M118" s="206">
        <f t="shared" si="49"/>
        <v>0</v>
      </c>
    </row>
    <row r="119" spans="1:14" x14ac:dyDescent="0.25">
      <c r="A119" s="86"/>
      <c r="B119" s="89" t="s">
        <v>73</v>
      </c>
      <c r="C119" s="88"/>
      <c r="D119" s="88"/>
      <c r="E119" s="88"/>
      <c r="F119" s="88"/>
      <c r="G119" s="88"/>
      <c r="H119" s="88"/>
      <c r="I119" s="88"/>
      <c r="J119" s="88"/>
      <c r="K119" s="88"/>
      <c r="L119" s="88"/>
      <c r="M119" s="205">
        <f>ROUND(-'Authorized Margins'!G60*'WACAP 2017'!M105,2)</f>
        <v>0</v>
      </c>
    </row>
    <row r="120" spans="1:14" x14ac:dyDescent="0.25">
      <c r="A120" s="86"/>
      <c r="B120" s="89" t="s">
        <v>75</v>
      </c>
      <c r="C120" s="90">
        <f>-'WACAP 2020'!Q111</f>
        <v>4073.5099999999993</v>
      </c>
      <c r="D120" s="90">
        <f t="shared" ref="D120" si="50">SUM(D118:D119)</f>
        <v>0</v>
      </c>
      <c r="E120" s="90">
        <f t="shared" ref="E120:L120" si="51">SUM(E118:E119)</f>
        <v>0</v>
      </c>
      <c r="F120" s="90">
        <f t="shared" si="51"/>
        <v>0</v>
      </c>
      <c r="G120" s="90">
        <f t="shared" si="51"/>
        <v>0</v>
      </c>
      <c r="H120" s="90">
        <f t="shared" si="51"/>
        <v>0</v>
      </c>
      <c r="I120" s="90">
        <f t="shared" si="51"/>
        <v>0</v>
      </c>
      <c r="J120" s="90">
        <f t="shared" si="51"/>
        <v>0</v>
      </c>
      <c r="K120" s="90">
        <f t="shared" si="51"/>
        <v>0</v>
      </c>
      <c r="L120" s="90">
        <f t="shared" si="51"/>
        <v>0</v>
      </c>
      <c r="M120" s="207"/>
    </row>
    <row r="121" spans="1:14" x14ac:dyDescent="0.25">
      <c r="A121" s="87"/>
      <c r="B121" s="89" t="s">
        <v>137</v>
      </c>
      <c r="C121" s="187">
        <f>ROUND(ROUND(C120*C$5,2)/365*C$6,2)</f>
        <v>11.24</v>
      </c>
      <c r="D121" s="187">
        <f>ROUND(ROUND(C123*D$5,2)/365*D$6,2)</f>
        <v>10.18</v>
      </c>
      <c r="E121" s="187">
        <f t="shared" ref="E121:L121" si="52">ROUND(ROUND(D123*E$5,2)/365*E$6,2)</f>
        <v>11.3</v>
      </c>
      <c r="F121" s="187">
        <f t="shared" si="52"/>
        <v>10.97</v>
      </c>
      <c r="G121" s="187">
        <f t="shared" si="52"/>
        <v>11.36</v>
      </c>
      <c r="H121" s="187">
        <f t="shared" si="52"/>
        <v>11.03</v>
      </c>
      <c r="I121" s="187">
        <f t="shared" si="52"/>
        <v>11.43</v>
      </c>
      <c r="J121" s="187">
        <f t="shared" si="52"/>
        <v>11.46</v>
      </c>
      <c r="K121" s="187">
        <f t="shared" si="52"/>
        <v>11.12</v>
      </c>
      <c r="L121" s="187">
        <f t="shared" si="52"/>
        <v>11.52</v>
      </c>
      <c r="M121" s="208">
        <f>ROUND(ROUND(K123*M$5,2)/365*M$6,2)</f>
        <v>0</v>
      </c>
      <c r="N121" s="108">
        <f>SUM(C121:M121)</f>
        <v>111.61</v>
      </c>
    </row>
    <row r="122" spans="1:14" x14ac:dyDescent="0.25">
      <c r="A122" s="87"/>
      <c r="B122" s="89" t="s">
        <v>138</v>
      </c>
      <c r="C122" s="189">
        <f>C121</f>
        <v>11.24</v>
      </c>
      <c r="D122" s="189">
        <f t="shared" ref="D122:M122" si="53">SUM(D120:D121)</f>
        <v>10.18</v>
      </c>
      <c r="E122" s="189">
        <f t="shared" si="53"/>
        <v>11.3</v>
      </c>
      <c r="F122" s="189">
        <f t="shared" si="53"/>
        <v>10.97</v>
      </c>
      <c r="G122" s="189">
        <f t="shared" si="53"/>
        <v>11.36</v>
      </c>
      <c r="H122" s="189">
        <f t="shared" si="53"/>
        <v>11.03</v>
      </c>
      <c r="I122" s="189">
        <f t="shared" si="53"/>
        <v>11.43</v>
      </c>
      <c r="J122" s="189">
        <f t="shared" si="53"/>
        <v>11.46</v>
      </c>
      <c r="K122" s="189">
        <f t="shared" si="53"/>
        <v>11.12</v>
      </c>
      <c r="L122" s="189">
        <f t="shared" si="53"/>
        <v>11.52</v>
      </c>
      <c r="M122" s="209">
        <f t="shared" si="53"/>
        <v>0</v>
      </c>
    </row>
    <row r="123" spans="1:14" x14ac:dyDescent="0.25">
      <c r="A123" s="87"/>
      <c r="B123" s="89" t="s">
        <v>139</v>
      </c>
      <c r="C123" s="90">
        <f>C122+C120</f>
        <v>4084.7499999999991</v>
      </c>
      <c r="D123" s="90">
        <f>C123+D122</f>
        <v>4094.9299999999989</v>
      </c>
      <c r="E123" s="90">
        <f t="shared" ref="E123:M123" si="54">D123+E122</f>
        <v>4106.2299999999987</v>
      </c>
      <c r="F123" s="90">
        <f t="shared" si="54"/>
        <v>4117.1999999999989</v>
      </c>
      <c r="G123" s="90">
        <f t="shared" si="54"/>
        <v>4128.5599999999986</v>
      </c>
      <c r="H123" s="90">
        <f t="shared" si="54"/>
        <v>4139.5899999999983</v>
      </c>
      <c r="I123" s="90">
        <f t="shared" si="54"/>
        <v>4151.0199999999986</v>
      </c>
      <c r="J123" s="90">
        <f t="shared" si="54"/>
        <v>4162.4799999999987</v>
      </c>
      <c r="K123" s="90">
        <f t="shared" si="54"/>
        <v>4173.5999999999985</v>
      </c>
      <c r="L123" s="90">
        <f t="shared" si="54"/>
        <v>4185.119999999999</v>
      </c>
      <c r="M123" s="207">
        <f t="shared" si="54"/>
        <v>4185.119999999999</v>
      </c>
    </row>
    <row r="124" spans="1:14" x14ac:dyDescent="0.25">
      <c r="A124" s="86"/>
      <c r="B124" s="89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207"/>
    </row>
    <row r="125" spans="1:14" x14ac:dyDescent="0.25">
      <c r="A125" s="86">
        <v>570</v>
      </c>
      <c r="B125" s="104" t="s">
        <v>88</v>
      </c>
      <c r="C125" s="113"/>
      <c r="D125" s="113"/>
      <c r="E125" s="108"/>
      <c r="F125" s="113"/>
      <c r="G125" s="113"/>
      <c r="H125" s="113"/>
      <c r="I125" s="113"/>
      <c r="J125" s="113"/>
      <c r="K125" s="113"/>
      <c r="L125" s="113"/>
      <c r="M125" s="204"/>
    </row>
    <row r="126" spans="1:14" x14ac:dyDescent="0.25">
      <c r="A126" s="87" t="s">
        <v>64</v>
      </c>
      <c r="B126" t="s">
        <v>65</v>
      </c>
      <c r="C126" s="105"/>
      <c r="D126" s="105"/>
      <c r="E126" s="105"/>
      <c r="F126" s="105"/>
      <c r="G126" s="105"/>
      <c r="H126" s="105"/>
      <c r="I126" s="105"/>
      <c r="J126" s="105"/>
      <c r="K126" s="105"/>
      <c r="L126" s="105"/>
      <c r="M126" s="204"/>
    </row>
    <row r="127" spans="1:14" x14ac:dyDescent="0.25">
      <c r="A127" s="87" t="s">
        <v>71</v>
      </c>
      <c r="B127" t="s">
        <v>103</v>
      </c>
      <c r="C127" s="116"/>
      <c r="D127" s="116"/>
      <c r="E127" s="116"/>
      <c r="F127" s="116"/>
      <c r="G127" s="116"/>
      <c r="H127" s="116"/>
      <c r="I127" s="116"/>
      <c r="J127" s="116"/>
      <c r="K127" s="116"/>
      <c r="L127" s="116"/>
      <c r="M127" s="206"/>
    </row>
    <row r="128" spans="1:14" x14ac:dyDescent="0.25">
      <c r="A128" s="87" t="s">
        <v>71</v>
      </c>
      <c r="B128" t="s">
        <v>104</v>
      </c>
      <c r="C128" s="116"/>
      <c r="D128" s="116"/>
      <c r="E128" s="116"/>
      <c r="F128" s="116"/>
      <c r="G128" s="116"/>
      <c r="H128" s="116"/>
      <c r="I128" s="116"/>
      <c r="J128" s="116"/>
      <c r="K128" s="116"/>
      <c r="L128" s="116"/>
      <c r="M128" s="206"/>
    </row>
    <row r="129" spans="1:14" x14ac:dyDescent="0.25">
      <c r="A129" s="87" t="s">
        <v>72</v>
      </c>
      <c r="B129" t="s">
        <v>105</v>
      </c>
      <c r="C129" s="116"/>
      <c r="D129" s="116"/>
      <c r="E129" s="116"/>
      <c r="F129" s="116"/>
      <c r="G129" s="116"/>
      <c r="H129" s="116"/>
      <c r="I129" s="116"/>
      <c r="J129" s="116"/>
      <c r="K129" s="116"/>
      <c r="L129" s="116"/>
      <c r="M129" s="206"/>
    </row>
    <row r="130" spans="1:14" x14ac:dyDescent="0.25">
      <c r="A130" s="87" t="s">
        <v>72</v>
      </c>
      <c r="B130" t="s">
        <v>106</v>
      </c>
      <c r="C130" s="116"/>
      <c r="D130" s="116"/>
      <c r="E130" s="116"/>
      <c r="F130" s="116"/>
      <c r="G130" s="116"/>
      <c r="H130" s="116"/>
      <c r="I130" s="116"/>
      <c r="J130" s="116"/>
      <c r="K130" s="116"/>
      <c r="L130" s="116"/>
      <c r="M130" s="206"/>
    </row>
    <row r="131" spans="1:14" x14ac:dyDescent="0.25">
      <c r="A131" s="87" t="s">
        <v>72</v>
      </c>
      <c r="B131" t="s">
        <v>107</v>
      </c>
      <c r="C131" s="116"/>
      <c r="D131" s="116"/>
      <c r="E131" s="116"/>
      <c r="F131" s="116"/>
      <c r="G131" s="116"/>
      <c r="H131" s="116"/>
      <c r="I131" s="116"/>
      <c r="J131" s="116"/>
      <c r="K131" s="116"/>
      <c r="L131" s="116"/>
      <c r="M131" s="206"/>
    </row>
    <row r="132" spans="1:14" x14ac:dyDescent="0.25">
      <c r="A132" s="87" t="s">
        <v>72</v>
      </c>
      <c r="B132" t="s">
        <v>108</v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205"/>
    </row>
    <row r="133" spans="1:14" x14ac:dyDescent="0.25">
      <c r="A133" s="87"/>
      <c r="B133" s="89" t="s">
        <v>74</v>
      </c>
      <c r="C133" s="108">
        <f t="shared" ref="C133:E133" si="55">SUM(C127:C132)</f>
        <v>0</v>
      </c>
      <c r="D133" s="108">
        <f t="shared" si="55"/>
        <v>0</v>
      </c>
      <c r="E133" s="108">
        <f t="shared" si="55"/>
        <v>0</v>
      </c>
      <c r="F133" s="108">
        <f>SUM(F127:F132)</f>
        <v>0</v>
      </c>
      <c r="G133" s="108">
        <f t="shared" ref="G133:M133" si="56">SUM(G127:G132)</f>
        <v>0</v>
      </c>
      <c r="H133" s="108">
        <f t="shared" si="56"/>
        <v>0</v>
      </c>
      <c r="I133" s="108">
        <f t="shared" si="56"/>
        <v>0</v>
      </c>
      <c r="J133" s="108">
        <f t="shared" si="56"/>
        <v>0</v>
      </c>
      <c r="K133" s="108">
        <f t="shared" si="56"/>
        <v>0</v>
      </c>
      <c r="L133" s="108">
        <f t="shared" si="56"/>
        <v>0</v>
      </c>
      <c r="M133" s="206">
        <f t="shared" si="56"/>
        <v>0</v>
      </c>
    </row>
    <row r="134" spans="1:14" x14ac:dyDescent="0.25">
      <c r="A134" s="87"/>
      <c r="B134" s="89" t="s">
        <v>73</v>
      </c>
      <c r="C134" s="88"/>
      <c r="D134" s="88"/>
      <c r="E134" s="88"/>
      <c r="F134" s="88"/>
      <c r="G134" s="88"/>
      <c r="H134" s="88"/>
      <c r="I134" s="88"/>
      <c r="J134" s="88"/>
      <c r="K134" s="88"/>
      <c r="L134" s="88"/>
      <c r="M134" s="205">
        <f>ROUND(-'Authorized Margins'!G95*'WACAP 2017'!M120,2)</f>
        <v>0</v>
      </c>
    </row>
    <row r="135" spans="1:14" x14ac:dyDescent="0.25">
      <c r="A135" s="87"/>
      <c r="B135" s="89" t="s">
        <v>75</v>
      </c>
      <c r="C135" s="90">
        <f>-'WACAP 2020'!Q127</f>
        <v>4603.1900000000005</v>
      </c>
      <c r="D135" s="90">
        <f t="shared" ref="D135" si="57">SUM(D133:D134)</f>
        <v>0</v>
      </c>
      <c r="E135" s="90">
        <f t="shared" ref="E135:L135" si="58">SUM(E133:E134)</f>
        <v>0</v>
      </c>
      <c r="F135" s="90">
        <f t="shared" si="58"/>
        <v>0</v>
      </c>
      <c r="G135" s="90">
        <f t="shared" si="58"/>
        <v>0</v>
      </c>
      <c r="H135" s="90">
        <f t="shared" si="58"/>
        <v>0</v>
      </c>
      <c r="I135" s="90">
        <f t="shared" si="58"/>
        <v>0</v>
      </c>
      <c r="J135" s="90">
        <f t="shared" si="58"/>
        <v>0</v>
      </c>
      <c r="K135" s="90">
        <f t="shared" si="58"/>
        <v>0</v>
      </c>
      <c r="L135" s="90">
        <f t="shared" si="58"/>
        <v>0</v>
      </c>
      <c r="M135" s="215"/>
    </row>
    <row r="136" spans="1:14" x14ac:dyDescent="0.25">
      <c r="A136" s="87"/>
      <c r="B136" s="89" t="s">
        <v>137</v>
      </c>
      <c r="C136" s="187">
        <f>ROUND(ROUND(C135*C$5,2)/365*C$6,2)</f>
        <v>12.71</v>
      </c>
      <c r="D136" s="187">
        <f>ROUND(ROUND(C138*D$5,2)/365*D$6,2)</f>
        <v>11.51</v>
      </c>
      <c r="E136" s="187">
        <f t="shared" ref="E136:L136" si="59">ROUND(ROUND(D138*E$5,2)/365*E$6,2)</f>
        <v>12.77</v>
      </c>
      <c r="F136" s="187">
        <f t="shared" si="59"/>
        <v>12.4</v>
      </c>
      <c r="G136" s="187">
        <f t="shared" si="59"/>
        <v>12.84</v>
      </c>
      <c r="H136" s="187">
        <f t="shared" si="59"/>
        <v>12.46</v>
      </c>
      <c r="I136" s="187">
        <f t="shared" si="59"/>
        <v>12.91</v>
      </c>
      <c r="J136" s="187">
        <f t="shared" si="59"/>
        <v>12.95</v>
      </c>
      <c r="K136" s="187">
        <f t="shared" si="59"/>
        <v>12.56</v>
      </c>
      <c r="L136" s="187">
        <f t="shared" si="59"/>
        <v>13.02</v>
      </c>
      <c r="M136" s="208">
        <f>ROUND(ROUND(K138*M$5,2)/365*M$6,2)</f>
        <v>0</v>
      </c>
      <c r="N136" s="108">
        <f>SUM(C136:M136)</f>
        <v>126.13</v>
      </c>
    </row>
    <row r="137" spans="1:14" x14ac:dyDescent="0.25">
      <c r="A137" s="87"/>
      <c r="B137" s="89" t="s">
        <v>138</v>
      </c>
      <c r="C137" s="189">
        <f>C136</f>
        <v>12.71</v>
      </c>
      <c r="D137" s="189">
        <f t="shared" ref="D137:M137" si="60">SUM(D135:D136)</f>
        <v>11.51</v>
      </c>
      <c r="E137" s="189">
        <f t="shared" si="60"/>
        <v>12.77</v>
      </c>
      <c r="F137" s="189">
        <f t="shared" si="60"/>
        <v>12.4</v>
      </c>
      <c r="G137" s="189">
        <f t="shared" si="60"/>
        <v>12.84</v>
      </c>
      <c r="H137" s="189">
        <f t="shared" si="60"/>
        <v>12.46</v>
      </c>
      <c r="I137" s="189">
        <f t="shared" si="60"/>
        <v>12.91</v>
      </c>
      <c r="J137" s="189">
        <f t="shared" si="60"/>
        <v>12.95</v>
      </c>
      <c r="K137" s="189">
        <f t="shared" si="60"/>
        <v>12.56</v>
      </c>
      <c r="L137" s="189">
        <f t="shared" si="60"/>
        <v>13.02</v>
      </c>
      <c r="M137" s="209">
        <f t="shared" si="60"/>
        <v>0</v>
      </c>
    </row>
    <row r="138" spans="1:14" x14ac:dyDescent="0.25">
      <c r="A138" s="87"/>
      <c r="B138" s="89" t="s">
        <v>139</v>
      </c>
      <c r="C138" s="90">
        <f>C137+C135</f>
        <v>4615.9000000000005</v>
      </c>
      <c r="D138" s="90">
        <f>C138+D137</f>
        <v>4627.4100000000008</v>
      </c>
      <c r="E138" s="90">
        <f t="shared" ref="E138:M138" si="61">D138+E137</f>
        <v>4640.1800000000012</v>
      </c>
      <c r="F138" s="90">
        <f t="shared" si="61"/>
        <v>4652.5800000000008</v>
      </c>
      <c r="G138" s="90">
        <f t="shared" si="61"/>
        <v>4665.420000000001</v>
      </c>
      <c r="H138" s="90">
        <f t="shared" si="61"/>
        <v>4677.880000000001</v>
      </c>
      <c r="I138" s="90">
        <f t="shared" si="61"/>
        <v>4690.7900000000009</v>
      </c>
      <c r="J138" s="90">
        <f t="shared" si="61"/>
        <v>4703.7400000000007</v>
      </c>
      <c r="K138" s="90">
        <f t="shared" si="61"/>
        <v>4716.3000000000011</v>
      </c>
      <c r="L138" s="90">
        <f t="shared" si="61"/>
        <v>4729.3200000000015</v>
      </c>
      <c r="M138" s="207">
        <f t="shared" si="61"/>
        <v>4729.3200000000015</v>
      </c>
    </row>
    <row r="139" spans="1:14" ht="15.75" thickBot="1" x14ac:dyDescent="0.3">
      <c r="A139" s="118"/>
      <c r="B139" s="119"/>
      <c r="C139" s="119"/>
      <c r="D139" s="119"/>
      <c r="E139" s="176"/>
      <c r="F139" s="119"/>
      <c r="G139" s="119"/>
      <c r="H139" s="119"/>
      <c r="I139" s="119"/>
      <c r="J139" s="119"/>
      <c r="K139" s="119"/>
      <c r="L139" s="119"/>
      <c r="M139" s="211"/>
    </row>
    <row r="140" spans="1:14" x14ac:dyDescent="0.25">
      <c r="E140" s="108"/>
      <c r="M140" s="203"/>
    </row>
    <row r="141" spans="1:14" x14ac:dyDescent="0.25">
      <c r="B141" s="89" t="s">
        <v>89</v>
      </c>
      <c r="C141" s="90">
        <f t="shared" ref="C141:M141" si="62">C14+C52+C64+C27+C80+C120+C40+C95+C105+C135</f>
        <v>3321217.3099999977</v>
      </c>
      <c r="D141" s="90">
        <f t="shared" si="62"/>
        <v>0</v>
      </c>
      <c r="E141" s="90">
        <f t="shared" si="62"/>
        <v>0</v>
      </c>
      <c r="F141" s="90">
        <f t="shared" si="62"/>
        <v>0</v>
      </c>
      <c r="G141" s="90">
        <f t="shared" si="62"/>
        <v>0</v>
      </c>
      <c r="H141" s="90">
        <f t="shared" si="62"/>
        <v>0</v>
      </c>
      <c r="I141" s="90">
        <f t="shared" si="62"/>
        <v>0</v>
      </c>
      <c r="J141" s="90">
        <f t="shared" si="62"/>
        <v>0</v>
      </c>
      <c r="K141" s="90">
        <f t="shared" si="62"/>
        <v>0</v>
      </c>
      <c r="L141" s="90">
        <f t="shared" si="62"/>
        <v>0</v>
      </c>
      <c r="M141" s="207">
        <f t="shared" si="62"/>
        <v>0</v>
      </c>
    </row>
    <row r="142" spans="1:14" x14ac:dyDescent="0.25">
      <c r="B142" s="89" t="s">
        <v>141</v>
      </c>
      <c r="C142" s="216">
        <f>C15+C53+C65+C28+C81+C121+C41+C96+C106+C136</f>
        <v>9167.4699999999975</v>
      </c>
      <c r="D142" s="216">
        <f t="shared" ref="D142:L142" si="63">D15+D53+D65+D28+D81+D121+D41+D96+D106+D136</f>
        <v>8303.14</v>
      </c>
      <c r="E142" s="216">
        <f t="shared" si="63"/>
        <v>9215.68</v>
      </c>
      <c r="F142" s="216">
        <f t="shared" si="63"/>
        <v>8943.0499999999993</v>
      </c>
      <c r="G142" s="216">
        <f t="shared" si="63"/>
        <v>9265.7999999999993</v>
      </c>
      <c r="H142" s="216">
        <f t="shared" si="63"/>
        <v>8991.66</v>
      </c>
      <c r="I142" s="216">
        <f t="shared" si="63"/>
        <v>9316.2000000000007</v>
      </c>
      <c r="J142" s="216">
        <f t="shared" si="63"/>
        <v>9341.93</v>
      </c>
      <c r="K142" s="216">
        <f t="shared" si="63"/>
        <v>9065.5300000000007</v>
      </c>
      <c r="L142" s="216">
        <f t="shared" si="63"/>
        <v>9392.8200000000015</v>
      </c>
      <c r="M142" s="302">
        <f>SUM(C142:L142)</f>
        <v>91003.28</v>
      </c>
    </row>
    <row r="143" spans="1:14" x14ac:dyDescent="0.25">
      <c r="B143" s="89" t="s">
        <v>139</v>
      </c>
      <c r="C143" s="90">
        <f>SUM(C141:C142)</f>
        <v>3330384.7799999979</v>
      </c>
      <c r="D143" s="90">
        <f t="shared" ref="D143:K143" si="64">SUM(D141:D142)+C143</f>
        <v>3338687.9199999981</v>
      </c>
      <c r="E143" s="90">
        <f t="shared" si="64"/>
        <v>3347903.5999999982</v>
      </c>
      <c r="F143" s="90">
        <f t="shared" si="64"/>
        <v>3356846.649999998</v>
      </c>
      <c r="G143" s="90">
        <f t="shared" si="64"/>
        <v>3366112.4499999979</v>
      </c>
      <c r="H143" s="90">
        <f t="shared" si="64"/>
        <v>3375104.109999998</v>
      </c>
      <c r="I143" s="90">
        <f t="shared" si="64"/>
        <v>3384420.3099999982</v>
      </c>
      <c r="J143" s="90">
        <f t="shared" si="64"/>
        <v>3393762.2399999984</v>
      </c>
      <c r="K143" s="90">
        <f t="shared" si="64"/>
        <v>3402827.7699999982</v>
      </c>
      <c r="L143" s="435">
        <f>SUM(L141:L142)+K143</f>
        <v>3412220.589999998</v>
      </c>
      <c r="M143" s="207">
        <f>SUM(M141:M142)</f>
        <v>91003.28</v>
      </c>
      <c r="N143" s="90">
        <f>SUM(N5:N142)</f>
        <v>91003.279999999984</v>
      </c>
    </row>
    <row r="144" spans="1:14" x14ac:dyDescent="0.25">
      <c r="B144" s="89"/>
      <c r="C144" s="187"/>
      <c r="D144" s="90"/>
      <c r="E144" s="90"/>
      <c r="F144" s="90"/>
      <c r="G144" s="90"/>
      <c r="H144" s="90"/>
      <c r="I144" s="90"/>
      <c r="J144" s="90"/>
      <c r="K144" s="90"/>
      <c r="L144" s="90"/>
      <c r="M144" s="207"/>
    </row>
    <row r="151" spans="3:12" x14ac:dyDescent="0.25">
      <c r="D151" s="187"/>
      <c r="E151" s="187"/>
      <c r="F151" s="187"/>
      <c r="G151" s="187"/>
      <c r="H151" s="187"/>
      <c r="I151" s="187"/>
      <c r="J151" s="187"/>
      <c r="K151" s="187"/>
      <c r="L151" s="187"/>
    </row>
    <row r="152" spans="3:12" x14ac:dyDescent="0.25">
      <c r="C152" s="108"/>
      <c r="D152" s="108"/>
      <c r="E152" s="108"/>
      <c r="F152" s="108"/>
      <c r="G152" s="108"/>
      <c r="H152" s="108"/>
      <c r="I152" s="108"/>
      <c r="J152" s="108"/>
      <c r="K152" s="108"/>
      <c r="L152" s="108"/>
    </row>
    <row r="154" spans="3:12" x14ac:dyDescent="0.25">
      <c r="D154" s="108"/>
      <c r="E154" s="108"/>
      <c r="F154" s="108"/>
      <c r="G154" s="108"/>
      <c r="H154" s="108"/>
      <c r="I154" s="108"/>
      <c r="J154" s="108"/>
      <c r="K154" s="108"/>
      <c r="L154" s="108"/>
    </row>
  </sheetData>
  <mergeCells count="3">
    <mergeCell ref="A1:M1"/>
    <mergeCell ref="A2:M2"/>
    <mergeCell ref="A3:M3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F31F3-08F2-46B9-B7F5-54C83D539514}">
  <sheetPr>
    <pageSetUpPr fitToPage="1"/>
  </sheetPr>
  <dimension ref="A2:AC15"/>
  <sheetViews>
    <sheetView workbookViewId="0"/>
  </sheetViews>
  <sheetFormatPr defaultColWidth="9.140625" defaultRowHeight="15" x14ac:dyDescent="0.25"/>
  <cols>
    <col min="1" max="2" width="2.85546875" customWidth="1"/>
    <col min="3" max="3" width="40.7109375" bestFit="1" customWidth="1"/>
    <col min="4" max="13" width="10.85546875" customWidth="1"/>
    <col min="14" max="14" width="1.5703125" customWidth="1"/>
    <col min="15" max="16" width="10.85546875" customWidth="1"/>
    <col min="17" max="17" width="10.28515625" bestFit="1" customWidth="1"/>
  </cols>
  <sheetData>
    <row r="2" spans="1:29" ht="15" customHeight="1" x14ac:dyDescent="0.25">
      <c r="C2" s="399"/>
      <c r="D2" s="694" t="s">
        <v>125</v>
      </c>
      <c r="E2" s="694"/>
      <c r="F2" s="694"/>
      <c r="G2" s="694"/>
      <c r="H2" s="694"/>
      <c r="I2" s="694"/>
      <c r="J2" s="694"/>
      <c r="K2" s="694"/>
      <c r="L2" s="694"/>
      <c r="M2" s="694"/>
      <c r="N2" s="694"/>
      <c r="O2" s="694"/>
      <c r="P2" s="694"/>
    </row>
    <row r="3" spans="1:29" ht="15" customHeight="1" x14ac:dyDescent="0.25">
      <c r="C3" s="399"/>
      <c r="D3" s="694"/>
      <c r="E3" s="694"/>
      <c r="F3" s="694"/>
      <c r="G3" s="694"/>
      <c r="H3" s="694"/>
      <c r="I3" s="694"/>
      <c r="J3" s="694"/>
      <c r="K3" s="694"/>
      <c r="L3" s="694"/>
      <c r="M3" s="694"/>
      <c r="N3" s="694"/>
      <c r="O3" s="694"/>
      <c r="P3" s="694"/>
    </row>
    <row r="4" spans="1:29" ht="15" customHeight="1" x14ac:dyDescent="0.25">
      <c r="C4" s="399"/>
      <c r="D4" s="694"/>
      <c r="E4" s="694"/>
      <c r="F4" s="694"/>
      <c r="G4" s="694"/>
      <c r="H4" s="694"/>
      <c r="I4" s="694"/>
      <c r="J4" s="694"/>
      <c r="K4" s="694"/>
      <c r="L4" s="694"/>
      <c r="M4" s="694"/>
      <c r="N4" s="694"/>
      <c r="O4" s="694"/>
      <c r="P4" s="694"/>
    </row>
    <row r="5" spans="1:29" ht="22.5" customHeight="1" x14ac:dyDescent="0.35">
      <c r="C5" s="420" t="s">
        <v>212</v>
      </c>
      <c r="D5" s="695" t="s">
        <v>62</v>
      </c>
      <c r="E5" s="695"/>
      <c r="F5" s="695"/>
      <c r="G5" s="695"/>
      <c r="H5" s="695"/>
      <c r="I5" s="695"/>
      <c r="J5" s="695"/>
      <c r="K5" s="695"/>
      <c r="L5" s="695"/>
      <c r="M5" s="695"/>
      <c r="N5" s="695"/>
      <c r="O5" s="695"/>
      <c r="P5" s="695"/>
    </row>
    <row r="6" spans="1:29" x14ac:dyDescent="0.25">
      <c r="C6" s="400"/>
      <c r="D6" s="401" t="s">
        <v>155</v>
      </c>
      <c r="E6" s="401" t="s">
        <v>156</v>
      </c>
      <c r="F6" s="401" t="s">
        <v>157</v>
      </c>
      <c r="G6" s="401" t="s">
        <v>158</v>
      </c>
      <c r="H6" s="401" t="s">
        <v>23</v>
      </c>
      <c r="I6" s="401" t="s">
        <v>159</v>
      </c>
      <c r="J6" s="401" t="s">
        <v>160</v>
      </c>
      <c r="K6" s="401" t="s">
        <v>211</v>
      </c>
      <c r="L6" s="401" t="s">
        <v>162</v>
      </c>
      <c r="M6" s="401" t="s">
        <v>168</v>
      </c>
      <c r="N6" s="401"/>
      <c r="O6" s="401" t="s">
        <v>171</v>
      </c>
      <c r="P6" s="412" t="s">
        <v>173</v>
      </c>
    </row>
    <row r="7" spans="1:29" s="51" customFormat="1" ht="16.5" customHeight="1" x14ac:dyDescent="0.25">
      <c r="A7"/>
      <c r="B7" s="313"/>
      <c r="C7" s="402" t="s">
        <v>31</v>
      </c>
      <c r="D7" s="403">
        <v>36.58</v>
      </c>
      <c r="E7" s="403">
        <v>28.65</v>
      </c>
      <c r="F7" s="403">
        <v>23.32</v>
      </c>
      <c r="G7" s="403">
        <v>16.03</v>
      </c>
      <c r="H7" s="403">
        <v>9.6</v>
      </c>
      <c r="I7" s="403">
        <v>6.12</v>
      </c>
      <c r="J7" s="403">
        <v>4.71</v>
      </c>
      <c r="K7" s="403">
        <v>2.31</v>
      </c>
      <c r="L7" s="403">
        <v>6.65</v>
      </c>
      <c r="M7" s="403">
        <v>14.25</v>
      </c>
      <c r="N7" s="403"/>
      <c r="O7" s="403">
        <v>28.47</v>
      </c>
      <c r="P7" s="413">
        <v>36.42</v>
      </c>
      <c r="Q7" s="419">
        <f>SUM(D7:P7)</f>
        <v>213.10999999999996</v>
      </c>
      <c r="R7"/>
      <c r="S7"/>
      <c r="T7"/>
      <c r="U7"/>
      <c r="V7"/>
      <c r="W7"/>
      <c r="X7"/>
      <c r="Y7"/>
      <c r="Z7"/>
      <c r="AA7"/>
      <c r="AB7"/>
      <c r="AC7"/>
    </row>
    <row r="8" spans="1:29" s="51" customFormat="1" x14ac:dyDescent="0.25">
      <c r="A8"/>
      <c r="B8" s="313"/>
      <c r="C8" s="404"/>
      <c r="D8" s="405"/>
      <c r="E8" s="405"/>
      <c r="F8" s="405"/>
      <c r="G8" s="405"/>
      <c r="H8" s="405"/>
      <c r="I8" s="405"/>
      <c r="J8" s="405"/>
      <c r="K8" s="405"/>
      <c r="L8" s="405"/>
      <c r="M8" s="405"/>
      <c r="N8" s="405"/>
      <c r="O8" s="405"/>
      <c r="P8" s="414"/>
      <c r="Q8"/>
      <c r="R8"/>
      <c r="S8"/>
      <c r="T8"/>
      <c r="U8"/>
      <c r="V8"/>
      <c r="W8"/>
      <c r="X8"/>
      <c r="Y8"/>
      <c r="Z8"/>
      <c r="AA8"/>
      <c r="AB8"/>
      <c r="AC8"/>
    </row>
    <row r="9" spans="1:29" s="51" customFormat="1" ht="16.5" customHeight="1" x14ac:dyDescent="0.25">
      <c r="A9"/>
      <c r="B9" s="313"/>
      <c r="C9" s="406" t="s">
        <v>34</v>
      </c>
      <c r="D9" s="407">
        <v>148.36000000000001</v>
      </c>
      <c r="E9" s="407">
        <v>123.57</v>
      </c>
      <c r="F9" s="407">
        <v>89.98</v>
      </c>
      <c r="G9" s="407">
        <v>67.790000000000006</v>
      </c>
      <c r="H9" s="407">
        <v>38.590000000000003</v>
      </c>
      <c r="I9" s="407">
        <v>34</v>
      </c>
      <c r="J9" s="407">
        <v>28.24</v>
      </c>
      <c r="K9" s="407">
        <v>15.79</v>
      </c>
      <c r="L9" s="407">
        <v>38.630000000000003</v>
      </c>
      <c r="M9" s="407">
        <v>67.989999999999995</v>
      </c>
      <c r="N9" s="407"/>
      <c r="O9" s="407">
        <v>111.08</v>
      </c>
      <c r="P9" s="415">
        <v>147.59</v>
      </c>
      <c r="Q9" s="419">
        <f>SUM(D9:P9)</f>
        <v>911.61000000000013</v>
      </c>
      <c r="R9"/>
      <c r="S9"/>
      <c r="T9"/>
      <c r="U9"/>
      <c r="V9"/>
      <c r="W9"/>
      <c r="X9"/>
      <c r="Y9"/>
      <c r="Z9"/>
      <c r="AA9"/>
      <c r="AB9"/>
      <c r="AC9"/>
    </row>
    <row r="10" spans="1:29" x14ac:dyDescent="0.25">
      <c r="B10" s="313"/>
      <c r="C10" s="404"/>
      <c r="D10" s="408"/>
      <c r="E10" s="408"/>
      <c r="F10" s="408"/>
      <c r="G10" s="408"/>
      <c r="H10" s="408"/>
      <c r="I10" s="408"/>
      <c r="J10" s="408"/>
      <c r="K10" s="408"/>
      <c r="L10" s="408"/>
      <c r="M10" s="408"/>
      <c r="N10" s="408"/>
      <c r="O10" s="408"/>
      <c r="P10" s="416"/>
    </row>
    <row r="11" spans="1:29" ht="16.5" customHeight="1" x14ac:dyDescent="0.25">
      <c r="B11" s="313"/>
      <c r="C11" s="409" t="s">
        <v>35</v>
      </c>
      <c r="D11" s="410">
        <v>565.59</v>
      </c>
      <c r="E11" s="410">
        <v>451.2</v>
      </c>
      <c r="F11" s="410">
        <v>500.28</v>
      </c>
      <c r="G11" s="410">
        <v>392.85</v>
      </c>
      <c r="H11" s="410">
        <v>285.11</v>
      </c>
      <c r="I11" s="410">
        <v>211.79</v>
      </c>
      <c r="J11" s="410">
        <v>187.39</v>
      </c>
      <c r="K11" s="410">
        <v>198.78</v>
      </c>
      <c r="L11" s="410">
        <v>227.75</v>
      </c>
      <c r="M11" s="410">
        <v>364.68</v>
      </c>
      <c r="N11" s="410"/>
      <c r="O11" s="410">
        <v>347.5</v>
      </c>
      <c r="P11" s="417">
        <v>516.03</v>
      </c>
      <c r="Q11" s="419">
        <f>SUM(D11:P11)</f>
        <v>4248.95</v>
      </c>
    </row>
    <row r="12" spans="1:29" x14ac:dyDescent="0.25">
      <c r="B12" s="313"/>
      <c r="C12" s="404"/>
      <c r="D12" s="408"/>
      <c r="E12" s="408"/>
      <c r="F12" s="408"/>
      <c r="G12" s="408"/>
      <c r="H12" s="408"/>
      <c r="I12" s="408"/>
      <c r="J12" s="408"/>
      <c r="K12" s="408"/>
      <c r="L12" s="408"/>
      <c r="M12" s="408"/>
      <c r="N12" s="408"/>
      <c r="O12" s="408"/>
      <c r="P12" s="416"/>
    </row>
    <row r="13" spans="1:29" ht="16.5" customHeight="1" x14ac:dyDescent="0.25">
      <c r="B13" s="313"/>
      <c r="C13" s="409" t="s">
        <v>46</v>
      </c>
      <c r="D13" s="403">
        <v>3382.36</v>
      </c>
      <c r="E13" s="403">
        <v>2337.7800000000002</v>
      </c>
      <c r="F13" s="403">
        <v>2748.69</v>
      </c>
      <c r="G13" s="403">
        <v>2313.98</v>
      </c>
      <c r="H13" s="403">
        <v>1766.1</v>
      </c>
      <c r="I13" s="403">
        <v>1260.22</v>
      </c>
      <c r="J13" s="403">
        <v>1091.8499999999999</v>
      </c>
      <c r="K13" s="403">
        <v>1103.29</v>
      </c>
      <c r="L13" s="403">
        <v>1039.9000000000001</v>
      </c>
      <c r="M13" s="403">
        <v>1756.12</v>
      </c>
      <c r="N13" s="403"/>
      <c r="O13" s="403">
        <v>1618.05</v>
      </c>
      <c r="P13" s="413">
        <v>1797.77</v>
      </c>
      <c r="Q13" s="419">
        <f>SUM(D13:P13)</f>
        <v>22216.11</v>
      </c>
    </row>
    <row r="14" spans="1:29" x14ac:dyDescent="0.25">
      <c r="B14" s="313"/>
      <c r="C14" s="404"/>
      <c r="D14" s="411"/>
      <c r="E14" s="411"/>
      <c r="F14" s="411"/>
      <c r="G14" s="411"/>
      <c r="H14" s="411"/>
      <c r="I14" s="411"/>
      <c r="J14" s="411"/>
      <c r="K14" s="411"/>
      <c r="L14" s="411"/>
      <c r="M14" s="411"/>
      <c r="N14" s="411"/>
      <c r="O14" s="411"/>
      <c r="P14" s="418"/>
    </row>
    <row r="15" spans="1:29" ht="16.5" customHeight="1" x14ac:dyDescent="0.25">
      <c r="B15" s="313"/>
      <c r="C15" s="409" t="s">
        <v>54</v>
      </c>
      <c r="D15" s="407">
        <v>1816.61</v>
      </c>
      <c r="E15" s="407">
        <v>1751.83</v>
      </c>
      <c r="F15" s="407">
        <v>1704.64</v>
      </c>
      <c r="G15" s="407">
        <v>1691.42</v>
      </c>
      <c r="H15" s="407">
        <v>1409.17</v>
      </c>
      <c r="I15" s="407">
        <v>1017.37</v>
      </c>
      <c r="J15" s="407">
        <v>815.98</v>
      </c>
      <c r="K15" s="407">
        <v>872.94</v>
      </c>
      <c r="L15" s="407">
        <v>739.59</v>
      </c>
      <c r="M15" s="407">
        <v>939.58</v>
      </c>
      <c r="N15" s="407"/>
      <c r="O15" s="407">
        <v>1565.97</v>
      </c>
      <c r="P15" s="415">
        <v>1723.93</v>
      </c>
      <c r="Q15" s="419">
        <f>SUM(D15:P15)</f>
        <v>16049.03</v>
      </c>
    </row>
  </sheetData>
  <mergeCells count="2">
    <mergeCell ref="D2:P4"/>
    <mergeCell ref="D5:P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79CFD-6C4F-4358-A328-B6109A2FC8F7}">
  <dimension ref="A1:BD72"/>
  <sheetViews>
    <sheetView workbookViewId="0">
      <selection activeCell="L69" sqref="L69"/>
    </sheetView>
  </sheetViews>
  <sheetFormatPr defaultRowHeight="15" x14ac:dyDescent="0.25"/>
  <cols>
    <col min="1" max="1" width="24.7109375" bestFit="1" customWidth="1"/>
    <col min="2" max="2" width="65.7109375" bestFit="1" customWidth="1"/>
    <col min="3" max="3" width="16.42578125" customWidth="1"/>
    <col min="4" max="4" width="16.42578125" bestFit="1" customWidth="1"/>
    <col min="5" max="5" width="15.28515625" bestFit="1" customWidth="1"/>
    <col min="6" max="7" width="14" customWidth="1"/>
    <col min="8" max="9" width="15.28515625" bestFit="1" customWidth="1"/>
    <col min="10" max="15" width="14" customWidth="1"/>
    <col min="16" max="16" width="17.85546875" bestFit="1" customWidth="1"/>
    <col min="17" max="18" width="14" customWidth="1"/>
    <col min="19" max="19" width="1.7109375" customWidth="1"/>
    <col min="20" max="21" width="13.28515625" bestFit="1" customWidth="1"/>
    <col min="22" max="22" width="11.5703125" bestFit="1" customWidth="1"/>
    <col min="23" max="23" width="3.140625" customWidth="1"/>
    <col min="25" max="25" width="3.85546875" customWidth="1"/>
    <col min="26" max="26" width="9.7109375" bestFit="1" customWidth="1"/>
    <col min="28" max="28" width="18.7109375" bestFit="1" customWidth="1"/>
    <col min="29" max="29" width="13.28515625" bestFit="1" customWidth="1"/>
    <col min="30" max="30" width="10.5703125" bestFit="1" customWidth="1"/>
    <col min="31" max="31" width="7.5703125" bestFit="1" customWidth="1"/>
    <col min="32" max="32" width="10.5703125" bestFit="1" customWidth="1"/>
    <col min="34" max="34" width="8" bestFit="1" customWidth="1"/>
    <col min="36" max="36" width="9.7109375" bestFit="1" customWidth="1"/>
    <col min="38" max="38" width="18.7109375" bestFit="1" customWidth="1"/>
    <col min="39" max="39" width="13.28515625" bestFit="1" customWidth="1"/>
    <col min="40" max="40" width="10.5703125" bestFit="1" customWidth="1"/>
    <col min="41" max="41" width="7.5703125" bestFit="1" customWidth="1"/>
    <col min="42" max="42" width="10.5703125" bestFit="1" customWidth="1"/>
    <col min="44" max="44" width="8" bestFit="1" customWidth="1"/>
    <col min="46" max="46" width="9.7109375" bestFit="1" customWidth="1"/>
    <col min="48" max="48" width="18.7109375" bestFit="1" customWidth="1"/>
    <col min="49" max="49" width="13.28515625" bestFit="1" customWidth="1"/>
    <col min="50" max="50" width="10.5703125" bestFit="1" customWidth="1"/>
    <col min="51" max="51" width="7.5703125" bestFit="1" customWidth="1"/>
    <col min="52" max="52" width="10.5703125" bestFit="1" customWidth="1"/>
    <col min="54" max="54" width="8" bestFit="1" customWidth="1"/>
    <col min="56" max="56" width="9.7109375" bestFit="1" customWidth="1"/>
  </cols>
  <sheetData>
    <row r="1" spans="1:56" ht="18.75" x14ac:dyDescent="0.3">
      <c r="A1" s="676" t="s">
        <v>67</v>
      </c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536"/>
      <c r="N1" s="536"/>
      <c r="O1" s="536"/>
      <c r="P1" s="536"/>
      <c r="Q1" s="536"/>
      <c r="R1" s="536"/>
    </row>
    <row r="2" spans="1:56" ht="21" x14ac:dyDescent="0.35">
      <c r="A2" s="681" t="s">
        <v>69</v>
      </c>
      <c r="B2" s="681"/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537"/>
      <c r="N2" s="537"/>
      <c r="O2" s="537"/>
      <c r="P2" s="537"/>
      <c r="Q2" s="537"/>
      <c r="R2" s="537"/>
    </row>
    <row r="3" spans="1:56" ht="18" thickBot="1" x14ac:dyDescent="0.35">
      <c r="A3" s="682" t="s">
        <v>292</v>
      </c>
      <c r="B3" s="682"/>
      <c r="C3" s="682"/>
      <c r="D3" s="682"/>
      <c r="E3" s="682"/>
      <c r="F3" s="682"/>
      <c r="G3" s="682"/>
      <c r="H3" s="682"/>
      <c r="I3" s="682"/>
      <c r="J3" s="682"/>
      <c r="K3" s="682"/>
      <c r="L3" s="682"/>
      <c r="M3" s="293"/>
      <c r="N3" s="293"/>
      <c r="O3" s="293"/>
      <c r="P3" s="293"/>
      <c r="Q3" s="293"/>
      <c r="R3" s="293"/>
    </row>
    <row r="4" spans="1:56" ht="15.75" x14ac:dyDescent="0.25">
      <c r="A4" s="101" t="s">
        <v>66</v>
      </c>
      <c r="B4" s="102"/>
      <c r="C4" s="683" t="s">
        <v>254</v>
      </c>
      <c r="D4" s="103">
        <v>45260</v>
      </c>
      <c r="E4" s="103">
        <v>45261</v>
      </c>
      <c r="F4" s="103">
        <v>45292</v>
      </c>
      <c r="G4" s="103">
        <v>45324</v>
      </c>
      <c r="H4" s="103">
        <v>45352</v>
      </c>
      <c r="I4" s="103">
        <v>45383</v>
      </c>
      <c r="J4" s="103">
        <v>45413</v>
      </c>
      <c r="K4" s="103">
        <v>45444</v>
      </c>
      <c r="L4" s="103">
        <v>45474</v>
      </c>
      <c r="M4" s="103">
        <v>45505</v>
      </c>
      <c r="N4" s="103">
        <v>45536</v>
      </c>
      <c r="O4" s="103">
        <v>45566</v>
      </c>
      <c r="P4" s="103" t="s">
        <v>255</v>
      </c>
      <c r="Q4" s="103">
        <v>45597</v>
      </c>
      <c r="R4" s="103">
        <v>45627</v>
      </c>
    </row>
    <row r="5" spans="1:56" x14ac:dyDescent="0.25">
      <c r="A5" s="4"/>
      <c r="B5" s="89" t="s">
        <v>136</v>
      </c>
      <c r="C5" s="684"/>
      <c r="D5" s="538">
        <v>8.3500000000000005E-2</v>
      </c>
      <c r="E5" s="538">
        <v>8.3500000000000005E-2</v>
      </c>
      <c r="F5" s="538">
        <v>8.5000000000000006E-2</v>
      </c>
      <c r="G5" s="538">
        <v>8.5000000000000006E-2</v>
      </c>
      <c r="H5" s="538">
        <v>8.5000000000000006E-2</v>
      </c>
      <c r="I5" s="538">
        <v>8.5000000000000006E-2</v>
      </c>
      <c r="J5" s="538">
        <v>8.5000000000000006E-2</v>
      </c>
      <c r="K5" s="538">
        <v>8.5000000000000006E-2</v>
      </c>
      <c r="L5" s="538">
        <v>8.5000000000000006E-2</v>
      </c>
      <c r="M5" s="538">
        <v>8.5000000000000006E-2</v>
      </c>
      <c r="N5" s="538">
        <v>8.5000000000000006E-2</v>
      </c>
      <c r="O5" s="538">
        <v>8.5000000000000006E-2</v>
      </c>
      <c r="P5" s="539" t="s">
        <v>256</v>
      </c>
      <c r="Q5" s="538">
        <v>8.5000000000000006E-2</v>
      </c>
      <c r="R5" s="538">
        <v>8.5000000000000006E-2</v>
      </c>
    </row>
    <row r="6" spans="1:56" ht="15.75" x14ac:dyDescent="0.25">
      <c r="A6" s="183"/>
      <c r="B6" s="89" t="s">
        <v>140</v>
      </c>
      <c r="C6" s="89"/>
      <c r="D6" s="122">
        <v>30</v>
      </c>
      <c r="E6" s="122">
        <v>31</v>
      </c>
      <c r="F6" s="648">
        <v>31</v>
      </c>
      <c r="G6" s="648">
        <v>29</v>
      </c>
      <c r="H6" s="648">
        <v>31</v>
      </c>
      <c r="I6" s="648">
        <v>30</v>
      </c>
      <c r="J6" s="648">
        <v>31</v>
      </c>
      <c r="K6" s="648">
        <v>30</v>
      </c>
      <c r="L6" s="648">
        <v>31</v>
      </c>
      <c r="M6" s="648">
        <v>31</v>
      </c>
      <c r="N6" s="648">
        <v>30</v>
      </c>
      <c r="O6" s="648">
        <v>31</v>
      </c>
      <c r="P6" s="648"/>
      <c r="Q6" s="648">
        <v>30</v>
      </c>
      <c r="R6" s="648">
        <v>31</v>
      </c>
    </row>
    <row r="7" spans="1:56" x14ac:dyDescent="0.25">
      <c r="A7" s="86"/>
      <c r="F7" s="555"/>
      <c r="G7" s="555"/>
      <c r="H7" s="548"/>
      <c r="I7" s="649"/>
      <c r="J7" s="649"/>
      <c r="K7" s="649"/>
      <c r="L7" s="649"/>
      <c r="M7" s="649"/>
      <c r="N7" s="649"/>
      <c r="O7" s="649"/>
      <c r="P7" s="649"/>
      <c r="Q7" s="649"/>
      <c r="R7" s="649"/>
      <c r="AE7" s="104"/>
      <c r="AO7" s="104"/>
      <c r="AY7" s="104"/>
    </row>
    <row r="8" spans="1:56" x14ac:dyDescent="0.25">
      <c r="A8" s="86">
        <v>503</v>
      </c>
      <c r="B8" s="104" t="s">
        <v>84</v>
      </c>
      <c r="C8" s="104"/>
      <c r="D8" s="104"/>
      <c r="E8" s="104"/>
      <c r="F8" s="555"/>
      <c r="G8" s="555"/>
      <c r="H8" s="548"/>
      <c r="I8" s="548"/>
      <c r="J8" s="555"/>
      <c r="K8" s="555"/>
      <c r="L8" s="555"/>
      <c r="M8" s="555"/>
      <c r="N8" s="555"/>
      <c r="O8" s="555"/>
      <c r="P8" s="555"/>
      <c r="Q8" s="555"/>
      <c r="R8" s="555"/>
      <c r="T8" s="668"/>
      <c r="V8" s="668"/>
      <c r="AD8" s="668"/>
      <c r="AF8" s="668"/>
      <c r="AN8" s="668"/>
      <c r="AP8" s="668"/>
      <c r="AX8" s="668"/>
      <c r="AZ8" s="668"/>
    </row>
    <row r="9" spans="1:56" x14ac:dyDescent="0.25">
      <c r="A9" s="87" t="s">
        <v>92</v>
      </c>
      <c r="B9" t="s">
        <v>70</v>
      </c>
      <c r="D9" s="670">
        <v>16563910</v>
      </c>
      <c r="E9" s="670">
        <v>17765095</v>
      </c>
      <c r="F9" s="670">
        <v>22656500</v>
      </c>
      <c r="G9" s="670">
        <v>15847810</v>
      </c>
      <c r="H9" s="670">
        <v>14304551</v>
      </c>
      <c r="I9" s="670">
        <v>8696083</v>
      </c>
      <c r="J9" s="670">
        <v>6252809</v>
      </c>
      <c r="K9" s="670">
        <v>2458689</v>
      </c>
      <c r="L9" s="670">
        <v>3131406</v>
      </c>
      <c r="M9" s="670">
        <v>2190528</v>
      </c>
      <c r="N9" s="670">
        <v>3325582</v>
      </c>
      <c r="O9" s="670">
        <v>7995441</v>
      </c>
      <c r="P9" s="670"/>
      <c r="Q9" s="670">
        <v>16254947</v>
      </c>
      <c r="R9" s="670">
        <v>19822792</v>
      </c>
      <c r="T9" s="112"/>
      <c r="V9" s="112"/>
      <c r="Z9" s="112"/>
      <c r="AB9" s="122"/>
      <c r="AC9" s="550"/>
      <c r="AD9" s="112"/>
      <c r="AF9" s="112"/>
      <c r="AJ9" s="112"/>
      <c r="AL9" s="122"/>
      <c r="AM9" s="550"/>
      <c r="AN9" s="112"/>
      <c r="AP9" s="112"/>
      <c r="AT9" s="112"/>
      <c r="AV9" s="122"/>
      <c r="AW9" s="550"/>
      <c r="AX9" s="112"/>
      <c r="AZ9" s="112"/>
      <c r="BD9" s="112"/>
    </row>
    <row r="10" spans="1:56" x14ac:dyDescent="0.25">
      <c r="A10" s="87" t="s">
        <v>257</v>
      </c>
      <c r="D10" s="671" t="s">
        <v>258</v>
      </c>
      <c r="E10" s="672">
        <v>1.1390000000000001E-2</v>
      </c>
      <c r="F10" s="672">
        <v>1.1390000000000001E-2</v>
      </c>
      <c r="G10" s="672">
        <v>1.1390000000000001E-2</v>
      </c>
      <c r="H10" s="672">
        <v>1.1390000000000001E-2</v>
      </c>
      <c r="I10" s="672">
        <v>1.1390000000000001E-2</v>
      </c>
      <c r="J10" s="672">
        <v>1.1390000000000001E-2</v>
      </c>
      <c r="K10" s="672">
        <v>1.1390000000000001E-2</v>
      </c>
      <c r="L10" s="672">
        <v>1.1390000000000001E-2</v>
      </c>
      <c r="M10" s="672">
        <v>1.1390000000000001E-2</v>
      </c>
      <c r="N10" s="672">
        <v>1.1390000000000001E-2</v>
      </c>
      <c r="O10" s="672">
        <v>1.1390000000000001E-2</v>
      </c>
      <c r="P10" s="672"/>
      <c r="Q10" s="671" t="s">
        <v>258</v>
      </c>
      <c r="R10" s="672">
        <v>-1.6719999999999999E-2</v>
      </c>
      <c r="T10" s="112"/>
      <c r="V10" s="112"/>
      <c r="Z10" s="112"/>
      <c r="AB10" s="122"/>
      <c r="AC10" s="550"/>
      <c r="AD10" s="112"/>
      <c r="AF10" s="112"/>
      <c r="AJ10" s="112"/>
      <c r="AL10" s="122"/>
      <c r="AM10" s="550"/>
      <c r="AN10" s="112"/>
      <c r="AP10" s="112"/>
      <c r="AT10" s="112"/>
      <c r="AV10" s="122"/>
      <c r="AW10" s="550"/>
      <c r="AX10" s="112"/>
      <c r="AZ10" s="112"/>
      <c r="BD10" s="112"/>
    </row>
    <row r="11" spans="1:56" x14ac:dyDescent="0.25">
      <c r="A11" s="87"/>
      <c r="B11" s="89" t="s">
        <v>74</v>
      </c>
      <c r="C11" s="89"/>
      <c r="D11" s="89"/>
      <c r="E11" s="89"/>
      <c r="F11" s="548"/>
      <c r="G11" s="548"/>
      <c r="H11" s="548"/>
      <c r="I11" s="548"/>
      <c r="J11" s="548"/>
      <c r="K11" s="548"/>
      <c r="L11" s="548"/>
      <c r="M11" s="548"/>
      <c r="N11" s="548"/>
      <c r="O11" s="548"/>
      <c r="P11" s="548"/>
      <c r="Q11" s="548"/>
      <c r="R11" s="548"/>
      <c r="T11" s="112"/>
      <c r="V11" s="112"/>
      <c r="Z11" s="112"/>
    </row>
    <row r="12" spans="1:56" x14ac:dyDescent="0.25">
      <c r="A12" s="87"/>
      <c r="B12" s="89" t="s">
        <v>75</v>
      </c>
      <c r="C12" s="89"/>
      <c r="D12" s="549">
        <f>+WACAP2023Amort!Q12</f>
        <v>196048.41</v>
      </c>
      <c r="E12" s="549">
        <f>+E9*E10</f>
        <v>202344.43205</v>
      </c>
      <c r="F12" s="549">
        <f t="shared" ref="F12:O12" si="0">+F9*F10</f>
        <v>258057.53500000003</v>
      </c>
      <c r="G12" s="549">
        <f>+G9*G10</f>
        <v>180506.55590000001</v>
      </c>
      <c r="H12" s="549">
        <f t="shared" si="0"/>
        <v>162928.83589000002</v>
      </c>
      <c r="I12" s="549">
        <f t="shared" si="0"/>
        <v>99048.385370000004</v>
      </c>
      <c r="J12" s="549">
        <f t="shared" si="0"/>
        <v>71219.494510000004</v>
      </c>
      <c r="K12" s="549">
        <f t="shared" si="0"/>
        <v>28004.467710000001</v>
      </c>
      <c r="L12" s="549">
        <f t="shared" si="0"/>
        <v>35666.714340000006</v>
      </c>
      <c r="M12" s="549">
        <f t="shared" si="0"/>
        <v>24950.113920000003</v>
      </c>
      <c r="N12" s="549">
        <f t="shared" si="0"/>
        <v>37878.378980000001</v>
      </c>
      <c r="O12" s="549">
        <f t="shared" si="0"/>
        <v>91068.072990000001</v>
      </c>
      <c r="P12" s="549">
        <f>+'WA CAP 2024'!O18</f>
        <v>2182081.5799999996</v>
      </c>
      <c r="Q12" s="549">
        <f>-256747.94+10241.99</f>
        <v>-246505.95</v>
      </c>
      <c r="R12" s="549">
        <f>+R9*R10</f>
        <v>-331437.08223999996</v>
      </c>
      <c r="AV12" s="122"/>
      <c r="AW12" s="550"/>
      <c r="AX12" s="112"/>
      <c r="AZ12" s="112"/>
      <c r="BD12" s="112"/>
    </row>
    <row r="13" spans="1:56" x14ac:dyDescent="0.25">
      <c r="A13" s="87"/>
      <c r="B13" s="89" t="s">
        <v>137</v>
      </c>
      <c r="C13" s="89"/>
      <c r="D13" s="551">
        <f>ROUND(ROUND(C15*D$5,2)/365*D$6,2)</f>
        <v>-9888.16</v>
      </c>
      <c r="E13" s="551">
        <f t="shared" ref="E13:O13" si="1">ROUND(ROUND(D15*E$5,2)/365*E$6,2)</f>
        <v>-8897.56</v>
      </c>
      <c r="F13" s="551">
        <f>ROUND(ROUND(E15*F$5,2)/365*F$6,2)</f>
        <v>-7660.87</v>
      </c>
      <c r="G13" s="551">
        <f t="shared" si="1"/>
        <v>-5475.58</v>
      </c>
      <c r="H13" s="551">
        <f t="shared" si="1"/>
        <v>-4589.63</v>
      </c>
      <c r="I13" s="551">
        <f t="shared" si="1"/>
        <v>-3335.37</v>
      </c>
      <c r="J13" s="551">
        <f t="shared" si="1"/>
        <v>-2755.58</v>
      </c>
      <c r="K13" s="551">
        <f t="shared" si="1"/>
        <v>-2188.38</v>
      </c>
      <c r="L13" s="551">
        <f t="shared" si="1"/>
        <v>-2074.96</v>
      </c>
      <c r="M13" s="551">
        <f>ROUND(ROUND(L15*M$5,2)/365*M$6,2)</f>
        <v>-1832.45</v>
      </c>
      <c r="N13" s="551">
        <f t="shared" si="1"/>
        <v>-1611.83</v>
      </c>
      <c r="O13" s="551">
        <f t="shared" si="1"/>
        <v>-1403.75</v>
      </c>
      <c r="P13" s="549">
        <f>+'WA CAP 2024'!O19</f>
        <v>160036.08000000002</v>
      </c>
      <c r="Q13" s="551">
        <f>ROUND(ROUND(P15*Q$5,2)/365*Q$6,2)+0.01</f>
        <v>15630.710000000001</v>
      </c>
      <c r="R13" s="551">
        <f t="shared" ref="R13" si="2">ROUND(ROUND(Q15*R$5,2)/365*R$6,2)</f>
        <v>14484.99</v>
      </c>
    </row>
    <row r="14" spans="1:56" x14ac:dyDescent="0.25">
      <c r="A14" s="87"/>
      <c r="B14" s="89" t="s">
        <v>138</v>
      </c>
      <c r="C14" s="89"/>
      <c r="D14" s="552">
        <f t="shared" ref="D14:R14" si="3">SUM(D12:D13)</f>
        <v>186160.25</v>
      </c>
      <c r="E14" s="552">
        <f t="shared" si="3"/>
        <v>193446.87205000001</v>
      </c>
      <c r="F14" s="552">
        <f t="shared" si="3"/>
        <v>250396.66500000004</v>
      </c>
      <c r="G14" s="552">
        <f t="shared" si="3"/>
        <v>175030.97590000002</v>
      </c>
      <c r="H14" s="552">
        <f t="shared" si="3"/>
        <v>158339.20589000001</v>
      </c>
      <c r="I14" s="552">
        <f t="shared" si="3"/>
        <v>95713.015370000008</v>
      </c>
      <c r="J14" s="552">
        <f t="shared" si="3"/>
        <v>68463.914510000002</v>
      </c>
      <c r="K14" s="552">
        <f t="shared" si="3"/>
        <v>25816.08771</v>
      </c>
      <c r="L14" s="552">
        <f t="shared" si="3"/>
        <v>33591.754340000007</v>
      </c>
      <c r="M14" s="552">
        <f t="shared" si="3"/>
        <v>23117.663920000003</v>
      </c>
      <c r="N14" s="552">
        <f t="shared" si="3"/>
        <v>36266.54898</v>
      </c>
      <c r="O14" s="552">
        <f t="shared" si="3"/>
        <v>89664.322990000001</v>
      </c>
      <c r="P14" s="552">
        <f>+P12+P13</f>
        <v>2342117.6599999997</v>
      </c>
      <c r="Q14" s="552">
        <f t="shared" si="3"/>
        <v>-230875.24000000002</v>
      </c>
      <c r="R14" s="552">
        <f t="shared" si="3"/>
        <v>-316952.09223999997</v>
      </c>
    </row>
    <row r="15" spans="1:56" x14ac:dyDescent="0.25">
      <c r="A15" s="87"/>
      <c r="B15" s="89" t="s">
        <v>139</v>
      </c>
      <c r="C15" s="553">
        <f>+WACAP2023Amort!P15</f>
        <v>-1440789.8063500032</v>
      </c>
      <c r="D15" s="549">
        <f>C15+D14</f>
        <v>-1254629.5563500032</v>
      </c>
      <c r="E15" s="549">
        <f t="shared" ref="E15:O15" si="4">D15+E14</f>
        <v>-1061182.6843000031</v>
      </c>
      <c r="F15" s="549">
        <f>E15+F14</f>
        <v>-810786.01930000307</v>
      </c>
      <c r="G15" s="549">
        <f t="shared" si="4"/>
        <v>-635755.04340000311</v>
      </c>
      <c r="H15" s="549">
        <f t="shared" si="4"/>
        <v>-477415.83751000313</v>
      </c>
      <c r="I15" s="549">
        <f t="shared" si="4"/>
        <v>-381702.82214000309</v>
      </c>
      <c r="J15" s="549">
        <f t="shared" si="4"/>
        <v>-313238.90763000306</v>
      </c>
      <c r="K15" s="549">
        <f t="shared" si="4"/>
        <v>-287422.81992000306</v>
      </c>
      <c r="L15" s="549">
        <f t="shared" si="4"/>
        <v>-253831.06558000305</v>
      </c>
      <c r="M15" s="549">
        <f>L15+M14</f>
        <v>-230713.40166000306</v>
      </c>
      <c r="N15" s="549">
        <f t="shared" si="4"/>
        <v>-194446.85268000307</v>
      </c>
      <c r="O15" s="549">
        <f t="shared" si="4"/>
        <v>-104782.52969000307</v>
      </c>
      <c r="P15" s="549">
        <f>+O15+P14</f>
        <v>2237335.1303099967</v>
      </c>
      <c r="Q15" s="549">
        <f>P15+Q14</f>
        <v>2006459.8903099967</v>
      </c>
      <c r="R15" s="549">
        <f t="shared" ref="R15" si="5">Q15+R14</f>
        <v>1689507.7980699968</v>
      </c>
      <c r="T15" s="108"/>
    </row>
    <row r="16" spans="1:56" x14ac:dyDescent="0.25">
      <c r="A16" s="87"/>
      <c r="B16" s="89"/>
      <c r="C16" s="89"/>
      <c r="D16" s="89"/>
      <c r="E16" s="89"/>
      <c r="F16" s="549"/>
      <c r="G16" s="549"/>
      <c r="H16" s="549"/>
      <c r="I16" s="549"/>
      <c r="J16" s="549"/>
      <c r="K16" s="549"/>
      <c r="L16" s="549"/>
      <c r="M16" s="549"/>
      <c r="N16" s="549"/>
      <c r="O16" s="549"/>
      <c r="P16" s="549"/>
      <c r="Q16" s="549"/>
      <c r="R16" s="549"/>
      <c r="T16" s="108"/>
      <c r="AV16" s="122"/>
      <c r="AW16" s="550"/>
      <c r="AX16" s="112"/>
      <c r="AZ16" s="112"/>
      <c r="BD16" s="112"/>
    </row>
    <row r="17" spans="1:26" x14ac:dyDescent="0.25">
      <c r="A17" s="86">
        <v>505</v>
      </c>
      <c r="B17" s="104" t="s">
        <v>85</v>
      </c>
      <c r="C17" s="104"/>
      <c r="D17" s="104"/>
      <c r="E17" s="104"/>
      <c r="F17" s="555"/>
      <c r="G17" s="555"/>
      <c r="H17" s="548"/>
      <c r="I17" s="555"/>
      <c r="J17" s="555"/>
      <c r="K17" s="555"/>
      <c r="L17" s="555"/>
      <c r="M17" s="555"/>
      <c r="N17" s="555"/>
      <c r="O17" s="555"/>
      <c r="P17" s="555"/>
      <c r="Q17" s="555"/>
      <c r="R17" s="555"/>
      <c r="T17" s="108"/>
      <c r="U17" s="108"/>
    </row>
    <row r="18" spans="1:26" x14ac:dyDescent="0.25">
      <c r="A18" s="87" t="s">
        <v>92</v>
      </c>
      <c r="B18" t="s">
        <v>70</v>
      </c>
      <c r="D18" s="673">
        <v>989405</v>
      </c>
      <c r="E18" s="670">
        <v>1357607</v>
      </c>
      <c r="F18" s="670">
        <v>1696449</v>
      </c>
      <c r="G18" s="670">
        <v>1501675</v>
      </c>
      <c r="H18" s="670">
        <v>1333223</v>
      </c>
      <c r="I18" s="670">
        <v>1053452</v>
      </c>
      <c r="J18" s="670">
        <v>922926</v>
      </c>
      <c r="K18" s="670">
        <v>588410</v>
      </c>
      <c r="L18" s="670">
        <v>498355</v>
      </c>
      <c r="M18" s="670">
        <v>488223</v>
      </c>
      <c r="N18" s="670">
        <v>542767</v>
      </c>
      <c r="O18" s="670">
        <v>970935</v>
      </c>
      <c r="P18" s="670"/>
      <c r="Q18" s="670">
        <v>925502</v>
      </c>
      <c r="R18" s="670">
        <v>1453441</v>
      </c>
      <c r="T18" s="668"/>
      <c r="V18" s="668"/>
    </row>
    <row r="19" spans="1:26" x14ac:dyDescent="0.25">
      <c r="A19" s="87" t="s">
        <v>257</v>
      </c>
      <c r="D19" s="671" t="s">
        <v>258</v>
      </c>
      <c r="E19" s="671">
        <v>5.9999999999999995E-4</v>
      </c>
      <c r="F19" s="671">
        <v>5.9999999999999995E-4</v>
      </c>
      <c r="G19" s="671">
        <v>5.9999999999999995E-4</v>
      </c>
      <c r="H19" s="671">
        <v>5.9999999999999995E-4</v>
      </c>
      <c r="I19" s="671">
        <v>5.9999999999999995E-4</v>
      </c>
      <c r="J19" s="671">
        <v>5.9999999999999995E-4</v>
      </c>
      <c r="K19" s="671">
        <v>5.9999999999999995E-4</v>
      </c>
      <c r="L19" s="671">
        <v>5.9999999999999995E-4</v>
      </c>
      <c r="M19" s="671">
        <v>5.9999999999999995E-4</v>
      </c>
      <c r="N19" s="671">
        <v>5.9999999999999995E-4</v>
      </c>
      <c r="O19" s="671">
        <v>5.9999999999999995E-4</v>
      </c>
      <c r="P19" s="672"/>
      <c r="Q19" s="671" t="s">
        <v>258</v>
      </c>
      <c r="R19" s="672">
        <v>4.9100000000000003E-3</v>
      </c>
      <c r="T19" s="112"/>
      <c r="V19" s="112"/>
      <c r="Z19" s="112"/>
    </row>
    <row r="20" spans="1:26" x14ac:dyDescent="0.25">
      <c r="A20" s="86"/>
      <c r="B20" s="89" t="s">
        <v>74</v>
      </c>
      <c r="C20" s="89"/>
      <c r="D20" s="89"/>
      <c r="E20" s="89"/>
      <c r="F20" s="548"/>
      <c r="G20" s="548"/>
      <c r="H20" s="548"/>
      <c r="I20" s="548"/>
      <c r="J20" s="548"/>
      <c r="K20" s="548"/>
      <c r="L20" s="548"/>
      <c r="M20" s="548"/>
      <c r="N20" s="548"/>
      <c r="O20" s="548"/>
      <c r="P20" s="548"/>
      <c r="Q20" s="548"/>
      <c r="R20" s="548"/>
      <c r="T20" s="112"/>
      <c r="V20" s="112"/>
      <c r="Z20" s="112"/>
    </row>
    <row r="21" spans="1:26" x14ac:dyDescent="0.25">
      <c r="A21" s="86"/>
      <c r="B21" s="89" t="s">
        <v>75</v>
      </c>
      <c r="C21" s="89"/>
      <c r="D21" s="551"/>
      <c r="E21" s="549">
        <f t="shared" ref="E21:R21" si="6">+E19*E18</f>
        <v>814.56419999999991</v>
      </c>
      <c r="F21" s="549">
        <f>+F19*F18</f>
        <v>1017.8693999999999</v>
      </c>
      <c r="G21" s="549">
        <f t="shared" si="6"/>
        <v>901.00499999999988</v>
      </c>
      <c r="H21" s="549">
        <f t="shared" si="6"/>
        <v>799.93379999999991</v>
      </c>
      <c r="I21" s="549">
        <f t="shared" si="6"/>
        <v>632.07119999999998</v>
      </c>
      <c r="J21" s="549">
        <f t="shared" si="6"/>
        <v>553.75559999999996</v>
      </c>
      <c r="K21" s="549">
        <f t="shared" si="6"/>
        <v>353.04599999999999</v>
      </c>
      <c r="L21" s="549">
        <f t="shared" si="6"/>
        <v>299.01299999999998</v>
      </c>
      <c r="M21" s="549">
        <f t="shared" si="6"/>
        <v>292.93379999999996</v>
      </c>
      <c r="N21" s="549">
        <f t="shared" si="6"/>
        <v>325.66019999999997</v>
      </c>
      <c r="O21" s="549">
        <f t="shared" si="6"/>
        <v>582.56099999999992</v>
      </c>
      <c r="P21" s="549">
        <f>+'WA CAP 2024'!O110+'WA CAP 2024'!O29</f>
        <v>-73309.33</v>
      </c>
      <c r="Q21" s="549">
        <f>1545.16+366.48</f>
        <v>1911.64</v>
      </c>
      <c r="R21" s="549">
        <f t="shared" si="6"/>
        <v>7136.3953100000008</v>
      </c>
    </row>
    <row r="22" spans="1:26" x14ac:dyDescent="0.25">
      <c r="A22" s="87"/>
      <c r="B22" s="89" t="s">
        <v>137</v>
      </c>
      <c r="C22" s="89"/>
      <c r="D22" s="551">
        <f>ROUND(ROUND(C24*D$5,2)/365*D$6,2)</f>
        <v>116.19</v>
      </c>
      <c r="E22" s="551">
        <f t="shared" ref="E22:K22" si="7">ROUND(ROUND(D24*E$5,2)/365*E$6,2)</f>
        <v>120.89</v>
      </c>
      <c r="F22" s="551">
        <f>ROUND(ROUND(E24*F$5,2)/365*F$6,2)</f>
        <v>129.81</v>
      </c>
      <c r="G22" s="551">
        <f t="shared" si="7"/>
        <v>129.19</v>
      </c>
      <c r="H22" s="551">
        <f t="shared" si="7"/>
        <v>145.53</v>
      </c>
      <c r="I22" s="551">
        <f t="shared" si="7"/>
        <v>147.44</v>
      </c>
      <c r="J22" s="551">
        <f t="shared" si="7"/>
        <v>157.99</v>
      </c>
      <c r="K22" s="551">
        <f t="shared" si="7"/>
        <v>157.86000000000001</v>
      </c>
      <c r="L22" s="551">
        <f>ROUND(ROUND(K24*L$5,2)/365*L$6,2)</f>
        <v>166.81</v>
      </c>
      <c r="M22" s="551">
        <f>ROUND(ROUND(L24*M$5,2)/365*M$6,2)</f>
        <v>170.18</v>
      </c>
      <c r="N22" s="551">
        <f t="shared" ref="N22:R22" si="8">ROUND(ROUND(M24*N$5,2)/365*N$6,2)</f>
        <v>167.92</v>
      </c>
      <c r="O22" s="551">
        <f t="shared" si="8"/>
        <v>177.08</v>
      </c>
      <c r="P22" s="549">
        <f>+'WA CAP 2024'!O111+'WA CAP 2024'!O30</f>
        <v>-5376.57</v>
      </c>
      <c r="Q22" s="551">
        <f t="shared" si="8"/>
        <v>-373.05</v>
      </c>
      <c r="R22" s="551">
        <f t="shared" si="8"/>
        <v>-374.37</v>
      </c>
    </row>
    <row r="23" spans="1:26" x14ac:dyDescent="0.25">
      <c r="A23" s="87"/>
      <c r="B23" s="89" t="s">
        <v>138</v>
      </c>
      <c r="C23" s="89"/>
      <c r="D23" s="552">
        <f t="shared" ref="D23:R23" si="9">SUM(D21:D22)</f>
        <v>116.19</v>
      </c>
      <c r="E23" s="552">
        <f t="shared" si="9"/>
        <v>935.4541999999999</v>
      </c>
      <c r="F23" s="552">
        <f t="shared" si="9"/>
        <v>1147.6794</v>
      </c>
      <c r="G23" s="552">
        <f t="shared" si="9"/>
        <v>1030.1949999999999</v>
      </c>
      <c r="H23" s="552">
        <f t="shared" si="9"/>
        <v>945.46379999999988</v>
      </c>
      <c r="I23" s="552">
        <f t="shared" si="9"/>
        <v>779.51119999999992</v>
      </c>
      <c r="J23" s="552">
        <f t="shared" si="9"/>
        <v>711.74559999999997</v>
      </c>
      <c r="K23" s="552">
        <f t="shared" si="9"/>
        <v>510.90600000000001</v>
      </c>
      <c r="L23" s="552">
        <f t="shared" si="9"/>
        <v>465.82299999999998</v>
      </c>
      <c r="M23" s="552">
        <f t="shared" si="9"/>
        <v>463.11379999999997</v>
      </c>
      <c r="N23" s="552">
        <f t="shared" si="9"/>
        <v>493.58019999999999</v>
      </c>
      <c r="O23" s="552">
        <f t="shared" si="9"/>
        <v>759.64099999999996</v>
      </c>
      <c r="P23" s="552">
        <f>+P21+P22</f>
        <v>-78685.899999999994</v>
      </c>
      <c r="Q23" s="552">
        <f t="shared" si="9"/>
        <v>1538.5900000000001</v>
      </c>
      <c r="R23" s="552">
        <f t="shared" si="9"/>
        <v>6762.0253100000009</v>
      </c>
    </row>
    <row r="24" spans="1:26" x14ac:dyDescent="0.25">
      <c r="A24" s="87"/>
      <c r="B24" s="89" t="s">
        <v>139</v>
      </c>
      <c r="C24" s="553">
        <f>+WACAP2023Amort!P24</f>
        <v>16929.834230000051</v>
      </c>
      <c r="D24" s="549">
        <f>C24+D23</f>
        <v>17046.02423000005</v>
      </c>
      <c r="E24" s="549">
        <f t="shared" ref="E24:O24" si="10">D24+E23</f>
        <v>17981.47843000005</v>
      </c>
      <c r="F24" s="549">
        <f>E24+F23</f>
        <v>19129.157830000051</v>
      </c>
      <c r="G24" s="549">
        <f t="shared" si="10"/>
        <v>20159.352830000051</v>
      </c>
      <c r="H24" s="549">
        <f t="shared" si="10"/>
        <v>21104.816630000052</v>
      </c>
      <c r="I24" s="549">
        <f t="shared" si="10"/>
        <v>21884.327830000053</v>
      </c>
      <c r="J24" s="549">
        <f t="shared" si="10"/>
        <v>22596.073430000051</v>
      </c>
      <c r="K24" s="549">
        <f t="shared" si="10"/>
        <v>23106.97943000005</v>
      </c>
      <c r="L24" s="549">
        <f t="shared" si="10"/>
        <v>23572.802430000051</v>
      </c>
      <c r="M24" s="549">
        <f>L24+M23</f>
        <v>24035.91623000005</v>
      </c>
      <c r="N24" s="549">
        <f t="shared" si="10"/>
        <v>24529.49643000005</v>
      </c>
      <c r="O24" s="549">
        <f t="shared" si="10"/>
        <v>25289.13743000005</v>
      </c>
      <c r="P24" s="549">
        <f>+O24+P23</f>
        <v>-53396.762569999948</v>
      </c>
      <c r="Q24" s="549">
        <f>P24+Q23</f>
        <v>-51858.172569999952</v>
      </c>
      <c r="R24" s="549">
        <f t="shared" ref="R24" si="11">Q24+R23</f>
        <v>-45096.147259999954</v>
      </c>
      <c r="T24" s="108"/>
    </row>
    <row r="25" spans="1:26" x14ac:dyDescent="0.25">
      <c r="A25" s="86"/>
      <c r="B25" s="89"/>
      <c r="C25" s="89"/>
      <c r="D25" s="89"/>
      <c r="E25" s="89"/>
      <c r="F25" s="549"/>
      <c r="G25" s="549"/>
      <c r="H25" s="549"/>
      <c r="I25" s="549"/>
      <c r="J25" s="549"/>
      <c r="K25" s="549"/>
      <c r="L25" s="549"/>
      <c r="M25" s="549"/>
      <c r="N25" s="549"/>
      <c r="O25" s="549"/>
      <c r="P25" s="549"/>
      <c r="Q25" s="549"/>
      <c r="R25" s="549"/>
      <c r="T25" s="108"/>
    </row>
    <row r="26" spans="1:26" x14ac:dyDescent="0.25">
      <c r="A26" s="86" t="s">
        <v>142</v>
      </c>
      <c r="B26" s="104" t="s">
        <v>86</v>
      </c>
      <c r="C26" s="104"/>
      <c r="D26" s="104"/>
      <c r="E26" s="104"/>
      <c r="F26" s="555"/>
      <c r="G26" s="555"/>
      <c r="H26" s="548"/>
      <c r="I26" s="555"/>
      <c r="J26" s="555"/>
      <c r="K26" s="555"/>
      <c r="L26" s="555"/>
      <c r="M26" s="555"/>
      <c r="N26" s="555"/>
      <c r="O26" s="555"/>
      <c r="P26" s="555"/>
      <c r="Q26" s="555"/>
      <c r="R26" s="555"/>
    </row>
    <row r="27" spans="1:26" x14ac:dyDescent="0.25">
      <c r="A27" s="87" t="s">
        <v>92</v>
      </c>
      <c r="B27" t="s">
        <v>70</v>
      </c>
      <c r="D27" s="670">
        <v>6637</v>
      </c>
      <c r="E27" s="670">
        <v>6980</v>
      </c>
      <c r="F27" s="670">
        <v>7701</v>
      </c>
      <c r="G27" s="670">
        <v>9130</v>
      </c>
      <c r="H27" s="670">
        <v>5300</v>
      </c>
      <c r="I27" s="670">
        <v>5791</v>
      </c>
      <c r="J27" s="670">
        <v>3131</v>
      </c>
      <c r="K27" s="670">
        <v>2573</v>
      </c>
      <c r="L27" s="670">
        <v>1234</v>
      </c>
      <c r="M27" s="670">
        <v>2147</v>
      </c>
      <c r="N27" s="670">
        <v>1769</v>
      </c>
      <c r="O27" s="670">
        <v>2850</v>
      </c>
      <c r="P27" s="670"/>
      <c r="Q27" s="670">
        <v>7214</v>
      </c>
      <c r="R27" s="670">
        <v>6344</v>
      </c>
      <c r="T27" s="668"/>
      <c r="V27" s="668"/>
    </row>
    <row r="28" spans="1:26" x14ac:dyDescent="0.25">
      <c r="A28" s="87" t="s">
        <v>257</v>
      </c>
      <c r="D28" s="671" t="str">
        <f>+D19</f>
        <v>Prorated</v>
      </c>
      <c r="E28" s="672">
        <v>2.197E-2</v>
      </c>
      <c r="F28" s="672">
        <v>2.197E-2</v>
      </c>
      <c r="G28" s="672">
        <v>2.197E-2</v>
      </c>
      <c r="H28" s="672">
        <v>2.197E-2</v>
      </c>
      <c r="I28" s="672">
        <v>2.197E-2</v>
      </c>
      <c r="J28" s="672">
        <v>2.197E-2</v>
      </c>
      <c r="K28" s="672">
        <v>2.197E-2</v>
      </c>
      <c r="L28" s="672">
        <v>2.197E-2</v>
      </c>
      <c r="M28" s="672">
        <v>2.197E-2</v>
      </c>
      <c r="N28" s="672">
        <v>2.197E-2</v>
      </c>
      <c r="O28" s="672">
        <v>2.197E-2</v>
      </c>
      <c r="P28" s="672"/>
      <c r="Q28" s="671" t="s">
        <v>258</v>
      </c>
      <c r="R28" s="672">
        <v>1.0120000000000001E-2</v>
      </c>
      <c r="T28" s="112"/>
      <c r="V28" s="112"/>
      <c r="Z28" s="112"/>
    </row>
    <row r="29" spans="1:26" x14ac:dyDescent="0.25">
      <c r="A29" s="87"/>
      <c r="B29" s="89" t="s">
        <v>74</v>
      </c>
      <c r="C29" s="89"/>
      <c r="D29" s="89"/>
      <c r="E29" s="89"/>
      <c r="F29" s="548"/>
      <c r="G29" s="548"/>
      <c r="H29" s="548"/>
      <c r="I29" s="548"/>
      <c r="J29" s="548"/>
      <c r="K29" s="548"/>
      <c r="L29" s="548"/>
      <c r="M29" s="548"/>
      <c r="N29" s="548"/>
      <c r="O29" s="548"/>
      <c r="P29" s="548"/>
      <c r="Q29" s="548"/>
      <c r="R29" s="548"/>
    </row>
    <row r="30" spans="1:26" x14ac:dyDescent="0.25">
      <c r="A30" s="87"/>
      <c r="B30" s="89" t="s">
        <v>75</v>
      </c>
      <c r="C30" s="89"/>
      <c r="D30" s="553">
        <f>+WACAP2023Amort!Q30</f>
        <v>145.81</v>
      </c>
      <c r="E30" s="553">
        <f t="shared" ref="E30:R30" si="12">+E27*E28</f>
        <v>153.35059999999999</v>
      </c>
      <c r="F30" s="553">
        <f t="shared" si="12"/>
        <v>169.19096999999999</v>
      </c>
      <c r="G30" s="553">
        <f t="shared" si="12"/>
        <v>200.58609999999999</v>
      </c>
      <c r="H30" s="553">
        <f t="shared" si="12"/>
        <v>116.441</v>
      </c>
      <c r="I30" s="553">
        <f t="shared" si="12"/>
        <v>127.22826999999999</v>
      </c>
      <c r="J30" s="553">
        <f t="shared" si="12"/>
        <v>68.788070000000005</v>
      </c>
      <c r="K30" s="553">
        <f t="shared" si="12"/>
        <v>56.52881</v>
      </c>
      <c r="L30" s="553">
        <f t="shared" si="12"/>
        <v>27.110980000000001</v>
      </c>
      <c r="M30" s="553">
        <f t="shared" si="12"/>
        <v>47.169589999999999</v>
      </c>
      <c r="N30" s="553">
        <f t="shared" si="12"/>
        <v>38.864930000000001</v>
      </c>
      <c r="O30" s="553">
        <f t="shared" si="12"/>
        <v>62.6145</v>
      </c>
      <c r="P30" s="553">
        <f>+'WA CAP 2024'!O51</f>
        <v>-15781.05</v>
      </c>
      <c r="Q30" s="553">
        <v>73.010000000000005</v>
      </c>
      <c r="R30" s="553">
        <f t="shared" si="12"/>
        <v>64.201279999999997</v>
      </c>
    </row>
    <row r="31" spans="1:26" x14ac:dyDescent="0.25">
      <c r="A31" s="87"/>
      <c r="B31" s="89" t="s">
        <v>137</v>
      </c>
      <c r="C31" s="89"/>
      <c r="D31" s="563">
        <f>+WACAP2023Amort!Q31</f>
        <v>-543.04999999999995</v>
      </c>
      <c r="E31" s="551">
        <f t="shared" ref="E31:O31" si="13">ROUND(ROUND(D33*E$5,2)/365*E$6,2)</f>
        <v>-563.96</v>
      </c>
      <c r="F31" s="551">
        <f>ROUND(ROUND(E33*F$5,2)/365*F$6,2)</f>
        <v>-577.05999999999995</v>
      </c>
      <c r="G31" s="551">
        <f t="shared" si="13"/>
        <v>-542.58000000000004</v>
      </c>
      <c r="H31" s="551">
        <f t="shared" si="13"/>
        <v>-582.47</v>
      </c>
      <c r="I31" s="551">
        <f t="shared" si="13"/>
        <v>-566.94000000000005</v>
      </c>
      <c r="J31" s="551">
        <f t="shared" si="13"/>
        <v>-589.01</v>
      </c>
      <c r="K31" s="551">
        <f t="shared" si="13"/>
        <v>-573.65</v>
      </c>
      <c r="L31" s="551">
        <f t="shared" si="13"/>
        <v>-596.5</v>
      </c>
      <c r="M31" s="551">
        <f>ROUND(ROUND(L33*M$5,2)/365*M$6,2)</f>
        <v>-600.61</v>
      </c>
      <c r="N31" s="551">
        <f t="shared" si="13"/>
        <v>-585.1</v>
      </c>
      <c r="O31" s="551">
        <f t="shared" si="13"/>
        <v>-608.54999999999995</v>
      </c>
      <c r="P31" s="553">
        <f>+'WA CAP 2024'!O52</f>
        <v>-1157.4000000000001</v>
      </c>
      <c r="Q31" s="551">
        <f>ROUND(ROUND(P33*Q$5,2)/365*Q$6,2)</f>
        <v>-711.07</v>
      </c>
      <c r="R31" s="551">
        <f>ROUND(ROUND(Q33*R$5,2)/365*R$6,2)</f>
        <v>-739.38</v>
      </c>
    </row>
    <row r="32" spans="1:26" x14ac:dyDescent="0.25">
      <c r="A32" s="87"/>
      <c r="B32" s="89" t="s">
        <v>138</v>
      </c>
      <c r="C32" s="89"/>
      <c r="D32" s="552">
        <f t="shared" ref="D32:R32" si="14">SUM(D30:D31)</f>
        <v>-397.23999999999995</v>
      </c>
      <c r="E32" s="552">
        <f t="shared" si="14"/>
        <v>-410.60940000000005</v>
      </c>
      <c r="F32" s="552">
        <f t="shared" si="14"/>
        <v>-407.86902999999995</v>
      </c>
      <c r="G32" s="552">
        <f t="shared" si="14"/>
        <v>-341.99390000000005</v>
      </c>
      <c r="H32" s="552">
        <f t="shared" si="14"/>
        <v>-466.029</v>
      </c>
      <c r="I32" s="552">
        <f t="shared" si="14"/>
        <v>-439.71173000000005</v>
      </c>
      <c r="J32" s="552">
        <f t="shared" si="14"/>
        <v>-520.22192999999993</v>
      </c>
      <c r="K32" s="552">
        <f t="shared" si="14"/>
        <v>-517.12118999999996</v>
      </c>
      <c r="L32" s="552">
        <f t="shared" si="14"/>
        <v>-569.38901999999996</v>
      </c>
      <c r="M32" s="552">
        <f t="shared" si="14"/>
        <v>-553.44041000000004</v>
      </c>
      <c r="N32" s="552">
        <f t="shared" si="14"/>
        <v>-546.23507000000006</v>
      </c>
      <c r="O32" s="552">
        <f t="shared" si="14"/>
        <v>-545.93549999999993</v>
      </c>
      <c r="P32" s="552">
        <f>+P30+P31</f>
        <v>-16938.45</v>
      </c>
      <c r="Q32" s="552">
        <f t="shared" si="14"/>
        <v>-638.06000000000006</v>
      </c>
      <c r="R32" s="552">
        <f t="shared" si="14"/>
        <v>-675.17872</v>
      </c>
    </row>
    <row r="33" spans="1:26" x14ac:dyDescent="0.25">
      <c r="A33" s="87"/>
      <c r="B33" s="89" t="s">
        <v>139</v>
      </c>
      <c r="C33" s="553">
        <f>+WACAP2023Amort!P33</f>
        <v>-79126.40330999998</v>
      </c>
      <c r="D33" s="549">
        <f>C33+D32</f>
        <v>-79523.643309999985</v>
      </c>
      <c r="E33" s="549">
        <f t="shared" ref="E33:O33" si="15">D33+E32</f>
        <v>-79934.252709999986</v>
      </c>
      <c r="F33" s="549">
        <f>E33+F32</f>
        <v>-80342.121739999988</v>
      </c>
      <c r="G33" s="549">
        <f t="shared" si="15"/>
        <v>-80684.115639999989</v>
      </c>
      <c r="H33" s="549">
        <f t="shared" si="15"/>
        <v>-81150.144639999984</v>
      </c>
      <c r="I33" s="549">
        <f t="shared" si="15"/>
        <v>-81589.85636999998</v>
      </c>
      <c r="J33" s="549">
        <f t="shared" si="15"/>
        <v>-82110.078299999979</v>
      </c>
      <c r="K33" s="549">
        <f t="shared" si="15"/>
        <v>-82627.199489999985</v>
      </c>
      <c r="L33" s="549">
        <f t="shared" si="15"/>
        <v>-83196.588509999987</v>
      </c>
      <c r="M33" s="549">
        <f>L33+M32</f>
        <v>-83750.028919999982</v>
      </c>
      <c r="N33" s="549">
        <f t="shared" si="15"/>
        <v>-84296.263989999978</v>
      </c>
      <c r="O33" s="549">
        <f t="shared" si="15"/>
        <v>-84842.199489999985</v>
      </c>
      <c r="P33" s="549">
        <f>+O33+P32</f>
        <v>-101780.64948999998</v>
      </c>
      <c r="Q33" s="549">
        <f>P33+Q32</f>
        <v>-102418.70948999998</v>
      </c>
      <c r="R33" s="549">
        <f t="shared" ref="R33" si="16">Q33+R32</f>
        <v>-103093.88820999998</v>
      </c>
      <c r="T33" s="108"/>
    </row>
    <row r="34" spans="1:26" x14ac:dyDescent="0.25">
      <c r="A34" s="87"/>
      <c r="B34" s="89"/>
      <c r="C34" s="89"/>
      <c r="D34" s="89"/>
      <c r="E34" s="89"/>
      <c r="F34" s="549"/>
      <c r="G34" s="549"/>
      <c r="H34" s="549"/>
      <c r="I34" s="549"/>
      <c r="J34" s="549"/>
      <c r="K34" s="549"/>
      <c r="L34" s="549"/>
      <c r="M34" s="549"/>
      <c r="N34" s="549"/>
      <c r="O34" s="549"/>
      <c r="P34" s="549"/>
      <c r="Q34" s="549"/>
      <c r="R34" s="549"/>
      <c r="T34" s="108"/>
    </row>
    <row r="35" spans="1:26" x14ac:dyDescent="0.25">
      <c r="A35" s="86">
        <v>504</v>
      </c>
      <c r="B35" s="104" t="s">
        <v>86</v>
      </c>
      <c r="C35" s="104"/>
      <c r="D35" s="104"/>
      <c r="E35" s="104"/>
      <c r="F35" s="555"/>
      <c r="G35" s="555"/>
      <c r="H35" s="548"/>
      <c r="I35" s="555"/>
      <c r="J35" s="555"/>
      <c r="K35" s="555"/>
      <c r="L35" s="555"/>
      <c r="M35" s="555"/>
      <c r="N35" s="555"/>
      <c r="O35" s="555"/>
      <c r="P35" s="555"/>
      <c r="Q35" s="555"/>
      <c r="R35" s="555"/>
    </row>
    <row r="36" spans="1:26" x14ac:dyDescent="0.25">
      <c r="A36" s="87" t="s">
        <v>92</v>
      </c>
      <c r="B36" t="s">
        <v>70</v>
      </c>
      <c r="D36" s="670">
        <v>10754826</v>
      </c>
      <c r="E36" s="670">
        <v>12507209</v>
      </c>
      <c r="F36" s="670">
        <v>15728457</v>
      </c>
      <c r="G36" s="670">
        <v>12430967</v>
      </c>
      <c r="H36" s="670">
        <v>9567314</v>
      </c>
      <c r="I36" s="670">
        <v>6692150</v>
      </c>
      <c r="J36" s="670">
        <v>4634474</v>
      </c>
      <c r="K36" s="670">
        <v>3579574</v>
      </c>
      <c r="L36" s="670">
        <v>1890813</v>
      </c>
      <c r="M36" s="670">
        <v>2282421</v>
      </c>
      <c r="N36" s="670">
        <v>3069624</v>
      </c>
      <c r="O36" s="670">
        <v>6242076</v>
      </c>
      <c r="P36" s="670"/>
      <c r="Q36" s="670">
        <v>10809970</v>
      </c>
      <c r="R36" s="670">
        <v>13458955</v>
      </c>
      <c r="T36" s="668"/>
      <c r="V36" s="668"/>
    </row>
    <row r="37" spans="1:26" x14ac:dyDescent="0.25">
      <c r="A37" s="87" t="s">
        <v>257</v>
      </c>
      <c r="D37" s="671" t="str">
        <f>+D28</f>
        <v>Prorated</v>
      </c>
      <c r="E37" s="672">
        <v>2.197E-2</v>
      </c>
      <c r="F37" s="672">
        <v>2.197E-2</v>
      </c>
      <c r="G37" s="672">
        <v>2.197E-2</v>
      </c>
      <c r="H37" s="672">
        <v>2.197E-2</v>
      </c>
      <c r="I37" s="672">
        <v>2.197E-2</v>
      </c>
      <c r="J37" s="672">
        <v>2.197E-2</v>
      </c>
      <c r="K37" s="672">
        <v>2.197E-2</v>
      </c>
      <c r="L37" s="672">
        <v>2.197E-2</v>
      </c>
      <c r="M37" s="672">
        <v>2.197E-2</v>
      </c>
      <c r="N37" s="672">
        <v>2.197E-2</v>
      </c>
      <c r="O37" s="672">
        <v>2.197E-2</v>
      </c>
      <c r="P37" s="672"/>
      <c r="Q37" s="671" t="s">
        <v>258</v>
      </c>
      <c r="R37" s="672">
        <v>1.0120000000000001E-2</v>
      </c>
      <c r="T37" s="112"/>
      <c r="V37" s="112"/>
      <c r="Z37" s="112"/>
    </row>
    <row r="38" spans="1:26" x14ac:dyDescent="0.25">
      <c r="A38" s="87"/>
      <c r="B38" s="89" t="s">
        <v>74</v>
      </c>
      <c r="C38" s="89"/>
      <c r="D38" s="548"/>
      <c r="E38" s="548"/>
      <c r="F38" s="548"/>
      <c r="G38" s="548"/>
      <c r="H38" s="548"/>
      <c r="I38" s="548"/>
      <c r="J38" s="548"/>
      <c r="K38" s="548"/>
      <c r="L38" s="548"/>
      <c r="M38" s="548"/>
      <c r="N38" s="548"/>
      <c r="O38" s="548"/>
      <c r="P38" s="548"/>
      <c r="Q38" s="548"/>
      <c r="R38" s="548"/>
    </row>
    <row r="39" spans="1:26" x14ac:dyDescent="0.25">
      <c r="A39" s="87"/>
      <c r="B39" s="89" t="s">
        <v>75</v>
      </c>
      <c r="C39" s="89"/>
      <c r="D39" s="549">
        <f>+WACAP2023Amort!Q39</f>
        <v>281512.36</v>
      </c>
      <c r="E39" s="549">
        <f t="shared" ref="E39:O39" si="17">+E36*E37</f>
        <v>274783.38173000002</v>
      </c>
      <c r="F39" s="549">
        <f t="shared" si="17"/>
        <v>345554.20029000001</v>
      </c>
      <c r="G39" s="549">
        <f t="shared" si="17"/>
        <v>273108.34499000001</v>
      </c>
      <c r="H39" s="549">
        <f t="shared" si="17"/>
        <v>210193.88858</v>
      </c>
      <c r="I39" s="549">
        <f t="shared" si="17"/>
        <v>147026.5355</v>
      </c>
      <c r="J39" s="549">
        <f t="shared" si="17"/>
        <v>101819.39378</v>
      </c>
      <c r="K39" s="549">
        <f t="shared" si="17"/>
        <v>78643.240779999993</v>
      </c>
      <c r="L39" s="549">
        <f t="shared" si="17"/>
        <v>41541.161610000003</v>
      </c>
      <c r="M39" s="549">
        <f t="shared" si="17"/>
        <v>50144.789369999999</v>
      </c>
      <c r="N39" s="549">
        <f t="shared" si="17"/>
        <v>67439.639280000003</v>
      </c>
      <c r="O39" s="549">
        <f t="shared" si="17"/>
        <v>137138.40972</v>
      </c>
      <c r="P39" s="549">
        <f>+'WA CAP 2024'!O82</f>
        <v>-920278.47</v>
      </c>
      <c r="Q39" s="549">
        <f>105592.12+8259.99</f>
        <v>113852.11</v>
      </c>
      <c r="R39" s="549">
        <f>+R36*R37</f>
        <v>136204.62460000001</v>
      </c>
    </row>
    <row r="40" spans="1:26" x14ac:dyDescent="0.25">
      <c r="A40" s="87"/>
      <c r="B40" s="89" t="s">
        <v>137</v>
      </c>
      <c r="C40" s="89"/>
      <c r="D40" s="551">
        <f>+WACAP2023Amort!Q40</f>
        <v>-13172.51</v>
      </c>
      <c r="E40" s="551">
        <f t="shared" ref="E40:O40" si="18">ROUND(ROUND(D42*E$5,2)/365*E$6,2)</f>
        <v>-11708.59</v>
      </c>
      <c r="F40" s="551">
        <f>ROUND(ROUND(E42*F$5,2)/365*F$6,2)</f>
        <v>-10019.74</v>
      </c>
      <c r="G40" s="551">
        <f t="shared" si="18"/>
        <v>-7107.3</v>
      </c>
      <c r="H40" s="551">
        <f t="shared" si="18"/>
        <v>-5677.15</v>
      </c>
      <c r="I40" s="551">
        <f t="shared" si="18"/>
        <v>-4065.2</v>
      </c>
      <c r="J40" s="551">
        <f t="shared" si="18"/>
        <v>-3168.64</v>
      </c>
      <c r="K40" s="551">
        <f t="shared" si="18"/>
        <v>-2377.2199999999998</v>
      </c>
      <c r="L40" s="551">
        <f t="shared" si="18"/>
        <v>-1905.89</v>
      </c>
      <c r="M40" s="551">
        <f>ROUND(ROUND(L42*M$5,2)/365*M$6,2)</f>
        <v>-1619.75</v>
      </c>
      <c r="N40" s="551">
        <f t="shared" si="18"/>
        <v>-1228.49</v>
      </c>
      <c r="O40" s="551">
        <f t="shared" si="18"/>
        <v>-791.45</v>
      </c>
      <c r="P40" s="549">
        <f>+'WA CAP 2024'!O83</f>
        <v>-67494.16</v>
      </c>
      <c r="Q40" s="551">
        <f>ROUND(ROUND(P42*Q$5,2)/365*Q$6,2)</f>
        <v>-6714.24</v>
      </c>
      <c r="R40" s="551">
        <f>ROUND(ROUND(Q42*R$5,2)/365*R$6,2)</f>
        <v>-6164.6</v>
      </c>
    </row>
    <row r="41" spans="1:26" x14ac:dyDescent="0.25">
      <c r="A41" s="87"/>
      <c r="B41" s="89" t="s">
        <v>138</v>
      </c>
      <c r="C41" s="89"/>
      <c r="D41" s="552">
        <f t="shared" ref="D41:R41" si="19">SUM(D39:D40)</f>
        <v>268339.84999999998</v>
      </c>
      <c r="E41" s="552">
        <f t="shared" si="19"/>
        <v>263074.79173</v>
      </c>
      <c r="F41" s="552">
        <f t="shared" si="19"/>
        <v>335534.46029000002</v>
      </c>
      <c r="G41" s="552">
        <f>SUM(G39:G40)</f>
        <v>266001.04499000002</v>
      </c>
      <c r="H41" s="552">
        <f t="shared" si="19"/>
        <v>204516.73858</v>
      </c>
      <c r="I41" s="552">
        <f t="shared" si="19"/>
        <v>142961.33549999999</v>
      </c>
      <c r="J41" s="552">
        <f t="shared" si="19"/>
        <v>98650.753779999999</v>
      </c>
      <c r="K41" s="552">
        <f t="shared" si="19"/>
        <v>76266.020779999992</v>
      </c>
      <c r="L41" s="552">
        <f t="shared" si="19"/>
        <v>39635.271610000003</v>
      </c>
      <c r="M41" s="552">
        <f t="shared" si="19"/>
        <v>48525.039369999999</v>
      </c>
      <c r="N41" s="552">
        <f t="shared" si="19"/>
        <v>66211.149279999998</v>
      </c>
      <c r="O41" s="552">
        <f t="shared" si="19"/>
        <v>136346.95971999998</v>
      </c>
      <c r="P41" s="552">
        <f>+P39+P40</f>
        <v>-987772.63</v>
      </c>
      <c r="Q41" s="552">
        <f t="shared" si="19"/>
        <v>107137.87</v>
      </c>
      <c r="R41" s="552">
        <f t="shared" si="19"/>
        <v>130040.0246</v>
      </c>
    </row>
    <row r="42" spans="1:26" x14ac:dyDescent="0.25">
      <c r="A42" s="87"/>
      <c r="B42" s="89" t="s">
        <v>139</v>
      </c>
      <c r="C42" s="553">
        <f>+WACAP2023Amort!P42</f>
        <v>-1919348.3629399971</v>
      </c>
      <c r="D42" s="549">
        <f>C42+D41</f>
        <v>-1651008.512939997</v>
      </c>
      <c r="E42" s="549">
        <f t="shared" ref="E42:O42" si="20">D42+E41</f>
        <v>-1387933.7212099971</v>
      </c>
      <c r="F42" s="549">
        <f>E42+F41</f>
        <v>-1052399.260919997</v>
      </c>
      <c r="G42" s="549">
        <f t="shared" si="20"/>
        <v>-786398.21592999692</v>
      </c>
      <c r="H42" s="549">
        <f t="shared" si="20"/>
        <v>-581881.47734999692</v>
      </c>
      <c r="I42" s="549">
        <f t="shared" si="20"/>
        <v>-438920.14184999693</v>
      </c>
      <c r="J42" s="549">
        <f t="shared" si="20"/>
        <v>-340269.38806999696</v>
      </c>
      <c r="K42" s="549">
        <f t="shared" si="20"/>
        <v>-264003.36728999694</v>
      </c>
      <c r="L42" s="549">
        <f t="shared" si="20"/>
        <v>-224368.09567999694</v>
      </c>
      <c r="M42" s="549">
        <f>L42+M41</f>
        <v>-175843.05630999693</v>
      </c>
      <c r="N42" s="549">
        <f t="shared" si="20"/>
        <v>-109631.90702999693</v>
      </c>
      <c r="O42" s="549">
        <f t="shared" si="20"/>
        <v>26715.052690003053</v>
      </c>
      <c r="P42" s="549">
        <f>+O42+P41</f>
        <v>-961057.57730999694</v>
      </c>
      <c r="Q42" s="549">
        <f>P42+Q41</f>
        <v>-853919.70730999694</v>
      </c>
      <c r="R42" s="549">
        <f t="shared" ref="R42" si="21">Q42+R41</f>
        <v>-723879.68270999694</v>
      </c>
      <c r="T42" s="108"/>
    </row>
    <row r="43" spans="1:26" x14ac:dyDescent="0.25">
      <c r="A43" s="87"/>
      <c r="B43" s="89"/>
      <c r="C43" s="89"/>
      <c r="D43" s="89"/>
      <c r="E43" s="89"/>
      <c r="F43" s="549"/>
      <c r="G43" s="549"/>
      <c r="H43" s="549"/>
      <c r="I43" s="549"/>
      <c r="J43" s="549"/>
      <c r="K43" s="549"/>
      <c r="L43" s="549"/>
      <c r="M43" s="549"/>
      <c r="N43" s="549"/>
      <c r="O43" s="549"/>
      <c r="P43" s="549"/>
      <c r="Q43" s="549"/>
      <c r="R43" s="549"/>
      <c r="T43" s="108"/>
    </row>
    <row r="44" spans="1:26" x14ac:dyDescent="0.25">
      <c r="A44" s="86">
        <v>511</v>
      </c>
      <c r="B44" s="104" t="s">
        <v>86</v>
      </c>
      <c r="C44" s="104"/>
      <c r="D44" s="104"/>
      <c r="E44" s="104"/>
      <c r="F44" s="555"/>
      <c r="G44" s="555"/>
      <c r="H44" s="548"/>
      <c r="I44" s="555"/>
      <c r="J44" s="555"/>
      <c r="K44" s="555"/>
      <c r="L44" s="555"/>
      <c r="M44" s="555"/>
      <c r="N44" s="555"/>
      <c r="O44" s="555"/>
      <c r="P44" s="555"/>
      <c r="Q44" s="555"/>
      <c r="R44" s="555"/>
      <c r="T44" s="108"/>
      <c r="U44" s="108"/>
    </row>
    <row r="45" spans="1:26" x14ac:dyDescent="0.25">
      <c r="A45" s="87" t="s">
        <v>92</v>
      </c>
      <c r="B45" t="s">
        <v>70</v>
      </c>
      <c r="D45" s="670">
        <v>1545484</v>
      </c>
      <c r="E45" s="670">
        <v>1600841</v>
      </c>
      <c r="F45" s="670">
        <v>2212395</v>
      </c>
      <c r="G45" s="670">
        <v>1692041</v>
      </c>
      <c r="H45" s="670">
        <v>1371096</v>
      </c>
      <c r="I45" s="670">
        <v>1185738</v>
      </c>
      <c r="J45" s="670">
        <v>886290</v>
      </c>
      <c r="K45" s="670">
        <v>862944</v>
      </c>
      <c r="L45" s="670">
        <v>588899</v>
      </c>
      <c r="M45" s="670">
        <v>629231</v>
      </c>
      <c r="N45" s="670">
        <v>696188</v>
      </c>
      <c r="O45" s="670">
        <v>1274990</v>
      </c>
      <c r="P45" s="670"/>
      <c r="Q45" s="670">
        <v>1724881</v>
      </c>
      <c r="R45" s="670">
        <v>1909352</v>
      </c>
      <c r="T45" s="668"/>
      <c r="V45" s="668"/>
    </row>
    <row r="46" spans="1:26" x14ac:dyDescent="0.25">
      <c r="A46" s="87" t="s">
        <v>257</v>
      </c>
      <c r="D46" s="671" t="str">
        <f>+D37</f>
        <v>Prorated</v>
      </c>
      <c r="E46" s="672">
        <v>-3.3899999999999998E-3</v>
      </c>
      <c r="F46" s="672">
        <v>-3.3899999999999998E-3</v>
      </c>
      <c r="G46" s="672">
        <v>-3.3899999999999998E-3</v>
      </c>
      <c r="H46" s="672">
        <v>-3.3899999999999998E-3</v>
      </c>
      <c r="I46" s="672">
        <v>-3.3899999999999998E-3</v>
      </c>
      <c r="J46" s="672">
        <v>-3.3899999999999998E-3</v>
      </c>
      <c r="K46" s="672">
        <v>-3.3899999999999998E-3</v>
      </c>
      <c r="L46" s="672">
        <v>-3.3899999999999998E-3</v>
      </c>
      <c r="M46" s="672">
        <v>-3.3899999999999998E-3</v>
      </c>
      <c r="N46" s="672">
        <v>-3.3899999999999998E-3</v>
      </c>
      <c r="O46" s="672">
        <v>-3.3899999999999998E-3</v>
      </c>
      <c r="P46" s="672"/>
      <c r="Q46" s="671" t="s">
        <v>258</v>
      </c>
      <c r="R46" s="672">
        <v>-3.5029999999999999E-2</v>
      </c>
      <c r="T46" s="112"/>
      <c r="V46" s="112"/>
      <c r="Z46" s="112"/>
    </row>
    <row r="47" spans="1:26" x14ac:dyDescent="0.25">
      <c r="A47" s="87"/>
      <c r="B47" s="89" t="s">
        <v>74</v>
      </c>
      <c r="C47" s="89"/>
      <c r="D47" s="89"/>
      <c r="E47" s="89"/>
      <c r="F47" s="548"/>
      <c r="G47" s="548"/>
      <c r="H47" s="548"/>
      <c r="I47" s="548"/>
      <c r="J47" s="548"/>
      <c r="K47" s="548"/>
      <c r="L47" s="548"/>
      <c r="M47" s="548"/>
      <c r="N47" s="548"/>
      <c r="O47" s="548"/>
      <c r="P47" s="548"/>
      <c r="Q47" s="548"/>
      <c r="R47" s="548"/>
    </row>
    <row r="48" spans="1:26" x14ac:dyDescent="0.25">
      <c r="A48" s="87"/>
      <c r="B48" s="89" t="s">
        <v>75</v>
      </c>
      <c r="C48" s="89"/>
      <c r="D48" s="549">
        <f>+WACAP2023Amort!Q48</f>
        <v>-5135.8599999999997</v>
      </c>
      <c r="E48" s="549">
        <f t="shared" ref="E48:K48" si="22">+E46*E45</f>
        <v>-5426.8509899999999</v>
      </c>
      <c r="F48" s="549">
        <f t="shared" si="22"/>
        <v>-7500.0190499999999</v>
      </c>
      <c r="G48" s="549">
        <f t="shared" si="22"/>
        <v>-5736.0189899999996</v>
      </c>
      <c r="H48" s="549">
        <f t="shared" si="22"/>
        <v>-4648.0154400000001</v>
      </c>
      <c r="I48" s="549">
        <f t="shared" si="22"/>
        <v>-4019.6518199999996</v>
      </c>
      <c r="J48" s="549">
        <f t="shared" si="22"/>
        <v>-3004.5230999999999</v>
      </c>
      <c r="K48" s="549">
        <f t="shared" si="22"/>
        <v>-2925.3801599999997</v>
      </c>
      <c r="L48" s="549">
        <f>+L46*L45</f>
        <v>-1996.3676099999998</v>
      </c>
      <c r="M48" s="549">
        <f t="shared" ref="M48:R48" si="23">+M46*M45</f>
        <v>-2133.0930899999998</v>
      </c>
      <c r="N48" s="549">
        <f t="shared" si="23"/>
        <v>-2360.0773199999999</v>
      </c>
      <c r="O48" s="549">
        <f t="shared" si="23"/>
        <v>-4322.2160999999996</v>
      </c>
      <c r="P48" s="549">
        <f>+'WA CAP 2024'!O40+'WA CAP 2024'!O67+'WA CAP 2024'!O97</f>
        <v>485406.44</v>
      </c>
      <c r="Q48" s="549">
        <f>-53408.52-678.78</f>
        <v>-54087.299999999996</v>
      </c>
      <c r="R48" s="549">
        <f t="shared" si="23"/>
        <v>-66884.600559999992</v>
      </c>
    </row>
    <row r="49" spans="1:26" x14ac:dyDescent="0.25">
      <c r="A49" s="87"/>
      <c r="B49" s="89" t="s">
        <v>137</v>
      </c>
      <c r="C49" s="89"/>
      <c r="D49" s="551">
        <f>ROUND(ROUND(C51*D$5,2)/365*D$6,2)</f>
        <v>3261.75</v>
      </c>
      <c r="E49" s="551">
        <f t="shared" ref="E49:O49" si="24">ROUND(ROUND(D51*E$5,2)/365*E$6,2)</f>
        <v>3357.18</v>
      </c>
      <c r="F49" s="551">
        <f>ROUND(ROUND(E51*F$5,2)/365*F$6,2)</f>
        <v>3402.55</v>
      </c>
      <c r="G49" s="551">
        <f t="shared" si="24"/>
        <v>3155.36</v>
      </c>
      <c r="H49" s="551">
        <f t="shared" si="24"/>
        <v>3354.34</v>
      </c>
      <c r="I49" s="551">
        <f t="shared" si="24"/>
        <v>3237.1</v>
      </c>
      <c r="J49" s="551">
        <f t="shared" si="24"/>
        <v>3339.35</v>
      </c>
      <c r="K49" s="551">
        <f t="shared" si="24"/>
        <v>3233.97</v>
      </c>
      <c r="L49" s="551">
        <f t="shared" si="24"/>
        <v>3344</v>
      </c>
      <c r="M49" s="551">
        <f>ROUND(ROUND(L51*M$5,2)/365*M$6,2)</f>
        <v>3353.73</v>
      </c>
      <c r="N49" s="551">
        <f t="shared" si="24"/>
        <v>3254.07</v>
      </c>
      <c r="O49" s="551">
        <f t="shared" si="24"/>
        <v>3368.99</v>
      </c>
      <c r="P49" s="551">
        <f>+'WA CAP 2024'!O41+'WA CAP 2024'!O68+'WA CAP 2024'!O98</f>
        <v>35600.189999999995</v>
      </c>
      <c r="Q49" s="551">
        <f>ROUND(ROUND(P51*Q$5,2)/365*Q$6,2)</f>
        <v>6893.56</v>
      </c>
      <c r="R49" s="551">
        <f t="shared" ref="R49" si="25">ROUND(ROUND(Q51*R$5,2)/365*R$6,2)</f>
        <v>6782.65</v>
      </c>
    </row>
    <row r="50" spans="1:26" x14ac:dyDescent="0.25">
      <c r="A50" s="87"/>
      <c r="B50" s="89" t="s">
        <v>138</v>
      </c>
      <c r="C50" s="89"/>
      <c r="D50" s="552">
        <f t="shared" ref="D50:R50" si="26">SUM(D48:D49)</f>
        <v>-1874.1099999999997</v>
      </c>
      <c r="E50" s="552">
        <f t="shared" si="26"/>
        <v>-2069.6709900000001</v>
      </c>
      <c r="F50" s="552">
        <f t="shared" si="26"/>
        <v>-4097.4690499999997</v>
      </c>
      <c r="G50" s="552">
        <f t="shared" si="26"/>
        <v>-2580.6589899999994</v>
      </c>
      <c r="H50" s="552">
        <f t="shared" si="26"/>
        <v>-1293.67544</v>
      </c>
      <c r="I50" s="552">
        <f t="shared" si="26"/>
        <v>-782.55181999999968</v>
      </c>
      <c r="J50" s="552">
        <f t="shared" si="26"/>
        <v>334.82690000000002</v>
      </c>
      <c r="K50" s="552">
        <f t="shared" si="26"/>
        <v>308.58984000000009</v>
      </c>
      <c r="L50" s="552">
        <f t="shared" si="26"/>
        <v>1347.6323900000002</v>
      </c>
      <c r="M50" s="552">
        <f t="shared" si="26"/>
        <v>1220.6369100000002</v>
      </c>
      <c r="N50" s="552">
        <f t="shared" si="26"/>
        <v>893.99268000000029</v>
      </c>
      <c r="O50" s="552">
        <f t="shared" si="26"/>
        <v>-953.22609999999986</v>
      </c>
      <c r="P50" s="552">
        <f>+P48+P49</f>
        <v>521006.63</v>
      </c>
      <c r="Q50" s="552">
        <f t="shared" si="26"/>
        <v>-47193.74</v>
      </c>
      <c r="R50" s="552">
        <f t="shared" si="26"/>
        <v>-60101.95055999999</v>
      </c>
    </row>
    <row r="51" spans="1:26" x14ac:dyDescent="0.25">
      <c r="A51" s="87"/>
      <c r="B51" s="89" t="s">
        <v>139</v>
      </c>
      <c r="C51" s="553">
        <f>+WACAP2023Amort!P51</f>
        <v>475264.89664999995</v>
      </c>
      <c r="D51" s="549">
        <f>C51+D50</f>
        <v>473390.78664999997</v>
      </c>
      <c r="E51" s="549">
        <f>D51+E50</f>
        <v>471321.11565999995</v>
      </c>
      <c r="F51" s="549">
        <f>E51+F50</f>
        <v>467223.64660999994</v>
      </c>
      <c r="G51" s="549">
        <f t="shared" ref="G51:O51" si="27">F51+G50</f>
        <v>464642.98761999991</v>
      </c>
      <c r="H51" s="549">
        <f t="shared" si="27"/>
        <v>463349.31217999989</v>
      </c>
      <c r="I51" s="549">
        <f t="shared" si="27"/>
        <v>462566.7603599999</v>
      </c>
      <c r="J51" s="549">
        <f t="shared" si="27"/>
        <v>462901.58725999988</v>
      </c>
      <c r="K51" s="549">
        <f t="shared" si="27"/>
        <v>463210.17709999986</v>
      </c>
      <c r="L51" s="549">
        <f t="shared" si="27"/>
        <v>464557.80948999984</v>
      </c>
      <c r="M51" s="549">
        <f>L51+M50</f>
        <v>465778.44639999984</v>
      </c>
      <c r="N51" s="549">
        <f t="shared" si="27"/>
        <v>466672.43907999987</v>
      </c>
      <c r="O51" s="549">
        <f t="shared" si="27"/>
        <v>465719.21297999984</v>
      </c>
      <c r="P51" s="549">
        <f>+O51+P50</f>
        <v>986725.84297999984</v>
      </c>
      <c r="Q51" s="549">
        <f>P51+Q50</f>
        <v>939532.10297999985</v>
      </c>
      <c r="R51" s="549">
        <f t="shared" ref="R51" si="28">Q51+R50</f>
        <v>879430.15241999982</v>
      </c>
    </row>
    <row r="52" spans="1:26" x14ac:dyDescent="0.25">
      <c r="A52" s="86"/>
      <c r="F52" s="555"/>
      <c r="G52" s="555"/>
      <c r="H52" s="548"/>
      <c r="I52" s="555"/>
      <c r="J52" s="555"/>
      <c r="K52" s="555"/>
      <c r="L52" s="555"/>
      <c r="M52" s="555"/>
      <c r="N52" s="555"/>
      <c r="O52" s="555"/>
      <c r="P52" s="555"/>
      <c r="Q52" s="555"/>
      <c r="R52" s="555"/>
    </row>
    <row r="53" spans="1:26" x14ac:dyDescent="0.25">
      <c r="A53" s="86"/>
      <c r="B53" s="89"/>
      <c r="C53" s="89"/>
      <c r="D53" s="89"/>
      <c r="E53" s="89"/>
      <c r="F53" s="549"/>
      <c r="G53" s="549"/>
      <c r="H53" s="549"/>
      <c r="I53" s="549"/>
      <c r="J53" s="549"/>
      <c r="K53" s="549"/>
      <c r="L53" s="549"/>
      <c r="M53" s="549"/>
      <c r="N53" s="549"/>
      <c r="O53" s="549"/>
      <c r="P53" s="549"/>
      <c r="Q53" s="549"/>
      <c r="R53" s="549"/>
      <c r="T53" s="108"/>
    </row>
    <row r="54" spans="1:26" x14ac:dyDescent="0.25">
      <c r="A54" s="86">
        <v>570</v>
      </c>
      <c r="B54" s="104" t="s">
        <v>88</v>
      </c>
      <c r="C54" s="104"/>
      <c r="D54" s="104"/>
      <c r="E54" s="104"/>
      <c r="F54" s="555"/>
      <c r="G54" s="555"/>
      <c r="H54" s="548"/>
      <c r="I54" s="555"/>
      <c r="J54" s="555"/>
      <c r="K54" s="555"/>
      <c r="L54" s="555"/>
      <c r="M54" s="555"/>
      <c r="N54" s="555"/>
      <c r="O54" s="555"/>
      <c r="P54" s="555"/>
      <c r="Q54" s="555"/>
      <c r="R54" s="555"/>
      <c r="T54" s="108"/>
      <c r="U54" s="108"/>
    </row>
    <row r="55" spans="1:26" x14ac:dyDescent="0.25">
      <c r="A55" s="87" t="s">
        <v>92</v>
      </c>
      <c r="B55" t="s">
        <v>70</v>
      </c>
      <c r="D55" s="670">
        <v>236897</v>
      </c>
      <c r="E55" s="670">
        <v>249527</v>
      </c>
      <c r="F55" s="670">
        <v>264985</v>
      </c>
      <c r="G55" s="670">
        <v>238288</v>
      </c>
      <c r="H55" s="670">
        <v>228698</v>
      </c>
      <c r="I55" s="670">
        <v>195240</v>
      </c>
      <c r="J55" s="670">
        <v>163264</v>
      </c>
      <c r="K55" s="670">
        <v>113835</v>
      </c>
      <c r="L55" s="670">
        <v>35751</v>
      </c>
      <c r="M55" s="670">
        <v>37599</v>
      </c>
      <c r="N55" s="670">
        <v>42323</v>
      </c>
      <c r="O55" s="670">
        <v>65711</v>
      </c>
      <c r="P55" s="670"/>
      <c r="Q55" s="670">
        <v>84258</v>
      </c>
      <c r="R55" s="670">
        <v>97597</v>
      </c>
      <c r="T55" s="668"/>
      <c r="V55" s="668"/>
    </row>
    <row r="56" spans="1:26" x14ac:dyDescent="0.25">
      <c r="A56" s="87" t="s">
        <v>257</v>
      </c>
      <c r="D56" s="671" t="s">
        <v>258</v>
      </c>
      <c r="E56" s="672">
        <v>4.0000000000000001E-3</v>
      </c>
      <c r="F56" s="672">
        <v>4.0000000000000001E-3</v>
      </c>
      <c r="G56" s="672">
        <v>4.0000000000000001E-3</v>
      </c>
      <c r="H56" s="672">
        <v>4.0000000000000001E-3</v>
      </c>
      <c r="I56" s="672">
        <v>4.0000000000000001E-3</v>
      </c>
      <c r="J56" s="672">
        <v>4.0000000000000001E-3</v>
      </c>
      <c r="K56" s="672">
        <v>4.0000000000000001E-3</v>
      </c>
      <c r="L56" s="672">
        <v>4.0000000000000001E-3</v>
      </c>
      <c r="M56" s="672">
        <v>4.0000000000000001E-3</v>
      </c>
      <c r="N56" s="672">
        <v>4.0000000000000001E-3</v>
      </c>
      <c r="O56" s="672">
        <v>4.0000000000000001E-3</v>
      </c>
      <c r="P56" s="672"/>
      <c r="Q56" s="672">
        <v>2.5799999999999998E-3</v>
      </c>
      <c r="R56" s="672">
        <v>2.5799999999999998E-3</v>
      </c>
      <c r="T56" s="112"/>
      <c r="V56" s="112"/>
      <c r="Z56" s="112"/>
    </row>
    <row r="57" spans="1:26" x14ac:dyDescent="0.25">
      <c r="A57" s="87"/>
      <c r="B57" s="89" t="s">
        <v>74</v>
      </c>
      <c r="C57" s="89"/>
      <c r="D57" s="89"/>
      <c r="E57" s="89"/>
      <c r="F57" s="548"/>
      <c r="G57" s="548"/>
      <c r="H57" s="548"/>
      <c r="I57" s="548"/>
      <c r="J57" s="548"/>
      <c r="K57" s="548"/>
      <c r="L57" s="548"/>
      <c r="M57" s="548"/>
      <c r="N57" s="548"/>
      <c r="O57" s="548"/>
      <c r="P57" s="548"/>
      <c r="Q57" s="548"/>
      <c r="R57" s="548"/>
    </row>
    <row r="58" spans="1:26" x14ac:dyDescent="0.25">
      <c r="A58" s="87"/>
      <c r="B58" s="89" t="s">
        <v>75</v>
      </c>
      <c r="C58" s="89"/>
      <c r="D58" s="549">
        <f>+WACAP2023Amort!Q58</f>
        <v>947.59</v>
      </c>
      <c r="E58" s="549">
        <f t="shared" ref="E58:R58" si="29">+E55*E56</f>
        <v>998.10800000000006</v>
      </c>
      <c r="F58" s="549">
        <f t="shared" si="29"/>
        <v>1059.94</v>
      </c>
      <c r="G58" s="549">
        <f t="shared" si="29"/>
        <v>953.15200000000004</v>
      </c>
      <c r="H58" s="549">
        <f t="shared" si="29"/>
        <v>914.79200000000003</v>
      </c>
      <c r="I58" s="549">
        <f t="shared" si="29"/>
        <v>780.96</v>
      </c>
      <c r="J58" s="549">
        <f t="shared" si="29"/>
        <v>653.05600000000004</v>
      </c>
      <c r="K58" s="549">
        <f t="shared" si="29"/>
        <v>455.34000000000003</v>
      </c>
      <c r="L58" s="549">
        <f t="shared" si="29"/>
        <v>143.00399999999999</v>
      </c>
      <c r="M58" s="549">
        <f t="shared" si="29"/>
        <v>150.39600000000002</v>
      </c>
      <c r="N58" s="549">
        <f t="shared" si="29"/>
        <v>169.292</v>
      </c>
      <c r="O58" s="549">
        <f>+O55*O56</f>
        <v>262.84399999999999</v>
      </c>
      <c r="P58" s="549">
        <f>+'WA CAP 2024'!O123</f>
        <v>-4636.03</v>
      </c>
      <c r="Q58" s="549">
        <v>217.39</v>
      </c>
      <c r="R58" s="549">
        <f t="shared" si="29"/>
        <v>251.80025999999998</v>
      </c>
    </row>
    <row r="59" spans="1:26" x14ac:dyDescent="0.25">
      <c r="A59" s="87"/>
      <c r="B59" s="89" t="s">
        <v>137</v>
      </c>
      <c r="C59" s="89"/>
      <c r="D59" s="551">
        <f>ROUND(ROUND(C61*D$5,2)/365*D$6,2)</f>
        <v>-61.23</v>
      </c>
      <c r="E59" s="551">
        <f t="shared" ref="E59:O59" si="30">ROUND(ROUND(D61*E$5,2)/365*E$6,2)</f>
        <v>-56.98</v>
      </c>
      <c r="F59" s="551">
        <f>ROUND(ROUND(E61*F$5,2)/365*F$6,2)</f>
        <v>-51.21</v>
      </c>
      <c r="G59" s="551">
        <f t="shared" si="30"/>
        <v>-41.1</v>
      </c>
      <c r="H59" s="551">
        <f t="shared" si="30"/>
        <v>-37.35</v>
      </c>
      <c r="I59" s="551">
        <f t="shared" si="30"/>
        <v>-30.01</v>
      </c>
      <c r="J59" s="551">
        <f t="shared" si="30"/>
        <v>-25.59</v>
      </c>
      <c r="K59" s="551">
        <f t="shared" si="30"/>
        <v>-20.38</v>
      </c>
      <c r="L59" s="551">
        <f t="shared" si="30"/>
        <v>-17.920000000000002</v>
      </c>
      <c r="M59" s="551">
        <f>ROUND(ROUND(L61*M$5,2)/365*M$6,2)</f>
        <v>-17.02</v>
      </c>
      <c r="N59" s="551">
        <f t="shared" si="30"/>
        <v>-15.54</v>
      </c>
      <c r="O59" s="551">
        <f t="shared" si="30"/>
        <v>-14.95</v>
      </c>
      <c r="P59" s="549">
        <f>+'WA CAP 2024'!O124</f>
        <v>-340.02000000000004</v>
      </c>
      <c r="Q59" s="551">
        <f>ROUND(ROUND(P61*Q$5,2)/365*Q$6,2)</f>
        <v>-47.5</v>
      </c>
      <c r="R59" s="551">
        <f t="shared" ref="R59" si="31">ROUND(ROUND(Q61*R$5,2)/365*R$6,2)</f>
        <v>-47.85</v>
      </c>
    </row>
    <row r="60" spans="1:26" x14ac:dyDescent="0.25">
      <c r="A60" s="87"/>
      <c r="B60" s="89" t="s">
        <v>138</v>
      </c>
      <c r="C60" s="89"/>
      <c r="D60" s="552">
        <f t="shared" ref="D60:R60" si="32">SUM(D58:D59)</f>
        <v>886.36</v>
      </c>
      <c r="E60" s="552">
        <f t="shared" si="32"/>
        <v>941.12800000000004</v>
      </c>
      <c r="F60" s="552">
        <f t="shared" si="32"/>
        <v>1008.73</v>
      </c>
      <c r="G60" s="552">
        <f t="shared" si="32"/>
        <v>912.05200000000002</v>
      </c>
      <c r="H60" s="552">
        <f t="shared" si="32"/>
        <v>877.44200000000001</v>
      </c>
      <c r="I60" s="552">
        <f t="shared" si="32"/>
        <v>750.95</v>
      </c>
      <c r="J60" s="552">
        <f t="shared" si="32"/>
        <v>627.46600000000001</v>
      </c>
      <c r="K60" s="552">
        <f t="shared" si="32"/>
        <v>434.96000000000004</v>
      </c>
      <c r="L60" s="552">
        <f t="shared" si="32"/>
        <v>125.08399999999999</v>
      </c>
      <c r="M60" s="552">
        <f t="shared" si="32"/>
        <v>133.376</v>
      </c>
      <c r="N60" s="552">
        <f t="shared" si="32"/>
        <v>153.75200000000001</v>
      </c>
      <c r="O60" s="552">
        <f t="shared" si="32"/>
        <v>247.89400000000001</v>
      </c>
      <c r="P60" s="552">
        <f>+P58+P59</f>
        <v>-4976.05</v>
      </c>
      <c r="Q60" s="552">
        <f t="shared" si="32"/>
        <v>169.89</v>
      </c>
      <c r="R60" s="552">
        <f t="shared" si="32"/>
        <v>203.95025999999999</v>
      </c>
    </row>
    <row r="61" spans="1:26" x14ac:dyDescent="0.25">
      <c r="A61" s="87"/>
      <c r="B61" s="89" t="s">
        <v>139</v>
      </c>
      <c r="C61" s="553">
        <f>+WACAP2023Amort!P61</f>
        <v>-8921.7351599999874</v>
      </c>
      <c r="D61" s="549">
        <f>C61+D60</f>
        <v>-8035.3751599999878</v>
      </c>
      <c r="E61" s="549">
        <f t="shared" ref="E61:O61" si="33">D61+E60</f>
        <v>-7094.2471599999881</v>
      </c>
      <c r="F61" s="549">
        <f>E61+F60</f>
        <v>-6085.5171599999885</v>
      </c>
      <c r="G61" s="549">
        <f t="shared" si="33"/>
        <v>-5173.4651599999888</v>
      </c>
      <c r="H61" s="549">
        <f t="shared" si="33"/>
        <v>-4296.0231599999888</v>
      </c>
      <c r="I61" s="549">
        <f t="shared" si="33"/>
        <v>-3545.073159999989</v>
      </c>
      <c r="J61" s="549">
        <f t="shared" si="33"/>
        <v>-2917.6071599999891</v>
      </c>
      <c r="K61" s="549">
        <f t="shared" si="33"/>
        <v>-2482.6471599999891</v>
      </c>
      <c r="L61" s="549">
        <f t="shared" si="33"/>
        <v>-2357.5631599999892</v>
      </c>
      <c r="M61" s="549">
        <f>L61+M60</f>
        <v>-2224.187159999989</v>
      </c>
      <c r="N61" s="549">
        <f t="shared" si="33"/>
        <v>-2070.4351599999891</v>
      </c>
      <c r="O61" s="549">
        <f t="shared" si="33"/>
        <v>-1822.5411599999891</v>
      </c>
      <c r="P61" s="549">
        <f>+O61+P60</f>
        <v>-6798.591159999989</v>
      </c>
      <c r="Q61" s="549">
        <f>P61+Q60</f>
        <v>-6628.7011599999887</v>
      </c>
      <c r="R61" s="549">
        <f t="shared" ref="R61" si="34">Q61+R60</f>
        <v>-6424.7508999999891</v>
      </c>
    </row>
    <row r="62" spans="1:26" x14ac:dyDescent="0.25">
      <c r="A62" s="86"/>
      <c r="F62" s="555"/>
      <c r="G62" s="555"/>
      <c r="H62" s="548"/>
      <c r="I62" s="555"/>
      <c r="J62" s="555"/>
      <c r="K62" s="555"/>
      <c r="L62" s="555"/>
      <c r="M62" s="555"/>
      <c r="N62" s="555"/>
      <c r="O62" s="555"/>
      <c r="P62" s="555"/>
      <c r="Q62" s="555"/>
      <c r="R62" s="555"/>
      <c r="T62" s="108"/>
    </row>
    <row r="63" spans="1:26" ht="15.75" thickBot="1" x14ac:dyDescent="0.3">
      <c r="A63" s="118"/>
      <c r="B63" s="119"/>
      <c r="C63" s="119"/>
      <c r="D63" s="119"/>
      <c r="E63" s="119"/>
      <c r="F63" s="119"/>
      <c r="G63" s="119"/>
      <c r="H63" s="176"/>
      <c r="I63" s="119"/>
      <c r="J63" s="119"/>
      <c r="K63" s="119"/>
      <c r="L63" s="119"/>
      <c r="M63" s="119"/>
      <c r="N63" s="119"/>
      <c r="O63" s="119"/>
      <c r="P63" s="119"/>
      <c r="Q63" s="119"/>
      <c r="R63" s="119"/>
    </row>
    <row r="64" spans="1:26" x14ac:dyDescent="0.25">
      <c r="B64" s="89" t="s">
        <v>259</v>
      </c>
      <c r="C64" s="108">
        <f>SUM(C15:C61)+0.05</f>
        <v>-2955991.5268800007</v>
      </c>
      <c r="H64" s="108"/>
    </row>
    <row r="65" spans="2:22" x14ac:dyDescent="0.25">
      <c r="B65" s="89" t="s">
        <v>89</v>
      </c>
      <c r="C65" s="556"/>
      <c r="D65" s="557">
        <f>+D12+D30+D39+D21+D48+D58</f>
        <v>473518.31</v>
      </c>
      <c r="E65" s="557">
        <f t="shared" ref="E65:Q66" si="35">+E12+E30+E39+E21+E48+E58</f>
        <v>473666.98559000005</v>
      </c>
      <c r="F65" s="557">
        <f>+F12+F30+F39+F21+F48+F58+-0.03</f>
        <v>598358.68660999998</v>
      </c>
      <c r="G65" s="557">
        <f>+G12+G30+G39+G21+G48+G58</f>
        <v>449933.625</v>
      </c>
      <c r="H65" s="557">
        <f>+H12+H30+H39+H21+H48+H58+-0.01</f>
        <v>370305.86583000002</v>
      </c>
      <c r="I65" s="557">
        <f>+I12+I30+I39+I21+I48+I58+-0.01</f>
        <v>243595.51851999998</v>
      </c>
      <c r="J65" s="557">
        <f>+J12+J30+J39+J21+J48+J58+0.01</f>
        <v>171309.97486000002</v>
      </c>
      <c r="K65" s="557">
        <f>+K12+K30+K39+K21+K48+K58</f>
        <v>104587.24313999999</v>
      </c>
      <c r="L65" s="557">
        <f>+L12+L30+L39+L21+L48+L58+0.03</f>
        <v>75680.666320000018</v>
      </c>
      <c r="M65" s="557">
        <f>+M12+M30+M39+M21+M48+M58-0.06</f>
        <v>73452.249590000007</v>
      </c>
      <c r="N65" s="557">
        <f>+N12+N30+N39+N21+N48+N58-0.01</f>
        <v>103491.74807000002</v>
      </c>
      <c r="O65" s="557">
        <f>+O12+O30+O39+O21+O48+O58+0.01</f>
        <v>224792.29611</v>
      </c>
      <c r="P65" s="557">
        <f t="shared" si="35"/>
        <v>1653483.1399999997</v>
      </c>
      <c r="Q65" s="557">
        <f t="shared" si="35"/>
        <v>-184539.1</v>
      </c>
      <c r="R65" s="557">
        <f>+R12+R30+R39+R21+R48+R58+0.02</f>
        <v>-254664.64134999999</v>
      </c>
      <c r="V65" s="108">
        <f>+P65-'WA CAP 2024'!O129</f>
        <v>0</v>
      </c>
    </row>
    <row r="66" spans="2:22" x14ac:dyDescent="0.25">
      <c r="B66" s="89" t="s">
        <v>141</v>
      </c>
      <c r="C66" s="89"/>
      <c r="D66" s="558">
        <f>+D13+D31+D40+D22+D49+D59+0.01</f>
        <v>-20287.000000000004</v>
      </c>
      <c r="E66" s="558">
        <f>+E13+E31+E40+E22+E49+E59+0.01</f>
        <v>-17749.010000000002</v>
      </c>
      <c r="F66" s="558">
        <f>+F13+F31+F40+F22+F49+F59-0.01</f>
        <v>-14776.529999999997</v>
      </c>
      <c r="G66" s="558">
        <f>+G13+G31+G40+G22+G49+G59+0.01</f>
        <v>-9881.9999999999982</v>
      </c>
      <c r="H66" s="558">
        <f>+H13+H31+H40+H22+H49+H59</f>
        <v>-7386.73</v>
      </c>
      <c r="I66" s="558">
        <f>+I13+I31+I40+I22+I49+I59+0.01</f>
        <v>-4612.9700000000012</v>
      </c>
      <c r="J66" s="558">
        <f>+J13+J31+J40+J22+J49+J59+0.01</f>
        <v>-3041.47</v>
      </c>
      <c r="K66" s="558">
        <f>+K13+K31+K40+K22+K49+K59</f>
        <v>-1767.8000000000006</v>
      </c>
      <c r="L66" s="558">
        <f>+L13+L31+L40+L22+L49+L59</f>
        <v>-1084.46</v>
      </c>
      <c r="M66" s="558">
        <f>+M13+M31+M40+M22+M49+M59+0.02</f>
        <v>-545.90000000000009</v>
      </c>
      <c r="N66" s="558">
        <f t="shared" si="35"/>
        <v>-18.969999999999835</v>
      </c>
      <c r="O66" s="558">
        <f>+O13+O31+O40+O22+O49+O59+0.01</f>
        <v>727.37999999999965</v>
      </c>
      <c r="P66" s="674">
        <f t="shared" si="35"/>
        <v>121268.12000000001</v>
      </c>
      <c r="Q66" s="558">
        <f>+Q13+Q31+Q40+Q22+Q49+Q59</f>
        <v>14678.410000000002</v>
      </c>
      <c r="R66" s="558">
        <f>+R13+R31+R40+R22+R49+R59</f>
        <v>13941.44</v>
      </c>
    </row>
    <row r="67" spans="2:22" x14ac:dyDescent="0.25">
      <c r="B67" s="89" t="s">
        <v>139</v>
      </c>
      <c r="C67" s="550"/>
      <c r="D67" s="557">
        <f>SUM(D65:D66)+C64</f>
        <v>-2502760.2168800007</v>
      </c>
      <c r="E67" s="557">
        <f>SUM(E65:E66)+D67</f>
        <v>-2046842.2412900007</v>
      </c>
      <c r="F67" s="557">
        <f>SUM(F65:F66)+E67</f>
        <v>-1463260.0846800008</v>
      </c>
      <c r="G67" s="557">
        <f>SUM(G65:G66)+F67+0.03</f>
        <v>-1023208.4296800008</v>
      </c>
      <c r="H67" s="557">
        <f>SUM(H65:H66)+G67+-0.01</f>
        <v>-660289.30385000072</v>
      </c>
      <c r="I67" s="557">
        <f>SUM(I65:I66)+H67+0.01</f>
        <v>-421306.74533000076</v>
      </c>
      <c r="J67" s="557">
        <f>SUM(J65:J66)+I67+-0.04</f>
        <v>-253038.28047000075</v>
      </c>
      <c r="K67" s="557">
        <f>SUM(K65:K66)+J67</f>
        <v>-150218.83733000077</v>
      </c>
      <c r="L67" s="557">
        <f>SUM(L65:L66)+K67+-0.04</f>
        <v>-75622.671010000748</v>
      </c>
      <c r="M67" s="557">
        <f>SUM(M65:M66)+L67+0.02</f>
        <v>-2716.3014200007351</v>
      </c>
      <c r="N67" s="557">
        <f>SUM(N65:N66)+M67+0.01</f>
        <v>100756.48664999928</v>
      </c>
      <c r="O67" s="557">
        <f>SUM(O65:O66)+N67+-0.03</f>
        <v>326276.13275999925</v>
      </c>
      <c r="P67" s="557">
        <f t="shared" ref="P67:R67" si="36">SUM(P65:P66)+O67</f>
        <v>2101027.3927599993</v>
      </c>
      <c r="Q67" s="557">
        <f>SUM(Q65:Q66)+P67</f>
        <v>1931166.7027599993</v>
      </c>
      <c r="R67" s="557">
        <f t="shared" si="36"/>
        <v>1690443.5014099993</v>
      </c>
    </row>
    <row r="68" spans="2:22" x14ac:dyDescent="0.25">
      <c r="B68" s="89"/>
      <c r="C68" s="89"/>
      <c r="D68" s="89"/>
      <c r="E68" s="89"/>
      <c r="F68" s="559"/>
      <c r="G68" s="557"/>
      <c r="H68" s="557"/>
      <c r="I68" s="557"/>
      <c r="J68" s="557"/>
      <c r="K68" s="557"/>
      <c r="L68" s="557"/>
      <c r="M68" s="557"/>
      <c r="N68" s="557"/>
      <c r="O68" s="557"/>
      <c r="P68" s="557"/>
      <c r="Q68" s="557"/>
      <c r="R68" s="557"/>
      <c r="T68" s="108"/>
    </row>
    <row r="69" spans="2:22" x14ac:dyDescent="0.25">
      <c r="C69" s="108"/>
      <c r="D69" s="548"/>
      <c r="E69" s="669"/>
      <c r="F69" s="108"/>
      <c r="R69" s="108"/>
    </row>
    <row r="70" spans="2:22" x14ac:dyDescent="0.25">
      <c r="D70" s="548"/>
      <c r="E70" s="669"/>
    </row>
    <row r="71" spans="2:22" x14ac:dyDescent="0.25">
      <c r="D71" s="548"/>
      <c r="E71" s="669"/>
    </row>
    <row r="72" spans="2:22" x14ac:dyDescent="0.25">
      <c r="I72" s="108"/>
      <c r="P72" s="108"/>
    </row>
  </sheetData>
  <mergeCells count="4">
    <mergeCell ref="A1:L1"/>
    <mergeCell ref="A2:L2"/>
    <mergeCell ref="A3:L3"/>
    <mergeCell ref="C4:C5"/>
  </mergeCells>
  <pageMargins left="0.7" right="0.7" top="0.75" bottom="0.75" header="0.3" footer="0.3"/>
  <legacy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80EB4-0EA9-4063-AECC-A8847ECD5C51}">
  <dimension ref="A1:W178"/>
  <sheetViews>
    <sheetView workbookViewId="0">
      <selection sqref="A1:M1"/>
    </sheetView>
  </sheetViews>
  <sheetFormatPr defaultColWidth="9.140625" defaultRowHeight="15" x14ac:dyDescent="0.25"/>
  <cols>
    <col min="1" max="1" width="24.7109375" bestFit="1" customWidth="1"/>
    <col min="2" max="2" width="65.7109375" bestFit="1" customWidth="1"/>
    <col min="3" max="4" width="14" customWidth="1"/>
    <col min="5" max="6" width="14" bestFit="1" customWidth="1"/>
    <col min="7" max="13" width="14" customWidth="1"/>
    <col min="14" max="14" width="12.28515625" bestFit="1" customWidth="1"/>
    <col min="15" max="15" width="18.7109375" bestFit="1" customWidth="1"/>
    <col min="16" max="16" width="13.28515625" bestFit="1" customWidth="1"/>
    <col min="17" max="17" width="10.5703125" bestFit="1" customWidth="1"/>
    <col min="18" max="18" width="7.5703125" bestFit="1" customWidth="1"/>
    <col min="19" max="19" width="10.5703125" bestFit="1" customWidth="1"/>
    <col min="21" max="21" width="8" bestFit="1" customWidth="1"/>
    <col min="23" max="23" width="9.7109375" bestFit="1" customWidth="1"/>
  </cols>
  <sheetData>
    <row r="1" spans="1:23" ht="18.75" x14ac:dyDescent="0.3">
      <c r="A1" s="676" t="s">
        <v>67</v>
      </c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676"/>
    </row>
    <row r="2" spans="1:23" ht="21" x14ac:dyDescent="0.35">
      <c r="A2" s="681" t="s">
        <v>69</v>
      </c>
      <c r="B2" s="681"/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</row>
    <row r="3" spans="1:23" ht="18" thickBot="1" x14ac:dyDescent="0.35">
      <c r="A3" s="693" t="s">
        <v>153</v>
      </c>
      <c r="B3" s="693"/>
      <c r="C3" s="693"/>
      <c r="D3" s="693"/>
      <c r="E3" s="693"/>
      <c r="F3" s="693"/>
      <c r="G3" s="693"/>
      <c r="H3" s="693"/>
      <c r="I3" s="693"/>
      <c r="J3" s="693"/>
      <c r="K3" s="693"/>
      <c r="L3" s="693"/>
      <c r="M3" s="693"/>
    </row>
    <row r="4" spans="1:23" ht="15.75" x14ac:dyDescent="0.25">
      <c r="A4" s="101" t="s">
        <v>66</v>
      </c>
      <c r="B4" s="102"/>
      <c r="C4" s="103">
        <v>43861</v>
      </c>
      <c r="D4" s="103">
        <v>43890</v>
      </c>
      <c r="E4" s="103">
        <v>43921</v>
      </c>
      <c r="F4" s="103">
        <v>43951</v>
      </c>
      <c r="G4" s="103">
        <v>43982</v>
      </c>
      <c r="H4" s="103">
        <v>44012</v>
      </c>
      <c r="I4" s="103">
        <v>44043</v>
      </c>
      <c r="J4" s="103">
        <v>44074</v>
      </c>
      <c r="K4" s="103">
        <v>44104</v>
      </c>
      <c r="L4" s="103">
        <v>44135</v>
      </c>
      <c r="M4" s="200" t="s">
        <v>147</v>
      </c>
      <c r="N4" s="104" t="s">
        <v>137</v>
      </c>
    </row>
    <row r="5" spans="1:23" x14ac:dyDescent="0.25">
      <c r="A5" s="4"/>
      <c r="B5" s="89" t="s">
        <v>136</v>
      </c>
      <c r="C5" s="340">
        <v>4.9599999999999998E-2</v>
      </c>
      <c r="D5" s="370">
        <v>4.9599999999999998E-2</v>
      </c>
      <c r="E5" s="340">
        <v>4.9599999999999998E-2</v>
      </c>
      <c r="F5" s="370">
        <v>4.7500000000000001E-2</v>
      </c>
      <c r="G5" s="370">
        <v>4.7500000000000001E-2</v>
      </c>
      <c r="H5" s="370">
        <v>4.7500000000000001E-2</v>
      </c>
      <c r="I5" s="370">
        <v>3.4299999999999997E-2</v>
      </c>
      <c r="J5" s="370">
        <v>3.4299999999999997E-2</v>
      </c>
      <c r="K5" s="370">
        <v>3.4299999999999997E-2</v>
      </c>
      <c r="L5" s="370">
        <v>3.2500000000000001E-2</v>
      </c>
      <c r="M5" s="201"/>
    </row>
    <row r="6" spans="1:23" ht="15.75" x14ac:dyDescent="0.25">
      <c r="A6" s="183"/>
      <c r="B6" s="89" t="s">
        <v>140</v>
      </c>
      <c r="C6" s="192">
        <v>31</v>
      </c>
      <c r="D6" s="192">
        <v>29</v>
      </c>
      <c r="E6" s="192">
        <v>31</v>
      </c>
      <c r="F6" s="192">
        <v>30</v>
      </c>
      <c r="G6" s="192">
        <v>31</v>
      </c>
      <c r="H6" s="192">
        <v>30</v>
      </c>
      <c r="I6" s="192">
        <v>31</v>
      </c>
      <c r="J6" s="192">
        <v>31</v>
      </c>
      <c r="K6" s="192">
        <v>30</v>
      </c>
      <c r="L6" s="192">
        <v>31</v>
      </c>
      <c r="M6" s="202"/>
    </row>
    <row r="7" spans="1:23" x14ac:dyDescent="0.25">
      <c r="A7" s="86">
        <v>502</v>
      </c>
      <c r="B7" s="104" t="s">
        <v>84</v>
      </c>
      <c r="M7" s="203"/>
    </row>
    <row r="8" spans="1:23" x14ac:dyDescent="0.25">
      <c r="A8" s="87" t="s">
        <v>64</v>
      </c>
      <c r="B8" t="s">
        <v>65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204"/>
      <c r="Q8" s="113"/>
      <c r="S8" s="113"/>
    </row>
    <row r="9" spans="1:23" x14ac:dyDescent="0.25">
      <c r="A9" s="87" t="s">
        <v>71</v>
      </c>
      <c r="B9" t="s">
        <v>70</v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205"/>
      <c r="O9" s="122"/>
      <c r="P9" s="108"/>
      <c r="Q9" s="112"/>
      <c r="S9" s="112"/>
      <c r="W9" s="112"/>
    </row>
    <row r="10" spans="1:23" x14ac:dyDescent="0.25">
      <c r="A10" s="87"/>
      <c r="B10" s="89" t="s">
        <v>74</v>
      </c>
      <c r="C10" s="108">
        <f t="shared" ref="C10:M10" si="0">C9</f>
        <v>0</v>
      </c>
      <c r="D10" s="108">
        <f t="shared" si="0"/>
        <v>0</v>
      </c>
      <c r="E10" s="108">
        <f t="shared" si="0"/>
        <v>0</v>
      </c>
      <c r="F10" s="108">
        <f t="shared" si="0"/>
        <v>0</v>
      </c>
      <c r="G10" s="108">
        <f t="shared" si="0"/>
        <v>0</v>
      </c>
      <c r="H10" s="108">
        <f t="shared" si="0"/>
        <v>0</v>
      </c>
      <c r="I10" s="108">
        <f t="shared" si="0"/>
        <v>0</v>
      </c>
      <c r="J10" s="108">
        <f t="shared" si="0"/>
        <v>0</v>
      </c>
      <c r="K10" s="108">
        <f t="shared" si="0"/>
        <v>0</v>
      </c>
      <c r="L10" s="108">
        <f t="shared" si="0"/>
        <v>0</v>
      </c>
      <c r="M10" s="206">
        <f t="shared" si="0"/>
        <v>0</v>
      </c>
      <c r="O10" s="122"/>
      <c r="P10" s="108"/>
      <c r="Q10" s="112"/>
      <c r="S10" s="112"/>
      <c r="W10" s="112"/>
    </row>
    <row r="11" spans="1:23" x14ac:dyDescent="0.25">
      <c r="A11" s="87"/>
      <c r="B11" s="89" t="s">
        <v>73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205">
        <f>ROUND(-'Authorized Margins'!G35*'WACAP 2017'!M8,2)</f>
        <v>0</v>
      </c>
    </row>
    <row r="12" spans="1:23" x14ac:dyDescent="0.25">
      <c r="A12" s="87"/>
      <c r="B12" s="89" t="s">
        <v>75</v>
      </c>
      <c r="C12" s="90">
        <f>-'WACAP 2019'!R14</f>
        <v>0</v>
      </c>
      <c r="D12" s="90">
        <f t="shared" ref="D12:L12" si="1">SUM(D10:D11)</f>
        <v>0</v>
      </c>
      <c r="E12" s="90">
        <f t="shared" si="1"/>
        <v>0</v>
      </c>
      <c r="F12" s="90">
        <f t="shared" si="1"/>
        <v>0</v>
      </c>
      <c r="G12" s="90">
        <f t="shared" si="1"/>
        <v>0</v>
      </c>
      <c r="H12" s="90">
        <f t="shared" si="1"/>
        <v>0</v>
      </c>
      <c r="I12" s="90">
        <f t="shared" si="1"/>
        <v>0</v>
      </c>
      <c r="J12" s="90">
        <f t="shared" si="1"/>
        <v>0</v>
      </c>
      <c r="K12" s="90">
        <f t="shared" si="1"/>
        <v>0</v>
      </c>
      <c r="L12" s="90">
        <f t="shared" si="1"/>
        <v>0</v>
      </c>
      <c r="M12" s="215"/>
    </row>
    <row r="13" spans="1:23" x14ac:dyDescent="0.25">
      <c r="A13" s="87"/>
      <c r="B13" s="89" t="s">
        <v>137</v>
      </c>
      <c r="C13" s="187">
        <f>ROUND(ROUND(C12*C$5,2)/365*C$6,2)</f>
        <v>0</v>
      </c>
      <c r="D13" s="187">
        <f>ROUND(ROUND(C15*D$5,2)/365*D$6,2)</f>
        <v>0</v>
      </c>
      <c r="E13" s="187">
        <f t="shared" ref="E13:L13" si="2">ROUND(ROUND(D15*E$5,2)/365*E$6,2)</f>
        <v>0</v>
      </c>
      <c r="F13" s="187">
        <f t="shared" si="2"/>
        <v>0</v>
      </c>
      <c r="G13" s="187">
        <f t="shared" si="2"/>
        <v>0</v>
      </c>
      <c r="H13" s="187">
        <f t="shared" si="2"/>
        <v>0</v>
      </c>
      <c r="I13" s="187">
        <f t="shared" si="2"/>
        <v>0</v>
      </c>
      <c r="J13" s="187">
        <f t="shared" si="2"/>
        <v>0</v>
      </c>
      <c r="K13" s="187">
        <f t="shared" si="2"/>
        <v>0</v>
      </c>
      <c r="L13" s="187">
        <f t="shared" si="2"/>
        <v>0</v>
      </c>
      <c r="M13" s="208">
        <f>ROUND(ROUND(K15*M$5,2)/365*M$6,2)</f>
        <v>0</v>
      </c>
      <c r="N13" s="108">
        <f>SUM(C13:M13)</f>
        <v>0</v>
      </c>
    </row>
    <row r="14" spans="1:23" x14ac:dyDescent="0.25">
      <c r="A14" s="87"/>
      <c r="B14" s="89" t="s">
        <v>138</v>
      </c>
      <c r="C14" s="189">
        <f>C13</f>
        <v>0</v>
      </c>
      <c r="D14" s="189">
        <f t="shared" ref="D14:M14" si="3">SUM(D12:D13)</f>
        <v>0</v>
      </c>
      <c r="E14" s="189">
        <f t="shared" si="3"/>
        <v>0</v>
      </c>
      <c r="F14" s="189">
        <f t="shared" si="3"/>
        <v>0</v>
      </c>
      <c r="G14" s="189">
        <f t="shared" si="3"/>
        <v>0</v>
      </c>
      <c r="H14" s="189">
        <f t="shared" si="3"/>
        <v>0</v>
      </c>
      <c r="I14" s="189">
        <f t="shared" si="3"/>
        <v>0</v>
      </c>
      <c r="J14" s="189">
        <f t="shared" si="3"/>
        <v>0</v>
      </c>
      <c r="K14" s="189">
        <f t="shared" si="3"/>
        <v>0</v>
      </c>
      <c r="L14" s="189">
        <f t="shared" si="3"/>
        <v>0</v>
      </c>
      <c r="M14" s="209">
        <f t="shared" si="3"/>
        <v>0</v>
      </c>
    </row>
    <row r="15" spans="1:23" x14ac:dyDescent="0.25">
      <c r="A15" s="87"/>
      <c r="B15" s="89" t="s">
        <v>139</v>
      </c>
      <c r="C15" s="90">
        <f>C14+C12</f>
        <v>0</v>
      </c>
      <c r="D15" s="90">
        <f>C15+D14</f>
        <v>0</v>
      </c>
      <c r="E15" s="90">
        <f t="shared" ref="E15:M15" si="4">D15+E14</f>
        <v>0</v>
      </c>
      <c r="F15" s="90">
        <f t="shared" si="4"/>
        <v>0</v>
      </c>
      <c r="G15" s="90">
        <f t="shared" si="4"/>
        <v>0</v>
      </c>
      <c r="H15" s="90">
        <f t="shared" si="4"/>
        <v>0</v>
      </c>
      <c r="I15" s="90">
        <f t="shared" si="4"/>
        <v>0</v>
      </c>
      <c r="J15" s="90">
        <f t="shared" si="4"/>
        <v>0</v>
      </c>
      <c r="K15" s="90">
        <f t="shared" si="4"/>
        <v>0</v>
      </c>
      <c r="L15" s="90">
        <f t="shared" si="4"/>
        <v>0</v>
      </c>
      <c r="M15" s="207">
        <f t="shared" si="4"/>
        <v>0</v>
      </c>
    </row>
    <row r="16" spans="1:23" x14ac:dyDescent="0.25">
      <c r="A16" s="86"/>
      <c r="C16" s="113"/>
      <c r="D16" s="113"/>
      <c r="E16" s="108"/>
      <c r="F16" s="112"/>
      <c r="G16" s="112"/>
      <c r="H16" s="112"/>
      <c r="I16" s="112"/>
      <c r="J16" s="112"/>
      <c r="K16" s="112"/>
      <c r="L16" s="112"/>
      <c r="M16" s="210"/>
      <c r="R16" s="104"/>
    </row>
    <row r="17" spans="1:23" x14ac:dyDescent="0.25">
      <c r="A17" s="86">
        <v>503</v>
      </c>
      <c r="B17" s="104" t="s">
        <v>84</v>
      </c>
      <c r="C17" s="113"/>
      <c r="D17" s="113"/>
      <c r="E17" s="108"/>
      <c r="F17" s="108"/>
      <c r="G17" s="113"/>
      <c r="H17" s="113"/>
      <c r="I17" s="113"/>
      <c r="J17" s="113"/>
      <c r="K17" s="113"/>
      <c r="L17" s="113"/>
      <c r="M17" s="204"/>
      <c r="Q17" s="113"/>
      <c r="S17" s="113"/>
    </row>
    <row r="18" spans="1:23" x14ac:dyDescent="0.25">
      <c r="A18" s="87" t="s">
        <v>64</v>
      </c>
      <c r="B18" t="s">
        <v>65</v>
      </c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204"/>
      <c r="O18" s="122"/>
      <c r="P18" s="108"/>
      <c r="Q18" s="112"/>
      <c r="S18" s="112"/>
      <c r="W18" s="112"/>
    </row>
    <row r="19" spans="1:23" x14ac:dyDescent="0.25">
      <c r="A19" s="87" t="s">
        <v>71</v>
      </c>
      <c r="B19" t="s">
        <v>70</v>
      </c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206"/>
      <c r="O19" s="122"/>
      <c r="P19" s="108"/>
      <c r="Q19" s="112"/>
      <c r="S19" s="112"/>
      <c r="W19" s="112"/>
    </row>
    <row r="20" spans="1:23" x14ac:dyDescent="0.25">
      <c r="A20" s="87" t="s">
        <v>72</v>
      </c>
      <c r="B20" t="s">
        <v>114</v>
      </c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206"/>
    </row>
    <row r="21" spans="1:23" x14ac:dyDescent="0.25">
      <c r="A21" s="87" t="s">
        <v>72</v>
      </c>
      <c r="B21" t="s">
        <v>115</v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205"/>
    </row>
    <row r="22" spans="1:23" x14ac:dyDescent="0.25">
      <c r="A22" s="87"/>
      <c r="B22" s="89" t="s">
        <v>74</v>
      </c>
      <c r="C22" s="108">
        <f t="shared" ref="C22:M22" si="5">SUM(C19:C21)</f>
        <v>0</v>
      </c>
      <c r="D22" s="108">
        <f t="shared" si="5"/>
        <v>0</v>
      </c>
      <c r="E22" s="108">
        <f t="shared" si="5"/>
        <v>0</v>
      </c>
      <c r="F22" s="108">
        <f t="shared" si="5"/>
        <v>0</v>
      </c>
      <c r="G22" s="108">
        <f t="shared" si="5"/>
        <v>0</v>
      </c>
      <c r="H22" s="108">
        <f t="shared" si="5"/>
        <v>0</v>
      </c>
      <c r="I22" s="108">
        <f t="shared" si="5"/>
        <v>0</v>
      </c>
      <c r="J22" s="108">
        <f t="shared" si="5"/>
        <v>0</v>
      </c>
      <c r="K22" s="108">
        <f t="shared" si="5"/>
        <v>0</v>
      </c>
      <c r="L22" s="108">
        <f t="shared" si="5"/>
        <v>0</v>
      </c>
      <c r="M22" s="206">
        <f t="shared" si="5"/>
        <v>0</v>
      </c>
    </row>
    <row r="23" spans="1:23" x14ac:dyDescent="0.25">
      <c r="A23" s="87"/>
      <c r="B23" s="89" t="s">
        <v>73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205">
        <f>ROUND(-'Authorized Margins'!G41*'WACAP 2017'!M18,2)</f>
        <v>0</v>
      </c>
      <c r="Q23" s="113"/>
      <c r="S23" s="113"/>
    </row>
    <row r="24" spans="1:23" x14ac:dyDescent="0.25">
      <c r="A24" s="87"/>
      <c r="B24" s="89" t="s">
        <v>75</v>
      </c>
      <c r="C24" s="90">
        <f>-'WACAP 2019'!R26</f>
        <v>-1285433.2000000007</v>
      </c>
      <c r="D24" s="90">
        <f t="shared" ref="D24" si="6">SUM(D22:D23)</f>
        <v>0</v>
      </c>
      <c r="E24" s="90">
        <f t="shared" ref="E24:L24" si="7">SUM(E22:E23)</f>
        <v>0</v>
      </c>
      <c r="F24" s="90">
        <f t="shared" si="7"/>
        <v>0</v>
      </c>
      <c r="G24" s="90">
        <f t="shared" si="7"/>
        <v>0</v>
      </c>
      <c r="H24" s="90">
        <f t="shared" si="7"/>
        <v>0</v>
      </c>
      <c r="I24" s="90">
        <f t="shared" si="7"/>
        <v>0</v>
      </c>
      <c r="J24" s="90">
        <f t="shared" si="7"/>
        <v>0</v>
      </c>
      <c r="K24" s="90">
        <f t="shared" si="7"/>
        <v>0</v>
      </c>
      <c r="L24" s="90">
        <f t="shared" si="7"/>
        <v>0</v>
      </c>
      <c r="M24" s="215"/>
      <c r="O24" s="122"/>
      <c r="P24" s="108"/>
      <c r="Q24" s="112"/>
      <c r="S24" s="112"/>
      <c r="W24" s="112"/>
    </row>
    <row r="25" spans="1:23" x14ac:dyDescent="0.25">
      <c r="A25" s="87"/>
      <c r="B25" s="89" t="s">
        <v>137</v>
      </c>
      <c r="C25" s="216">
        <f>ROUND(ROUND(C24*C$5,2)/365*C$6,2)</f>
        <v>-5415.02</v>
      </c>
      <c r="D25" s="216">
        <f t="shared" ref="D25:K25" si="8">ROUND(ROUND(C27*D$5,2)/365*D$6,2)</f>
        <v>-5087</v>
      </c>
      <c r="E25" s="216">
        <f t="shared" si="8"/>
        <v>-5459.26</v>
      </c>
      <c r="F25" s="216">
        <f t="shared" si="8"/>
        <v>-5080.79</v>
      </c>
      <c r="G25" s="216">
        <f t="shared" si="8"/>
        <v>-5270.64</v>
      </c>
      <c r="H25" s="216">
        <f t="shared" si="8"/>
        <v>-5121.2</v>
      </c>
      <c r="I25" s="216">
        <f t="shared" si="8"/>
        <v>-3836.23</v>
      </c>
      <c r="J25" s="216">
        <f t="shared" si="8"/>
        <v>-3847.41</v>
      </c>
      <c r="K25" s="216">
        <f t="shared" si="8"/>
        <v>-3734.14</v>
      </c>
      <c r="L25" s="199">
        <f>ROUND(ROUND(K27*L$5,2)/365*L$6,2)+0.07</f>
        <v>-3666.3599999999997</v>
      </c>
      <c r="M25" s="208">
        <f>ROUND(ROUND(K27*M$5,2)/365*M$6,2)</f>
        <v>0</v>
      </c>
      <c r="N25" s="108">
        <f>SUM(C25:M25)</f>
        <v>-46518.05</v>
      </c>
    </row>
    <row r="26" spans="1:23" x14ac:dyDescent="0.25">
      <c r="A26" s="87"/>
      <c r="B26" s="89" t="s">
        <v>138</v>
      </c>
      <c r="C26" s="189">
        <f>C25</f>
        <v>-5415.02</v>
      </c>
      <c r="D26" s="189">
        <f t="shared" ref="D26:M26" si="9">SUM(D24:D25)</f>
        <v>-5087</v>
      </c>
      <c r="E26" s="189">
        <f t="shared" si="9"/>
        <v>-5459.26</v>
      </c>
      <c r="F26" s="189">
        <f t="shared" si="9"/>
        <v>-5080.79</v>
      </c>
      <c r="G26" s="189">
        <f t="shared" si="9"/>
        <v>-5270.64</v>
      </c>
      <c r="H26" s="189">
        <f t="shared" si="9"/>
        <v>-5121.2</v>
      </c>
      <c r="I26" s="189">
        <f t="shared" si="9"/>
        <v>-3836.23</v>
      </c>
      <c r="J26" s="189">
        <f t="shared" si="9"/>
        <v>-3847.41</v>
      </c>
      <c r="K26" s="189">
        <f t="shared" si="9"/>
        <v>-3734.14</v>
      </c>
      <c r="L26" s="189">
        <f t="shared" si="9"/>
        <v>-3666.3599999999997</v>
      </c>
      <c r="M26" s="209">
        <f t="shared" si="9"/>
        <v>0</v>
      </c>
    </row>
    <row r="27" spans="1:23" x14ac:dyDescent="0.25">
      <c r="A27" s="87"/>
      <c r="B27" s="89" t="s">
        <v>139</v>
      </c>
      <c r="C27" s="90">
        <f>C26+C24</f>
        <v>-1290848.2200000007</v>
      </c>
      <c r="D27" s="90">
        <f>C27+D26</f>
        <v>-1295935.2200000007</v>
      </c>
      <c r="E27" s="90">
        <f t="shared" ref="E27:M27" si="10">D27+E26</f>
        <v>-1301394.4800000007</v>
      </c>
      <c r="F27" s="90">
        <f t="shared" si="10"/>
        <v>-1306475.2700000007</v>
      </c>
      <c r="G27" s="90">
        <f t="shared" si="10"/>
        <v>-1311745.9100000006</v>
      </c>
      <c r="H27" s="90">
        <f t="shared" si="10"/>
        <v>-1316867.1100000006</v>
      </c>
      <c r="I27" s="90">
        <f t="shared" si="10"/>
        <v>-1320703.3400000005</v>
      </c>
      <c r="J27" s="90">
        <f t="shared" si="10"/>
        <v>-1324550.7500000005</v>
      </c>
      <c r="K27" s="90">
        <f t="shared" si="10"/>
        <v>-1328284.8900000004</v>
      </c>
      <c r="L27" s="90">
        <f t="shared" si="10"/>
        <v>-1331951.2500000005</v>
      </c>
      <c r="M27" s="207">
        <f t="shared" si="10"/>
        <v>-1331951.2500000005</v>
      </c>
    </row>
    <row r="28" spans="1:23" x14ac:dyDescent="0.25">
      <c r="A28" s="87"/>
      <c r="B28" s="8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207"/>
      <c r="O28" s="122"/>
      <c r="P28" s="108"/>
      <c r="Q28" s="112"/>
      <c r="S28" s="112"/>
      <c r="W28" s="112"/>
    </row>
    <row r="29" spans="1:23" x14ac:dyDescent="0.25">
      <c r="A29" s="86">
        <v>505</v>
      </c>
      <c r="B29" s="104" t="s">
        <v>85</v>
      </c>
      <c r="C29" s="113"/>
      <c r="D29" s="113"/>
      <c r="E29" s="108"/>
      <c r="F29" s="113"/>
      <c r="G29" s="113"/>
      <c r="H29" s="113"/>
      <c r="I29" s="113"/>
      <c r="J29" s="113"/>
      <c r="K29" s="113"/>
      <c r="L29" s="113"/>
      <c r="M29" s="204"/>
    </row>
    <row r="30" spans="1:23" x14ac:dyDescent="0.25">
      <c r="A30" s="87" t="s">
        <v>64</v>
      </c>
      <c r="B30" t="s">
        <v>65</v>
      </c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204"/>
    </row>
    <row r="31" spans="1:23" x14ac:dyDescent="0.25">
      <c r="A31" s="87" t="s">
        <v>71</v>
      </c>
      <c r="B31" t="s">
        <v>117</v>
      </c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206"/>
    </row>
    <row r="32" spans="1:23" x14ac:dyDescent="0.25">
      <c r="A32" s="87" t="s">
        <v>71</v>
      </c>
      <c r="B32" t="s">
        <v>95</v>
      </c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206"/>
    </row>
    <row r="33" spans="1:14" x14ac:dyDescent="0.25">
      <c r="A33" s="87" t="s">
        <v>71</v>
      </c>
      <c r="B33" t="s">
        <v>97</v>
      </c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206"/>
    </row>
    <row r="34" spans="1:14" x14ac:dyDescent="0.25">
      <c r="A34" s="87" t="s">
        <v>71</v>
      </c>
      <c r="B34" t="s">
        <v>96</v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205"/>
    </row>
    <row r="35" spans="1:14" x14ac:dyDescent="0.25">
      <c r="A35" s="86"/>
      <c r="B35" s="89" t="s">
        <v>74</v>
      </c>
      <c r="C35" s="108">
        <f t="shared" ref="C35:M35" si="11">SUM(C31:C34)</f>
        <v>0</v>
      </c>
      <c r="D35" s="108">
        <f t="shared" si="11"/>
        <v>0</v>
      </c>
      <c r="E35" s="108">
        <f t="shared" si="11"/>
        <v>0</v>
      </c>
      <c r="F35" s="108">
        <f t="shared" si="11"/>
        <v>0</v>
      </c>
      <c r="G35" s="108">
        <f t="shared" si="11"/>
        <v>0</v>
      </c>
      <c r="H35" s="108">
        <f t="shared" si="11"/>
        <v>0</v>
      </c>
      <c r="I35" s="108">
        <f t="shared" si="11"/>
        <v>0</v>
      </c>
      <c r="J35" s="108">
        <f t="shared" si="11"/>
        <v>0</v>
      </c>
      <c r="K35" s="108">
        <f t="shared" si="11"/>
        <v>0</v>
      </c>
      <c r="L35" s="108">
        <f t="shared" si="11"/>
        <v>0</v>
      </c>
      <c r="M35" s="206">
        <f t="shared" si="11"/>
        <v>0</v>
      </c>
    </row>
    <row r="36" spans="1:14" x14ac:dyDescent="0.25">
      <c r="A36" s="86"/>
      <c r="B36" s="89" t="s">
        <v>73</v>
      </c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205">
        <f>ROUND(-'Authorized Margins'!G60*'WACAP 2017'!M30,2)</f>
        <v>0</v>
      </c>
    </row>
    <row r="37" spans="1:14" x14ac:dyDescent="0.25">
      <c r="A37" s="86"/>
      <c r="B37" s="89" t="s">
        <v>75</v>
      </c>
      <c r="C37" s="90">
        <f>-'WACAP 2019'!R39</f>
        <v>-204177.64000000004</v>
      </c>
      <c r="D37" s="90">
        <f t="shared" ref="D37" si="12">SUM(D35:D36)</f>
        <v>0</v>
      </c>
      <c r="E37" s="90">
        <f t="shared" ref="E37:L37" si="13">SUM(E35:E36)</f>
        <v>0</v>
      </c>
      <c r="F37" s="90">
        <f t="shared" si="13"/>
        <v>0</v>
      </c>
      <c r="G37" s="90">
        <f t="shared" si="13"/>
        <v>0</v>
      </c>
      <c r="H37" s="90">
        <f t="shared" si="13"/>
        <v>0</v>
      </c>
      <c r="I37" s="90">
        <f t="shared" si="13"/>
        <v>0</v>
      </c>
      <c r="J37" s="90">
        <f t="shared" si="13"/>
        <v>0</v>
      </c>
      <c r="K37" s="90">
        <f t="shared" si="13"/>
        <v>0</v>
      </c>
      <c r="L37" s="90">
        <f t="shared" si="13"/>
        <v>0</v>
      </c>
      <c r="M37" s="207"/>
    </row>
    <row r="38" spans="1:14" x14ac:dyDescent="0.25">
      <c r="A38" s="87"/>
      <c r="B38" s="89" t="s">
        <v>137</v>
      </c>
      <c r="C38" s="187">
        <f>ROUND(ROUND(C37*C$5,2)/365*C$6,2)</f>
        <v>-860.12</v>
      </c>
      <c r="D38" s="187">
        <f>ROUND(ROUND(C40*D$5,2)/365*D$6,2)</f>
        <v>-808.02</v>
      </c>
      <c r="E38" s="187">
        <f t="shared" ref="E38:L38" si="14">ROUND(ROUND(D40*E$5,2)/365*E$6,2)</f>
        <v>-867.15</v>
      </c>
      <c r="F38" s="187">
        <f t="shared" si="14"/>
        <v>-807.03</v>
      </c>
      <c r="G38" s="187">
        <f t="shared" si="14"/>
        <v>-837.19</v>
      </c>
      <c r="H38" s="187">
        <f t="shared" si="14"/>
        <v>-813.45</v>
      </c>
      <c r="I38" s="187">
        <f t="shared" si="14"/>
        <v>-609.35</v>
      </c>
      <c r="J38" s="187">
        <f t="shared" si="14"/>
        <v>-611.12</v>
      </c>
      <c r="K38" s="187">
        <f t="shared" si="14"/>
        <v>-593.13</v>
      </c>
      <c r="L38" s="187">
        <f t="shared" si="14"/>
        <v>-582.37</v>
      </c>
      <c r="M38" s="208">
        <f>ROUND(ROUND(K40*M$5,2)/365*M$6,2)</f>
        <v>0</v>
      </c>
      <c r="N38" s="108">
        <f>SUM(C38:M38)</f>
        <v>-7388.93</v>
      </c>
    </row>
    <row r="39" spans="1:14" x14ac:dyDescent="0.25">
      <c r="A39" s="87"/>
      <c r="B39" s="89" t="s">
        <v>138</v>
      </c>
      <c r="C39" s="189">
        <f>C38</f>
        <v>-860.12</v>
      </c>
      <c r="D39" s="189">
        <f t="shared" ref="D39:M39" si="15">SUM(D37:D38)</f>
        <v>-808.02</v>
      </c>
      <c r="E39" s="189">
        <f t="shared" si="15"/>
        <v>-867.15</v>
      </c>
      <c r="F39" s="189">
        <f t="shared" si="15"/>
        <v>-807.03</v>
      </c>
      <c r="G39" s="189">
        <f t="shared" si="15"/>
        <v>-837.19</v>
      </c>
      <c r="H39" s="189">
        <f t="shared" si="15"/>
        <v>-813.45</v>
      </c>
      <c r="I39" s="189">
        <f t="shared" si="15"/>
        <v>-609.35</v>
      </c>
      <c r="J39" s="189">
        <f t="shared" si="15"/>
        <v>-611.12</v>
      </c>
      <c r="K39" s="189">
        <f t="shared" si="15"/>
        <v>-593.13</v>
      </c>
      <c r="L39" s="189">
        <f t="shared" si="15"/>
        <v>-582.37</v>
      </c>
      <c r="M39" s="209">
        <f t="shared" si="15"/>
        <v>0</v>
      </c>
    </row>
    <row r="40" spans="1:14" x14ac:dyDescent="0.25">
      <c r="A40" s="87"/>
      <c r="B40" s="89" t="s">
        <v>139</v>
      </c>
      <c r="C40" s="90">
        <f>C39+C37</f>
        <v>-205037.76000000004</v>
      </c>
      <c r="D40" s="90">
        <f>C40+D39</f>
        <v>-205845.78000000003</v>
      </c>
      <c r="E40" s="90">
        <f t="shared" ref="E40:M40" si="16">D40+E39</f>
        <v>-206712.93000000002</v>
      </c>
      <c r="F40" s="90">
        <f t="shared" si="16"/>
        <v>-207519.96000000002</v>
      </c>
      <c r="G40" s="90">
        <f t="shared" si="16"/>
        <v>-208357.15000000002</v>
      </c>
      <c r="H40" s="90">
        <f t="shared" si="16"/>
        <v>-209170.60000000003</v>
      </c>
      <c r="I40" s="90">
        <f t="shared" si="16"/>
        <v>-209779.95000000004</v>
      </c>
      <c r="J40" s="90">
        <f t="shared" si="16"/>
        <v>-210391.07000000004</v>
      </c>
      <c r="K40" s="90">
        <f t="shared" si="16"/>
        <v>-210984.20000000004</v>
      </c>
      <c r="L40" s="90">
        <f t="shared" si="16"/>
        <v>-211566.57000000004</v>
      </c>
      <c r="M40" s="207">
        <f t="shared" si="16"/>
        <v>-211566.57000000004</v>
      </c>
    </row>
    <row r="41" spans="1:14" x14ac:dyDescent="0.25">
      <c r="A41" s="86"/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207"/>
    </row>
    <row r="42" spans="1:14" x14ac:dyDescent="0.25">
      <c r="A42" s="86">
        <v>511</v>
      </c>
      <c r="B42" s="104" t="s">
        <v>85</v>
      </c>
      <c r="C42" s="113"/>
      <c r="D42" s="113"/>
      <c r="E42" s="108"/>
      <c r="F42" s="113"/>
      <c r="G42" s="113"/>
      <c r="H42" s="113"/>
      <c r="I42" s="113"/>
      <c r="J42" s="113"/>
      <c r="K42" s="113"/>
      <c r="L42" s="113"/>
      <c r="M42" s="204"/>
    </row>
    <row r="43" spans="1:14" x14ac:dyDescent="0.25">
      <c r="A43" s="87" t="s">
        <v>64</v>
      </c>
      <c r="B43" t="s">
        <v>65</v>
      </c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204"/>
    </row>
    <row r="44" spans="1:14" x14ac:dyDescent="0.25">
      <c r="A44" s="87" t="s">
        <v>71</v>
      </c>
      <c r="B44" t="s">
        <v>117</v>
      </c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206"/>
    </row>
    <row r="45" spans="1:14" x14ac:dyDescent="0.25">
      <c r="A45" s="87" t="s">
        <v>71</v>
      </c>
      <c r="B45" t="s">
        <v>98</v>
      </c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206"/>
    </row>
    <row r="46" spans="1:14" x14ac:dyDescent="0.25">
      <c r="A46" s="87" t="s">
        <v>71</v>
      </c>
      <c r="B46" t="s">
        <v>99</v>
      </c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206"/>
    </row>
    <row r="47" spans="1:14" x14ac:dyDescent="0.25">
      <c r="A47" s="87" t="s">
        <v>71</v>
      </c>
      <c r="B47" t="s">
        <v>100</v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205"/>
    </row>
    <row r="48" spans="1:14" x14ac:dyDescent="0.25">
      <c r="A48" s="87"/>
      <c r="B48" s="89" t="s">
        <v>74</v>
      </c>
      <c r="C48" s="108">
        <f t="shared" ref="C48:M48" si="17">SUM(C44:C47)</f>
        <v>0</v>
      </c>
      <c r="D48" s="108">
        <f t="shared" si="17"/>
        <v>0</v>
      </c>
      <c r="E48" s="108">
        <f t="shared" si="17"/>
        <v>0</v>
      </c>
      <c r="F48" s="108">
        <f t="shared" si="17"/>
        <v>0</v>
      </c>
      <c r="G48" s="108">
        <f t="shared" si="17"/>
        <v>0</v>
      </c>
      <c r="H48" s="108">
        <f t="shared" si="17"/>
        <v>0</v>
      </c>
      <c r="I48" s="108">
        <f t="shared" si="17"/>
        <v>0</v>
      </c>
      <c r="J48" s="108">
        <f t="shared" si="17"/>
        <v>0</v>
      </c>
      <c r="K48" s="108">
        <f t="shared" si="17"/>
        <v>0</v>
      </c>
      <c r="L48" s="108">
        <f t="shared" si="17"/>
        <v>0</v>
      </c>
      <c r="M48" s="206">
        <f t="shared" si="17"/>
        <v>0</v>
      </c>
    </row>
    <row r="49" spans="1:14" x14ac:dyDescent="0.25">
      <c r="A49" s="87"/>
      <c r="B49" s="89" t="s">
        <v>73</v>
      </c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205">
        <f>ROUND(-'Authorized Margins'!G73*'WACAP 2017'!M43,2)</f>
        <v>0</v>
      </c>
    </row>
    <row r="50" spans="1:14" x14ac:dyDescent="0.25">
      <c r="A50" s="87"/>
      <c r="B50" s="89" t="s">
        <v>75</v>
      </c>
      <c r="C50" s="90">
        <f>-'WACAP 2019'!R52</f>
        <v>-297923.25</v>
      </c>
      <c r="D50" s="90">
        <f t="shared" ref="D50" si="18">SUM(D48:D49)</f>
        <v>0</v>
      </c>
      <c r="E50" s="90">
        <f t="shared" ref="E50:L50" si="19">SUM(E48:E49)</f>
        <v>0</v>
      </c>
      <c r="F50" s="90">
        <f t="shared" si="19"/>
        <v>0</v>
      </c>
      <c r="G50" s="90">
        <f t="shared" si="19"/>
        <v>0</v>
      </c>
      <c r="H50" s="90">
        <f t="shared" si="19"/>
        <v>0</v>
      </c>
      <c r="I50" s="90">
        <f t="shared" si="19"/>
        <v>0</v>
      </c>
      <c r="J50" s="90">
        <f t="shared" si="19"/>
        <v>0</v>
      </c>
      <c r="K50" s="90">
        <f t="shared" si="19"/>
        <v>0</v>
      </c>
      <c r="L50" s="90">
        <f t="shared" si="19"/>
        <v>0</v>
      </c>
      <c r="M50" s="207"/>
    </row>
    <row r="51" spans="1:14" x14ac:dyDescent="0.25">
      <c r="A51" s="87"/>
      <c r="B51" s="89" t="s">
        <v>137</v>
      </c>
      <c r="C51" s="187">
        <f>ROUND(ROUND(C50*C$5,2)/365*C$6,2)</f>
        <v>-1255.03</v>
      </c>
      <c r="D51" s="187">
        <f>ROUND(ROUND(C53*D$5,2)/365*D$6,2)</f>
        <v>-1179.01</v>
      </c>
      <c r="E51" s="187">
        <f t="shared" ref="E51:L51" si="20">ROUND(ROUND(D53*E$5,2)/365*E$6,2)</f>
        <v>-1265.29</v>
      </c>
      <c r="F51" s="187">
        <f t="shared" si="20"/>
        <v>-1177.57</v>
      </c>
      <c r="G51" s="187">
        <f t="shared" si="20"/>
        <v>-1221.57</v>
      </c>
      <c r="H51" s="187">
        <f t="shared" si="20"/>
        <v>-1186.93</v>
      </c>
      <c r="I51" s="187">
        <f t="shared" si="20"/>
        <v>-889.12</v>
      </c>
      <c r="J51" s="187">
        <f t="shared" si="20"/>
        <v>-891.71</v>
      </c>
      <c r="K51" s="187">
        <f t="shared" si="20"/>
        <v>-865.46</v>
      </c>
      <c r="L51" s="187">
        <f t="shared" si="20"/>
        <v>-849.76</v>
      </c>
      <c r="M51" s="208">
        <f>ROUND(ROUND(K53*M$5,2)/365*M$6,2)</f>
        <v>0</v>
      </c>
      <c r="N51" s="108">
        <f>SUM(C51:M51)</f>
        <v>-10781.449999999999</v>
      </c>
    </row>
    <row r="52" spans="1:14" x14ac:dyDescent="0.25">
      <c r="A52" s="87"/>
      <c r="B52" s="89" t="s">
        <v>138</v>
      </c>
      <c r="C52" s="189">
        <f>C51</f>
        <v>-1255.03</v>
      </c>
      <c r="D52" s="189">
        <f t="shared" ref="D52:M52" si="21">SUM(D50:D51)</f>
        <v>-1179.01</v>
      </c>
      <c r="E52" s="189">
        <f t="shared" si="21"/>
        <v>-1265.29</v>
      </c>
      <c r="F52" s="189">
        <f t="shared" si="21"/>
        <v>-1177.57</v>
      </c>
      <c r="G52" s="189">
        <f t="shared" si="21"/>
        <v>-1221.57</v>
      </c>
      <c r="H52" s="189">
        <f t="shared" si="21"/>
        <v>-1186.93</v>
      </c>
      <c r="I52" s="189">
        <f t="shared" si="21"/>
        <v>-889.12</v>
      </c>
      <c r="J52" s="189">
        <f t="shared" si="21"/>
        <v>-891.71</v>
      </c>
      <c r="K52" s="189">
        <f t="shared" si="21"/>
        <v>-865.46</v>
      </c>
      <c r="L52" s="189">
        <f t="shared" si="21"/>
        <v>-849.76</v>
      </c>
      <c r="M52" s="209">
        <f t="shared" si="21"/>
        <v>0</v>
      </c>
    </row>
    <row r="53" spans="1:14" x14ac:dyDescent="0.25">
      <c r="A53" s="87"/>
      <c r="B53" s="89" t="s">
        <v>139</v>
      </c>
      <c r="C53" s="90">
        <f>C52+C50</f>
        <v>-299178.28000000003</v>
      </c>
      <c r="D53" s="90">
        <f>C53+D52</f>
        <v>-300357.29000000004</v>
      </c>
      <c r="E53" s="90">
        <f t="shared" ref="E53:M53" si="22">D53+E52</f>
        <v>-301622.58</v>
      </c>
      <c r="F53" s="90">
        <f t="shared" si="22"/>
        <v>-302800.15000000002</v>
      </c>
      <c r="G53" s="90">
        <f t="shared" si="22"/>
        <v>-304021.72000000003</v>
      </c>
      <c r="H53" s="90">
        <f t="shared" si="22"/>
        <v>-305208.65000000002</v>
      </c>
      <c r="I53" s="90">
        <f t="shared" si="22"/>
        <v>-306097.77</v>
      </c>
      <c r="J53" s="90">
        <f t="shared" si="22"/>
        <v>-306989.48000000004</v>
      </c>
      <c r="K53" s="90">
        <f t="shared" si="22"/>
        <v>-307854.94000000006</v>
      </c>
      <c r="L53" s="90">
        <f t="shared" si="22"/>
        <v>-308704.70000000007</v>
      </c>
      <c r="M53" s="207">
        <f t="shared" si="22"/>
        <v>-308704.70000000007</v>
      </c>
    </row>
    <row r="54" spans="1:14" x14ac:dyDescent="0.25">
      <c r="A54" s="86"/>
      <c r="C54" s="113"/>
      <c r="D54" s="113"/>
      <c r="E54" s="108"/>
      <c r="F54" s="113"/>
      <c r="G54" s="113"/>
      <c r="H54" s="113"/>
      <c r="I54" s="113"/>
      <c r="J54" s="113"/>
      <c r="K54" s="113"/>
      <c r="L54" s="113"/>
      <c r="M54" s="204"/>
    </row>
    <row r="55" spans="1:14" x14ac:dyDescent="0.25">
      <c r="A55" s="86" t="s">
        <v>142</v>
      </c>
      <c r="B55" s="104" t="s">
        <v>86</v>
      </c>
      <c r="C55" s="113"/>
      <c r="D55" s="113"/>
      <c r="E55" s="108"/>
      <c r="F55" s="113"/>
      <c r="G55" s="113"/>
      <c r="H55" s="113"/>
      <c r="I55" s="113"/>
      <c r="J55" s="113"/>
      <c r="K55" s="113"/>
      <c r="L55" s="113"/>
      <c r="M55" s="204"/>
    </row>
    <row r="56" spans="1:14" x14ac:dyDescent="0.25">
      <c r="A56" s="87" t="s">
        <v>64</v>
      </c>
      <c r="B56" t="s">
        <v>65</v>
      </c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204"/>
    </row>
    <row r="57" spans="1:14" x14ac:dyDescent="0.25">
      <c r="A57" s="87" t="s">
        <v>71</v>
      </c>
      <c r="B57" t="s">
        <v>70</v>
      </c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206"/>
    </row>
    <row r="58" spans="1:14" x14ac:dyDescent="0.25">
      <c r="A58" s="87" t="s">
        <v>72</v>
      </c>
      <c r="B58" t="s">
        <v>143</v>
      </c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206"/>
    </row>
    <row r="59" spans="1:14" x14ac:dyDescent="0.25">
      <c r="A59" s="87" t="s">
        <v>72</v>
      </c>
      <c r="B59" t="s">
        <v>144</v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205"/>
    </row>
    <row r="60" spans="1:14" x14ac:dyDescent="0.25">
      <c r="A60" s="87"/>
      <c r="B60" s="89" t="s">
        <v>74</v>
      </c>
      <c r="C60" s="108">
        <f t="shared" ref="C60:E60" si="23">SUM(C57:C59)</f>
        <v>0</v>
      </c>
      <c r="D60" s="108">
        <f t="shared" si="23"/>
        <v>0</v>
      </c>
      <c r="E60" s="108">
        <f t="shared" si="23"/>
        <v>0</v>
      </c>
      <c r="F60" s="108">
        <f>SUM(F57:F59)</f>
        <v>0</v>
      </c>
      <c r="G60" s="108">
        <f t="shared" ref="G60:M60" si="24">SUM(G57:G59)</f>
        <v>0</v>
      </c>
      <c r="H60" s="108">
        <f t="shared" si="24"/>
        <v>0</v>
      </c>
      <c r="I60" s="108">
        <f t="shared" si="24"/>
        <v>0</v>
      </c>
      <c r="J60" s="108">
        <f t="shared" si="24"/>
        <v>0</v>
      </c>
      <c r="K60" s="108">
        <f t="shared" si="24"/>
        <v>0</v>
      </c>
      <c r="L60" s="108">
        <f t="shared" si="24"/>
        <v>0</v>
      </c>
      <c r="M60" s="206">
        <f t="shared" si="24"/>
        <v>0</v>
      </c>
    </row>
    <row r="61" spans="1:14" x14ac:dyDescent="0.25">
      <c r="A61" s="87"/>
      <c r="B61" s="89" t="s">
        <v>73</v>
      </c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205">
        <f>ROUND(-'Authorized Margins'!G47*'WACAP 2017'!M56,2)</f>
        <v>0</v>
      </c>
    </row>
    <row r="62" spans="1:14" x14ac:dyDescent="0.25">
      <c r="A62" s="87"/>
      <c r="B62" s="89" t="s">
        <v>75</v>
      </c>
      <c r="C62" s="90">
        <f>-'WACAP 2019'!R64</f>
        <v>-6187.7</v>
      </c>
      <c r="D62" s="90">
        <f t="shared" ref="D62" si="25">SUM(D60:D61)</f>
        <v>0</v>
      </c>
      <c r="E62" s="90">
        <f t="shared" ref="E62:M62" si="26">SUM(E60:E61)</f>
        <v>0</v>
      </c>
      <c r="F62" s="90">
        <f t="shared" si="26"/>
        <v>0</v>
      </c>
      <c r="G62" s="90">
        <f t="shared" si="26"/>
        <v>0</v>
      </c>
      <c r="H62" s="90">
        <f t="shared" si="26"/>
        <v>0</v>
      </c>
      <c r="I62" s="90">
        <f t="shared" si="26"/>
        <v>0</v>
      </c>
      <c r="J62" s="90">
        <f t="shared" si="26"/>
        <v>0</v>
      </c>
      <c r="K62" s="90">
        <f t="shared" si="26"/>
        <v>0</v>
      </c>
      <c r="L62" s="90">
        <f t="shared" si="26"/>
        <v>0</v>
      </c>
      <c r="M62" s="207">
        <f t="shared" si="26"/>
        <v>0</v>
      </c>
    </row>
    <row r="63" spans="1:14" x14ac:dyDescent="0.25">
      <c r="A63" s="87"/>
      <c r="B63" s="89" t="s">
        <v>137</v>
      </c>
      <c r="C63" s="187">
        <f>ROUND(ROUND(C62*C$5,2)/365*C$6,2)</f>
        <v>-26.07</v>
      </c>
      <c r="D63" s="187">
        <f>ROUND(ROUND(C65*D$5,2)/365*D$6,2)</f>
        <v>-24.49</v>
      </c>
      <c r="E63" s="187">
        <f t="shared" ref="E63:L63" si="27">ROUND(ROUND(D65*E$5,2)/365*E$6,2)</f>
        <v>-26.28</v>
      </c>
      <c r="F63" s="187">
        <f t="shared" si="27"/>
        <v>-24.46</v>
      </c>
      <c r="G63" s="187">
        <f t="shared" si="27"/>
        <v>-25.37</v>
      </c>
      <c r="H63" s="187">
        <f t="shared" si="27"/>
        <v>-24.65</v>
      </c>
      <c r="I63" s="187">
        <f t="shared" si="27"/>
        <v>-18.47</v>
      </c>
      <c r="J63" s="187">
        <f t="shared" si="27"/>
        <v>-18.52</v>
      </c>
      <c r="K63" s="187">
        <f t="shared" si="27"/>
        <v>-17.98</v>
      </c>
      <c r="L63" s="187">
        <f t="shared" si="27"/>
        <v>-17.649999999999999</v>
      </c>
      <c r="M63" s="208">
        <f t="shared" ref="M63" si="28">ROUND(ROUND(K65*M$5,2)/365*M$6,2)</f>
        <v>0</v>
      </c>
      <c r="N63" s="108">
        <f>SUM(C63:M63)</f>
        <v>-223.94000000000003</v>
      </c>
    </row>
    <row r="64" spans="1:14" x14ac:dyDescent="0.25">
      <c r="A64" s="87"/>
      <c r="B64" s="89" t="s">
        <v>138</v>
      </c>
      <c r="C64" s="189">
        <f>C63</f>
        <v>-26.07</v>
      </c>
      <c r="D64" s="189">
        <f t="shared" ref="D64:M64" si="29">SUM(D62:D63)</f>
        <v>-24.49</v>
      </c>
      <c r="E64" s="189">
        <f t="shared" si="29"/>
        <v>-26.28</v>
      </c>
      <c r="F64" s="189">
        <f t="shared" si="29"/>
        <v>-24.46</v>
      </c>
      <c r="G64" s="189">
        <f t="shared" si="29"/>
        <v>-25.37</v>
      </c>
      <c r="H64" s="189">
        <f t="shared" si="29"/>
        <v>-24.65</v>
      </c>
      <c r="I64" s="189">
        <f t="shared" si="29"/>
        <v>-18.47</v>
      </c>
      <c r="J64" s="189">
        <f t="shared" si="29"/>
        <v>-18.52</v>
      </c>
      <c r="K64" s="189">
        <f t="shared" si="29"/>
        <v>-17.98</v>
      </c>
      <c r="L64" s="189">
        <f t="shared" si="29"/>
        <v>-17.649999999999999</v>
      </c>
      <c r="M64" s="209">
        <f t="shared" si="29"/>
        <v>0</v>
      </c>
    </row>
    <row r="65" spans="1:14" x14ac:dyDescent="0.25">
      <c r="A65" s="87"/>
      <c r="B65" s="89" t="s">
        <v>139</v>
      </c>
      <c r="C65" s="90">
        <f>C64+C62</f>
        <v>-6213.7699999999995</v>
      </c>
      <c r="D65" s="90">
        <f>C65+D64</f>
        <v>-6238.2599999999993</v>
      </c>
      <c r="E65" s="90">
        <f t="shared" ref="E65:M65" si="30">D65+E64</f>
        <v>-6264.5399999999991</v>
      </c>
      <c r="F65" s="90">
        <f t="shared" si="30"/>
        <v>-6288.9999999999991</v>
      </c>
      <c r="G65" s="90">
        <f t="shared" si="30"/>
        <v>-6314.369999999999</v>
      </c>
      <c r="H65" s="90">
        <f t="shared" si="30"/>
        <v>-6339.0199999999986</v>
      </c>
      <c r="I65" s="90">
        <f t="shared" si="30"/>
        <v>-6357.4899999999989</v>
      </c>
      <c r="J65" s="90">
        <f t="shared" si="30"/>
        <v>-6376.0099999999993</v>
      </c>
      <c r="K65" s="90">
        <f t="shared" si="30"/>
        <v>-6393.9899999999989</v>
      </c>
      <c r="L65" s="90">
        <f t="shared" si="30"/>
        <v>-6411.6399999999985</v>
      </c>
      <c r="M65" s="207">
        <f t="shared" si="30"/>
        <v>-6411.6399999999985</v>
      </c>
    </row>
    <row r="66" spans="1:14" x14ac:dyDescent="0.25">
      <c r="A66" s="87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207"/>
    </row>
    <row r="67" spans="1:14" x14ac:dyDescent="0.25">
      <c r="A67" s="86">
        <v>504</v>
      </c>
      <c r="B67" s="104" t="s">
        <v>86</v>
      </c>
      <c r="C67" s="113"/>
      <c r="D67" s="113"/>
      <c r="E67" s="108"/>
      <c r="F67" s="113"/>
      <c r="G67" s="113"/>
      <c r="H67" s="113"/>
      <c r="I67" s="113"/>
      <c r="J67" s="113"/>
      <c r="K67" s="113"/>
      <c r="L67" s="113"/>
      <c r="M67" s="204"/>
    </row>
    <row r="68" spans="1:14" x14ac:dyDescent="0.25">
      <c r="A68" s="87" t="s">
        <v>64</v>
      </c>
      <c r="B68" t="s">
        <v>65</v>
      </c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204"/>
    </row>
    <row r="69" spans="1:14" x14ac:dyDescent="0.25">
      <c r="A69" s="87" t="s">
        <v>71</v>
      </c>
      <c r="B69" t="s">
        <v>70</v>
      </c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206"/>
    </row>
    <row r="70" spans="1:14" x14ac:dyDescent="0.25">
      <c r="A70" s="87" t="s">
        <v>72</v>
      </c>
      <c r="B70" t="s">
        <v>114</v>
      </c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206"/>
    </row>
    <row r="71" spans="1:14" x14ac:dyDescent="0.25">
      <c r="A71" s="87" t="s">
        <v>72</v>
      </c>
      <c r="B71" t="s">
        <v>115</v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205"/>
    </row>
    <row r="72" spans="1:14" x14ac:dyDescent="0.25">
      <c r="A72" s="87"/>
      <c r="B72" s="89" t="s">
        <v>74</v>
      </c>
      <c r="C72" s="108">
        <f t="shared" ref="C72:M72" si="31">SUM(C69:C71)</f>
        <v>0</v>
      </c>
      <c r="D72" s="108">
        <f t="shared" si="31"/>
        <v>0</v>
      </c>
      <c r="E72" s="108">
        <f t="shared" si="31"/>
        <v>0</v>
      </c>
      <c r="F72" s="108">
        <f>SUM(F69:F71)</f>
        <v>0</v>
      </c>
      <c r="G72" s="108">
        <f t="shared" si="31"/>
        <v>0</v>
      </c>
      <c r="H72" s="108">
        <f t="shared" si="31"/>
        <v>0</v>
      </c>
      <c r="I72" s="108">
        <f t="shared" si="31"/>
        <v>0</v>
      </c>
      <c r="J72" s="108">
        <f t="shared" si="31"/>
        <v>0</v>
      </c>
      <c r="K72" s="108">
        <f t="shared" si="31"/>
        <v>0</v>
      </c>
      <c r="L72" s="108">
        <f t="shared" si="31"/>
        <v>0</v>
      </c>
      <c r="M72" s="206">
        <f t="shared" si="31"/>
        <v>0</v>
      </c>
    </row>
    <row r="73" spans="1:14" x14ac:dyDescent="0.25">
      <c r="A73" s="87"/>
      <c r="B73" s="89" t="s">
        <v>73</v>
      </c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205">
        <f>ROUND(-'Authorized Margins'!G47*'WACAP 2017'!M68,2)</f>
        <v>0</v>
      </c>
    </row>
    <row r="74" spans="1:14" x14ac:dyDescent="0.25">
      <c r="A74" s="87"/>
      <c r="B74" s="89" t="s">
        <v>75</v>
      </c>
      <c r="C74" s="90">
        <f>-'WACAP 2019'!R76</f>
        <v>-2124434.7099999986</v>
      </c>
      <c r="D74" s="90">
        <f t="shared" ref="D74" si="32">SUM(D72:D73)</f>
        <v>0</v>
      </c>
      <c r="E74" s="90">
        <f t="shared" ref="E74:L74" si="33">SUM(E72:E73)</f>
        <v>0</v>
      </c>
      <c r="F74" s="90">
        <f t="shared" si="33"/>
        <v>0</v>
      </c>
      <c r="G74" s="90">
        <f t="shared" si="33"/>
        <v>0</v>
      </c>
      <c r="H74" s="90">
        <f t="shared" si="33"/>
        <v>0</v>
      </c>
      <c r="I74" s="90">
        <f t="shared" si="33"/>
        <v>0</v>
      </c>
      <c r="J74" s="90">
        <f t="shared" si="33"/>
        <v>0</v>
      </c>
      <c r="K74" s="90">
        <f t="shared" si="33"/>
        <v>0</v>
      </c>
      <c r="L74" s="90">
        <f t="shared" si="33"/>
        <v>0</v>
      </c>
      <c r="M74" s="207"/>
    </row>
    <row r="75" spans="1:14" x14ac:dyDescent="0.25">
      <c r="A75" s="87"/>
      <c r="B75" s="89" t="s">
        <v>137</v>
      </c>
      <c r="C75" s="216">
        <f>ROUND(ROUND(C74*C$5,2)/365*C$6,2)</f>
        <v>-8949.4</v>
      </c>
      <c r="D75" s="216">
        <f>ROUND(ROUND(C77*D$5,2)/365*D$6,2)</f>
        <v>-8407.2900000000009</v>
      </c>
      <c r="E75" s="216">
        <f>ROUND(ROUND(D77*E$5,2)/365*E$6,2)</f>
        <v>-9022.52</v>
      </c>
      <c r="F75" s="187">
        <f t="shared" ref="F75:K75" si="34">ROUND(ROUND(E77*F$5,2)/365*F$6,2)</f>
        <v>-8397.01</v>
      </c>
      <c r="G75" s="187">
        <f t="shared" si="34"/>
        <v>-8710.7900000000009</v>
      </c>
      <c r="H75" s="187">
        <f t="shared" si="34"/>
        <v>-8463.7999999999993</v>
      </c>
      <c r="I75" s="187">
        <f t="shared" si="34"/>
        <v>-6340.14</v>
      </c>
      <c r="J75" s="187">
        <f t="shared" si="34"/>
        <v>-6358.61</v>
      </c>
      <c r="K75" s="187">
        <f t="shared" si="34"/>
        <v>-6171.42</v>
      </c>
      <c r="L75" s="216">
        <f>ROUND(ROUND(K77*L$5,2)/365*L$6,2)</f>
        <v>-6059.51</v>
      </c>
      <c r="M75" s="208">
        <f>ROUND(ROUND(K77*M$5,2)/365*M$6,2)</f>
        <v>0</v>
      </c>
      <c r="N75" s="108">
        <f>SUM(C75:M75)</f>
        <v>-76880.489999999991</v>
      </c>
    </row>
    <row r="76" spans="1:14" x14ac:dyDescent="0.25">
      <c r="A76" s="87"/>
      <c r="B76" s="89" t="s">
        <v>138</v>
      </c>
      <c r="C76" s="189">
        <f>C75</f>
        <v>-8949.4</v>
      </c>
      <c r="D76" s="189">
        <f t="shared" ref="D76:M76" si="35">SUM(D74:D75)</f>
        <v>-8407.2900000000009</v>
      </c>
      <c r="E76" s="189">
        <f t="shared" si="35"/>
        <v>-9022.52</v>
      </c>
      <c r="F76" s="189">
        <f t="shared" si="35"/>
        <v>-8397.01</v>
      </c>
      <c r="G76" s="189">
        <f t="shared" si="35"/>
        <v>-8710.7900000000009</v>
      </c>
      <c r="H76" s="189">
        <f t="shared" si="35"/>
        <v>-8463.7999999999993</v>
      </c>
      <c r="I76" s="189">
        <f t="shared" si="35"/>
        <v>-6340.14</v>
      </c>
      <c r="J76" s="189">
        <f t="shared" si="35"/>
        <v>-6358.61</v>
      </c>
      <c r="K76" s="189">
        <f t="shared" si="35"/>
        <v>-6171.42</v>
      </c>
      <c r="L76" s="189">
        <f t="shared" si="35"/>
        <v>-6059.51</v>
      </c>
      <c r="M76" s="209">
        <f t="shared" si="35"/>
        <v>0</v>
      </c>
    </row>
    <row r="77" spans="1:14" x14ac:dyDescent="0.25">
      <c r="A77" s="87"/>
      <c r="B77" s="89" t="s">
        <v>139</v>
      </c>
      <c r="C77" s="90">
        <f>C76+C74</f>
        <v>-2133384.1099999985</v>
      </c>
      <c r="D77" s="90">
        <f>C77+D76</f>
        <v>-2141791.3999999985</v>
      </c>
      <c r="E77" s="90">
        <f t="shared" ref="E77:M77" si="36">D77+E76</f>
        <v>-2150813.9199999985</v>
      </c>
      <c r="F77" s="90">
        <f t="shared" si="36"/>
        <v>-2159210.9299999983</v>
      </c>
      <c r="G77" s="90">
        <f t="shared" si="36"/>
        <v>-2167921.7199999983</v>
      </c>
      <c r="H77" s="90">
        <f t="shared" si="36"/>
        <v>-2176385.5199999982</v>
      </c>
      <c r="I77" s="90">
        <f t="shared" si="36"/>
        <v>-2182725.6599999983</v>
      </c>
      <c r="J77" s="90">
        <f t="shared" si="36"/>
        <v>-2189084.2699999982</v>
      </c>
      <c r="K77" s="90">
        <f t="shared" si="36"/>
        <v>-2195255.6899999981</v>
      </c>
      <c r="L77" s="90">
        <f t="shared" si="36"/>
        <v>-2201315.1999999979</v>
      </c>
      <c r="M77" s="207">
        <f t="shared" si="36"/>
        <v>-2201315.1999999979</v>
      </c>
    </row>
    <row r="78" spans="1:14" x14ac:dyDescent="0.25">
      <c r="A78" s="87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207"/>
    </row>
    <row r="79" spans="1:14" x14ac:dyDescent="0.25">
      <c r="A79" s="86" t="s">
        <v>169</v>
      </c>
      <c r="B79" s="104" t="s">
        <v>86</v>
      </c>
      <c r="C79" s="113"/>
      <c r="D79" s="113"/>
      <c r="E79" s="108"/>
      <c r="F79" s="113"/>
      <c r="G79" s="113"/>
      <c r="H79" s="113"/>
      <c r="I79" s="113"/>
      <c r="J79" s="113"/>
      <c r="K79" s="113"/>
      <c r="L79" s="113"/>
      <c r="M79" s="204"/>
    </row>
    <row r="80" spans="1:14" x14ac:dyDescent="0.25">
      <c r="A80" s="87" t="s">
        <v>64</v>
      </c>
      <c r="B80" t="s">
        <v>172</v>
      </c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204"/>
    </row>
    <row r="81" spans="1:14" x14ac:dyDescent="0.25">
      <c r="A81" s="87" t="s">
        <v>71</v>
      </c>
      <c r="B81" t="s">
        <v>98</v>
      </c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206"/>
    </row>
    <row r="82" spans="1:14" x14ac:dyDescent="0.25">
      <c r="A82" s="87" t="s">
        <v>71</v>
      </c>
      <c r="B82" t="s">
        <v>99</v>
      </c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206"/>
    </row>
    <row r="83" spans="1:14" x14ac:dyDescent="0.25">
      <c r="A83" s="87" t="s">
        <v>71</v>
      </c>
      <c r="B83" t="s">
        <v>100</v>
      </c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206"/>
    </row>
    <row r="84" spans="1:14" x14ac:dyDescent="0.25">
      <c r="A84" s="87" t="s">
        <v>72</v>
      </c>
      <c r="B84" s="270" t="s">
        <v>164</v>
      </c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206"/>
    </row>
    <row r="85" spans="1:14" x14ac:dyDescent="0.25">
      <c r="A85" s="87" t="s">
        <v>72</v>
      </c>
      <c r="B85" s="270" t="s">
        <v>165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206"/>
    </row>
    <row r="86" spans="1:14" x14ac:dyDescent="0.25">
      <c r="A86" s="87" t="s">
        <v>72</v>
      </c>
      <c r="B86" s="270" t="s">
        <v>166</v>
      </c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206"/>
    </row>
    <row r="87" spans="1:14" x14ac:dyDescent="0.25">
      <c r="A87" s="87" t="s">
        <v>72</v>
      </c>
      <c r="B87" t="s">
        <v>144</v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205"/>
    </row>
    <row r="88" spans="1:14" x14ac:dyDescent="0.25">
      <c r="A88" s="87"/>
      <c r="B88" s="89" t="s">
        <v>74</v>
      </c>
      <c r="C88" s="108">
        <f t="shared" ref="C88:M88" si="37">SUM(C81:C87)</f>
        <v>0</v>
      </c>
      <c r="D88" s="108">
        <f t="shared" si="37"/>
        <v>0</v>
      </c>
      <c r="E88" s="108">
        <f t="shared" si="37"/>
        <v>0</v>
      </c>
      <c r="F88" s="108">
        <f t="shared" si="37"/>
        <v>0</v>
      </c>
      <c r="G88" s="108">
        <f t="shared" si="37"/>
        <v>0</v>
      </c>
      <c r="H88" s="108">
        <f t="shared" si="37"/>
        <v>0</v>
      </c>
      <c r="I88" s="108">
        <f t="shared" si="37"/>
        <v>0</v>
      </c>
      <c r="J88" s="108">
        <f t="shared" si="37"/>
        <v>0</v>
      </c>
      <c r="K88" s="108">
        <f t="shared" si="37"/>
        <v>0</v>
      </c>
      <c r="L88" s="108">
        <f t="shared" si="37"/>
        <v>0</v>
      </c>
      <c r="M88" s="206">
        <f t="shared" si="37"/>
        <v>0</v>
      </c>
    </row>
    <row r="89" spans="1:14" x14ac:dyDescent="0.25">
      <c r="A89" s="87"/>
      <c r="B89" s="89" t="s">
        <v>73</v>
      </c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205">
        <v>0</v>
      </c>
    </row>
    <row r="90" spans="1:14" x14ac:dyDescent="0.25">
      <c r="A90" s="87"/>
      <c r="B90" s="89" t="s">
        <v>75</v>
      </c>
      <c r="C90" s="90">
        <f>-'WACAP 2019'!R92</f>
        <v>-231584.88</v>
      </c>
      <c r="D90" s="90">
        <f t="shared" ref="D90" si="38">SUM(D88:D89)</f>
        <v>0</v>
      </c>
      <c r="E90" s="90">
        <f t="shared" ref="E90:L90" si="39">SUM(E88:E89)</f>
        <v>0</v>
      </c>
      <c r="F90" s="90">
        <f t="shared" si="39"/>
        <v>0</v>
      </c>
      <c r="G90" s="90">
        <f t="shared" si="39"/>
        <v>0</v>
      </c>
      <c r="H90" s="90">
        <f t="shared" si="39"/>
        <v>0</v>
      </c>
      <c r="I90" s="90">
        <f t="shared" si="39"/>
        <v>0</v>
      </c>
      <c r="J90" s="90">
        <f t="shared" si="39"/>
        <v>0</v>
      </c>
      <c r="K90" s="90">
        <f t="shared" si="39"/>
        <v>0</v>
      </c>
      <c r="L90" s="90">
        <f t="shared" si="39"/>
        <v>0</v>
      </c>
      <c r="M90" s="207"/>
    </row>
    <row r="91" spans="1:14" x14ac:dyDescent="0.25">
      <c r="A91" s="87"/>
      <c r="B91" s="89" t="s">
        <v>137</v>
      </c>
      <c r="C91" s="187">
        <f>ROUND(ROUND(C90*C$5,2)/365*C$6,2)</f>
        <v>-975.58</v>
      </c>
      <c r="D91" s="187">
        <f>ROUND(ROUND(C93*D$5,2)/365*D$6,2)</f>
        <v>-916.48</v>
      </c>
      <c r="E91" s="187">
        <f t="shared" ref="E91" si="40">ROUND(ROUND(D93*E$5,2)/365*E$6,2)</f>
        <v>-983.55</v>
      </c>
      <c r="F91" s="187">
        <f t="shared" ref="F91" si="41">ROUND(ROUND(E93*F$5,2)/365*F$6,2)</f>
        <v>-915.36</v>
      </c>
      <c r="G91" s="187">
        <f t="shared" ref="G91" si="42">ROUND(ROUND(F93*G$5,2)/365*G$6,2)</f>
        <v>-949.56</v>
      </c>
      <c r="H91" s="187">
        <f t="shared" ref="H91" si="43">ROUND(ROUND(G93*H$5,2)/365*H$6,2)</f>
        <v>-922.64</v>
      </c>
      <c r="I91" s="187">
        <f t="shared" ref="I91" si="44">ROUND(ROUND(H93*I$5,2)/365*I$6,2)</f>
        <v>-691.14</v>
      </c>
      <c r="J91" s="187">
        <f t="shared" ref="J91" si="45">ROUND(ROUND(I93*J$5,2)/365*J$6,2)</f>
        <v>-693.15</v>
      </c>
      <c r="K91" s="187">
        <f t="shared" ref="K91" si="46">ROUND(ROUND(J93*K$5,2)/365*K$6,2)</f>
        <v>-672.75</v>
      </c>
      <c r="L91" s="187">
        <f t="shared" ref="L91" si="47">ROUND(ROUND(K93*L$5,2)/365*L$6,2)</f>
        <v>-660.55</v>
      </c>
      <c r="M91" s="208">
        <f>ROUND(ROUND(K93*M$5,2)/365*M$6,2)</f>
        <v>0</v>
      </c>
      <c r="N91" s="108">
        <f>SUM(C91:M91)</f>
        <v>-8380.76</v>
      </c>
    </row>
    <row r="92" spans="1:14" x14ac:dyDescent="0.25">
      <c r="A92" s="87"/>
      <c r="B92" s="89" t="s">
        <v>138</v>
      </c>
      <c r="C92" s="189">
        <f>C91</f>
        <v>-975.58</v>
      </c>
      <c r="D92" s="189">
        <f t="shared" ref="D92:M92" si="48">SUM(D90:D91)</f>
        <v>-916.48</v>
      </c>
      <c r="E92" s="189">
        <f t="shared" si="48"/>
        <v>-983.55</v>
      </c>
      <c r="F92" s="189">
        <f t="shared" si="48"/>
        <v>-915.36</v>
      </c>
      <c r="G92" s="189">
        <f t="shared" si="48"/>
        <v>-949.56</v>
      </c>
      <c r="H92" s="189">
        <f t="shared" si="48"/>
        <v>-922.64</v>
      </c>
      <c r="I92" s="189">
        <f t="shared" si="48"/>
        <v>-691.14</v>
      </c>
      <c r="J92" s="189">
        <f t="shared" si="48"/>
        <v>-693.15</v>
      </c>
      <c r="K92" s="189">
        <f t="shared" si="48"/>
        <v>-672.75</v>
      </c>
      <c r="L92" s="189">
        <f t="shared" si="48"/>
        <v>-660.55</v>
      </c>
      <c r="M92" s="209">
        <f t="shared" si="48"/>
        <v>0</v>
      </c>
    </row>
    <row r="93" spans="1:14" x14ac:dyDescent="0.25">
      <c r="A93" s="87"/>
      <c r="B93" s="89" t="s">
        <v>139</v>
      </c>
      <c r="C93" s="90">
        <f>C92+C90</f>
        <v>-232560.46</v>
      </c>
      <c r="D93" s="90">
        <f>C93+D92</f>
        <v>-233476.94</v>
      </c>
      <c r="E93" s="90">
        <f t="shared" ref="E93" si="49">D93+E92</f>
        <v>-234460.49</v>
      </c>
      <c r="F93" s="90">
        <f t="shared" ref="F93" si="50">E93+F92</f>
        <v>-235375.84999999998</v>
      </c>
      <c r="G93" s="90">
        <f t="shared" ref="G93" si="51">F93+G92</f>
        <v>-236325.40999999997</v>
      </c>
      <c r="H93" s="90">
        <f t="shared" ref="H93" si="52">G93+H92</f>
        <v>-237248.05</v>
      </c>
      <c r="I93" s="90">
        <f t="shared" ref="I93" si="53">H93+I92</f>
        <v>-237939.19</v>
      </c>
      <c r="J93" s="90">
        <f t="shared" ref="J93" si="54">I93+J92</f>
        <v>-238632.34</v>
      </c>
      <c r="K93" s="90">
        <f t="shared" ref="K93" si="55">J93+K92</f>
        <v>-239305.09</v>
      </c>
      <c r="L93" s="90">
        <f t="shared" ref="L93" si="56">K93+L92</f>
        <v>-239965.63999999998</v>
      </c>
      <c r="M93" s="207">
        <f t="shared" ref="M93" si="57">L93+M92</f>
        <v>-239965.63999999998</v>
      </c>
    </row>
    <row r="94" spans="1:14" x14ac:dyDescent="0.25">
      <c r="A94" s="86"/>
      <c r="C94" s="113"/>
      <c r="D94" s="113"/>
      <c r="E94" s="108"/>
      <c r="F94" s="113"/>
      <c r="G94" s="113"/>
      <c r="H94" s="113"/>
      <c r="I94" s="113"/>
      <c r="J94" s="113"/>
      <c r="K94" s="113"/>
      <c r="L94" s="113"/>
      <c r="M94" s="204"/>
    </row>
    <row r="95" spans="1:14" x14ac:dyDescent="0.25">
      <c r="A95" s="86">
        <v>511</v>
      </c>
      <c r="B95" s="104" t="s">
        <v>86</v>
      </c>
      <c r="C95" s="113"/>
      <c r="D95" s="113"/>
      <c r="E95" s="108"/>
      <c r="F95" s="113"/>
      <c r="G95" s="113"/>
      <c r="H95" s="113"/>
      <c r="I95" s="113"/>
      <c r="J95" s="113"/>
      <c r="K95" s="113"/>
      <c r="L95" s="113"/>
      <c r="M95" s="204"/>
    </row>
    <row r="96" spans="1:14" x14ac:dyDescent="0.25">
      <c r="A96" s="87" t="s">
        <v>64</v>
      </c>
      <c r="B96" t="s">
        <v>65</v>
      </c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204"/>
    </row>
    <row r="97" spans="1:14" x14ac:dyDescent="0.25">
      <c r="A97" s="87" t="s">
        <v>71</v>
      </c>
      <c r="B97" t="s">
        <v>117</v>
      </c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206"/>
    </row>
    <row r="98" spans="1:14" x14ac:dyDescent="0.25">
      <c r="A98" s="87" t="s">
        <v>71</v>
      </c>
      <c r="B98" t="s">
        <v>98</v>
      </c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206"/>
    </row>
    <row r="99" spans="1:14" x14ac:dyDescent="0.25">
      <c r="A99" s="87" t="s">
        <v>71</v>
      </c>
      <c r="B99" t="s">
        <v>99</v>
      </c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206"/>
    </row>
    <row r="100" spans="1:14" x14ac:dyDescent="0.25">
      <c r="A100" s="87" t="s">
        <v>71</v>
      </c>
      <c r="B100" t="s">
        <v>100</v>
      </c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206"/>
    </row>
    <row r="101" spans="1:14" x14ac:dyDescent="0.25">
      <c r="A101" s="87" t="s">
        <v>72</v>
      </c>
      <c r="B101" t="s">
        <v>114</v>
      </c>
      <c r="C101" s="124"/>
      <c r="D101" s="124"/>
      <c r="E101" s="124"/>
      <c r="F101" s="124"/>
      <c r="G101" s="124"/>
      <c r="H101" s="124"/>
      <c r="I101" s="124"/>
      <c r="J101" s="124"/>
      <c r="K101" s="124"/>
      <c r="L101" s="124"/>
      <c r="M101" s="206"/>
    </row>
    <row r="102" spans="1:14" x14ac:dyDescent="0.25">
      <c r="A102" s="87" t="s">
        <v>72</v>
      </c>
      <c r="B102" t="s">
        <v>115</v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205"/>
    </row>
    <row r="103" spans="1:14" x14ac:dyDescent="0.25">
      <c r="A103" s="87"/>
      <c r="B103" s="89" t="s">
        <v>74</v>
      </c>
      <c r="C103" s="108">
        <f t="shared" ref="C103:M103" si="58">SUM(C97:C102)</f>
        <v>0</v>
      </c>
      <c r="D103" s="108">
        <f t="shared" si="58"/>
        <v>0</v>
      </c>
      <c r="E103" s="108">
        <f t="shared" si="58"/>
        <v>0</v>
      </c>
      <c r="F103" s="108">
        <f t="shared" si="58"/>
        <v>0</v>
      </c>
      <c r="G103" s="108">
        <f t="shared" si="58"/>
        <v>0</v>
      </c>
      <c r="H103" s="108">
        <f t="shared" si="58"/>
        <v>0</v>
      </c>
      <c r="I103" s="108">
        <f t="shared" si="58"/>
        <v>0</v>
      </c>
      <c r="J103" s="108">
        <f t="shared" si="58"/>
        <v>0</v>
      </c>
      <c r="K103" s="108">
        <f t="shared" si="58"/>
        <v>0</v>
      </c>
      <c r="L103" s="108">
        <f t="shared" si="58"/>
        <v>0</v>
      </c>
      <c r="M103" s="206">
        <f t="shared" si="58"/>
        <v>0</v>
      </c>
    </row>
    <row r="104" spans="1:14" x14ac:dyDescent="0.25">
      <c r="A104" s="87"/>
      <c r="B104" s="89" t="s">
        <v>73</v>
      </c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205">
        <f>ROUND(-'Authorized Margins'!G73*'WACAP 2017'!M80,2)</f>
        <v>0</v>
      </c>
    </row>
    <row r="105" spans="1:14" x14ac:dyDescent="0.25">
      <c r="A105" s="87"/>
      <c r="B105" s="89" t="s">
        <v>75</v>
      </c>
      <c r="C105" s="90">
        <f>-'WACAP 2019'!R107</f>
        <v>-284826.75000000006</v>
      </c>
      <c r="D105" s="90">
        <f t="shared" ref="D105" si="59">SUM(D103:D104)</f>
        <v>0</v>
      </c>
      <c r="E105" s="90">
        <f t="shared" ref="E105:L105" si="60">SUM(E103:E104)</f>
        <v>0</v>
      </c>
      <c r="F105" s="90">
        <f t="shared" si="60"/>
        <v>0</v>
      </c>
      <c r="G105" s="90">
        <f t="shared" si="60"/>
        <v>0</v>
      </c>
      <c r="H105" s="90">
        <f t="shared" si="60"/>
        <v>0</v>
      </c>
      <c r="I105" s="90">
        <f t="shared" si="60"/>
        <v>0</v>
      </c>
      <c r="J105" s="90">
        <f t="shared" si="60"/>
        <v>0</v>
      </c>
      <c r="K105" s="90">
        <f t="shared" si="60"/>
        <v>0</v>
      </c>
      <c r="L105" s="90">
        <f t="shared" si="60"/>
        <v>0</v>
      </c>
      <c r="M105" s="207"/>
    </row>
    <row r="106" spans="1:14" x14ac:dyDescent="0.25">
      <c r="A106" s="87"/>
      <c r="B106" s="89" t="s">
        <v>137</v>
      </c>
      <c r="C106" s="187">
        <f>ROUND(ROUND(C105*C$5,2)/365*C$6,2)</f>
        <v>-1199.8599999999999</v>
      </c>
      <c r="D106" s="187">
        <f>ROUND(ROUND(C108*D$5,2)/365*D$6,2)</f>
        <v>-1127.18</v>
      </c>
      <c r="E106" s="187">
        <f t="shared" ref="E106:L106" si="61">ROUND(ROUND(D108*E$5,2)/365*E$6,2)</f>
        <v>-1209.67</v>
      </c>
      <c r="F106" s="187">
        <f t="shared" si="61"/>
        <v>-1125.8</v>
      </c>
      <c r="G106" s="187">
        <f t="shared" si="61"/>
        <v>-1167.8699999999999</v>
      </c>
      <c r="H106" s="187">
        <f t="shared" si="61"/>
        <v>-1134.76</v>
      </c>
      <c r="I106" s="187">
        <f t="shared" si="61"/>
        <v>-850.03</v>
      </c>
      <c r="J106" s="187">
        <f t="shared" si="61"/>
        <v>-852.51</v>
      </c>
      <c r="K106" s="187">
        <f t="shared" si="61"/>
        <v>-827.41</v>
      </c>
      <c r="L106" s="187">
        <f t="shared" si="61"/>
        <v>-812.41</v>
      </c>
      <c r="M106" s="208">
        <f>ROUND(ROUND(K108*M$5,2)/365*M$6,2)</f>
        <v>0</v>
      </c>
      <c r="N106" s="108">
        <f>SUM(C106:M106)</f>
        <v>-10307.5</v>
      </c>
    </row>
    <row r="107" spans="1:14" x14ac:dyDescent="0.25">
      <c r="A107" s="87"/>
      <c r="B107" s="89" t="s">
        <v>138</v>
      </c>
      <c r="C107" s="189">
        <f>C106</f>
        <v>-1199.8599999999999</v>
      </c>
      <c r="D107" s="189">
        <f t="shared" ref="D107:M107" si="62">SUM(D105:D106)</f>
        <v>-1127.18</v>
      </c>
      <c r="E107" s="189">
        <f t="shared" si="62"/>
        <v>-1209.67</v>
      </c>
      <c r="F107" s="189">
        <f t="shared" si="62"/>
        <v>-1125.8</v>
      </c>
      <c r="G107" s="189">
        <f t="shared" si="62"/>
        <v>-1167.8699999999999</v>
      </c>
      <c r="H107" s="189">
        <f t="shared" si="62"/>
        <v>-1134.76</v>
      </c>
      <c r="I107" s="189">
        <f t="shared" si="62"/>
        <v>-850.03</v>
      </c>
      <c r="J107" s="189">
        <f t="shared" si="62"/>
        <v>-852.51</v>
      </c>
      <c r="K107" s="189">
        <f t="shared" si="62"/>
        <v>-827.41</v>
      </c>
      <c r="L107" s="189">
        <f t="shared" si="62"/>
        <v>-812.41</v>
      </c>
      <c r="M107" s="209">
        <f t="shared" si="62"/>
        <v>0</v>
      </c>
    </row>
    <row r="108" spans="1:14" x14ac:dyDescent="0.25">
      <c r="A108" s="87"/>
      <c r="B108" s="89" t="s">
        <v>139</v>
      </c>
      <c r="C108" s="90">
        <f>C107+C105</f>
        <v>-286026.61000000004</v>
      </c>
      <c r="D108" s="90">
        <f>C108+D107</f>
        <v>-287153.79000000004</v>
      </c>
      <c r="E108" s="90">
        <f t="shared" ref="E108:M108" si="63">D108+E107</f>
        <v>-288363.46000000002</v>
      </c>
      <c r="F108" s="90">
        <f t="shared" si="63"/>
        <v>-289489.26</v>
      </c>
      <c r="G108" s="90">
        <f t="shared" si="63"/>
        <v>-290657.13</v>
      </c>
      <c r="H108" s="90">
        <f t="shared" si="63"/>
        <v>-291791.89</v>
      </c>
      <c r="I108" s="90">
        <f t="shared" si="63"/>
        <v>-292641.92000000004</v>
      </c>
      <c r="J108" s="90">
        <f t="shared" si="63"/>
        <v>-293494.43000000005</v>
      </c>
      <c r="K108" s="90">
        <f t="shared" si="63"/>
        <v>-294321.84000000003</v>
      </c>
      <c r="L108" s="90">
        <f t="shared" si="63"/>
        <v>-295134.25</v>
      </c>
      <c r="M108" s="207">
        <f t="shared" si="63"/>
        <v>-295134.25</v>
      </c>
    </row>
    <row r="109" spans="1:14" x14ac:dyDescent="0.25">
      <c r="A109" s="86"/>
      <c r="C109" s="113"/>
      <c r="D109" s="113"/>
      <c r="E109" s="108"/>
      <c r="F109" s="113"/>
      <c r="G109" s="113"/>
      <c r="H109" s="113"/>
      <c r="I109" s="113"/>
      <c r="J109" s="113"/>
      <c r="K109" s="113"/>
      <c r="L109" s="113"/>
      <c r="M109" s="204"/>
    </row>
    <row r="110" spans="1:14" x14ac:dyDescent="0.25">
      <c r="A110" s="86">
        <v>512</v>
      </c>
      <c r="B110" s="104" t="s">
        <v>86</v>
      </c>
      <c r="C110" s="113"/>
      <c r="D110" s="113"/>
      <c r="E110" s="108"/>
      <c r="F110" s="113"/>
      <c r="G110" s="113"/>
      <c r="H110" s="113"/>
      <c r="I110" s="113"/>
      <c r="J110" s="113"/>
      <c r="K110" s="113"/>
      <c r="L110" s="113"/>
      <c r="M110" s="204"/>
    </row>
    <row r="111" spans="1:14" x14ac:dyDescent="0.25">
      <c r="A111" s="87" t="s">
        <v>64</v>
      </c>
      <c r="B111" t="s">
        <v>65</v>
      </c>
      <c r="C111" s="105"/>
      <c r="D111" s="105"/>
      <c r="E111" s="105"/>
      <c r="F111" s="105"/>
      <c r="G111" s="105"/>
      <c r="H111" s="105"/>
      <c r="I111" s="105"/>
      <c r="J111" s="105"/>
      <c r="K111" s="105"/>
      <c r="L111" s="105"/>
      <c r="M111" s="204"/>
    </row>
    <row r="112" spans="1:14" x14ac:dyDescent="0.25">
      <c r="A112" s="87" t="s">
        <v>71</v>
      </c>
      <c r="B112" t="s">
        <v>70</v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205"/>
    </row>
    <row r="113" spans="1:14" x14ac:dyDescent="0.25">
      <c r="A113" s="87"/>
      <c r="B113" s="89" t="s">
        <v>74</v>
      </c>
      <c r="C113" s="108">
        <f t="shared" ref="C113:M113" si="64">C112</f>
        <v>0</v>
      </c>
      <c r="D113" s="108">
        <f t="shared" si="64"/>
        <v>0</v>
      </c>
      <c r="E113" s="108">
        <f t="shared" si="64"/>
        <v>0</v>
      </c>
      <c r="F113" s="108">
        <f t="shared" si="64"/>
        <v>0</v>
      </c>
      <c r="G113" s="108">
        <f t="shared" si="64"/>
        <v>0</v>
      </c>
      <c r="H113" s="108">
        <f t="shared" si="64"/>
        <v>0</v>
      </c>
      <c r="I113" s="108">
        <f t="shared" si="64"/>
        <v>0</v>
      </c>
      <c r="J113" s="108">
        <f t="shared" si="64"/>
        <v>0</v>
      </c>
      <c r="K113" s="108">
        <f t="shared" si="64"/>
        <v>0</v>
      </c>
      <c r="L113" s="108">
        <f t="shared" si="64"/>
        <v>0</v>
      </c>
      <c r="M113" s="206">
        <f t="shared" si="64"/>
        <v>0</v>
      </c>
    </row>
    <row r="114" spans="1:14" x14ac:dyDescent="0.25">
      <c r="A114" s="87"/>
      <c r="B114" s="89" t="s">
        <v>73</v>
      </c>
      <c r="C114" s="88"/>
      <c r="D114" s="88"/>
      <c r="E114" s="88"/>
      <c r="F114" s="88"/>
      <c r="G114" s="88"/>
      <c r="H114" s="88"/>
      <c r="I114" s="88"/>
      <c r="J114" s="88"/>
      <c r="K114" s="88"/>
      <c r="L114" s="88"/>
      <c r="M114" s="205">
        <f>-'Authorized Margins'!G79*'WACAP 2017'!M95</f>
        <v>0</v>
      </c>
    </row>
    <row r="115" spans="1:14" x14ac:dyDescent="0.25">
      <c r="A115" s="87"/>
      <c r="B115" s="89" t="s">
        <v>75</v>
      </c>
      <c r="C115" s="90">
        <f>-'WACAP 2019'!R117</f>
        <v>0</v>
      </c>
      <c r="D115" s="90">
        <f t="shared" ref="D115" si="65">SUM(D113:D114)</f>
        <v>0</v>
      </c>
      <c r="E115" s="90">
        <f t="shared" ref="E115:L115" si="66">SUM(E113:E114)</f>
        <v>0</v>
      </c>
      <c r="F115" s="90">
        <f t="shared" si="66"/>
        <v>0</v>
      </c>
      <c r="G115" s="90">
        <f t="shared" si="66"/>
        <v>0</v>
      </c>
      <c r="H115" s="90">
        <f t="shared" si="66"/>
        <v>0</v>
      </c>
      <c r="I115" s="90">
        <f t="shared" si="66"/>
        <v>0</v>
      </c>
      <c r="J115" s="90">
        <f t="shared" si="66"/>
        <v>0</v>
      </c>
      <c r="K115" s="90">
        <f t="shared" si="66"/>
        <v>0</v>
      </c>
      <c r="L115" s="90">
        <f t="shared" si="66"/>
        <v>0</v>
      </c>
      <c r="M115" s="207"/>
    </row>
    <row r="116" spans="1:14" x14ac:dyDescent="0.25">
      <c r="A116" s="87"/>
      <c r="B116" s="89" t="s">
        <v>137</v>
      </c>
      <c r="C116" s="187">
        <f>ROUND(ROUND(C115*C$5,2)/365*C$6,2)</f>
        <v>0</v>
      </c>
      <c r="D116" s="187">
        <f>ROUND(ROUND(C118*D$5,2)/365*D$6,2)</f>
        <v>0</v>
      </c>
      <c r="E116" s="187">
        <f t="shared" ref="E116:L116" si="67">ROUND(ROUND(D118*E$5,2)/365*E$6,2)</f>
        <v>0</v>
      </c>
      <c r="F116" s="187">
        <f t="shared" si="67"/>
        <v>0</v>
      </c>
      <c r="G116" s="187">
        <f t="shared" si="67"/>
        <v>0</v>
      </c>
      <c r="H116" s="187">
        <f t="shared" si="67"/>
        <v>0</v>
      </c>
      <c r="I116" s="187">
        <f t="shared" si="67"/>
        <v>0</v>
      </c>
      <c r="J116" s="187">
        <f t="shared" si="67"/>
        <v>0</v>
      </c>
      <c r="K116" s="187">
        <f t="shared" si="67"/>
        <v>0</v>
      </c>
      <c r="L116" s="187">
        <f t="shared" si="67"/>
        <v>0</v>
      </c>
      <c r="M116" s="208">
        <f>ROUND(ROUND(K118*M$5,2)/365*M$6,2)</f>
        <v>0</v>
      </c>
      <c r="N116" s="108">
        <f>SUM(C116:M116)</f>
        <v>0</v>
      </c>
    </row>
    <row r="117" spans="1:14" x14ac:dyDescent="0.25">
      <c r="A117" s="87"/>
      <c r="B117" s="89" t="s">
        <v>138</v>
      </c>
      <c r="C117" s="189">
        <f>C116</f>
        <v>0</v>
      </c>
      <c r="D117" s="189">
        <f t="shared" ref="D117:M117" si="68">SUM(D115:D116)</f>
        <v>0</v>
      </c>
      <c r="E117" s="189">
        <f t="shared" si="68"/>
        <v>0</v>
      </c>
      <c r="F117" s="189">
        <f t="shared" si="68"/>
        <v>0</v>
      </c>
      <c r="G117" s="189">
        <f t="shared" si="68"/>
        <v>0</v>
      </c>
      <c r="H117" s="189">
        <f t="shared" si="68"/>
        <v>0</v>
      </c>
      <c r="I117" s="189">
        <f t="shared" si="68"/>
        <v>0</v>
      </c>
      <c r="J117" s="189">
        <f t="shared" si="68"/>
        <v>0</v>
      </c>
      <c r="K117" s="189">
        <f t="shared" si="68"/>
        <v>0</v>
      </c>
      <c r="L117" s="189">
        <f t="shared" si="68"/>
        <v>0</v>
      </c>
      <c r="M117" s="209">
        <f t="shared" si="68"/>
        <v>0</v>
      </c>
    </row>
    <row r="118" spans="1:14" x14ac:dyDescent="0.25">
      <c r="A118" s="87"/>
      <c r="B118" s="89" t="s">
        <v>139</v>
      </c>
      <c r="C118" s="90">
        <f>C117+C115</f>
        <v>0</v>
      </c>
      <c r="D118" s="90">
        <f>C118+D117</f>
        <v>0</v>
      </c>
      <c r="E118" s="90">
        <f t="shared" ref="E118:M118" si="69">D118+E117</f>
        <v>0</v>
      </c>
      <c r="F118" s="90">
        <f t="shared" si="69"/>
        <v>0</v>
      </c>
      <c r="G118" s="90">
        <f t="shared" si="69"/>
        <v>0</v>
      </c>
      <c r="H118" s="90">
        <f t="shared" si="69"/>
        <v>0</v>
      </c>
      <c r="I118" s="90">
        <f t="shared" si="69"/>
        <v>0</v>
      </c>
      <c r="J118" s="90">
        <f t="shared" si="69"/>
        <v>0</v>
      </c>
      <c r="K118" s="90">
        <f t="shared" si="69"/>
        <v>0</v>
      </c>
      <c r="L118" s="90">
        <f t="shared" si="69"/>
        <v>0</v>
      </c>
      <c r="M118" s="207">
        <f t="shared" si="69"/>
        <v>0</v>
      </c>
    </row>
    <row r="119" spans="1:14" x14ac:dyDescent="0.25">
      <c r="A119" s="86"/>
      <c r="C119" s="113"/>
      <c r="D119" s="113"/>
      <c r="E119" s="108"/>
      <c r="F119" s="113"/>
      <c r="G119" s="113"/>
      <c r="H119" s="113"/>
      <c r="I119" s="113"/>
      <c r="J119" s="113"/>
      <c r="K119" s="113"/>
      <c r="L119" s="113"/>
      <c r="M119" s="204"/>
    </row>
    <row r="120" spans="1:14" x14ac:dyDescent="0.25">
      <c r="A120" s="86" t="s">
        <v>83</v>
      </c>
      <c r="B120" s="104" t="s">
        <v>87</v>
      </c>
      <c r="C120" s="113"/>
      <c r="D120" s="113"/>
      <c r="E120" s="108"/>
      <c r="F120" s="113"/>
      <c r="G120" s="113"/>
      <c r="H120" s="113"/>
      <c r="I120" s="113"/>
      <c r="J120" s="113"/>
      <c r="K120" s="113"/>
      <c r="L120" s="113"/>
      <c r="M120" s="204"/>
    </row>
    <row r="121" spans="1:14" x14ac:dyDescent="0.25">
      <c r="A121" s="87" t="s">
        <v>64</v>
      </c>
      <c r="B121" t="s">
        <v>65</v>
      </c>
      <c r="C121" s="105"/>
      <c r="D121" s="105"/>
      <c r="E121" s="105"/>
      <c r="F121" s="105"/>
      <c r="G121" s="105"/>
      <c r="H121" s="105"/>
      <c r="I121" s="105"/>
      <c r="J121" s="105"/>
      <c r="K121" s="105"/>
      <c r="L121" s="105"/>
      <c r="M121" s="204"/>
    </row>
    <row r="122" spans="1:14" x14ac:dyDescent="0.25">
      <c r="A122" s="87" t="s">
        <v>71</v>
      </c>
      <c r="B122" t="s">
        <v>95</v>
      </c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206"/>
    </row>
    <row r="123" spans="1:14" x14ac:dyDescent="0.25">
      <c r="A123" s="87" t="s">
        <v>71</v>
      </c>
      <c r="B123" t="s">
        <v>97</v>
      </c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  <c r="M123" s="206"/>
    </row>
    <row r="124" spans="1:14" x14ac:dyDescent="0.25">
      <c r="A124" s="87" t="s">
        <v>72</v>
      </c>
      <c r="B124" t="s">
        <v>101</v>
      </c>
      <c r="C124" s="116"/>
      <c r="D124" s="116"/>
      <c r="E124" s="116"/>
      <c r="F124" s="116"/>
      <c r="G124" s="116"/>
      <c r="H124" s="116"/>
      <c r="I124" s="116"/>
      <c r="J124" s="116"/>
      <c r="K124" s="116"/>
      <c r="L124" s="116"/>
      <c r="M124" s="206"/>
    </row>
    <row r="125" spans="1:14" x14ac:dyDescent="0.25">
      <c r="A125" s="87" t="s">
        <v>72</v>
      </c>
      <c r="B125" t="s">
        <v>145</v>
      </c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  <c r="M125" s="206"/>
    </row>
    <row r="126" spans="1:14" x14ac:dyDescent="0.25">
      <c r="A126" s="87" t="s">
        <v>72</v>
      </c>
      <c r="B126" t="s">
        <v>102</v>
      </c>
      <c r="C126" s="116"/>
      <c r="D126" s="116"/>
      <c r="E126" s="116"/>
      <c r="F126" s="116"/>
      <c r="G126" s="116"/>
      <c r="H126" s="116"/>
      <c r="I126" s="116"/>
      <c r="J126" s="116"/>
      <c r="K126" s="116"/>
      <c r="L126" s="116"/>
      <c r="M126" s="206"/>
    </row>
    <row r="127" spans="1:14" x14ac:dyDescent="0.25">
      <c r="A127" s="87" t="s">
        <v>72</v>
      </c>
      <c r="B127" t="s">
        <v>146</v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205"/>
    </row>
    <row r="128" spans="1:14" x14ac:dyDescent="0.25">
      <c r="A128" s="86"/>
      <c r="B128" s="89" t="s">
        <v>74</v>
      </c>
      <c r="C128" s="108">
        <f t="shared" ref="C128:M128" si="70">SUM(C122:C127)</f>
        <v>0</v>
      </c>
      <c r="D128" s="108">
        <f t="shared" si="70"/>
        <v>0</v>
      </c>
      <c r="E128" s="108">
        <f t="shared" si="70"/>
        <v>0</v>
      </c>
      <c r="F128" s="108">
        <f t="shared" si="70"/>
        <v>0</v>
      </c>
      <c r="G128" s="108">
        <f t="shared" si="70"/>
        <v>0</v>
      </c>
      <c r="H128" s="108">
        <f t="shared" si="70"/>
        <v>0</v>
      </c>
      <c r="I128" s="108">
        <f t="shared" si="70"/>
        <v>0</v>
      </c>
      <c r="J128" s="108">
        <f t="shared" si="70"/>
        <v>0</v>
      </c>
      <c r="K128" s="108">
        <f t="shared" si="70"/>
        <v>0</v>
      </c>
      <c r="L128" s="108">
        <f t="shared" si="70"/>
        <v>0</v>
      </c>
      <c r="M128" s="206">
        <f t="shared" si="70"/>
        <v>0</v>
      </c>
    </row>
    <row r="129" spans="1:14" x14ac:dyDescent="0.25">
      <c r="A129" s="86"/>
      <c r="B129" s="89" t="s">
        <v>73</v>
      </c>
      <c r="C129" s="88"/>
      <c r="D129" s="88"/>
      <c r="E129" s="88"/>
      <c r="F129" s="88"/>
      <c r="G129" s="88"/>
      <c r="H129" s="88"/>
      <c r="I129" s="88"/>
      <c r="J129" s="88"/>
      <c r="K129" s="88"/>
      <c r="L129" s="88"/>
      <c r="M129" s="205">
        <f>ROUND(-'Authorized Margins'!G60*'WACAP 2017'!M105,2)</f>
        <v>0</v>
      </c>
    </row>
    <row r="130" spans="1:14" x14ac:dyDescent="0.25">
      <c r="A130" s="86"/>
      <c r="B130" s="89" t="s">
        <v>75</v>
      </c>
      <c r="C130" s="90">
        <f>-'WACAP 2019'!R132</f>
        <v>3451.1799999999994</v>
      </c>
      <c r="D130" s="90">
        <f t="shared" ref="D130" si="71">SUM(D128:D129)</f>
        <v>0</v>
      </c>
      <c r="E130" s="90">
        <f t="shared" ref="E130:L130" si="72">SUM(E128:E129)</f>
        <v>0</v>
      </c>
      <c r="F130" s="90">
        <f t="shared" si="72"/>
        <v>0</v>
      </c>
      <c r="G130" s="90">
        <f t="shared" si="72"/>
        <v>0</v>
      </c>
      <c r="H130" s="90">
        <f t="shared" si="72"/>
        <v>0</v>
      </c>
      <c r="I130" s="90">
        <f t="shared" si="72"/>
        <v>0</v>
      </c>
      <c r="J130" s="90">
        <f t="shared" si="72"/>
        <v>0</v>
      </c>
      <c r="K130" s="90">
        <f t="shared" si="72"/>
        <v>0</v>
      </c>
      <c r="L130" s="90">
        <f t="shared" si="72"/>
        <v>0</v>
      </c>
      <c r="M130" s="207"/>
    </row>
    <row r="131" spans="1:14" x14ac:dyDescent="0.25">
      <c r="A131" s="87"/>
      <c r="B131" s="89" t="s">
        <v>137</v>
      </c>
      <c r="C131" s="187">
        <f>ROUND(ROUND(C130*C$5,2)/365*C$6,2)</f>
        <v>14.54</v>
      </c>
      <c r="D131" s="187">
        <f>ROUND(ROUND(C133*D$5,2)/365*D$6,2)</f>
        <v>13.66</v>
      </c>
      <c r="E131" s="187">
        <f t="shared" ref="E131:L131" si="73">ROUND(ROUND(D133*E$5,2)/365*E$6,2)</f>
        <v>14.66</v>
      </c>
      <c r="F131" s="187">
        <f t="shared" si="73"/>
        <v>13.64</v>
      </c>
      <c r="G131" s="187">
        <f t="shared" si="73"/>
        <v>14.15</v>
      </c>
      <c r="H131" s="187">
        <f t="shared" si="73"/>
        <v>13.75</v>
      </c>
      <c r="I131" s="187">
        <f t="shared" si="73"/>
        <v>10.3</v>
      </c>
      <c r="J131" s="187">
        <f t="shared" si="73"/>
        <v>10.33</v>
      </c>
      <c r="K131" s="187">
        <f t="shared" si="73"/>
        <v>10.029999999999999</v>
      </c>
      <c r="L131" s="187">
        <f t="shared" si="73"/>
        <v>9.84</v>
      </c>
      <c r="M131" s="208">
        <f>ROUND(ROUND(K133*M$5,2)/365*M$6,2)</f>
        <v>0</v>
      </c>
      <c r="N131" s="108">
        <f>SUM(C131:M131)</f>
        <v>124.9</v>
      </c>
    </row>
    <row r="132" spans="1:14" x14ac:dyDescent="0.25">
      <c r="A132" s="87"/>
      <c r="B132" s="89" t="s">
        <v>138</v>
      </c>
      <c r="C132" s="189">
        <f>C131</f>
        <v>14.54</v>
      </c>
      <c r="D132" s="189">
        <f t="shared" ref="D132:M132" si="74">SUM(D130:D131)</f>
        <v>13.66</v>
      </c>
      <c r="E132" s="189">
        <f t="shared" si="74"/>
        <v>14.66</v>
      </c>
      <c r="F132" s="189">
        <f t="shared" si="74"/>
        <v>13.64</v>
      </c>
      <c r="G132" s="189">
        <f t="shared" si="74"/>
        <v>14.15</v>
      </c>
      <c r="H132" s="189">
        <f t="shared" si="74"/>
        <v>13.75</v>
      </c>
      <c r="I132" s="189">
        <f t="shared" si="74"/>
        <v>10.3</v>
      </c>
      <c r="J132" s="189">
        <f t="shared" si="74"/>
        <v>10.33</v>
      </c>
      <c r="K132" s="189">
        <f t="shared" si="74"/>
        <v>10.029999999999999</v>
      </c>
      <c r="L132" s="189">
        <f t="shared" si="74"/>
        <v>9.84</v>
      </c>
      <c r="M132" s="209">
        <f t="shared" si="74"/>
        <v>0</v>
      </c>
    </row>
    <row r="133" spans="1:14" x14ac:dyDescent="0.25">
      <c r="A133" s="87"/>
      <c r="B133" s="89" t="s">
        <v>139</v>
      </c>
      <c r="C133" s="90">
        <f>C132+C130</f>
        <v>3465.7199999999993</v>
      </c>
      <c r="D133" s="90">
        <f>C133+D132</f>
        <v>3479.3799999999992</v>
      </c>
      <c r="E133" s="90">
        <f t="shared" ref="E133:M133" si="75">D133+E132</f>
        <v>3494.0399999999991</v>
      </c>
      <c r="F133" s="90">
        <f t="shared" si="75"/>
        <v>3507.6799999999989</v>
      </c>
      <c r="G133" s="90">
        <f t="shared" si="75"/>
        <v>3521.829999999999</v>
      </c>
      <c r="H133" s="90">
        <f t="shared" si="75"/>
        <v>3535.579999999999</v>
      </c>
      <c r="I133" s="90">
        <f t="shared" si="75"/>
        <v>3545.8799999999992</v>
      </c>
      <c r="J133" s="90">
        <f t="shared" si="75"/>
        <v>3556.2099999999991</v>
      </c>
      <c r="K133" s="90">
        <f t="shared" si="75"/>
        <v>3566.2399999999993</v>
      </c>
      <c r="L133" s="90">
        <f t="shared" si="75"/>
        <v>3576.0799999999995</v>
      </c>
      <c r="M133" s="207">
        <f t="shared" si="75"/>
        <v>3576.0799999999995</v>
      </c>
    </row>
    <row r="134" spans="1:14" x14ac:dyDescent="0.25">
      <c r="A134" s="86"/>
      <c r="B134" s="89"/>
      <c r="C134" s="90"/>
      <c r="D134" s="90"/>
      <c r="E134" s="90"/>
      <c r="F134" s="90"/>
      <c r="G134" s="90"/>
      <c r="H134" s="90"/>
      <c r="I134" s="90"/>
      <c r="J134" s="90"/>
      <c r="K134" s="90"/>
      <c r="L134" s="90"/>
      <c r="M134" s="207"/>
    </row>
    <row r="135" spans="1:14" x14ac:dyDescent="0.25">
      <c r="A135" s="86">
        <v>570</v>
      </c>
      <c r="B135" s="104" t="s">
        <v>88</v>
      </c>
      <c r="C135" s="113"/>
      <c r="D135" s="113"/>
      <c r="E135" s="108"/>
      <c r="F135" s="113"/>
      <c r="G135" s="113"/>
      <c r="H135" s="113"/>
      <c r="I135" s="113"/>
      <c r="J135" s="113"/>
      <c r="K135" s="113"/>
      <c r="L135" s="113"/>
      <c r="M135" s="204"/>
    </row>
    <row r="136" spans="1:14" x14ac:dyDescent="0.25">
      <c r="A136" s="87" t="s">
        <v>64</v>
      </c>
      <c r="B136" t="s">
        <v>65</v>
      </c>
      <c r="C136" s="105"/>
      <c r="D136" s="105"/>
      <c r="E136" s="105"/>
      <c r="F136" s="105"/>
      <c r="G136" s="105"/>
      <c r="H136" s="105"/>
      <c r="I136" s="105"/>
      <c r="J136" s="105"/>
      <c r="K136" s="105"/>
      <c r="L136" s="105"/>
      <c r="M136" s="204"/>
    </row>
    <row r="137" spans="1:14" x14ac:dyDescent="0.25">
      <c r="A137" s="87" t="s">
        <v>71</v>
      </c>
      <c r="B137" t="s">
        <v>103</v>
      </c>
      <c r="C137" s="116"/>
      <c r="D137" s="116"/>
      <c r="E137" s="116"/>
      <c r="F137" s="116"/>
      <c r="G137" s="116"/>
      <c r="H137" s="116"/>
      <c r="I137" s="116"/>
      <c r="J137" s="116"/>
      <c r="K137" s="116"/>
      <c r="L137" s="116"/>
      <c r="M137" s="206"/>
    </row>
    <row r="138" spans="1:14" x14ac:dyDescent="0.25">
      <c r="A138" s="87" t="s">
        <v>71</v>
      </c>
      <c r="B138" t="s">
        <v>104</v>
      </c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206"/>
    </row>
    <row r="139" spans="1:14" x14ac:dyDescent="0.25">
      <c r="A139" s="87" t="s">
        <v>72</v>
      </c>
      <c r="B139" t="s">
        <v>105</v>
      </c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206"/>
    </row>
    <row r="140" spans="1:14" x14ac:dyDescent="0.25">
      <c r="A140" s="87" t="s">
        <v>72</v>
      </c>
      <c r="B140" t="s">
        <v>106</v>
      </c>
      <c r="C140" s="116"/>
      <c r="D140" s="116"/>
      <c r="E140" s="116"/>
      <c r="F140" s="116"/>
      <c r="G140" s="116"/>
      <c r="H140" s="116"/>
      <c r="I140" s="116"/>
      <c r="J140" s="116"/>
      <c r="K140" s="116"/>
      <c r="L140" s="116"/>
      <c r="M140" s="206"/>
    </row>
    <row r="141" spans="1:14" x14ac:dyDescent="0.25">
      <c r="A141" s="87" t="s">
        <v>72</v>
      </c>
      <c r="B141" t="s">
        <v>107</v>
      </c>
      <c r="C141" s="116"/>
      <c r="D141" s="116"/>
      <c r="E141" s="116"/>
      <c r="F141" s="116"/>
      <c r="G141" s="116"/>
      <c r="H141" s="116"/>
      <c r="I141" s="116"/>
      <c r="J141" s="116"/>
      <c r="K141" s="116"/>
      <c r="L141" s="116"/>
      <c r="M141" s="206"/>
    </row>
    <row r="142" spans="1:14" x14ac:dyDescent="0.25">
      <c r="A142" s="87" t="s">
        <v>72</v>
      </c>
      <c r="B142" t="s">
        <v>108</v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205"/>
    </row>
    <row r="143" spans="1:14" x14ac:dyDescent="0.25">
      <c r="A143" s="87"/>
      <c r="B143" s="89" t="s">
        <v>74</v>
      </c>
      <c r="C143" s="108">
        <f t="shared" ref="C143:E143" si="76">SUM(C137:C142)</f>
        <v>0</v>
      </c>
      <c r="D143" s="108">
        <f t="shared" si="76"/>
        <v>0</v>
      </c>
      <c r="E143" s="108">
        <f t="shared" si="76"/>
        <v>0</v>
      </c>
      <c r="F143" s="108">
        <f>SUM(F137:F142)</f>
        <v>0</v>
      </c>
      <c r="G143" s="108">
        <f t="shared" ref="G143:M143" si="77">SUM(G137:G142)</f>
        <v>0</v>
      </c>
      <c r="H143" s="108">
        <f t="shared" si="77"/>
        <v>0</v>
      </c>
      <c r="I143" s="108">
        <f t="shared" si="77"/>
        <v>0</v>
      </c>
      <c r="J143" s="108">
        <f t="shared" si="77"/>
        <v>0</v>
      </c>
      <c r="K143" s="108">
        <f t="shared" si="77"/>
        <v>0</v>
      </c>
      <c r="L143" s="108">
        <f t="shared" si="77"/>
        <v>0</v>
      </c>
      <c r="M143" s="206">
        <f t="shared" si="77"/>
        <v>0</v>
      </c>
    </row>
    <row r="144" spans="1:14" x14ac:dyDescent="0.25">
      <c r="A144" s="87"/>
      <c r="B144" s="89" t="s">
        <v>73</v>
      </c>
      <c r="C144" s="88"/>
      <c r="D144" s="88"/>
      <c r="E144" s="88"/>
      <c r="F144" s="88"/>
      <c r="G144" s="88"/>
      <c r="H144" s="88"/>
      <c r="I144" s="88"/>
      <c r="J144" s="88"/>
      <c r="K144" s="88"/>
      <c r="L144" s="88"/>
      <c r="M144" s="205">
        <f>ROUND(-'Authorized Margins'!G95*'WACAP 2017'!M120,2)</f>
        <v>0</v>
      </c>
    </row>
    <row r="145" spans="1:14" x14ac:dyDescent="0.25">
      <c r="A145" s="87"/>
      <c r="B145" s="89" t="s">
        <v>75</v>
      </c>
      <c r="C145" s="90">
        <f>-'WACAP 2019'!R147</f>
        <v>20894.48</v>
      </c>
      <c r="D145" s="90">
        <f t="shared" ref="D145" si="78">SUM(D143:D144)</f>
        <v>0</v>
      </c>
      <c r="E145" s="90">
        <f t="shared" ref="E145:L145" si="79">SUM(E143:E144)</f>
        <v>0</v>
      </c>
      <c r="F145" s="90">
        <f t="shared" si="79"/>
        <v>0</v>
      </c>
      <c r="G145" s="90">
        <f t="shared" si="79"/>
        <v>0</v>
      </c>
      <c r="H145" s="90">
        <f t="shared" si="79"/>
        <v>0</v>
      </c>
      <c r="I145" s="90">
        <f t="shared" si="79"/>
        <v>0</v>
      </c>
      <c r="J145" s="90">
        <f t="shared" si="79"/>
        <v>0</v>
      </c>
      <c r="K145" s="90">
        <f t="shared" si="79"/>
        <v>0</v>
      </c>
      <c r="L145" s="90">
        <f t="shared" si="79"/>
        <v>0</v>
      </c>
      <c r="M145" s="215"/>
    </row>
    <row r="146" spans="1:14" x14ac:dyDescent="0.25">
      <c r="A146" s="87"/>
      <c r="B146" s="89" t="s">
        <v>137</v>
      </c>
      <c r="C146" s="187">
        <f>ROUND(ROUND(C145*C$5,2)/365*C$6,2)</f>
        <v>88.02</v>
      </c>
      <c r="D146" s="187">
        <f>ROUND(ROUND(C148*D$5,2)/365*D$6,2)</f>
        <v>82.69</v>
      </c>
      <c r="E146" s="187">
        <f t="shared" ref="E146:L146" si="80">ROUND(ROUND(D148*E$5,2)/365*E$6,2)</f>
        <v>88.74</v>
      </c>
      <c r="F146" s="187">
        <f t="shared" si="80"/>
        <v>82.59</v>
      </c>
      <c r="G146" s="187">
        <f t="shared" si="80"/>
        <v>85.67</v>
      </c>
      <c r="H146" s="187">
        <f t="shared" si="80"/>
        <v>83.24</v>
      </c>
      <c r="I146" s="187">
        <f t="shared" si="80"/>
        <v>62.36</v>
      </c>
      <c r="J146" s="187">
        <f t="shared" si="80"/>
        <v>62.54</v>
      </c>
      <c r="K146" s="187">
        <f t="shared" si="80"/>
        <v>60.7</v>
      </c>
      <c r="L146" s="187">
        <f t="shared" si="80"/>
        <v>59.6</v>
      </c>
      <c r="M146" s="208">
        <f>ROUND(ROUND(K148*M$5,2)/365*M$6,2)</f>
        <v>0</v>
      </c>
      <c r="N146" s="108">
        <f>SUM(C146:M146)</f>
        <v>756.15</v>
      </c>
    </row>
    <row r="147" spans="1:14" x14ac:dyDescent="0.25">
      <c r="A147" s="87"/>
      <c r="B147" s="89" t="s">
        <v>138</v>
      </c>
      <c r="C147" s="189">
        <f>C146</f>
        <v>88.02</v>
      </c>
      <c r="D147" s="189">
        <f t="shared" ref="D147:M147" si="81">SUM(D145:D146)</f>
        <v>82.69</v>
      </c>
      <c r="E147" s="189">
        <f t="shared" si="81"/>
        <v>88.74</v>
      </c>
      <c r="F147" s="189">
        <f t="shared" si="81"/>
        <v>82.59</v>
      </c>
      <c r="G147" s="189">
        <f t="shared" si="81"/>
        <v>85.67</v>
      </c>
      <c r="H147" s="189">
        <f t="shared" si="81"/>
        <v>83.24</v>
      </c>
      <c r="I147" s="189">
        <f t="shared" si="81"/>
        <v>62.36</v>
      </c>
      <c r="J147" s="189">
        <f t="shared" si="81"/>
        <v>62.54</v>
      </c>
      <c r="K147" s="189">
        <f t="shared" si="81"/>
        <v>60.7</v>
      </c>
      <c r="L147" s="189">
        <f t="shared" si="81"/>
        <v>59.6</v>
      </c>
      <c r="M147" s="209">
        <f t="shared" si="81"/>
        <v>0</v>
      </c>
    </row>
    <row r="148" spans="1:14" x14ac:dyDescent="0.25">
      <c r="A148" s="87"/>
      <c r="B148" s="89" t="s">
        <v>139</v>
      </c>
      <c r="C148" s="90">
        <f>C147+C145</f>
        <v>20982.5</v>
      </c>
      <c r="D148" s="90">
        <f>C148+D147</f>
        <v>21065.19</v>
      </c>
      <c r="E148" s="90">
        <f t="shared" ref="E148:M148" si="82">D148+E147</f>
        <v>21153.93</v>
      </c>
      <c r="F148" s="90">
        <f t="shared" si="82"/>
        <v>21236.52</v>
      </c>
      <c r="G148" s="90">
        <f t="shared" si="82"/>
        <v>21322.19</v>
      </c>
      <c r="H148" s="90">
        <f t="shared" si="82"/>
        <v>21405.43</v>
      </c>
      <c r="I148" s="90">
        <f t="shared" si="82"/>
        <v>21467.79</v>
      </c>
      <c r="J148" s="90">
        <f t="shared" si="82"/>
        <v>21530.33</v>
      </c>
      <c r="K148" s="90">
        <f t="shared" si="82"/>
        <v>21591.030000000002</v>
      </c>
      <c r="L148" s="90">
        <f t="shared" si="82"/>
        <v>21650.63</v>
      </c>
      <c r="M148" s="207">
        <f t="shared" si="82"/>
        <v>21650.63</v>
      </c>
    </row>
    <row r="149" spans="1:14" x14ac:dyDescent="0.25">
      <c r="A149" s="86"/>
      <c r="C149" s="113"/>
      <c r="D149" s="113"/>
      <c r="E149" s="108"/>
      <c r="F149" s="113"/>
      <c r="G149" s="113"/>
      <c r="H149" s="113"/>
      <c r="I149" s="113"/>
      <c r="J149" s="113"/>
      <c r="K149" s="113"/>
      <c r="L149" s="113"/>
      <c r="M149" s="204"/>
    </row>
    <row r="150" spans="1:14" x14ac:dyDescent="0.25">
      <c r="A150" s="86">
        <v>577</v>
      </c>
      <c r="B150" s="104" t="s">
        <v>88</v>
      </c>
      <c r="C150" s="113"/>
      <c r="D150" s="113"/>
      <c r="E150" s="108"/>
      <c r="F150" s="113"/>
      <c r="G150" s="113"/>
      <c r="H150" s="113"/>
      <c r="I150" s="113"/>
      <c r="J150" s="113"/>
      <c r="K150" s="113"/>
      <c r="L150" s="113"/>
      <c r="M150" s="204"/>
    </row>
    <row r="151" spans="1:14" x14ac:dyDescent="0.25">
      <c r="A151" s="87" t="s">
        <v>64</v>
      </c>
      <c r="B151" t="s">
        <v>65</v>
      </c>
      <c r="C151" s="105"/>
      <c r="D151" s="105"/>
      <c r="E151" s="105"/>
      <c r="F151" s="105"/>
      <c r="G151" s="105"/>
      <c r="H151" s="105"/>
      <c r="I151" s="105"/>
      <c r="J151" s="105"/>
      <c r="K151" s="105"/>
      <c r="L151" s="105"/>
      <c r="M151" s="204"/>
    </row>
    <row r="152" spans="1:14" x14ac:dyDescent="0.25">
      <c r="A152" s="87" t="s">
        <v>71</v>
      </c>
      <c r="B152" t="s">
        <v>109</v>
      </c>
      <c r="C152" s="116"/>
      <c r="D152" s="116"/>
      <c r="E152" s="116"/>
      <c r="F152" s="116"/>
      <c r="G152" s="116"/>
      <c r="H152" s="116"/>
      <c r="I152" s="116"/>
      <c r="J152" s="116"/>
      <c r="K152" s="116"/>
      <c r="L152" s="116"/>
      <c r="M152" s="206"/>
    </row>
    <row r="153" spans="1:14" x14ac:dyDescent="0.25">
      <c r="A153" s="87" t="s">
        <v>71</v>
      </c>
      <c r="B153" t="s">
        <v>96</v>
      </c>
      <c r="C153" s="116"/>
      <c r="D153" s="116"/>
      <c r="E153" s="116"/>
      <c r="F153" s="116"/>
      <c r="G153" s="116"/>
      <c r="H153" s="116"/>
      <c r="I153" s="116"/>
      <c r="J153" s="116"/>
      <c r="K153" s="116"/>
      <c r="L153" s="116"/>
      <c r="M153" s="206"/>
    </row>
    <row r="154" spans="1:14" x14ac:dyDescent="0.25">
      <c r="A154" s="87" t="s">
        <v>72</v>
      </c>
      <c r="B154" t="s">
        <v>110</v>
      </c>
      <c r="C154" s="116"/>
      <c r="D154" s="116"/>
      <c r="E154" s="116"/>
      <c r="F154" s="116"/>
      <c r="G154" s="116"/>
      <c r="H154" s="116"/>
      <c r="I154" s="116"/>
      <c r="J154" s="116"/>
      <c r="K154" s="116"/>
      <c r="L154" s="116"/>
      <c r="M154" s="206"/>
    </row>
    <row r="155" spans="1:14" x14ac:dyDescent="0.25">
      <c r="A155" s="87" t="s">
        <v>72</v>
      </c>
      <c r="B155" t="s">
        <v>111</v>
      </c>
      <c r="C155" s="116"/>
      <c r="D155" s="116"/>
      <c r="E155" s="116"/>
      <c r="F155" s="116"/>
      <c r="G155" s="116"/>
      <c r="H155" s="116"/>
      <c r="I155" s="116"/>
      <c r="J155" s="116"/>
      <c r="K155" s="116"/>
      <c r="L155" s="116"/>
      <c r="M155" s="206"/>
    </row>
    <row r="156" spans="1:14" x14ac:dyDescent="0.25">
      <c r="A156" s="87" t="s">
        <v>72</v>
      </c>
      <c r="B156" t="s">
        <v>112</v>
      </c>
      <c r="C156" s="116"/>
      <c r="D156" s="116"/>
      <c r="E156" s="116"/>
      <c r="F156" s="116"/>
      <c r="G156" s="116"/>
      <c r="H156" s="116"/>
      <c r="I156" s="116"/>
      <c r="J156" s="116"/>
      <c r="K156" s="116"/>
      <c r="L156" s="116"/>
      <c r="M156" s="206"/>
    </row>
    <row r="157" spans="1:14" x14ac:dyDescent="0.25">
      <c r="A157" s="87" t="s">
        <v>72</v>
      </c>
      <c r="B157" t="s">
        <v>113</v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205"/>
    </row>
    <row r="158" spans="1:14" x14ac:dyDescent="0.25">
      <c r="A158" s="4"/>
      <c r="B158" s="89" t="s">
        <v>74</v>
      </c>
      <c r="C158" s="108">
        <f t="shared" ref="C158:E158" si="83">SUM(C152:C157)</f>
        <v>0</v>
      </c>
      <c r="D158" s="108">
        <f t="shared" si="83"/>
        <v>0</v>
      </c>
      <c r="E158" s="108">
        <f t="shared" si="83"/>
        <v>0</v>
      </c>
      <c r="F158" s="108">
        <f>SUM(F152:F157)</f>
        <v>0</v>
      </c>
      <c r="G158" s="108">
        <f t="shared" ref="G158:M158" si="84">SUM(G152:G157)</f>
        <v>0</v>
      </c>
      <c r="H158" s="108">
        <f t="shared" si="84"/>
        <v>0</v>
      </c>
      <c r="I158" s="108">
        <f t="shared" si="84"/>
        <v>0</v>
      </c>
      <c r="J158" s="108">
        <f t="shared" si="84"/>
        <v>0</v>
      </c>
      <c r="K158" s="108">
        <f t="shared" si="84"/>
        <v>0</v>
      </c>
      <c r="L158" s="108">
        <f t="shared" si="84"/>
        <v>0</v>
      </c>
      <c r="M158" s="206">
        <f t="shared" si="84"/>
        <v>0</v>
      </c>
    </row>
    <row r="159" spans="1:14" x14ac:dyDescent="0.25">
      <c r="A159" s="4"/>
      <c r="B159" s="89" t="s">
        <v>73</v>
      </c>
      <c r="C159" s="88"/>
      <c r="D159" s="88"/>
      <c r="E159" s="88"/>
      <c r="F159" s="88"/>
      <c r="G159" s="88"/>
      <c r="H159" s="88"/>
      <c r="I159" s="88"/>
      <c r="J159" s="88"/>
      <c r="K159" s="88"/>
      <c r="L159" s="88"/>
      <c r="M159" s="205">
        <f>ROUND(-'Authorized Margins'!G105*'WACAP 2017'!M135,2)</f>
        <v>0</v>
      </c>
    </row>
    <row r="160" spans="1:14" x14ac:dyDescent="0.25">
      <c r="A160" s="4"/>
      <c r="B160" s="89" t="s">
        <v>75</v>
      </c>
      <c r="C160" s="90">
        <f>-'WACAP 2019'!R162</f>
        <v>0</v>
      </c>
      <c r="D160" s="90">
        <f t="shared" ref="D160" si="85">SUM(D158:D159)</f>
        <v>0</v>
      </c>
      <c r="E160" s="90">
        <f t="shared" ref="E160:L160" si="86">SUM(E158:E159)</f>
        <v>0</v>
      </c>
      <c r="F160" s="90">
        <f t="shared" si="86"/>
        <v>0</v>
      </c>
      <c r="G160" s="90">
        <f t="shared" si="86"/>
        <v>0</v>
      </c>
      <c r="H160" s="90">
        <f t="shared" si="86"/>
        <v>0</v>
      </c>
      <c r="I160" s="90">
        <f t="shared" si="86"/>
        <v>0</v>
      </c>
      <c r="J160" s="90">
        <f t="shared" si="86"/>
        <v>0</v>
      </c>
      <c r="K160" s="90">
        <f t="shared" si="86"/>
        <v>0</v>
      </c>
      <c r="L160" s="90">
        <f t="shared" si="86"/>
        <v>0</v>
      </c>
      <c r="M160" s="207"/>
    </row>
    <row r="161" spans="1:14" x14ac:dyDescent="0.25">
      <c r="A161" s="87"/>
      <c r="B161" s="89" t="s">
        <v>137</v>
      </c>
      <c r="C161" s="187">
        <f>ROUND(ROUND(C160*C$5,2)/365*C$6,2)</f>
        <v>0</v>
      </c>
      <c r="D161" s="187">
        <f>ROUND(ROUND(C163*D$5,2)/365*D$6,2)</f>
        <v>0</v>
      </c>
      <c r="E161" s="187">
        <f t="shared" ref="E161:K161" si="87">ROUND(ROUND(D163*E$5,2)/365*E$6,2)</f>
        <v>0</v>
      </c>
      <c r="F161" s="187">
        <f t="shared" si="87"/>
        <v>0</v>
      </c>
      <c r="G161" s="187">
        <f t="shared" si="87"/>
        <v>0</v>
      </c>
      <c r="H161" s="187">
        <f t="shared" si="87"/>
        <v>0</v>
      </c>
      <c r="I161" s="187">
        <f t="shared" si="87"/>
        <v>0</v>
      </c>
      <c r="J161" s="187">
        <f t="shared" si="87"/>
        <v>0</v>
      </c>
      <c r="K161" s="187">
        <f t="shared" si="87"/>
        <v>0</v>
      </c>
      <c r="L161" s="187">
        <f>ROUND(ROUND(K163*L$5,2)/365*L$6,2)</f>
        <v>0</v>
      </c>
      <c r="M161" s="208">
        <f>ROUND(ROUND(K163*M$5,2)/365*M$6,2)</f>
        <v>0</v>
      </c>
      <c r="N161" s="108">
        <f>SUM(C161:M161)</f>
        <v>0</v>
      </c>
    </row>
    <row r="162" spans="1:14" x14ac:dyDescent="0.25">
      <c r="A162" s="87"/>
      <c r="B162" s="89" t="s">
        <v>138</v>
      </c>
      <c r="C162" s="189">
        <f>C161</f>
        <v>0</v>
      </c>
      <c r="D162" s="189">
        <f t="shared" ref="D162:M162" si="88">SUM(D160:D161)</f>
        <v>0</v>
      </c>
      <c r="E162" s="189">
        <f t="shared" si="88"/>
        <v>0</v>
      </c>
      <c r="F162" s="189">
        <f t="shared" si="88"/>
        <v>0</v>
      </c>
      <c r="G162" s="189">
        <f t="shared" si="88"/>
        <v>0</v>
      </c>
      <c r="H162" s="189">
        <f t="shared" si="88"/>
        <v>0</v>
      </c>
      <c r="I162" s="189">
        <f t="shared" si="88"/>
        <v>0</v>
      </c>
      <c r="J162" s="189">
        <f t="shared" si="88"/>
        <v>0</v>
      </c>
      <c r="K162" s="189">
        <f t="shared" si="88"/>
        <v>0</v>
      </c>
      <c r="L162" s="189">
        <f t="shared" si="88"/>
        <v>0</v>
      </c>
      <c r="M162" s="209">
        <f t="shared" si="88"/>
        <v>0</v>
      </c>
    </row>
    <row r="163" spans="1:14" x14ac:dyDescent="0.25">
      <c r="A163" s="87"/>
      <c r="B163" s="89" t="s">
        <v>139</v>
      </c>
      <c r="C163" s="90">
        <f>C162+C160</f>
        <v>0</v>
      </c>
      <c r="D163" s="90">
        <f>C163+D162</f>
        <v>0</v>
      </c>
      <c r="E163" s="90">
        <f t="shared" ref="E163:L163" si="89">D163+E162</f>
        <v>0</v>
      </c>
      <c r="F163" s="90">
        <f t="shared" si="89"/>
        <v>0</v>
      </c>
      <c r="G163" s="90">
        <f t="shared" si="89"/>
        <v>0</v>
      </c>
      <c r="H163" s="90">
        <f t="shared" si="89"/>
        <v>0</v>
      </c>
      <c r="I163" s="90">
        <f t="shared" si="89"/>
        <v>0</v>
      </c>
      <c r="J163" s="90">
        <f t="shared" si="89"/>
        <v>0</v>
      </c>
      <c r="K163" s="90">
        <f t="shared" si="89"/>
        <v>0</v>
      </c>
      <c r="L163" s="90">
        <f t="shared" si="89"/>
        <v>0</v>
      </c>
      <c r="M163" s="207">
        <f>L163+M162</f>
        <v>0</v>
      </c>
    </row>
    <row r="164" spans="1:14" ht="15.75" thickBot="1" x14ac:dyDescent="0.3">
      <c r="A164" s="118"/>
      <c r="B164" s="119"/>
      <c r="C164" s="119"/>
      <c r="D164" s="119"/>
      <c r="E164" s="176"/>
      <c r="F164" s="119"/>
      <c r="G164" s="119"/>
      <c r="H164" s="119"/>
      <c r="I164" s="119"/>
      <c r="J164" s="119"/>
      <c r="K164" s="119"/>
      <c r="L164" s="119"/>
      <c r="M164" s="211"/>
    </row>
    <row r="165" spans="1:14" x14ac:dyDescent="0.25">
      <c r="E165" s="108"/>
      <c r="M165" s="203"/>
    </row>
    <row r="166" spans="1:14" x14ac:dyDescent="0.25">
      <c r="B166" s="89" t="s">
        <v>89</v>
      </c>
      <c r="C166" s="90">
        <f>C12+C24+C62+C74+C37+C90+C130+C50+C105+C115+C145+C160</f>
        <v>-4410222.4699999988</v>
      </c>
      <c r="D166" s="90">
        <f t="shared" ref="D166:M166" si="90">D12+D24+D62+D74+D37+D130+D50+D105+D115+D145+D160</f>
        <v>0</v>
      </c>
      <c r="E166" s="90">
        <f t="shared" si="90"/>
        <v>0</v>
      </c>
      <c r="F166" s="90">
        <f t="shared" si="90"/>
        <v>0</v>
      </c>
      <c r="G166" s="90">
        <f t="shared" si="90"/>
        <v>0</v>
      </c>
      <c r="H166" s="90">
        <f t="shared" si="90"/>
        <v>0</v>
      </c>
      <c r="I166" s="90">
        <f t="shared" si="90"/>
        <v>0</v>
      </c>
      <c r="J166" s="90">
        <f t="shared" si="90"/>
        <v>0</v>
      </c>
      <c r="K166" s="90">
        <f t="shared" si="90"/>
        <v>0</v>
      </c>
      <c r="L166" s="90">
        <f t="shared" si="90"/>
        <v>0</v>
      </c>
      <c r="M166" s="207">
        <f t="shared" si="90"/>
        <v>0</v>
      </c>
    </row>
    <row r="167" spans="1:14" x14ac:dyDescent="0.25">
      <c r="B167" s="89" t="s">
        <v>141</v>
      </c>
      <c r="C167" s="216">
        <f>C13+C25+C63+C75+C38+C91+C131+C51+C106+C116+C146+C161</f>
        <v>-18578.52</v>
      </c>
      <c r="D167" s="216">
        <f t="shared" ref="D167:L167" si="91">D13+D25+D63+D75+D38+D91+D131+D51+D106+D116+D146+D161</f>
        <v>-17453.120000000003</v>
      </c>
      <c r="E167" s="216">
        <f t="shared" si="91"/>
        <v>-18730.319999999996</v>
      </c>
      <c r="F167" s="216">
        <f t="shared" si="91"/>
        <v>-17431.79</v>
      </c>
      <c r="G167" s="216">
        <f t="shared" si="91"/>
        <v>-18083.170000000002</v>
      </c>
      <c r="H167" s="216">
        <f t="shared" si="91"/>
        <v>-17570.439999999995</v>
      </c>
      <c r="I167" s="216">
        <f t="shared" si="91"/>
        <v>-13161.820000000002</v>
      </c>
      <c r="J167" s="216">
        <f t="shared" si="91"/>
        <v>-13200.159999999998</v>
      </c>
      <c r="K167" s="216">
        <f t="shared" si="91"/>
        <v>-12811.559999999998</v>
      </c>
      <c r="L167" s="199">
        <f t="shared" si="91"/>
        <v>-12579.17</v>
      </c>
      <c r="M167" s="208">
        <f>SUM(C167:L167)</f>
        <v>-159600.07</v>
      </c>
    </row>
    <row r="168" spans="1:14" x14ac:dyDescent="0.25">
      <c r="B168" s="89" t="s">
        <v>139</v>
      </c>
      <c r="C168" s="90">
        <f>SUM(C166:C167)</f>
        <v>-4428800.9899999984</v>
      </c>
      <c r="D168" s="90">
        <f t="shared" ref="D168:K168" si="92">SUM(D166:D167)+C168</f>
        <v>-4446254.1099999985</v>
      </c>
      <c r="E168" s="90">
        <f t="shared" si="92"/>
        <v>-4464984.4299999988</v>
      </c>
      <c r="F168" s="90">
        <f t="shared" si="92"/>
        <v>-4482416.2199999988</v>
      </c>
      <c r="G168" s="90">
        <f t="shared" si="92"/>
        <v>-4500499.3899999987</v>
      </c>
      <c r="H168" s="90">
        <f t="shared" si="92"/>
        <v>-4518069.8299999991</v>
      </c>
      <c r="I168" s="90">
        <f t="shared" si="92"/>
        <v>-4531231.6499999994</v>
      </c>
      <c r="J168" s="90">
        <f t="shared" si="92"/>
        <v>-4544431.8099999996</v>
      </c>
      <c r="K168" s="90">
        <f t="shared" si="92"/>
        <v>-4557243.3699999992</v>
      </c>
      <c r="L168" s="435">
        <f>SUM(L166:L167)+K168</f>
        <v>-4569822.5399999991</v>
      </c>
      <c r="M168" s="207">
        <f>SUM(M166:M167)</f>
        <v>-159600.07</v>
      </c>
      <c r="N168" s="90">
        <f>SUM(N5:N167)</f>
        <v>-159600.07</v>
      </c>
    </row>
    <row r="169" spans="1:14" x14ac:dyDescent="0.25">
      <c r="B169" s="89"/>
      <c r="C169" s="187"/>
      <c r="D169" s="90"/>
      <c r="E169" s="90"/>
      <c r="F169" s="90"/>
      <c r="G169" s="90"/>
      <c r="H169" s="90"/>
      <c r="I169" s="90"/>
      <c r="J169" s="90"/>
      <c r="K169" s="90"/>
      <c r="L169" s="90"/>
      <c r="M169" s="207"/>
    </row>
    <row r="175" spans="1:14" x14ac:dyDescent="0.25">
      <c r="D175" s="187"/>
      <c r="E175" s="187"/>
      <c r="F175" s="187"/>
      <c r="G175" s="187"/>
      <c r="H175" s="187"/>
      <c r="I175" s="187"/>
      <c r="J175" s="187"/>
      <c r="K175" s="187"/>
      <c r="L175" s="187"/>
    </row>
    <row r="176" spans="1:14" x14ac:dyDescent="0.25">
      <c r="C176" s="108"/>
      <c r="D176" s="108"/>
      <c r="E176" s="108"/>
      <c r="F176" s="108"/>
      <c r="G176" s="108"/>
      <c r="H176" s="108"/>
      <c r="I176" s="108"/>
      <c r="J176" s="108"/>
      <c r="K176" s="108"/>
      <c r="L176" s="108"/>
    </row>
    <row r="178" spans="4:12" x14ac:dyDescent="0.25">
      <c r="D178" s="108"/>
      <c r="E178" s="108"/>
      <c r="F178" s="108"/>
      <c r="G178" s="108"/>
      <c r="H178" s="108"/>
      <c r="I178" s="108"/>
      <c r="J178" s="108"/>
      <c r="K178" s="108"/>
      <c r="L178" s="108"/>
    </row>
  </sheetData>
  <mergeCells count="3">
    <mergeCell ref="A1:M1"/>
    <mergeCell ref="A2:M2"/>
    <mergeCell ref="A3:M3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184"/>
  <sheetViews>
    <sheetView workbookViewId="0">
      <selection sqref="A1:O1"/>
    </sheetView>
  </sheetViews>
  <sheetFormatPr defaultColWidth="9.140625" defaultRowHeight="15" x14ac:dyDescent="0.25"/>
  <cols>
    <col min="1" max="1" width="24.7109375" bestFit="1" customWidth="1"/>
    <col min="2" max="2" width="65.7109375" bestFit="1" customWidth="1"/>
    <col min="3" max="4" width="14" customWidth="1"/>
    <col min="5" max="6" width="14" bestFit="1" customWidth="1"/>
    <col min="7" max="9" width="14" customWidth="1"/>
    <col min="10" max="11" width="13.28515625" bestFit="1" customWidth="1"/>
    <col min="12" max="12" width="14" bestFit="1" customWidth="1"/>
    <col min="13" max="13" width="14.28515625" bestFit="1" customWidth="1"/>
    <col min="14" max="15" width="14" bestFit="1" customWidth="1"/>
    <col min="16" max="16" width="1.7109375" customWidth="1"/>
    <col min="17" max="17" width="14" bestFit="1" customWidth="1"/>
    <col min="18" max="18" width="1.7109375" customWidth="1"/>
    <col min="19" max="19" width="18.7109375" customWidth="1"/>
    <col min="20" max="20" width="14.28515625" customWidth="1"/>
    <col min="21" max="22" width="13.28515625" customWidth="1"/>
    <col min="23" max="23" width="11.5703125" customWidth="1"/>
    <col min="24" max="24" width="3.140625" customWidth="1"/>
    <col min="25" max="25" width="9.140625" customWidth="1"/>
    <col min="26" max="26" width="3.85546875" customWidth="1"/>
    <col min="27" max="27" width="9.7109375" customWidth="1"/>
    <col min="28" max="28" width="9.140625" customWidth="1"/>
    <col min="29" max="29" width="18.7109375" bestFit="1" customWidth="1"/>
    <col min="30" max="30" width="13.28515625" bestFit="1" customWidth="1"/>
    <col min="31" max="34" width="11.5703125" bestFit="1" customWidth="1"/>
    <col min="35" max="35" width="8" bestFit="1" customWidth="1"/>
    <col min="37" max="37" width="9.7109375" bestFit="1" customWidth="1"/>
    <col min="39" max="39" width="18.7109375" bestFit="1" customWidth="1"/>
    <col min="40" max="40" width="13.28515625" bestFit="1" customWidth="1"/>
    <col min="41" max="41" width="10.5703125" bestFit="1" customWidth="1"/>
    <col min="42" max="42" width="7.5703125" bestFit="1" customWidth="1"/>
    <col min="43" max="43" width="10.5703125" bestFit="1" customWidth="1"/>
    <col min="45" max="45" width="8" bestFit="1" customWidth="1"/>
    <col min="47" max="47" width="9.7109375" bestFit="1" customWidth="1"/>
    <col min="49" max="49" width="18.7109375" bestFit="1" customWidth="1"/>
    <col min="50" max="50" width="13.28515625" bestFit="1" customWidth="1"/>
    <col min="51" max="51" width="10.5703125" bestFit="1" customWidth="1"/>
    <col min="52" max="52" width="7.5703125" bestFit="1" customWidth="1"/>
    <col min="53" max="53" width="10.5703125" bestFit="1" customWidth="1"/>
    <col min="55" max="55" width="8" bestFit="1" customWidth="1"/>
    <col min="57" max="57" width="9.7109375" bestFit="1" customWidth="1"/>
  </cols>
  <sheetData>
    <row r="1" spans="1:57" ht="18.75" x14ac:dyDescent="0.3">
      <c r="A1" s="676" t="s">
        <v>67</v>
      </c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676"/>
      <c r="N1" s="676"/>
      <c r="O1" s="676"/>
    </row>
    <row r="2" spans="1:57" ht="21" x14ac:dyDescent="0.35">
      <c r="A2" s="681" t="s">
        <v>69</v>
      </c>
      <c r="B2" s="681"/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AD2" t="s">
        <v>150</v>
      </c>
    </row>
    <row r="3" spans="1:57" ht="18" thickBot="1" x14ac:dyDescent="0.35">
      <c r="A3" s="693" t="s">
        <v>148</v>
      </c>
      <c r="B3" s="693"/>
      <c r="C3" s="693"/>
      <c r="D3" s="693"/>
      <c r="E3" s="693"/>
      <c r="F3" s="693"/>
      <c r="G3" s="693"/>
      <c r="H3" s="693"/>
      <c r="I3" s="693"/>
      <c r="J3" s="693"/>
      <c r="K3" s="693"/>
      <c r="L3" s="693"/>
      <c r="M3" s="693"/>
      <c r="N3" s="693"/>
      <c r="O3" s="693"/>
    </row>
    <row r="4" spans="1:57" ht="15.75" x14ac:dyDescent="0.25">
      <c r="A4" s="101" t="s">
        <v>66</v>
      </c>
      <c r="B4" s="102"/>
      <c r="C4" s="103">
        <v>43131</v>
      </c>
      <c r="D4" s="103">
        <v>43159</v>
      </c>
      <c r="E4" s="103">
        <v>43190</v>
      </c>
      <c r="F4" s="103">
        <v>43220</v>
      </c>
      <c r="G4" s="103">
        <v>43251</v>
      </c>
      <c r="H4" s="103">
        <v>43281</v>
      </c>
      <c r="I4" s="103">
        <v>43312</v>
      </c>
      <c r="J4" s="103">
        <v>43343</v>
      </c>
      <c r="K4" s="103">
        <v>43373</v>
      </c>
      <c r="L4" s="103">
        <v>43404</v>
      </c>
      <c r="M4" s="200" t="s">
        <v>147</v>
      </c>
      <c r="N4" s="103">
        <v>43434</v>
      </c>
      <c r="O4" s="177">
        <v>43465</v>
      </c>
      <c r="Q4" s="182" t="s">
        <v>135</v>
      </c>
      <c r="AD4" s="103">
        <v>43343</v>
      </c>
      <c r="AE4" s="103">
        <v>43373</v>
      </c>
      <c r="AF4" s="103">
        <v>43404</v>
      </c>
      <c r="AG4" s="103">
        <v>43434</v>
      </c>
      <c r="AH4" s="103">
        <v>43465</v>
      </c>
    </row>
    <row r="5" spans="1:57" x14ac:dyDescent="0.25">
      <c r="A5" s="4"/>
      <c r="B5" s="89" t="s">
        <v>136</v>
      </c>
      <c r="C5" s="185">
        <v>4.2500000000000003E-2</v>
      </c>
      <c r="D5" s="185">
        <v>4.2500000000000003E-2</v>
      </c>
      <c r="E5" s="185">
        <v>4.2500000000000003E-2</v>
      </c>
      <c r="F5" s="185">
        <v>4.4699999999999997E-2</v>
      </c>
      <c r="G5" s="185">
        <v>4.4699999999999997E-2</v>
      </c>
      <c r="H5" s="185">
        <v>4.4699999999999997E-2</v>
      </c>
      <c r="I5" s="185">
        <v>4.6899999999999997E-2</v>
      </c>
      <c r="J5" s="185">
        <v>4.6899999999999997E-2</v>
      </c>
      <c r="K5" s="185">
        <v>4.6899999999999997E-2</v>
      </c>
      <c r="L5" s="185">
        <v>4.9599999999999998E-2</v>
      </c>
      <c r="M5" s="201"/>
      <c r="N5" s="185">
        <v>4.9599999999999998E-2</v>
      </c>
      <c r="O5" s="185">
        <v>4.9599999999999998E-2</v>
      </c>
      <c r="Q5" s="184"/>
    </row>
    <row r="6" spans="1:57" ht="15.75" x14ac:dyDescent="0.25">
      <c r="A6" s="183"/>
      <c r="B6" s="89" t="s">
        <v>140</v>
      </c>
      <c r="C6" s="192">
        <v>31</v>
      </c>
      <c r="D6" s="192">
        <v>28</v>
      </c>
      <c r="E6" s="192">
        <v>31</v>
      </c>
      <c r="F6" s="192">
        <v>30</v>
      </c>
      <c r="G6" s="192">
        <v>31</v>
      </c>
      <c r="H6" s="192">
        <v>30</v>
      </c>
      <c r="I6" s="192">
        <v>31</v>
      </c>
      <c r="J6" s="192">
        <v>31</v>
      </c>
      <c r="K6" s="192">
        <v>30</v>
      </c>
      <c r="L6" s="192">
        <v>31</v>
      </c>
      <c r="M6" s="202"/>
      <c r="N6" s="192">
        <v>30</v>
      </c>
      <c r="O6" s="193">
        <v>31</v>
      </c>
      <c r="Q6" s="184"/>
    </row>
    <row r="7" spans="1:57" x14ac:dyDescent="0.25">
      <c r="A7" s="86">
        <v>502</v>
      </c>
      <c r="B7" s="104" t="s">
        <v>84</v>
      </c>
      <c r="J7" s="229" t="s">
        <v>149</v>
      </c>
      <c r="M7" s="203"/>
      <c r="O7" s="6"/>
      <c r="Q7" s="178"/>
      <c r="S7" s="224"/>
      <c r="T7" s="224">
        <v>502</v>
      </c>
      <c r="U7" s="224"/>
      <c r="V7" s="224"/>
      <c r="W7" s="224"/>
      <c r="X7" s="224"/>
      <c r="Y7" s="224" t="s">
        <v>93</v>
      </c>
      <c r="Z7" s="224"/>
      <c r="AA7" s="224" t="s">
        <v>94</v>
      </c>
    </row>
    <row r="8" spans="1:57" x14ac:dyDescent="0.25">
      <c r="A8" s="87" t="s">
        <v>64</v>
      </c>
      <c r="B8" t="s">
        <v>65</v>
      </c>
      <c r="C8" s="105">
        <v>725</v>
      </c>
      <c r="D8" s="105">
        <v>751</v>
      </c>
      <c r="E8" s="105">
        <v>707</v>
      </c>
      <c r="F8" s="105">
        <v>673</v>
      </c>
      <c r="G8" s="105">
        <v>637</v>
      </c>
      <c r="H8" s="105">
        <v>620</v>
      </c>
      <c r="I8" s="105">
        <v>598</v>
      </c>
      <c r="J8" s="105">
        <v>0</v>
      </c>
      <c r="K8" s="105">
        <v>0</v>
      </c>
      <c r="L8" s="105">
        <v>0</v>
      </c>
      <c r="M8" s="204"/>
      <c r="N8" s="105">
        <v>0</v>
      </c>
      <c r="O8" s="117">
        <v>0</v>
      </c>
      <c r="Q8" s="178"/>
      <c r="S8" s="224"/>
      <c r="T8" s="224"/>
      <c r="U8" s="225">
        <v>4948</v>
      </c>
      <c r="V8" s="224" t="s">
        <v>92</v>
      </c>
      <c r="W8" s="225">
        <f>U8</f>
        <v>4948</v>
      </c>
      <c r="X8" s="224"/>
      <c r="Y8" s="224"/>
      <c r="Z8" s="224"/>
      <c r="AA8" s="224"/>
      <c r="AE8" s="113"/>
      <c r="AO8" s="113"/>
      <c r="AQ8" s="113"/>
      <c r="AY8" s="113"/>
      <c r="BA8" s="113"/>
    </row>
    <row r="9" spans="1:57" x14ac:dyDescent="0.25">
      <c r="A9" s="87" t="s">
        <v>71</v>
      </c>
      <c r="B9" t="s">
        <v>70</v>
      </c>
      <c r="C9" s="95">
        <v>9287.84</v>
      </c>
      <c r="D9" s="95">
        <v>7055.65</v>
      </c>
      <c r="E9" s="95">
        <f>8448.23+4.96</f>
        <v>8453.1899999999987</v>
      </c>
      <c r="F9" s="95">
        <f>5185.68-4.96</f>
        <v>5180.72</v>
      </c>
      <c r="G9" s="95">
        <v>2620.5300000000002</v>
      </c>
      <c r="H9" s="95">
        <v>937.08</v>
      </c>
      <c r="I9" s="95">
        <v>454.28</v>
      </c>
      <c r="J9" s="95">
        <f>51.97-51.97</f>
        <v>0</v>
      </c>
      <c r="K9" s="95">
        <v>0</v>
      </c>
      <c r="L9" s="95">
        <v>0</v>
      </c>
      <c r="M9" s="205"/>
      <c r="N9" s="95">
        <v>0</v>
      </c>
      <c r="O9" s="107">
        <v>0</v>
      </c>
      <c r="Q9" s="178"/>
      <c r="S9" s="226" t="s">
        <v>90</v>
      </c>
      <c r="T9" s="227">
        <v>454.28</v>
      </c>
      <c r="U9" s="228">
        <f>T9/U8</f>
        <v>9.181083265966046E-2</v>
      </c>
      <c r="V9" s="224"/>
      <c r="W9" s="228">
        <f>T9/W8</f>
        <v>9.181083265966046E-2</v>
      </c>
      <c r="X9" s="224"/>
      <c r="Y9" s="224">
        <v>9.1829999999999995E-2</v>
      </c>
      <c r="Z9" s="224"/>
      <c r="AA9" s="228">
        <f>Y9-W9</f>
        <v>1.9167340339534822E-5</v>
      </c>
      <c r="AC9" s="122"/>
      <c r="AD9" s="108"/>
      <c r="AE9" s="112"/>
      <c r="AK9" s="112"/>
      <c r="AM9" s="122"/>
      <c r="AN9" s="108"/>
      <c r="AO9" s="112"/>
      <c r="AQ9" s="112"/>
      <c r="AU9" s="112"/>
      <c r="AW9" s="122"/>
      <c r="AX9" s="108"/>
      <c r="AY9" s="112"/>
      <c r="BA9" s="112"/>
      <c r="BE9" s="112"/>
    </row>
    <row r="10" spans="1:57" x14ac:dyDescent="0.25">
      <c r="A10" s="87"/>
      <c r="B10" s="89" t="s">
        <v>74</v>
      </c>
      <c r="C10" s="108">
        <f t="shared" ref="C10:O10" si="0">C9</f>
        <v>9287.84</v>
      </c>
      <c r="D10" s="108">
        <f t="shared" si="0"/>
        <v>7055.65</v>
      </c>
      <c r="E10" s="108">
        <f t="shared" si="0"/>
        <v>8453.1899999999987</v>
      </c>
      <c r="F10" s="108">
        <f t="shared" si="0"/>
        <v>5180.72</v>
      </c>
      <c r="G10" s="108">
        <f t="shared" si="0"/>
        <v>2620.5300000000002</v>
      </c>
      <c r="H10" s="108">
        <f t="shared" si="0"/>
        <v>937.08</v>
      </c>
      <c r="I10" s="108">
        <f t="shared" si="0"/>
        <v>454.28</v>
      </c>
      <c r="J10" s="108">
        <f t="shared" si="0"/>
        <v>0</v>
      </c>
      <c r="K10" s="108">
        <f t="shared" si="0"/>
        <v>0</v>
      </c>
      <c r="L10" s="108">
        <f t="shared" si="0"/>
        <v>0</v>
      </c>
      <c r="M10" s="206"/>
      <c r="N10" s="108">
        <f t="shared" si="0"/>
        <v>0</v>
      </c>
      <c r="O10" s="109">
        <f t="shared" si="0"/>
        <v>0</v>
      </c>
      <c r="Q10" s="178"/>
      <c r="S10" s="226" t="s">
        <v>91</v>
      </c>
      <c r="T10" s="227">
        <v>2264.84</v>
      </c>
      <c r="U10" s="228">
        <f>T10/U8</f>
        <v>0.45772837510105097</v>
      </c>
      <c r="V10" s="224"/>
      <c r="W10" s="228">
        <f>T10/W8</f>
        <v>0.45772837510105097</v>
      </c>
      <c r="X10" s="224"/>
      <c r="Y10" s="224">
        <v>0.45772000000000002</v>
      </c>
      <c r="Z10" s="224"/>
      <c r="AA10" s="228">
        <f>Y10-W10</f>
        <v>-8.3751010509502954E-6</v>
      </c>
      <c r="AC10" s="122"/>
      <c r="AD10" s="108"/>
      <c r="AE10" s="112"/>
      <c r="AK10" s="112"/>
      <c r="AM10" s="122"/>
      <c r="AN10" s="108"/>
      <c r="AO10" s="112"/>
      <c r="AQ10" s="112"/>
      <c r="AU10" s="112"/>
      <c r="AW10" s="122"/>
      <c r="AX10" s="108"/>
      <c r="AY10" s="112"/>
      <c r="BA10" s="112"/>
      <c r="BE10" s="112"/>
    </row>
    <row r="11" spans="1:57" x14ac:dyDescent="0.25">
      <c r="A11" s="87"/>
      <c r="B11" s="89" t="s">
        <v>73</v>
      </c>
      <c r="C11" s="88">
        <f>ROUND(-'Authorized Margins'!J35*'WACAP 2018'!C8,2)</f>
        <v>-7525.5</v>
      </c>
      <c r="D11" s="88">
        <f>ROUND(-'Authorized Margins'!K35*'WACAP 2018'!D8,2)</f>
        <v>-6391.01</v>
      </c>
      <c r="E11" s="88">
        <f>ROUND(-'Authorized Margins'!L35*'WACAP 2018'!E8,2)</f>
        <v>-5253.01</v>
      </c>
      <c r="F11" s="88">
        <f>ROUND(-'Authorized Margins'!M35*'WACAP 2018'!F8,2)</f>
        <v>-3243.86</v>
      </c>
      <c r="G11" s="88">
        <f>ROUND(-'Authorized Margins'!N35*'WACAP 2018'!G8,2)</f>
        <v>-1821.82</v>
      </c>
      <c r="H11" s="88">
        <f>ROUND(-'Authorized Margins'!O35*'WACAP 2018'!H8,2)</f>
        <v>-911.4</v>
      </c>
      <c r="I11" s="88">
        <f>ROUND(-'Authorized Margins'!D35*'WACAP 2018'!I8,2)</f>
        <v>-538.20000000000005</v>
      </c>
      <c r="J11" s="88">
        <v>0</v>
      </c>
      <c r="K11" s="88">
        <v>0</v>
      </c>
      <c r="L11" s="88">
        <v>0</v>
      </c>
      <c r="M11" s="205"/>
      <c r="N11" s="88">
        <v>0</v>
      </c>
      <c r="O11" s="110">
        <v>0</v>
      </c>
      <c r="Q11" s="178"/>
    </row>
    <row r="12" spans="1:57" x14ac:dyDescent="0.25">
      <c r="A12" s="87"/>
      <c r="B12" s="89" t="s">
        <v>75</v>
      </c>
      <c r="C12" s="90">
        <f t="shared" ref="C12:O12" si="1">SUM(C10:C11)</f>
        <v>1762.3400000000001</v>
      </c>
      <c r="D12" s="90">
        <f t="shared" si="1"/>
        <v>664.63999999999942</v>
      </c>
      <c r="E12" s="90">
        <f t="shared" si="1"/>
        <v>3200.1799999999985</v>
      </c>
      <c r="F12" s="90">
        <f t="shared" si="1"/>
        <v>1936.8600000000001</v>
      </c>
      <c r="G12" s="90">
        <f t="shared" si="1"/>
        <v>798.71000000000026</v>
      </c>
      <c r="H12" s="90">
        <f t="shared" si="1"/>
        <v>25.680000000000064</v>
      </c>
      <c r="I12" s="90">
        <f t="shared" si="1"/>
        <v>-83.920000000000073</v>
      </c>
      <c r="J12" s="90">
        <f t="shared" si="1"/>
        <v>0</v>
      </c>
      <c r="K12" s="90">
        <f t="shared" si="1"/>
        <v>0</v>
      </c>
      <c r="L12" s="90">
        <f t="shared" si="1"/>
        <v>0</v>
      </c>
      <c r="M12" s="215">
        <f>-'WACAP 2017'!Q14</f>
        <v>-13086.609999999999</v>
      </c>
      <c r="N12" s="90">
        <f t="shared" si="1"/>
        <v>0</v>
      </c>
      <c r="O12" s="111">
        <f t="shared" si="1"/>
        <v>0</v>
      </c>
      <c r="Q12" s="180">
        <f>SUM(C12:P12)-M12</f>
        <v>8304.49</v>
      </c>
    </row>
    <row r="13" spans="1:57" x14ac:dyDescent="0.25">
      <c r="A13" s="87"/>
      <c r="B13" s="89" t="s">
        <v>137</v>
      </c>
      <c r="C13" s="187">
        <f>ROUND(ROUND('WACAP 2017'!O15*C$5,2)/365*C$6,2)</f>
        <v>47.24</v>
      </c>
      <c r="D13" s="187">
        <f>ROUND(ROUND(C15*D$5,2)/365*D$6,2)</f>
        <v>48.57</v>
      </c>
      <c r="E13" s="187">
        <f t="shared" ref="E13:O13" si="2">ROUND(ROUND(D15*E$5,2)/365*E$6,2)</f>
        <v>56.34</v>
      </c>
      <c r="F13" s="187">
        <f t="shared" si="2"/>
        <v>69.31</v>
      </c>
      <c r="G13" s="187">
        <f t="shared" si="2"/>
        <v>79.239999999999995</v>
      </c>
      <c r="H13" s="187">
        <f t="shared" si="2"/>
        <v>79.91</v>
      </c>
      <c r="I13" s="187">
        <f t="shared" si="2"/>
        <v>87.06</v>
      </c>
      <c r="J13" s="187">
        <f t="shared" si="2"/>
        <v>87.07</v>
      </c>
      <c r="K13" s="187">
        <f t="shared" si="2"/>
        <v>84.6</v>
      </c>
      <c r="L13" s="187">
        <f t="shared" si="2"/>
        <v>92.81</v>
      </c>
      <c r="M13" s="208">
        <f>'Ammort Split 2018'!N13</f>
        <v>-501.25</v>
      </c>
      <c r="N13" s="187">
        <f>ROUND(ROUND(M15*N$5,2)/365*N$6,2)</f>
        <v>34.799999999999997</v>
      </c>
      <c r="O13" s="188">
        <f t="shared" si="2"/>
        <v>36.1</v>
      </c>
      <c r="Q13" s="196">
        <f>SUM(C13:P13)</f>
        <v>301.80000000000013</v>
      </c>
    </row>
    <row r="14" spans="1:57" x14ac:dyDescent="0.25">
      <c r="A14" s="87"/>
      <c r="B14" s="89" t="s">
        <v>138</v>
      </c>
      <c r="C14" s="189">
        <f t="shared" ref="C14:O14" si="3">SUM(C12:C13)</f>
        <v>1809.5800000000002</v>
      </c>
      <c r="D14" s="189">
        <f t="shared" si="3"/>
        <v>713.20999999999947</v>
      </c>
      <c r="E14" s="189">
        <f t="shared" si="3"/>
        <v>3256.5199999999986</v>
      </c>
      <c r="F14" s="189">
        <f t="shared" si="3"/>
        <v>2006.17</v>
      </c>
      <c r="G14" s="189">
        <f t="shared" si="3"/>
        <v>877.95000000000027</v>
      </c>
      <c r="H14" s="189">
        <f t="shared" si="3"/>
        <v>105.59000000000006</v>
      </c>
      <c r="I14" s="189">
        <f t="shared" si="3"/>
        <v>3.1399999999999295</v>
      </c>
      <c r="J14" s="189">
        <f t="shared" si="3"/>
        <v>87.07</v>
      </c>
      <c r="K14" s="189">
        <f t="shared" si="3"/>
        <v>84.6</v>
      </c>
      <c r="L14" s="189">
        <f t="shared" si="3"/>
        <v>92.81</v>
      </c>
      <c r="M14" s="209">
        <f t="shared" si="3"/>
        <v>-13587.859999999999</v>
      </c>
      <c r="N14" s="189">
        <f t="shared" si="3"/>
        <v>34.799999999999997</v>
      </c>
      <c r="O14" s="190">
        <f t="shared" si="3"/>
        <v>36.1</v>
      </c>
      <c r="Q14" s="198">
        <f>SUM(Q12:Q13)</f>
        <v>8606.2899999999991</v>
      </c>
    </row>
    <row r="15" spans="1:57" x14ac:dyDescent="0.25">
      <c r="A15" s="87"/>
      <c r="B15" s="89" t="s">
        <v>139</v>
      </c>
      <c r="C15" s="90">
        <f>'WACAP 2017'!O15+'WACAP 2018'!C14</f>
        <v>14896.190000000004</v>
      </c>
      <c r="D15" s="90">
        <f t="shared" ref="D15:O15" si="4">C15+D14</f>
        <v>15609.400000000003</v>
      </c>
      <c r="E15" s="90">
        <f t="shared" si="4"/>
        <v>18865.920000000002</v>
      </c>
      <c r="F15" s="90">
        <f t="shared" si="4"/>
        <v>20872.090000000004</v>
      </c>
      <c r="G15" s="90">
        <f t="shared" si="4"/>
        <v>21750.040000000005</v>
      </c>
      <c r="H15" s="90">
        <f t="shared" si="4"/>
        <v>21855.630000000005</v>
      </c>
      <c r="I15" s="90">
        <f t="shared" si="4"/>
        <v>21858.770000000004</v>
      </c>
      <c r="J15" s="90">
        <f t="shared" si="4"/>
        <v>21945.840000000004</v>
      </c>
      <c r="K15" s="90">
        <f t="shared" si="4"/>
        <v>22030.440000000002</v>
      </c>
      <c r="L15" s="90">
        <f t="shared" si="4"/>
        <v>22123.250000000004</v>
      </c>
      <c r="M15" s="207">
        <f t="shared" si="4"/>
        <v>8535.3900000000049</v>
      </c>
      <c r="N15" s="90">
        <f t="shared" si="4"/>
        <v>8570.1900000000041</v>
      </c>
      <c r="O15" s="191">
        <f t="shared" si="4"/>
        <v>8606.2900000000045</v>
      </c>
      <c r="Q15" s="178"/>
    </row>
    <row r="16" spans="1:57" x14ac:dyDescent="0.25">
      <c r="A16" s="86"/>
      <c r="C16" s="113"/>
      <c r="D16" s="113"/>
      <c r="E16" s="108"/>
      <c r="F16" s="112"/>
      <c r="G16" s="112"/>
      <c r="H16" s="112"/>
      <c r="I16" s="112"/>
      <c r="J16" s="112"/>
      <c r="K16" s="112"/>
      <c r="L16" s="112"/>
      <c r="M16" s="210"/>
      <c r="N16" s="112"/>
      <c r="O16" s="114"/>
      <c r="P16" s="113"/>
      <c r="Q16" s="179"/>
      <c r="T16">
        <v>503</v>
      </c>
      <c r="AF16" s="104"/>
      <c r="AG16" s="104"/>
      <c r="AH16" s="104"/>
      <c r="AP16" s="104"/>
      <c r="AZ16" s="104"/>
    </row>
    <row r="17" spans="1:57" x14ac:dyDescent="0.25">
      <c r="A17" s="86">
        <v>503</v>
      </c>
      <c r="B17" s="104" t="s">
        <v>84</v>
      </c>
      <c r="C17" s="113"/>
      <c r="D17" s="113"/>
      <c r="E17" s="108"/>
      <c r="F17" s="108"/>
      <c r="G17" s="113"/>
      <c r="H17" s="113"/>
      <c r="I17" s="113"/>
      <c r="J17" s="113"/>
      <c r="K17" s="113"/>
      <c r="L17" s="113"/>
      <c r="M17" s="204"/>
      <c r="N17" s="113"/>
      <c r="O17" s="115"/>
      <c r="P17" s="113"/>
      <c r="Q17" s="179"/>
      <c r="U17" s="113">
        <v>17031202</v>
      </c>
      <c r="V17" t="s">
        <v>92</v>
      </c>
      <c r="W17" s="113">
        <f>U17</f>
        <v>17031202</v>
      </c>
      <c r="AC17" s="108">
        <v>1</v>
      </c>
      <c r="AE17" s="113"/>
      <c r="AO17" s="113"/>
      <c r="AQ17" s="113"/>
      <c r="AY17" s="113"/>
      <c r="BA17" s="113"/>
    </row>
    <row r="18" spans="1:57" x14ac:dyDescent="0.25">
      <c r="A18" s="87" t="s">
        <v>64</v>
      </c>
      <c r="B18" t="s">
        <v>65</v>
      </c>
      <c r="C18" s="105">
        <v>186631</v>
      </c>
      <c r="D18" s="105">
        <v>186836</v>
      </c>
      <c r="E18" s="105">
        <v>186988</v>
      </c>
      <c r="F18" s="105">
        <v>186933</v>
      </c>
      <c r="G18" s="105">
        <v>186735</v>
      </c>
      <c r="H18" s="105">
        <v>186713</v>
      </c>
      <c r="I18" s="105">
        <v>186674</v>
      </c>
      <c r="J18" s="105">
        <v>187363</v>
      </c>
      <c r="K18" s="105">
        <v>187869</v>
      </c>
      <c r="L18" s="105">
        <v>189161</v>
      </c>
      <c r="M18" s="204"/>
      <c r="N18" s="105">
        <v>190056</v>
      </c>
      <c r="O18" s="106">
        <v>190498</v>
      </c>
      <c r="P18" s="108"/>
      <c r="Q18" s="180"/>
      <c r="S18" s="122" t="s">
        <v>90</v>
      </c>
      <c r="T18" s="108">
        <v>4633347.3600000003</v>
      </c>
      <c r="U18" s="112">
        <f>T18/U17</f>
        <v>0.27205051998091506</v>
      </c>
      <c r="W18" s="112">
        <f>T18/W17</f>
        <v>0.27205051998091506</v>
      </c>
      <c r="Y18">
        <v>0.27205000000000001</v>
      </c>
      <c r="AA18" s="112">
        <f>Y18-W18</f>
        <v>-5.199809150480128E-7</v>
      </c>
      <c r="AC18" s="122"/>
      <c r="AD18" s="108">
        <f>J18</f>
        <v>187363</v>
      </c>
      <c r="AE18" s="108">
        <f>K18</f>
        <v>187869</v>
      </c>
      <c r="AF18" s="108">
        <f>L18</f>
        <v>189161</v>
      </c>
      <c r="AG18" s="108">
        <f>N18</f>
        <v>190056</v>
      </c>
      <c r="AH18" s="108">
        <f>O18</f>
        <v>190498</v>
      </c>
      <c r="AK18" s="112"/>
      <c r="AM18" s="122"/>
      <c r="AN18" s="108"/>
      <c r="AO18" s="112"/>
      <c r="AQ18" s="112"/>
      <c r="AU18" s="112"/>
      <c r="AW18" s="122"/>
      <c r="AX18" s="108"/>
      <c r="AY18" s="112"/>
      <c r="BA18" s="112"/>
      <c r="BE18" s="112"/>
    </row>
    <row r="19" spans="1:57" x14ac:dyDescent="0.25">
      <c r="A19" s="87" t="s">
        <v>71</v>
      </c>
      <c r="B19" t="s">
        <v>70</v>
      </c>
      <c r="C19" s="116">
        <v>6636822.8899999997</v>
      </c>
      <c r="D19" s="116">
        <v>4674307.9000000004</v>
      </c>
      <c r="E19" s="116">
        <v>5539638.3799999999</v>
      </c>
      <c r="F19" s="116">
        <v>3685135.57</v>
      </c>
      <c r="G19" s="116">
        <v>2174874.87</v>
      </c>
      <c r="H19" s="116">
        <v>1181931.1100000001</v>
      </c>
      <c r="I19" s="116">
        <v>919203.33</v>
      </c>
      <c r="J19" s="116">
        <f>51.97+777387.89</f>
        <v>777439.86</v>
      </c>
      <c r="K19" s="116">
        <v>764273.83</v>
      </c>
      <c r="L19" s="116">
        <v>1443787.66</v>
      </c>
      <c r="M19" s="206"/>
      <c r="N19" s="116">
        <v>2437827.89</v>
      </c>
      <c r="O19" s="117">
        <v>4633347.3600000003</v>
      </c>
      <c r="P19" s="108"/>
      <c r="Q19" s="180"/>
      <c r="S19" s="122" t="s">
        <v>91</v>
      </c>
      <c r="T19" s="108">
        <v>7432096.4800000004</v>
      </c>
      <c r="U19" s="112">
        <f>T19/U17</f>
        <v>0.43638120668171282</v>
      </c>
      <c r="W19" s="112">
        <f>T19/W17</f>
        <v>0.43638120668171282</v>
      </c>
      <c r="Y19">
        <v>0.43589</v>
      </c>
      <c r="AA19" s="112">
        <f>Y19-W19</f>
        <v>-4.9120668171281912E-4</v>
      </c>
      <c r="AC19" s="122"/>
      <c r="AD19" s="108"/>
      <c r="AE19" s="112"/>
      <c r="AK19" s="112"/>
      <c r="AM19" s="122"/>
      <c r="AN19" s="108"/>
      <c r="AO19" s="112"/>
      <c r="AQ19" s="112"/>
      <c r="AU19" s="112"/>
      <c r="AW19" s="122"/>
      <c r="AX19" s="108"/>
      <c r="AY19" s="112"/>
      <c r="BA19" s="112"/>
      <c r="BE19" s="112"/>
    </row>
    <row r="20" spans="1:57" x14ac:dyDescent="0.25">
      <c r="A20" s="87" t="s">
        <v>72</v>
      </c>
      <c r="B20" t="s">
        <v>114</v>
      </c>
      <c r="C20" s="124">
        <f>ROUND(12394705*0.29484,2)</f>
        <v>3654454.82</v>
      </c>
      <c r="D20" s="124">
        <f>ROUND(14191411*0.29484,2)</f>
        <v>4184195.62</v>
      </c>
      <c r="E20" s="124">
        <f>ROUND(9771873*0.29484,2)</f>
        <v>2881139.04</v>
      </c>
      <c r="F20" s="124">
        <f>ROUND(6423644*0.29484,2)</f>
        <v>1893947.2</v>
      </c>
      <c r="G20" s="124">
        <f>ROUND(3061183*0.29484,2)</f>
        <v>902559.2</v>
      </c>
      <c r="H20" s="124">
        <f>ROUND(2628458*0.29484,2)</f>
        <v>774974.56</v>
      </c>
      <c r="I20" s="124">
        <f>ROUND(2376801*0.29484,2)</f>
        <v>700776.01</v>
      </c>
      <c r="J20" s="124">
        <f>ROUND(1072372*0.27205,2)</f>
        <v>291738.8</v>
      </c>
      <c r="K20" s="124">
        <f>ROUND(1999718*0.27205,2)</f>
        <v>544023.28</v>
      </c>
      <c r="L20" s="124">
        <f>ROUND(4772036*0.27205,2)</f>
        <v>1298232.3899999999</v>
      </c>
      <c r="M20" s="206"/>
      <c r="N20" s="124">
        <f>ROUND(11306377*0.27205,2)</f>
        <v>3075899.86</v>
      </c>
      <c r="O20" s="124">
        <f>ROUND(13675573*0.27205,2)</f>
        <v>3720439.63</v>
      </c>
      <c r="P20" s="108"/>
      <c r="Q20" s="180"/>
      <c r="S20" s="122"/>
      <c r="T20" s="108"/>
      <c r="U20" s="112"/>
      <c r="W20" s="112"/>
      <c r="AA20" s="112"/>
    </row>
    <row r="21" spans="1:57" x14ac:dyDescent="0.25">
      <c r="A21" s="87" t="s">
        <v>72</v>
      </c>
      <c r="B21" t="s">
        <v>115</v>
      </c>
      <c r="C21" s="95">
        <f>-'WACAP 2017'!O20</f>
        <v>-4779530.3600000003</v>
      </c>
      <c r="D21" s="95">
        <f t="shared" ref="D21:E21" si="5">-C20</f>
        <v>-3654454.82</v>
      </c>
      <c r="E21" s="95">
        <f t="shared" si="5"/>
        <v>-4184195.62</v>
      </c>
      <c r="F21" s="95">
        <f>-E20</f>
        <v>-2881139.04</v>
      </c>
      <c r="G21" s="95">
        <f>-F20</f>
        <v>-1893947.2</v>
      </c>
      <c r="H21" s="95">
        <f>-G20</f>
        <v>-902559.2</v>
      </c>
      <c r="I21" s="95">
        <f>-H20</f>
        <v>-774974.56</v>
      </c>
      <c r="J21" s="95">
        <f t="shared" ref="J21:L21" si="6">-I20</f>
        <v>-700776.01</v>
      </c>
      <c r="K21" s="95">
        <f t="shared" si="6"/>
        <v>-291738.8</v>
      </c>
      <c r="L21" s="95">
        <f t="shared" si="6"/>
        <v>-544023.28</v>
      </c>
      <c r="M21" s="205"/>
      <c r="N21" s="95">
        <f>-L20</f>
        <v>-1298232.3899999999</v>
      </c>
      <c r="O21" s="107">
        <f>-N20</f>
        <v>-3075899.86</v>
      </c>
      <c r="P21" s="108"/>
      <c r="Q21" s="180"/>
      <c r="U21" s="113"/>
      <c r="W21" s="113"/>
    </row>
    <row r="22" spans="1:57" x14ac:dyDescent="0.25">
      <c r="A22" s="87"/>
      <c r="B22" s="89" t="s">
        <v>74</v>
      </c>
      <c r="C22" s="108">
        <f t="shared" ref="C22:O22" si="7">SUM(C19:C21)</f>
        <v>5511747.3499999987</v>
      </c>
      <c r="D22" s="108">
        <f t="shared" si="7"/>
        <v>5204048.6999999993</v>
      </c>
      <c r="E22" s="108">
        <f t="shared" si="7"/>
        <v>4236581.8</v>
      </c>
      <c r="F22" s="108">
        <f t="shared" si="7"/>
        <v>2697943.7299999995</v>
      </c>
      <c r="G22" s="108">
        <f t="shared" si="7"/>
        <v>1183486.8700000003</v>
      </c>
      <c r="H22" s="108">
        <f t="shared" si="7"/>
        <v>1054346.4700000002</v>
      </c>
      <c r="I22" s="108">
        <f t="shared" si="7"/>
        <v>845004.7799999998</v>
      </c>
      <c r="J22" s="108">
        <f t="shared" ref="J22:N22" si="8">SUM(J19:J21)</f>
        <v>368402.64999999991</v>
      </c>
      <c r="K22" s="108">
        <f t="shared" si="8"/>
        <v>1016558.3099999998</v>
      </c>
      <c r="L22" s="108">
        <f t="shared" si="8"/>
        <v>2197996.7699999996</v>
      </c>
      <c r="M22" s="206"/>
      <c r="N22" s="108">
        <f t="shared" si="8"/>
        <v>4215495.3600000003</v>
      </c>
      <c r="O22" s="109">
        <f t="shared" si="7"/>
        <v>5277887.1300000008</v>
      </c>
      <c r="Q22" s="178"/>
      <c r="S22" s="122"/>
      <c r="T22" s="108"/>
      <c r="U22" s="112"/>
      <c r="W22" s="112"/>
      <c r="AA22" s="112"/>
    </row>
    <row r="23" spans="1:57" x14ac:dyDescent="0.25">
      <c r="A23" s="87"/>
      <c r="B23" s="89" t="s">
        <v>73</v>
      </c>
      <c r="C23" s="88">
        <f>ROUND(-'Authorized Margins'!J41*'WACAP 2018'!C18,2)</f>
        <v>-5765031.5899999999</v>
      </c>
      <c r="D23" s="88">
        <f>ROUND(-'Authorized Margins'!K41*'WACAP 2018'!D18,2)</f>
        <v>-4728819.16</v>
      </c>
      <c r="E23" s="88">
        <f>ROUND(-'Authorized Margins'!L41*'WACAP 2018'!E18,2)</f>
        <v>-3960405.84</v>
      </c>
      <c r="F23" s="88">
        <f>ROUND(-'Authorized Margins'!M41*'WACAP 2018'!F18,2)</f>
        <v>-2484339.5699999998</v>
      </c>
      <c r="G23" s="88">
        <f>ROUND(-'Authorized Margins'!N41*'WACAP 2018'!G18,2)</f>
        <v>-1613390.4</v>
      </c>
      <c r="H23" s="88">
        <f>ROUND(-'Authorized Margins'!O41*'WACAP 2018'!H18,2)</f>
        <v>-1082935.3999999999</v>
      </c>
      <c r="I23" s="88">
        <f>ROUND(-'Authorized Margins'!D41*'WACAP 2018'!I18,2)</f>
        <v>-892301.72</v>
      </c>
      <c r="J23" s="88">
        <f>ROUND(-'Authorized Margins 2018'!E10*'WACAP 2018'!J18,2)</f>
        <v>-655770.5</v>
      </c>
      <c r="K23" s="88">
        <f>ROUND(-'Authorized Margins 2018'!F10*'WACAP 2018'!K18,2)</f>
        <v>-971282.73</v>
      </c>
      <c r="L23" s="88">
        <f>ROUND(-'Authorized Margins 2018'!G10*'WACAP 2018'!L18,2)</f>
        <v>-2445851.73</v>
      </c>
      <c r="M23" s="205"/>
      <c r="N23" s="88">
        <f>ROUND(-'Authorized Margins 2018'!H10*'WACAP 2018'!N18,2)</f>
        <v>-4568946.24</v>
      </c>
      <c r="O23" s="110">
        <f>ROUND(-'Authorized Margins 2018'!I10*'WACAP 2018'!O18,2)</f>
        <v>-6088316.0800000001</v>
      </c>
      <c r="Q23" s="178"/>
      <c r="AY23" s="113"/>
      <c r="BA23" s="113"/>
    </row>
    <row r="24" spans="1:57" x14ac:dyDescent="0.25">
      <c r="A24" s="87"/>
      <c r="B24" s="89" t="s">
        <v>75</v>
      </c>
      <c r="C24" s="90">
        <f t="shared" ref="C24:O24" si="9">SUM(C22:C23)</f>
        <v>-253284.24000000115</v>
      </c>
      <c r="D24" s="90">
        <f t="shared" si="9"/>
        <v>475229.53999999911</v>
      </c>
      <c r="E24" s="90">
        <f t="shared" si="9"/>
        <v>276175.95999999996</v>
      </c>
      <c r="F24" s="90">
        <f t="shared" si="9"/>
        <v>213604.15999999968</v>
      </c>
      <c r="G24" s="90">
        <f t="shared" si="9"/>
        <v>-429903.52999999956</v>
      </c>
      <c r="H24" s="90">
        <f t="shared" si="9"/>
        <v>-28588.929999999702</v>
      </c>
      <c r="I24" s="90">
        <f t="shared" si="9"/>
        <v>-47296.940000000177</v>
      </c>
      <c r="J24" s="90">
        <f t="shared" si="9"/>
        <v>-287367.85000000009</v>
      </c>
      <c r="K24" s="90">
        <f t="shared" si="9"/>
        <v>45275.579999999842</v>
      </c>
      <c r="L24" s="90">
        <f t="shared" si="9"/>
        <v>-247854.96000000043</v>
      </c>
      <c r="M24" s="215">
        <f>-'WACAP 2017'!Q26</f>
        <v>-2815845.8400000012</v>
      </c>
      <c r="N24" s="90">
        <f t="shared" si="9"/>
        <v>-353450.87999999989</v>
      </c>
      <c r="O24" s="111">
        <f t="shared" si="9"/>
        <v>-810428.94999999925</v>
      </c>
      <c r="Q24" s="180">
        <f>SUM(C24:P24)-M24</f>
        <v>-1447891.0400000014</v>
      </c>
      <c r="AW24" s="122"/>
      <c r="AX24" s="108"/>
      <c r="AY24" s="112"/>
      <c r="BA24" s="112"/>
      <c r="BE24" s="112"/>
    </row>
    <row r="25" spans="1:57" x14ac:dyDescent="0.25">
      <c r="A25" s="87"/>
      <c r="B25" s="89" t="s">
        <v>137</v>
      </c>
      <c r="C25" s="187">
        <f>ROUND(ROUND('WACAP 2017'!O27*C$5,2)/365*C$6,2)</f>
        <v>10164.049999999999</v>
      </c>
      <c r="D25" s="187">
        <f>ROUND(ROUND(C27*D$5,2)/365*D$6,2)</f>
        <v>8387.7900000000009</v>
      </c>
      <c r="E25" s="199">
        <f>ROUND(ROUND(D27*E$5,2)/365*E$6,2)+0.01</f>
        <v>11032.15</v>
      </c>
      <c r="F25" s="199">
        <f>ROUND(ROUND(E27*F$5,2)/365*F$6,2)-0.01</f>
        <v>12284.1</v>
      </c>
      <c r="G25" s="199">
        <f>ROUND(ROUND(F27*G$5,2)/365*G$6,2)+0.01</f>
        <v>13551.17</v>
      </c>
      <c r="H25" s="199">
        <f>ROUND(ROUND(G27*H$5,2)/365*H$6,2)-0.01</f>
        <v>11584.35</v>
      </c>
      <c r="I25" s="187">
        <f t="shared" ref="I25:O25" si="10">ROUND(ROUND(H27*I$5,2)/365*I$6,2)</f>
        <v>12491.92</v>
      </c>
      <c r="J25" s="199">
        <f>ROUND(ROUND(I27*J$5,2)/365*J$6,2)-0.01</f>
        <v>12353.27</v>
      </c>
      <c r="K25" s="187">
        <f t="shared" si="10"/>
        <v>10894.66</v>
      </c>
      <c r="L25" s="199">
        <f>ROUND(ROUND(K27*L$5,2)/365*L$6,2)-0.01</f>
        <v>12142.539999999999</v>
      </c>
      <c r="M25" s="208">
        <f>'Ammort Split 2018'!N25</f>
        <v>-107852.73999999999</v>
      </c>
      <c r="N25" s="187">
        <f>ROUND(ROUND(M27*N$5,2)/365*N$6,2)</f>
        <v>-1129.1600000000001</v>
      </c>
      <c r="O25" s="188">
        <f t="shared" si="10"/>
        <v>-2660.5</v>
      </c>
      <c r="Q25" s="196">
        <f>SUM(C25:P25)</f>
        <v>3243.6000000000095</v>
      </c>
    </row>
    <row r="26" spans="1:57" x14ac:dyDescent="0.25">
      <c r="A26" s="87"/>
      <c r="B26" s="89" t="s">
        <v>138</v>
      </c>
      <c r="C26" s="189">
        <f t="shared" ref="C26:O26" si="11">SUM(C24:C25)</f>
        <v>-243120.19000000117</v>
      </c>
      <c r="D26" s="189">
        <f t="shared" si="11"/>
        <v>483617.32999999908</v>
      </c>
      <c r="E26" s="189">
        <f t="shared" si="11"/>
        <v>287208.11</v>
      </c>
      <c r="F26" s="189">
        <f t="shared" si="11"/>
        <v>225888.25999999969</v>
      </c>
      <c r="G26" s="189">
        <f t="shared" si="11"/>
        <v>-416352.35999999958</v>
      </c>
      <c r="H26" s="189">
        <f t="shared" si="11"/>
        <v>-17004.579999999703</v>
      </c>
      <c r="I26" s="189">
        <f t="shared" si="11"/>
        <v>-34805.020000000179</v>
      </c>
      <c r="J26" s="189">
        <f t="shared" si="11"/>
        <v>-275014.58000000007</v>
      </c>
      <c r="K26" s="189">
        <f t="shared" si="11"/>
        <v>56170.239999999845</v>
      </c>
      <c r="L26" s="189">
        <f t="shared" si="11"/>
        <v>-235712.42000000042</v>
      </c>
      <c r="M26" s="209">
        <f t="shared" si="11"/>
        <v>-2923698.580000001</v>
      </c>
      <c r="N26" s="189">
        <f t="shared" si="11"/>
        <v>-354580.03999999986</v>
      </c>
      <c r="O26" s="190">
        <f t="shared" si="11"/>
        <v>-813089.44999999925</v>
      </c>
      <c r="Q26" s="198">
        <f>SUM(Q24:Q25)</f>
        <v>-1444647.4400000013</v>
      </c>
    </row>
    <row r="27" spans="1:57" x14ac:dyDescent="0.25">
      <c r="A27" s="87"/>
      <c r="B27" s="89" t="s">
        <v>139</v>
      </c>
      <c r="C27" s="90">
        <f>'WACAP 2017'!O27+'WACAP 2018'!C26</f>
        <v>2572725.65</v>
      </c>
      <c r="D27" s="90">
        <f t="shared" ref="D27:O27" si="12">C27+D26</f>
        <v>3056342.9799999991</v>
      </c>
      <c r="E27" s="90">
        <f t="shared" si="12"/>
        <v>3343551.0899999989</v>
      </c>
      <c r="F27" s="90">
        <f t="shared" si="12"/>
        <v>3569439.3499999987</v>
      </c>
      <c r="G27" s="90">
        <f t="shared" si="12"/>
        <v>3153086.9899999993</v>
      </c>
      <c r="H27" s="90">
        <f t="shared" si="12"/>
        <v>3136082.4099999997</v>
      </c>
      <c r="I27" s="90">
        <f t="shared" si="12"/>
        <v>3101277.3899999997</v>
      </c>
      <c r="J27" s="90">
        <f t="shared" si="12"/>
        <v>2826262.8099999996</v>
      </c>
      <c r="K27" s="90">
        <f t="shared" si="12"/>
        <v>2882433.0499999993</v>
      </c>
      <c r="L27" s="90">
        <f t="shared" si="12"/>
        <v>2646720.629999999</v>
      </c>
      <c r="M27" s="207">
        <f t="shared" si="12"/>
        <v>-276977.95000000205</v>
      </c>
      <c r="N27" s="90">
        <f t="shared" si="12"/>
        <v>-631557.99000000185</v>
      </c>
      <c r="O27" s="191">
        <f t="shared" si="12"/>
        <v>-1444647.4400000011</v>
      </c>
      <c r="Q27" s="178"/>
      <c r="U27" s="108">
        <f>ROUND(T32/Y32,0)</f>
        <v>186797</v>
      </c>
    </row>
    <row r="28" spans="1:57" x14ac:dyDescent="0.25">
      <c r="A28" s="87"/>
      <c r="B28" s="8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207"/>
      <c r="N28" s="90"/>
      <c r="O28" s="111"/>
      <c r="Q28" s="178"/>
      <c r="S28" s="122"/>
      <c r="T28" s="108"/>
      <c r="U28" s="108">
        <f>ROUND(T33/Y33,0)</f>
        <v>660570</v>
      </c>
      <c r="AW28" s="122"/>
      <c r="AX28" s="108"/>
      <c r="AY28" s="112"/>
      <c r="BA28" s="112"/>
      <c r="BE28" s="112"/>
    </row>
    <row r="29" spans="1:57" x14ac:dyDescent="0.25">
      <c r="A29" s="86">
        <v>505</v>
      </c>
      <c r="B29" s="104" t="s">
        <v>85</v>
      </c>
      <c r="C29" s="113"/>
      <c r="D29" s="113"/>
      <c r="E29" s="108"/>
      <c r="F29" s="113"/>
      <c r="G29" s="113"/>
      <c r="H29" s="113"/>
      <c r="I29" s="113"/>
      <c r="J29" s="113"/>
      <c r="K29" s="113"/>
      <c r="L29" s="113"/>
      <c r="M29" s="204"/>
      <c r="N29" s="113"/>
      <c r="O29" s="115"/>
      <c r="Q29" s="178"/>
      <c r="T29">
        <v>505</v>
      </c>
      <c r="U29" s="108">
        <f>ROUND(T34/Y34,0)</f>
        <v>627939</v>
      </c>
      <c r="V29" s="108">
        <f>SUM(U25:U29)</f>
        <v>1475306</v>
      </c>
      <c r="AC29" s="108">
        <v>12</v>
      </c>
      <c r="AE29" s="113"/>
    </row>
    <row r="30" spans="1:57" x14ac:dyDescent="0.25">
      <c r="A30" s="87" t="s">
        <v>64</v>
      </c>
      <c r="B30" t="s">
        <v>65</v>
      </c>
      <c r="C30" s="105">
        <v>467</v>
      </c>
      <c r="D30" s="105">
        <v>469</v>
      </c>
      <c r="E30" s="105">
        <v>472</v>
      </c>
      <c r="F30" s="105">
        <v>471</v>
      </c>
      <c r="G30" s="105">
        <v>470</v>
      </c>
      <c r="H30" s="105">
        <v>470</v>
      </c>
      <c r="I30" s="105">
        <v>468</v>
      </c>
      <c r="J30" s="105">
        <v>473</v>
      </c>
      <c r="K30" s="105">
        <v>473</v>
      </c>
      <c r="L30" s="105">
        <v>475</v>
      </c>
      <c r="M30" s="204"/>
      <c r="N30" s="105">
        <v>477</v>
      </c>
      <c r="O30" s="106">
        <v>477</v>
      </c>
      <c r="P30" s="108"/>
      <c r="Q30" s="180"/>
      <c r="U30" s="113">
        <v>1475293</v>
      </c>
      <c r="V30" t="s">
        <v>92</v>
      </c>
      <c r="W30" s="113">
        <f>U30</f>
        <v>1475293</v>
      </c>
      <c r="AC30" s="122"/>
      <c r="AD30" s="108">
        <f>SUM(J30*12)</f>
        <v>5676</v>
      </c>
      <c r="AE30" s="108">
        <f>SUM(K30*12)</f>
        <v>5676</v>
      </c>
      <c r="AF30" s="108">
        <f>SUM(L30*12)</f>
        <v>5700</v>
      </c>
      <c r="AG30" s="108">
        <f>SUM(N30*12)</f>
        <v>5724</v>
      </c>
      <c r="AH30" s="108">
        <f>SUM(O30*12)</f>
        <v>5724</v>
      </c>
    </row>
    <row r="31" spans="1:57" x14ac:dyDescent="0.25">
      <c r="A31" s="87" t="s">
        <v>71</v>
      </c>
      <c r="B31" t="s">
        <v>117</v>
      </c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206"/>
      <c r="N31" s="116"/>
      <c r="O31" s="117"/>
      <c r="P31" s="108"/>
      <c r="Q31" s="180"/>
      <c r="S31" s="122" t="s">
        <v>90</v>
      </c>
      <c r="T31" s="108"/>
      <c r="U31" s="112"/>
      <c r="W31" s="112"/>
      <c r="AA31" s="112">
        <f>Y31-W31</f>
        <v>0</v>
      </c>
    </row>
    <row r="32" spans="1:57" x14ac:dyDescent="0.25">
      <c r="A32" s="87" t="s">
        <v>71</v>
      </c>
      <c r="B32" t="s">
        <v>95</v>
      </c>
      <c r="C32" s="116">
        <v>36584.1</v>
      </c>
      <c r="D32" s="116">
        <v>34484.480000000003</v>
      </c>
      <c r="E32" s="116">
        <v>35891.93</v>
      </c>
      <c r="F32" s="116">
        <v>32963.480000000003</v>
      </c>
      <c r="G32" s="116">
        <v>26676.91</v>
      </c>
      <c r="H32" s="116">
        <v>18901.04</v>
      </c>
      <c r="I32" s="116">
        <v>16666.07</v>
      </c>
      <c r="J32" s="116">
        <v>15087.96</v>
      </c>
      <c r="K32" s="116">
        <v>15917.04</v>
      </c>
      <c r="L32" s="116">
        <v>21449.55</v>
      </c>
      <c r="M32" s="206"/>
      <c r="N32" s="116">
        <v>27966.77</v>
      </c>
      <c r="O32" s="117">
        <v>33345.21</v>
      </c>
      <c r="P32" s="108"/>
      <c r="Q32" s="180"/>
      <c r="S32" s="122" t="s">
        <v>90</v>
      </c>
      <c r="T32" s="108">
        <v>33345.21</v>
      </c>
      <c r="U32" s="112">
        <f>T32/U27</f>
        <v>0.17851041504949222</v>
      </c>
      <c r="W32" s="112">
        <f>T32/U27</f>
        <v>0.17851041504949222</v>
      </c>
      <c r="Y32">
        <v>0.17851</v>
      </c>
      <c r="AA32" s="112">
        <f>Y32-W32</f>
        <v>-4.1504949221948806E-7</v>
      </c>
    </row>
    <row r="33" spans="1:34" x14ac:dyDescent="0.25">
      <c r="A33" s="87" t="s">
        <v>71</v>
      </c>
      <c r="B33" t="s">
        <v>97</v>
      </c>
      <c r="C33" s="116">
        <v>110453.41</v>
      </c>
      <c r="D33" s="116">
        <v>93245.34</v>
      </c>
      <c r="E33" s="116">
        <v>101518.86</v>
      </c>
      <c r="F33" s="116">
        <v>83345.52</v>
      </c>
      <c r="G33" s="116">
        <v>60825.95</v>
      </c>
      <c r="H33" s="116">
        <v>45164.09</v>
      </c>
      <c r="I33" s="116">
        <v>39243.589999999997</v>
      </c>
      <c r="J33" s="116">
        <v>37358.32</v>
      </c>
      <c r="K33" s="116">
        <v>39560.01</v>
      </c>
      <c r="L33" s="116">
        <v>52998.26</v>
      </c>
      <c r="M33" s="206"/>
      <c r="N33" s="116">
        <v>69805.899999999994</v>
      </c>
      <c r="O33" s="117">
        <v>95498.57</v>
      </c>
      <c r="P33" s="108"/>
      <c r="Q33" s="180"/>
      <c r="S33" s="122" t="s">
        <v>90</v>
      </c>
      <c r="T33" s="108">
        <v>95498.57</v>
      </c>
      <c r="U33" s="112">
        <f>T33/U28</f>
        <v>0.14456994716684077</v>
      </c>
      <c r="W33" s="112">
        <f>T33/U28</f>
        <v>0.14456994716684077</v>
      </c>
      <c r="Y33">
        <v>0.14457</v>
      </c>
      <c r="AA33" s="112">
        <f>Y33-W33</f>
        <v>5.2833159236431726E-8</v>
      </c>
    </row>
    <row r="34" spans="1:34" x14ac:dyDescent="0.25">
      <c r="A34" s="87" t="s">
        <v>71</v>
      </c>
      <c r="B34" t="s">
        <v>96</v>
      </c>
      <c r="C34" s="95">
        <v>97119.65</v>
      </c>
      <c r="D34" s="95">
        <v>67106.34</v>
      </c>
      <c r="E34" s="95">
        <v>79539.13</v>
      </c>
      <c r="F34" s="95">
        <v>56617.7</v>
      </c>
      <c r="G34" s="95">
        <v>38134.97</v>
      </c>
      <c r="H34" s="95">
        <v>29057.4</v>
      </c>
      <c r="I34" s="95">
        <v>26256.94</v>
      </c>
      <c r="J34" s="95">
        <v>30654.41</v>
      </c>
      <c r="K34" s="95">
        <v>39895.96</v>
      </c>
      <c r="L34" s="95">
        <v>75972.92</v>
      </c>
      <c r="M34" s="205"/>
      <c r="N34" s="95">
        <v>48783.12</v>
      </c>
      <c r="O34" s="107">
        <v>87559.81</v>
      </c>
      <c r="P34" s="108"/>
      <c r="Q34" s="180"/>
      <c r="S34" s="122" t="s">
        <v>90</v>
      </c>
      <c r="T34" s="108">
        <v>87559.81</v>
      </c>
      <c r="U34" s="112">
        <f>T34/U29</f>
        <v>0.13943999337515267</v>
      </c>
      <c r="W34" s="112">
        <f>T34/U29</f>
        <v>0.13943999337515267</v>
      </c>
      <c r="Y34">
        <v>0.13944000000000001</v>
      </c>
      <c r="AA34" s="112">
        <f>Y34-W34</f>
        <v>6.6248473373775596E-9</v>
      </c>
    </row>
    <row r="35" spans="1:34" x14ac:dyDescent="0.25">
      <c r="A35" s="86"/>
      <c r="B35" s="89" t="s">
        <v>74</v>
      </c>
      <c r="C35" s="108">
        <f t="shared" ref="C35:O35" si="13">SUM(C31:C34)</f>
        <v>244157.16</v>
      </c>
      <c r="D35" s="108">
        <f t="shared" si="13"/>
        <v>194836.16</v>
      </c>
      <c r="E35" s="108">
        <f t="shared" si="13"/>
        <v>216949.92</v>
      </c>
      <c r="F35" s="108">
        <f t="shared" si="13"/>
        <v>172926.7</v>
      </c>
      <c r="G35" s="108">
        <f t="shared" si="13"/>
        <v>125637.83</v>
      </c>
      <c r="H35" s="108">
        <f t="shared" si="13"/>
        <v>93122.53</v>
      </c>
      <c r="I35" s="108">
        <f t="shared" si="13"/>
        <v>82166.599999999991</v>
      </c>
      <c r="J35" s="108">
        <f t="shared" si="13"/>
        <v>83100.69</v>
      </c>
      <c r="K35" s="108">
        <f t="shared" si="13"/>
        <v>95373.010000000009</v>
      </c>
      <c r="L35" s="108">
        <f t="shared" si="13"/>
        <v>150420.72999999998</v>
      </c>
      <c r="M35" s="206"/>
      <c r="N35" s="108">
        <f t="shared" si="13"/>
        <v>146555.79</v>
      </c>
      <c r="O35" s="126">
        <f t="shared" si="13"/>
        <v>216403.59</v>
      </c>
      <c r="Q35" s="178"/>
      <c r="S35" s="122" t="s">
        <v>91</v>
      </c>
      <c r="T35" s="108">
        <v>620118.15</v>
      </c>
      <c r="U35" s="112">
        <f>T35/U30</f>
        <v>0.42033558757480721</v>
      </c>
      <c r="W35" s="112">
        <f>T35/W30</f>
        <v>0.42033558757480721</v>
      </c>
      <c r="Y35">
        <v>0.41949999999999998</v>
      </c>
      <c r="AA35" s="112">
        <f>Y35-W35</f>
        <v>-8.3558757480722834E-4</v>
      </c>
    </row>
    <row r="36" spans="1:34" x14ac:dyDescent="0.25">
      <c r="A36" s="86"/>
      <c r="B36" s="89" t="s">
        <v>73</v>
      </c>
      <c r="C36" s="88">
        <f>ROUND(-'Authorized Margins'!J60*'WACAP 2018'!C30,2)</f>
        <v>-216673.99</v>
      </c>
      <c r="D36" s="88">
        <f>ROUND(-'Authorized Margins'!K60*'WACAP 2018'!D30,2)</f>
        <v>-245441.77</v>
      </c>
      <c r="E36" s="88">
        <f>ROUND(-'Authorized Margins'!L60*'WACAP 2018'!E30,2)</f>
        <v>-196559.68</v>
      </c>
      <c r="F36" s="88">
        <f>ROUND(-'Authorized Margins'!M60*'WACAP 2018'!F30,2)</f>
        <v>-143485.44</v>
      </c>
      <c r="G36" s="88">
        <f>ROUND(-'Authorized Margins'!N60*'WACAP 2018'!G30,2)</f>
        <v>-122613.6</v>
      </c>
      <c r="H36" s="88">
        <f>ROUND(-'Authorized Margins'!O60*'WACAP 2018'!H30,2)</f>
        <v>-99052.5</v>
      </c>
      <c r="I36" s="88">
        <f>ROUND(-'Authorized Margins'!D60*'WACAP 2018'!I30,2)</f>
        <v>-93366</v>
      </c>
      <c r="J36" s="88">
        <f>ROUND(-'Authorized Margins 2018'!E14*'WACAP 2018'!J30,2)</f>
        <v>-76356.39</v>
      </c>
      <c r="K36" s="88">
        <f>ROUND(-'Authorized Margins 2018'!F14*'WACAP 2018'!K30,2)</f>
        <v>-99188.1</v>
      </c>
      <c r="L36" s="88">
        <f>ROUND(-'Authorized Margins 2018'!G14*'WACAP 2018'!L30,2)</f>
        <v>-169703.25</v>
      </c>
      <c r="M36" s="205"/>
      <c r="N36" s="88">
        <f>ROUND(-'Authorized Margins 2018'!H14*'WACAP 2018'!N30,2)</f>
        <v>-146930.31</v>
      </c>
      <c r="O36" s="110">
        <f>ROUND(-'Authorized Margins 2018'!I14*'WACAP 2018'!O30,2)</f>
        <v>-205315.11</v>
      </c>
      <c r="Q36" s="178"/>
    </row>
    <row r="37" spans="1:34" x14ac:dyDescent="0.25">
      <c r="A37" s="86"/>
      <c r="B37" s="89" t="s">
        <v>75</v>
      </c>
      <c r="C37" s="90">
        <f t="shared" ref="C37:O37" si="14">SUM(C35:C36)</f>
        <v>27483.170000000013</v>
      </c>
      <c r="D37" s="90">
        <f t="shared" si="14"/>
        <v>-50605.609999999986</v>
      </c>
      <c r="E37" s="90">
        <f t="shared" si="14"/>
        <v>20390.24000000002</v>
      </c>
      <c r="F37" s="90">
        <f t="shared" si="14"/>
        <v>29441.260000000009</v>
      </c>
      <c r="G37" s="90">
        <f t="shared" si="14"/>
        <v>3024.2299999999959</v>
      </c>
      <c r="H37" s="90">
        <f t="shared" si="14"/>
        <v>-5929.9700000000012</v>
      </c>
      <c r="I37" s="90">
        <f t="shared" si="14"/>
        <v>-11199.400000000009</v>
      </c>
      <c r="J37" s="90">
        <f t="shared" si="14"/>
        <v>6744.3000000000029</v>
      </c>
      <c r="K37" s="90">
        <f t="shared" si="14"/>
        <v>-3815.0899999999965</v>
      </c>
      <c r="L37" s="90">
        <f t="shared" si="14"/>
        <v>-19282.520000000019</v>
      </c>
      <c r="M37" s="215">
        <f>-'WACAP 2017'!Q39</f>
        <v>-29054.270000000008</v>
      </c>
      <c r="N37" s="90">
        <f t="shared" si="14"/>
        <v>-374.51999999998952</v>
      </c>
      <c r="O37" s="111">
        <f t="shared" si="14"/>
        <v>11088.48000000001</v>
      </c>
      <c r="Q37" s="180">
        <f>SUM(C37:P37)-M37</f>
        <v>6964.5700000000543</v>
      </c>
    </row>
    <row r="38" spans="1:34" x14ac:dyDescent="0.25">
      <c r="A38" s="87"/>
      <c r="B38" s="89" t="s">
        <v>137</v>
      </c>
      <c r="C38" s="187">
        <f>ROUND(ROUND('WACAP 2017'!O40*C$5,2)/365*C$6,2)</f>
        <v>104.87</v>
      </c>
      <c r="D38" s="187">
        <f>ROUND(ROUND(C40*D$5,2)/365*D$6,2)</f>
        <v>184.67</v>
      </c>
      <c r="E38" s="187">
        <f t="shared" ref="E38:O38" si="15">ROUND(ROUND(D40*E$5,2)/365*E$6,2)</f>
        <v>22.46</v>
      </c>
      <c r="F38" s="187">
        <f t="shared" si="15"/>
        <v>97.85</v>
      </c>
      <c r="G38" s="187">
        <f t="shared" si="15"/>
        <v>213.26</v>
      </c>
      <c r="H38" s="187">
        <f t="shared" si="15"/>
        <v>218.27</v>
      </c>
      <c r="I38" s="187">
        <f t="shared" si="15"/>
        <v>213.9</v>
      </c>
      <c r="J38" s="187">
        <f t="shared" si="15"/>
        <v>170.14</v>
      </c>
      <c r="K38" s="187">
        <f t="shared" si="15"/>
        <v>191.31</v>
      </c>
      <c r="L38" s="187">
        <f t="shared" si="15"/>
        <v>193.8</v>
      </c>
      <c r="M38" s="208">
        <f>'Ammort Split 2018'!N38</f>
        <v>-1112.8499999999999</v>
      </c>
      <c r="N38" s="187">
        <f>ROUND(ROUND(M40*N$5,2)/365*N$6,2)</f>
        <v>-13.26</v>
      </c>
      <c r="O38" s="188">
        <f t="shared" si="15"/>
        <v>-15.33</v>
      </c>
      <c r="Q38" s="196">
        <f>SUM(C38:P38)</f>
        <v>469.09000000000009</v>
      </c>
    </row>
    <row r="39" spans="1:34" x14ac:dyDescent="0.25">
      <c r="A39" s="87"/>
      <c r="B39" s="89" t="s">
        <v>138</v>
      </c>
      <c r="C39" s="189">
        <f t="shared" ref="C39:O39" si="16">SUM(C37:C38)</f>
        <v>27588.040000000012</v>
      </c>
      <c r="D39" s="189">
        <f t="shared" si="16"/>
        <v>-50420.939999999988</v>
      </c>
      <c r="E39" s="189">
        <f t="shared" si="16"/>
        <v>20412.700000000019</v>
      </c>
      <c r="F39" s="189">
        <f t="shared" si="16"/>
        <v>29539.110000000008</v>
      </c>
      <c r="G39" s="189">
        <f t="shared" si="16"/>
        <v>3237.4899999999961</v>
      </c>
      <c r="H39" s="189">
        <f t="shared" si="16"/>
        <v>-5711.7000000000007</v>
      </c>
      <c r="I39" s="189">
        <f t="shared" si="16"/>
        <v>-10985.500000000009</v>
      </c>
      <c r="J39" s="189">
        <f t="shared" si="16"/>
        <v>6914.4400000000032</v>
      </c>
      <c r="K39" s="189">
        <f t="shared" si="16"/>
        <v>-3623.7799999999966</v>
      </c>
      <c r="L39" s="189">
        <f t="shared" si="16"/>
        <v>-19088.720000000019</v>
      </c>
      <c r="M39" s="209">
        <f t="shared" si="16"/>
        <v>-30167.120000000006</v>
      </c>
      <c r="N39" s="189">
        <f t="shared" si="16"/>
        <v>-387.77999999998951</v>
      </c>
      <c r="O39" s="190">
        <f t="shared" si="16"/>
        <v>11073.150000000011</v>
      </c>
      <c r="Q39" s="198">
        <f>SUM(Q37:Q38)</f>
        <v>7433.6600000000544</v>
      </c>
    </row>
    <row r="40" spans="1:34" x14ac:dyDescent="0.25">
      <c r="A40" s="87"/>
      <c r="B40" s="89" t="s">
        <v>139</v>
      </c>
      <c r="C40" s="90">
        <f>'WACAP 2017'!O40+'WACAP 2018'!C39</f>
        <v>56642.310000000034</v>
      </c>
      <c r="D40" s="90">
        <f t="shared" ref="D40:O40" si="17">C40+D39</f>
        <v>6221.3700000000463</v>
      </c>
      <c r="E40" s="90">
        <f t="shared" si="17"/>
        <v>26634.070000000065</v>
      </c>
      <c r="F40" s="90">
        <f t="shared" si="17"/>
        <v>56173.180000000073</v>
      </c>
      <c r="G40" s="90">
        <f t="shared" si="17"/>
        <v>59410.670000000071</v>
      </c>
      <c r="H40" s="90">
        <f t="shared" si="17"/>
        <v>53698.970000000074</v>
      </c>
      <c r="I40" s="90">
        <f t="shared" si="17"/>
        <v>42713.470000000067</v>
      </c>
      <c r="J40" s="90">
        <f t="shared" si="17"/>
        <v>49627.910000000069</v>
      </c>
      <c r="K40" s="90">
        <f t="shared" si="17"/>
        <v>46004.13000000007</v>
      </c>
      <c r="L40" s="90">
        <f t="shared" si="17"/>
        <v>26915.410000000051</v>
      </c>
      <c r="M40" s="207">
        <f t="shared" si="17"/>
        <v>-3251.7099999999555</v>
      </c>
      <c r="N40" s="90">
        <f t="shared" si="17"/>
        <v>-3639.4899999999452</v>
      </c>
      <c r="O40" s="191">
        <f t="shared" si="17"/>
        <v>7433.6600000000653</v>
      </c>
      <c r="Q40" s="178"/>
      <c r="U40" s="108">
        <f>ROUND(T45/Y45,0)</f>
        <v>145493</v>
      </c>
    </row>
    <row r="41" spans="1:34" x14ac:dyDescent="0.25">
      <c r="A41" s="86"/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207"/>
      <c r="N41" s="90"/>
      <c r="O41" s="111"/>
      <c r="Q41" s="178"/>
      <c r="S41" s="122"/>
      <c r="T41" s="108"/>
      <c r="U41" s="108">
        <f>ROUND(T46/Y46,0)</f>
        <v>148417</v>
      </c>
    </row>
    <row r="42" spans="1:34" x14ac:dyDescent="0.25">
      <c r="A42" s="86">
        <v>511</v>
      </c>
      <c r="B42" s="104" t="s">
        <v>85</v>
      </c>
      <c r="C42" s="113"/>
      <c r="D42" s="113"/>
      <c r="E42" s="108"/>
      <c r="F42" s="113"/>
      <c r="G42" s="113"/>
      <c r="H42" s="113"/>
      <c r="I42" s="113"/>
      <c r="J42" s="113"/>
      <c r="K42" s="113"/>
      <c r="L42" s="113"/>
      <c r="M42" s="204"/>
      <c r="N42" s="113"/>
      <c r="O42" s="115"/>
      <c r="Q42" s="178"/>
      <c r="T42">
        <v>511</v>
      </c>
      <c r="U42" s="108">
        <f>ROUND(T47/Y47,0)</f>
        <v>11382</v>
      </c>
      <c r="V42" s="108">
        <f>SUM(U38:U42)</f>
        <v>305292</v>
      </c>
      <c r="AC42" s="108">
        <v>25</v>
      </c>
      <c r="AE42" s="113"/>
    </row>
    <row r="43" spans="1:34" x14ac:dyDescent="0.25">
      <c r="A43" s="87" t="s">
        <v>64</v>
      </c>
      <c r="B43" t="s">
        <v>65</v>
      </c>
      <c r="C43" s="105">
        <v>14</v>
      </c>
      <c r="D43" s="105">
        <v>13</v>
      </c>
      <c r="E43" s="105">
        <v>13</v>
      </c>
      <c r="F43" s="105">
        <v>13</v>
      </c>
      <c r="G43" s="105">
        <v>13</v>
      </c>
      <c r="H43" s="105">
        <v>12</v>
      </c>
      <c r="I43" s="105">
        <v>12</v>
      </c>
      <c r="J43" s="105">
        <v>12</v>
      </c>
      <c r="K43" s="105">
        <v>12</v>
      </c>
      <c r="L43" s="105">
        <v>11</v>
      </c>
      <c r="M43" s="204"/>
      <c r="N43" s="105">
        <v>11</v>
      </c>
      <c r="O43" s="106">
        <v>13</v>
      </c>
      <c r="P43" s="108"/>
      <c r="Q43" s="180"/>
      <c r="U43" s="113">
        <v>305292</v>
      </c>
      <c r="V43" t="s">
        <v>92</v>
      </c>
      <c r="W43" s="113">
        <f>U43</f>
        <v>305292</v>
      </c>
      <c r="AC43" s="122"/>
      <c r="AD43" s="108">
        <f>SUM(J43*25)</f>
        <v>300</v>
      </c>
      <c r="AE43" s="108">
        <f>SUM(K43*25)</f>
        <v>300</v>
      </c>
      <c r="AF43" s="108">
        <f>SUM(L43*25)</f>
        <v>275</v>
      </c>
      <c r="AG43" s="108">
        <f>SUM(N43*25)</f>
        <v>275</v>
      </c>
      <c r="AH43" s="108">
        <f>SUM(O43*25)</f>
        <v>325</v>
      </c>
    </row>
    <row r="44" spans="1:34" x14ac:dyDescent="0.25">
      <c r="A44" s="87" t="s">
        <v>71</v>
      </c>
      <c r="B44" t="s">
        <v>117</v>
      </c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206"/>
      <c r="N44" s="116"/>
      <c r="O44" s="117"/>
      <c r="P44" s="108"/>
      <c r="Q44" s="180"/>
      <c r="S44" s="122" t="s">
        <v>90</v>
      </c>
      <c r="T44" s="108"/>
      <c r="U44" s="112"/>
      <c r="W44" s="112"/>
      <c r="AA44" s="112">
        <f>Y44-W44</f>
        <v>0</v>
      </c>
    </row>
    <row r="45" spans="1:34" x14ac:dyDescent="0.25">
      <c r="A45" s="87" t="s">
        <v>71</v>
      </c>
      <c r="B45" t="s">
        <v>98</v>
      </c>
      <c r="C45" s="116">
        <v>26518.880000000001</v>
      </c>
      <c r="D45" s="116">
        <v>23221.58</v>
      </c>
      <c r="E45" s="116">
        <v>21463.74</v>
      </c>
      <c r="F45" s="116">
        <v>22215.4</v>
      </c>
      <c r="G45" s="116">
        <v>15472.89</v>
      </c>
      <c r="H45" s="116">
        <v>13616.72</v>
      </c>
      <c r="I45" s="116">
        <v>15494.41</v>
      </c>
      <c r="J45" s="116">
        <v>15999.69</v>
      </c>
      <c r="K45" s="116">
        <v>13770.66</v>
      </c>
      <c r="L45" s="116">
        <v>22619.91</v>
      </c>
      <c r="M45" s="206"/>
      <c r="N45" s="116">
        <v>16667.36</v>
      </c>
      <c r="O45" s="117">
        <v>20849.150000000001</v>
      </c>
      <c r="P45" s="108"/>
      <c r="Q45" s="180"/>
      <c r="S45" s="122" t="s">
        <v>90</v>
      </c>
      <c r="T45" s="108">
        <v>20849.150000000001</v>
      </c>
      <c r="U45" s="112">
        <f>T45/U40</f>
        <v>0.143300021306867</v>
      </c>
      <c r="W45" s="112">
        <f>T45/U40</f>
        <v>0.143300021306867</v>
      </c>
      <c r="Y45">
        <v>0.14330000000000001</v>
      </c>
      <c r="AA45" s="112">
        <f>Y45-W45</f>
        <v>-2.1306866992976126E-8</v>
      </c>
    </row>
    <row r="46" spans="1:34" x14ac:dyDescent="0.25">
      <c r="A46" s="87" t="s">
        <v>71</v>
      </c>
      <c r="B46" t="s">
        <v>99</v>
      </c>
      <c r="C46" s="116">
        <v>20174.560000000001</v>
      </c>
      <c r="D46" s="116">
        <v>11080.85</v>
      </c>
      <c r="E46" s="116">
        <v>15521.03</v>
      </c>
      <c r="F46" s="116">
        <v>18979.78</v>
      </c>
      <c r="G46" s="116">
        <v>19055.68</v>
      </c>
      <c r="H46" s="116">
        <v>18557.689999999999</v>
      </c>
      <c r="I46" s="116">
        <v>16808.43</v>
      </c>
      <c r="J46" s="116">
        <v>16322.54</v>
      </c>
      <c r="K46" s="116">
        <v>15929.03</v>
      </c>
      <c r="L46" s="116">
        <v>28858.59</v>
      </c>
      <c r="M46" s="206"/>
      <c r="N46" s="116">
        <v>7547.76</v>
      </c>
      <c r="O46" s="117">
        <v>16302.12</v>
      </c>
      <c r="P46" s="108"/>
      <c r="Q46" s="180"/>
      <c r="S46" s="122" t="s">
        <v>90</v>
      </c>
      <c r="T46" s="108">
        <v>16302.12</v>
      </c>
      <c r="U46" s="112">
        <f>T46/U41</f>
        <v>0.10983997790010579</v>
      </c>
      <c r="W46" s="112">
        <f>T46/U41</f>
        <v>0.10983997790010579</v>
      </c>
      <c r="Y46">
        <v>0.10983999999999999</v>
      </c>
      <c r="AA46" s="112">
        <f>Y46-W46</f>
        <v>2.2099894206317749E-8</v>
      </c>
    </row>
    <row r="47" spans="1:34" x14ac:dyDescent="0.25">
      <c r="A47" s="87" t="s">
        <v>71</v>
      </c>
      <c r="B47" t="s">
        <v>100</v>
      </c>
      <c r="C47" s="95">
        <v>201.86</v>
      </c>
      <c r="D47" s="95">
        <v>162.09</v>
      </c>
      <c r="E47" s="95">
        <v>0</v>
      </c>
      <c r="F47" s="95">
        <v>488.25</v>
      </c>
      <c r="G47" s="95">
        <v>1071.18</v>
      </c>
      <c r="H47" s="95">
        <v>171.11</v>
      </c>
      <c r="I47" s="95">
        <v>34.53</v>
      </c>
      <c r="J47" s="95">
        <v>0</v>
      </c>
      <c r="K47" s="95">
        <v>0</v>
      </c>
      <c r="L47" s="95">
        <v>719.16</v>
      </c>
      <c r="M47" s="205"/>
      <c r="N47" s="95">
        <v>0</v>
      </c>
      <c r="O47" s="107">
        <v>308.33999999999997</v>
      </c>
      <c r="P47" s="108"/>
      <c r="Q47" s="180"/>
      <c r="S47" s="122" t="s">
        <v>90</v>
      </c>
      <c r="T47" s="108">
        <v>308.33999999999997</v>
      </c>
      <c r="U47" s="112">
        <f>T47/U42</f>
        <v>2.7090142329994727E-2</v>
      </c>
      <c r="W47" s="112">
        <f>T47/U42</f>
        <v>2.7090142329994727E-2</v>
      </c>
      <c r="Y47">
        <v>2.7089999999999999E-2</v>
      </c>
      <c r="AA47" s="112">
        <f>Y47-W47</f>
        <v>-1.4232999472757468E-7</v>
      </c>
    </row>
    <row r="48" spans="1:34" x14ac:dyDescent="0.25">
      <c r="A48" s="87"/>
      <c r="B48" s="89" t="s">
        <v>74</v>
      </c>
      <c r="C48" s="108">
        <f t="shared" ref="C48:O48" si="18">SUM(C44:C47)</f>
        <v>46895.3</v>
      </c>
      <c r="D48" s="108">
        <f t="shared" si="18"/>
        <v>34464.519999999997</v>
      </c>
      <c r="E48" s="108">
        <f t="shared" si="18"/>
        <v>36984.770000000004</v>
      </c>
      <c r="F48" s="108">
        <f t="shared" si="18"/>
        <v>41683.43</v>
      </c>
      <c r="G48" s="108">
        <f t="shared" si="18"/>
        <v>35599.75</v>
      </c>
      <c r="H48" s="108">
        <f t="shared" si="18"/>
        <v>32345.519999999997</v>
      </c>
      <c r="I48" s="108">
        <f t="shared" si="18"/>
        <v>32337.37</v>
      </c>
      <c r="J48" s="108">
        <f t="shared" si="18"/>
        <v>32322.230000000003</v>
      </c>
      <c r="K48" s="108">
        <f t="shared" si="18"/>
        <v>29699.690000000002</v>
      </c>
      <c r="L48" s="108">
        <f t="shared" si="18"/>
        <v>52197.66</v>
      </c>
      <c r="M48" s="206"/>
      <c r="N48" s="108">
        <f t="shared" si="18"/>
        <v>24215.120000000003</v>
      </c>
      <c r="O48" s="126">
        <f t="shared" si="18"/>
        <v>37459.61</v>
      </c>
      <c r="Q48" s="178"/>
      <c r="S48" s="122" t="s">
        <v>91</v>
      </c>
      <c r="T48" s="108">
        <v>128574.49</v>
      </c>
      <c r="U48" s="112">
        <f>T48/U43</f>
        <v>0.42115250317728603</v>
      </c>
      <c r="W48" s="112">
        <f>T48/W43</f>
        <v>0.42115250317728603</v>
      </c>
      <c r="Y48">
        <v>0.41949999999999998</v>
      </c>
      <c r="AA48" s="112">
        <f>Y48-W48</f>
        <v>-1.6525031772860466E-3</v>
      </c>
    </row>
    <row r="49" spans="1:34" x14ac:dyDescent="0.25">
      <c r="A49" s="87"/>
      <c r="B49" s="89" t="s">
        <v>73</v>
      </c>
      <c r="C49" s="88">
        <f>ROUND(-'Authorized Margins'!J73*'WACAP 2018'!C43,2)</f>
        <v>-28581.14</v>
      </c>
      <c r="D49" s="88">
        <f>ROUND(-'Authorized Margins'!K73*'WACAP 2018'!D43,2)</f>
        <v>-24226.02</v>
      </c>
      <c r="E49" s="88">
        <f>ROUND(-'Authorized Margins'!L73*'WACAP 2018'!E43,2)</f>
        <v>-29448.38</v>
      </c>
      <c r="F49" s="88">
        <f>ROUND(-'Authorized Margins'!M73*'WACAP 2018'!F43,2)</f>
        <v>-17553.64</v>
      </c>
      <c r="G49" s="88">
        <f>ROUND(-'Authorized Margins'!N73*'WACAP 2018'!G43,2)</f>
        <v>-14058.33</v>
      </c>
      <c r="H49" s="88">
        <f>ROUND(-'Authorized Margins'!O73*'WACAP 2018'!H43,2)</f>
        <v>-9224.76</v>
      </c>
      <c r="I49" s="88">
        <f>ROUND(-'Authorized Margins'!D73*'WACAP 2018'!I43,2)</f>
        <v>-6727.44</v>
      </c>
      <c r="J49" s="88">
        <f>ROUND(-'Authorized Margins 2018'!E16*'WACAP 2018'!J43,2)</f>
        <v>-9747.7199999999993</v>
      </c>
      <c r="K49" s="88">
        <f>ROUND(-'Authorized Margins 2018'!F16*'WACAP 2018'!K43,2)</f>
        <v>-9136.56</v>
      </c>
      <c r="L49" s="88">
        <f>ROUND(-'Authorized Margins 2018'!G16*'WACAP 2018'!L43,2)</f>
        <v>-9511.92</v>
      </c>
      <c r="M49" s="205"/>
      <c r="N49" s="88">
        <f>ROUND(-'Authorized Margins 2018'!H16*'WACAP 2018'!N43,2)</f>
        <v>-12788.82</v>
      </c>
      <c r="O49" s="110">
        <f>ROUND(-'Authorized Margins 2018'!I16*'WACAP 2018'!O43,2)</f>
        <v>-24477.18</v>
      </c>
      <c r="Q49" s="178"/>
    </row>
    <row r="50" spans="1:34" x14ac:dyDescent="0.25">
      <c r="A50" s="87"/>
      <c r="B50" s="89" t="s">
        <v>75</v>
      </c>
      <c r="C50" s="90">
        <f t="shared" ref="C50:O50" si="19">SUM(C48:C49)</f>
        <v>18314.160000000003</v>
      </c>
      <c r="D50" s="90">
        <f t="shared" si="19"/>
        <v>10238.499999999996</v>
      </c>
      <c r="E50" s="90">
        <f t="shared" si="19"/>
        <v>7536.3900000000031</v>
      </c>
      <c r="F50" s="90">
        <f t="shared" si="19"/>
        <v>24129.79</v>
      </c>
      <c r="G50" s="90">
        <f t="shared" si="19"/>
        <v>21541.42</v>
      </c>
      <c r="H50" s="90">
        <f t="shared" si="19"/>
        <v>23120.759999999995</v>
      </c>
      <c r="I50" s="90">
        <f t="shared" si="19"/>
        <v>25609.93</v>
      </c>
      <c r="J50" s="90">
        <f t="shared" si="19"/>
        <v>22574.510000000002</v>
      </c>
      <c r="K50" s="90">
        <f t="shared" si="19"/>
        <v>20563.130000000005</v>
      </c>
      <c r="L50" s="90">
        <f t="shared" si="19"/>
        <v>42685.740000000005</v>
      </c>
      <c r="M50" s="215">
        <f>-'WACAP 2017'!Q52</f>
        <v>-230373.36999999997</v>
      </c>
      <c r="N50" s="90">
        <f t="shared" si="19"/>
        <v>11426.300000000003</v>
      </c>
      <c r="O50" s="111">
        <f t="shared" si="19"/>
        <v>12982.43</v>
      </c>
      <c r="Q50" s="180">
        <f>SUM(C50:P50)-M50</f>
        <v>240723.06000000003</v>
      </c>
    </row>
    <row r="51" spans="1:34" x14ac:dyDescent="0.25">
      <c r="A51" s="87"/>
      <c r="B51" s="89" t="s">
        <v>137</v>
      </c>
      <c r="C51" s="187">
        <f>ROUND(ROUND('WACAP 2017'!O53*C$5,2)/365*C$6,2)</f>
        <v>831.55</v>
      </c>
      <c r="D51" s="187">
        <f>ROUND(ROUND(C53*D$5,2)/365*D$6,2)</f>
        <v>813.5</v>
      </c>
      <c r="E51" s="187">
        <f t="shared" ref="E51:O51" si="20">ROUND(ROUND(D53*E$5,2)/365*E$6,2)</f>
        <v>940.55</v>
      </c>
      <c r="F51" s="187">
        <f t="shared" si="20"/>
        <v>988.48</v>
      </c>
      <c r="G51" s="187">
        <f t="shared" si="20"/>
        <v>1116.78</v>
      </c>
      <c r="H51" s="187">
        <f t="shared" si="20"/>
        <v>1164</v>
      </c>
      <c r="I51" s="187">
        <f t="shared" si="20"/>
        <v>1358.74</v>
      </c>
      <c r="J51" s="187">
        <f t="shared" si="20"/>
        <v>1466.16</v>
      </c>
      <c r="K51" s="187">
        <f t="shared" si="20"/>
        <v>1511.54</v>
      </c>
      <c r="L51" s="187">
        <f t="shared" si="20"/>
        <v>1744.83</v>
      </c>
      <c r="M51" s="208">
        <f>'Ammort Split 2018'!N51</f>
        <v>-8823.7899999999991</v>
      </c>
      <c r="N51" s="187">
        <f>ROUND(ROUND(M53*N$5,2)/365*N$6,2)</f>
        <v>894.54</v>
      </c>
      <c r="O51" s="188">
        <f t="shared" si="20"/>
        <v>976.26</v>
      </c>
      <c r="Q51" s="196">
        <f>SUM(C51:P51)</f>
        <v>4983.1400000000003</v>
      </c>
    </row>
    <row r="52" spans="1:34" x14ac:dyDescent="0.25">
      <c r="A52" s="87"/>
      <c r="B52" s="89" t="s">
        <v>138</v>
      </c>
      <c r="C52" s="189">
        <f t="shared" ref="C52:O52" si="21">SUM(C50:C51)</f>
        <v>19145.710000000003</v>
      </c>
      <c r="D52" s="189">
        <f t="shared" si="21"/>
        <v>11051.999999999996</v>
      </c>
      <c r="E52" s="189">
        <f t="shared" si="21"/>
        <v>8476.9400000000023</v>
      </c>
      <c r="F52" s="189">
        <f t="shared" si="21"/>
        <v>25118.27</v>
      </c>
      <c r="G52" s="189">
        <f t="shared" si="21"/>
        <v>22658.199999999997</v>
      </c>
      <c r="H52" s="189">
        <f t="shared" si="21"/>
        <v>24284.759999999995</v>
      </c>
      <c r="I52" s="189">
        <f t="shared" si="21"/>
        <v>26968.670000000002</v>
      </c>
      <c r="J52" s="189">
        <f t="shared" si="21"/>
        <v>24040.670000000002</v>
      </c>
      <c r="K52" s="189">
        <f t="shared" si="21"/>
        <v>22074.670000000006</v>
      </c>
      <c r="L52" s="189">
        <f t="shared" si="21"/>
        <v>44430.570000000007</v>
      </c>
      <c r="M52" s="209">
        <f t="shared" si="21"/>
        <v>-239197.15999999997</v>
      </c>
      <c r="N52" s="189">
        <f t="shared" si="21"/>
        <v>12320.840000000004</v>
      </c>
      <c r="O52" s="190">
        <f t="shared" si="21"/>
        <v>13958.69</v>
      </c>
      <c r="Q52" s="198">
        <f>SUM(Q50:Q51)</f>
        <v>245706.20000000004</v>
      </c>
    </row>
    <row r="53" spans="1:34" x14ac:dyDescent="0.25">
      <c r="A53" s="87"/>
      <c r="B53" s="89" t="s">
        <v>139</v>
      </c>
      <c r="C53" s="90">
        <f>'WACAP 2017'!O53+'WACAP 2018'!C52</f>
        <v>249519.07999999996</v>
      </c>
      <c r="D53" s="90">
        <f t="shared" ref="D53:O53" si="22">C53+D52</f>
        <v>260571.07999999996</v>
      </c>
      <c r="E53" s="90">
        <f t="shared" si="22"/>
        <v>269048.01999999996</v>
      </c>
      <c r="F53" s="90">
        <f t="shared" si="22"/>
        <v>294166.28999999998</v>
      </c>
      <c r="G53" s="90">
        <f t="shared" si="22"/>
        <v>316824.49</v>
      </c>
      <c r="H53" s="90">
        <f t="shared" si="22"/>
        <v>341109.25</v>
      </c>
      <c r="I53" s="90">
        <f t="shared" si="22"/>
        <v>368077.92</v>
      </c>
      <c r="J53" s="90">
        <f t="shared" si="22"/>
        <v>392118.58999999997</v>
      </c>
      <c r="K53" s="90">
        <f t="shared" si="22"/>
        <v>414193.25999999995</v>
      </c>
      <c r="L53" s="90">
        <f t="shared" si="22"/>
        <v>458623.82999999996</v>
      </c>
      <c r="M53" s="207">
        <f t="shared" si="22"/>
        <v>219426.66999999998</v>
      </c>
      <c r="N53" s="90">
        <f t="shared" si="22"/>
        <v>231747.50999999998</v>
      </c>
      <c r="O53" s="191">
        <f t="shared" si="22"/>
        <v>245706.19999999998</v>
      </c>
      <c r="Q53" s="178"/>
    </row>
    <row r="54" spans="1:34" x14ac:dyDescent="0.25">
      <c r="A54" s="86"/>
      <c r="C54" s="113"/>
      <c r="D54" s="113"/>
      <c r="E54" s="108"/>
      <c r="F54" s="113"/>
      <c r="G54" s="113"/>
      <c r="H54" s="113"/>
      <c r="I54" s="113"/>
      <c r="J54" s="113"/>
      <c r="K54" s="113"/>
      <c r="L54" s="113"/>
      <c r="M54" s="204"/>
      <c r="N54" s="113"/>
      <c r="O54" s="115"/>
      <c r="Q54" s="178"/>
    </row>
    <row r="55" spans="1:34" x14ac:dyDescent="0.25">
      <c r="A55" s="86" t="s">
        <v>142</v>
      </c>
      <c r="B55" s="104" t="s">
        <v>86</v>
      </c>
      <c r="C55" s="113"/>
      <c r="D55" s="113"/>
      <c r="E55" s="108"/>
      <c r="F55" s="113"/>
      <c r="G55" s="113"/>
      <c r="H55" s="113"/>
      <c r="I55" s="113"/>
      <c r="J55" s="113"/>
      <c r="K55" s="113"/>
      <c r="L55" s="113"/>
      <c r="M55" s="204"/>
      <c r="N55" s="113"/>
      <c r="O55" s="115"/>
      <c r="Q55" s="178"/>
      <c r="T55">
        <v>504</v>
      </c>
      <c r="AC55" s="108">
        <v>3</v>
      </c>
    </row>
    <row r="56" spans="1:34" x14ac:dyDescent="0.25">
      <c r="A56" s="87" t="s">
        <v>64</v>
      </c>
      <c r="B56" t="s">
        <v>65</v>
      </c>
      <c r="C56" s="105">
        <v>1</v>
      </c>
      <c r="D56" s="105">
        <v>1</v>
      </c>
      <c r="E56" s="105">
        <v>1</v>
      </c>
      <c r="F56" s="105">
        <v>1</v>
      </c>
      <c r="G56" s="105">
        <v>1</v>
      </c>
      <c r="H56" s="105">
        <v>1</v>
      </c>
      <c r="I56" s="105">
        <v>1</v>
      </c>
      <c r="J56" s="105">
        <v>1</v>
      </c>
      <c r="K56" s="105">
        <v>1</v>
      </c>
      <c r="L56" s="105">
        <v>1</v>
      </c>
      <c r="M56" s="204"/>
      <c r="N56" s="105">
        <v>1</v>
      </c>
      <c r="O56" s="106">
        <v>1</v>
      </c>
      <c r="P56" s="113"/>
      <c r="Q56" s="179"/>
      <c r="U56" s="113">
        <v>4915</v>
      </c>
      <c r="V56" t="s">
        <v>92</v>
      </c>
      <c r="W56" s="113">
        <f>U56</f>
        <v>4915</v>
      </c>
      <c r="AD56" s="108">
        <f>SUM(J56*3)</f>
        <v>3</v>
      </c>
      <c r="AE56" s="108">
        <f>SUM(K56*3)</f>
        <v>3</v>
      </c>
      <c r="AF56" s="108">
        <f>SUM(L56*3)</f>
        <v>3</v>
      </c>
      <c r="AG56" s="108">
        <f>SUM(N56*3)</f>
        <v>3</v>
      </c>
      <c r="AH56" s="108">
        <f>SUM(O56*3)</f>
        <v>3</v>
      </c>
    </row>
    <row r="57" spans="1:34" x14ac:dyDescent="0.25">
      <c r="A57" s="87" t="s">
        <v>71</v>
      </c>
      <c r="B57" t="s">
        <v>70</v>
      </c>
      <c r="C57" s="116">
        <v>680.9</v>
      </c>
      <c r="D57" s="116">
        <v>1071.92</v>
      </c>
      <c r="E57" s="116">
        <v>1416.68</v>
      </c>
      <c r="F57" s="116">
        <v>1113.76</v>
      </c>
      <c r="G57" s="116">
        <v>694.68</v>
      </c>
      <c r="H57" s="116">
        <v>127.96</v>
      </c>
      <c r="I57" s="116">
        <v>107.78</v>
      </c>
      <c r="J57" s="116">
        <v>30.51</v>
      </c>
      <c r="K57" s="116">
        <v>36.56</v>
      </c>
      <c r="L57" s="116">
        <v>115.94</v>
      </c>
      <c r="M57" s="206"/>
      <c r="N57" s="116">
        <v>481.12</v>
      </c>
      <c r="O57" s="117">
        <v>801.64</v>
      </c>
      <c r="P57" s="108"/>
      <c r="Q57" s="180"/>
      <c r="S57" s="122" t="s">
        <v>90</v>
      </c>
      <c r="T57" s="108">
        <v>1137.43</v>
      </c>
      <c r="U57" s="112">
        <f>T57/U56</f>
        <v>0.23142014242115974</v>
      </c>
      <c r="W57" s="112">
        <f>T57/W56</f>
        <v>0.23142014242115974</v>
      </c>
      <c r="Y57">
        <v>0.23141999999999999</v>
      </c>
      <c r="AA57" s="112">
        <f t="shared" ref="AA57" si="23">Y57-W57</f>
        <v>-1.424211597544911E-7</v>
      </c>
    </row>
    <row r="58" spans="1:34" x14ac:dyDescent="0.25">
      <c r="A58" s="87" t="s">
        <v>72</v>
      </c>
      <c r="B58" t="s">
        <v>143</v>
      </c>
      <c r="C58" s="116">
        <v>1071.92</v>
      </c>
      <c r="D58" s="116">
        <v>1416.68</v>
      </c>
      <c r="E58" s="116">
        <v>1113.76</v>
      </c>
      <c r="F58" s="116">
        <v>694.68</v>
      </c>
      <c r="G58" s="116">
        <v>127.96</v>
      </c>
      <c r="H58" s="116">
        <v>107.78</v>
      </c>
      <c r="I58" s="116">
        <v>30.51</v>
      </c>
      <c r="J58" s="116">
        <v>36.56</v>
      </c>
      <c r="K58" s="116">
        <v>115.94</v>
      </c>
      <c r="L58" s="116">
        <v>481.12</v>
      </c>
      <c r="M58" s="206"/>
      <c r="N58" s="116">
        <v>801.64</v>
      </c>
      <c r="O58" s="117">
        <v>1137.43</v>
      </c>
      <c r="P58" s="108"/>
      <c r="Q58" s="180"/>
      <c r="S58" s="122" t="s">
        <v>91</v>
      </c>
      <c r="T58" s="108">
        <v>2128.88</v>
      </c>
      <c r="U58" s="112">
        <f>T58/U56</f>
        <v>0.43313936927772129</v>
      </c>
      <c r="W58" s="112">
        <f>T58/W56</f>
        <v>0.43313936927772129</v>
      </c>
      <c r="Y58">
        <v>0.43314000000000002</v>
      </c>
      <c r="AA58" s="112">
        <f>Y58-W58</f>
        <v>6.3072227873828268E-7</v>
      </c>
    </row>
    <row r="59" spans="1:34" x14ac:dyDescent="0.25">
      <c r="A59" s="87" t="s">
        <v>72</v>
      </c>
      <c r="B59" t="s">
        <v>144</v>
      </c>
      <c r="C59" s="95">
        <f>-'WACAP 2017'!O58</f>
        <v>-680.9</v>
      </c>
      <c r="D59" s="95">
        <f t="shared" ref="D59:L59" si="24">-C58</f>
        <v>-1071.92</v>
      </c>
      <c r="E59" s="95">
        <f t="shared" si="24"/>
        <v>-1416.68</v>
      </c>
      <c r="F59" s="95">
        <f t="shared" si="24"/>
        <v>-1113.76</v>
      </c>
      <c r="G59" s="95">
        <f t="shared" si="24"/>
        <v>-694.68</v>
      </c>
      <c r="H59" s="95">
        <f t="shared" si="24"/>
        <v>-127.96</v>
      </c>
      <c r="I59" s="95">
        <f t="shared" si="24"/>
        <v>-107.78</v>
      </c>
      <c r="J59" s="95">
        <f t="shared" si="24"/>
        <v>-30.51</v>
      </c>
      <c r="K59" s="95">
        <f t="shared" si="24"/>
        <v>-36.56</v>
      </c>
      <c r="L59" s="95">
        <f t="shared" si="24"/>
        <v>-115.94</v>
      </c>
      <c r="M59" s="205"/>
      <c r="N59" s="95">
        <f>-L58</f>
        <v>-481.12</v>
      </c>
      <c r="O59" s="107">
        <f>-N58</f>
        <v>-801.64</v>
      </c>
      <c r="P59" s="108"/>
      <c r="Q59" s="180"/>
      <c r="S59" s="122"/>
      <c r="T59" s="108"/>
      <c r="U59" s="112"/>
      <c r="W59" s="112"/>
      <c r="AA59" s="112"/>
    </row>
    <row r="60" spans="1:34" x14ac:dyDescent="0.25">
      <c r="A60" s="87"/>
      <c r="B60" s="89" t="s">
        <v>74</v>
      </c>
      <c r="C60" s="108">
        <f t="shared" ref="C60:E60" si="25">SUM(C57:C59)</f>
        <v>1071.92</v>
      </c>
      <c r="D60" s="108">
        <f t="shared" si="25"/>
        <v>1416.6800000000003</v>
      </c>
      <c r="E60" s="108">
        <f t="shared" si="25"/>
        <v>1113.76</v>
      </c>
      <c r="F60" s="108">
        <f>SUM(F57:F59)</f>
        <v>694.68000000000006</v>
      </c>
      <c r="G60" s="108">
        <f t="shared" ref="G60:O60" si="26">SUM(G57:G59)</f>
        <v>127.96000000000004</v>
      </c>
      <c r="H60" s="108">
        <f t="shared" si="26"/>
        <v>107.78000000000002</v>
      </c>
      <c r="I60" s="108">
        <f t="shared" si="26"/>
        <v>30.509999999999991</v>
      </c>
      <c r="J60" s="108">
        <f t="shared" si="26"/>
        <v>36.56</v>
      </c>
      <c r="K60" s="108">
        <f t="shared" si="26"/>
        <v>115.94</v>
      </c>
      <c r="L60" s="108">
        <f t="shared" si="26"/>
        <v>481.11999999999995</v>
      </c>
      <c r="M60" s="206"/>
      <c r="N60" s="108">
        <f t="shared" si="26"/>
        <v>801.64</v>
      </c>
      <c r="O60" s="109">
        <f t="shared" si="26"/>
        <v>1137.4300000000003</v>
      </c>
      <c r="Q60" s="178"/>
    </row>
    <row r="61" spans="1:34" x14ac:dyDescent="0.25">
      <c r="A61" s="87"/>
      <c r="B61" s="89" t="s">
        <v>73</v>
      </c>
      <c r="C61" s="88">
        <f>ROUND(-'Authorized Margins'!J47*'WACAP 2018'!C56,2)</f>
        <v>-123.03</v>
      </c>
      <c r="D61" s="88">
        <f>ROUND(-'Authorized Margins'!K47*'WACAP 2018'!D56,2)</f>
        <v>-101.99</v>
      </c>
      <c r="E61" s="88">
        <f>ROUND(-'Authorized Margins'!L47*'WACAP 2018'!E56,2)</f>
        <v>-82.09</v>
      </c>
      <c r="F61" s="88">
        <f>ROUND(-'Authorized Margins'!M47*'WACAP 2018'!F56,2)</f>
        <v>-52.56</v>
      </c>
      <c r="G61" s="88">
        <f>ROUND(-'Authorized Margins'!N47*'WACAP 2018'!G56,2)</f>
        <v>-36.19</v>
      </c>
      <c r="H61" s="88">
        <f>ROUND(-'Authorized Margins'!O47*'WACAP 2018'!H56,2)</f>
        <v>-28.49</v>
      </c>
      <c r="I61" s="88">
        <f>ROUND(-'Authorized Margins'!D47*'WACAP 2018'!I56,2)</f>
        <v>-26.96</v>
      </c>
      <c r="J61" s="88">
        <f>ROUND(-'Authorized Margins 2018'!E12*'WACAP 2018'!J56,2)</f>
        <v>-21.6</v>
      </c>
      <c r="K61" s="88">
        <f>ROUND(-'Authorized Margins 2018'!F12*'WACAP 2018'!K56,2)</f>
        <v>-32.049999999999997</v>
      </c>
      <c r="L61" s="88">
        <f>ROUND(-'Authorized Margins 2018'!G12*'WACAP 2018'!L56,2)</f>
        <v>-59.39</v>
      </c>
      <c r="M61" s="205"/>
      <c r="N61" s="88">
        <f>ROUND(-'Authorized Margins 2018'!H12*'WACAP 2018'!N56,2)</f>
        <v>-89.84</v>
      </c>
      <c r="O61" s="110">
        <f>ROUND(-'Authorized Margins 2018'!I12*'WACAP 2018'!O56,2)</f>
        <v>-127</v>
      </c>
      <c r="Q61" s="178"/>
    </row>
    <row r="62" spans="1:34" x14ac:dyDescent="0.25">
      <c r="A62" s="87"/>
      <c r="B62" s="89" t="s">
        <v>75</v>
      </c>
      <c r="C62" s="90">
        <f t="shared" ref="C62:O62" si="27">SUM(C60:C61)</f>
        <v>948.8900000000001</v>
      </c>
      <c r="D62" s="90">
        <f t="shared" si="27"/>
        <v>1314.6900000000003</v>
      </c>
      <c r="E62" s="90">
        <f t="shared" si="27"/>
        <v>1031.67</v>
      </c>
      <c r="F62" s="90">
        <f t="shared" si="27"/>
        <v>642.12000000000012</v>
      </c>
      <c r="G62" s="90">
        <f t="shared" si="27"/>
        <v>91.770000000000039</v>
      </c>
      <c r="H62" s="90">
        <f t="shared" si="27"/>
        <v>79.29000000000002</v>
      </c>
      <c r="I62" s="90">
        <f t="shared" si="27"/>
        <v>3.5499999999999901</v>
      </c>
      <c r="J62" s="90">
        <f t="shared" si="27"/>
        <v>14.96</v>
      </c>
      <c r="K62" s="90">
        <f t="shared" si="27"/>
        <v>83.89</v>
      </c>
      <c r="L62" s="90">
        <f t="shared" si="27"/>
        <v>421.72999999999996</v>
      </c>
      <c r="M62" s="215">
        <f>-'WACAP 2017'!Q64</f>
        <v>-856.04</v>
      </c>
      <c r="N62" s="90">
        <f t="shared" si="27"/>
        <v>711.8</v>
      </c>
      <c r="O62" s="111">
        <f t="shared" si="27"/>
        <v>1010.4300000000003</v>
      </c>
      <c r="Q62" s="180">
        <f>SUM(C62:P62)-M62</f>
        <v>6354.7900000000018</v>
      </c>
      <c r="T62">
        <v>948.8900000000001</v>
      </c>
    </row>
    <row r="63" spans="1:34" x14ac:dyDescent="0.25">
      <c r="A63" s="87"/>
      <c r="B63" s="89" t="s">
        <v>137</v>
      </c>
      <c r="C63" s="187">
        <f>ROUND(ROUND('WACAP 2017'!O65*C$5,2)/365*C$6,2)</f>
        <v>3.09</v>
      </c>
      <c r="D63" s="187">
        <f>ROUND(ROUND(C65*D$5,2)/365*D$6,2)</f>
        <v>5.89</v>
      </c>
      <c r="E63" s="187">
        <f t="shared" ref="E63:L63" si="28">ROUND(ROUND(D65*E$5,2)/365*E$6,2)</f>
        <v>11.29</v>
      </c>
      <c r="F63" s="187">
        <f t="shared" si="28"/>
        <v>15.33</v>
      </c>
      <c r="G63" s="187">
        <f t="shared" si="28"/>
        <v>18.329999999999998</v>
      </c>
      <c r="H63" s="187">
        <f t="shared" si="28"/>
        <v>18.149999999999999</v>
      </c>
      <c r="I63" s="187">
        <f t="shared" si="28"/>
        <v>20.059999999999999</v>
      </c>
      <c r="J63" s="187">
        <f t="shared" si="28"/>
        <v>20.16</v>
      </c>
      <c r="K63" s="187">
        <f t="shared" si="28"/>
        <v>19.64</v>
      </c>
      <c r="L63" s="187">
        <f t="shared" si="28"/>
        <v>21.9</v>
      </c>
      <c r="M63" s="208">
        <f>'Ammort Split 2018'!N63</f>
        <v>-32.79</v>
      </c>
      <c r="N63" s="187">
        <f>ROUND(ROUND(M65*N$5,2)/365*N$6,2)</f>
        <v>19.38</v>
      </c>
      <c r="O63" s="188">
        <f t="shared" ref="O63" si="29">ROUND(ROUND(N65*O$5,2)/365*O$6,2)</f>
        <v>23.11</v>
      </c>
      <c r="Q63" s="196">
        <f>SUM(C63:P63)</f>
        <v>163.54000000000002</v>
      </c>
      <c r="T63">
        <v>3.09</v>
      </c>
    </row>
    <row r="64" spans="1:34" x14ac:dyDescent="0.25">
      <c r="A64" s="87"/>
      <c r="B64" s="89" t="s">
        <v>138</v>
      </c>
      <c r="C64" s="189">
        <f t="shared" ref="C64:O64" si="30">SUM(C62:C63)</f>
        <v>951.98000000000013</v>
      </c>
      <c r="D64" s="189">
        <f t="shared" si="30"/>
        <v>1320.5800000000004</v>
      </c>
      <c r="E64" s="189">
        <f t="shared" si="30"/>
        <v>1042.96</v>
      </c>
      <c r="F64" s="189">
        <f t="shared" si="30"/>
        <v>657.45000000000016</v>
      </c>
      <c r="G64" s="189">
        <f t="shared" si="30"/>
        <v>110.10000000000004</v>
      </c>
      <c r="H64" s="189">
        <f t="shared" si="30"/>
        <v>97.440000000000026</v>
      </c>
      <c r="I64" s="189">
        <f t="shared" si="30"/>
        <v>23.609999999999989</v>
      </c>
      <c r="J64" s="189">
        <f t="shared" si="30"/>
        <v>35.120000000000005</v>
      </c>
      <c r="K64" s="189">
        <f t="shared" si="30"/>
        <v>103.53</v>
      </c>
      <c r="L64" s="189">
        <f t="shared" si="30"/>
        <v>443.62999999999994</v>
      </c>
      <c r="M64" s="209">
        <f t="shared" si="30"/>
        <v>-888.82999999999993</v>
      </c>
      <c r="N64" s="189">
        <f t="shared" si="30"/>
        <v>731.18</v>
      </c>
      <c r="O64" s="190">
        <f t="shared" si="30"/>
        <v>1033.5400000000002</v>
      </c>
      <c r="Q64" s="198">
        <f>SUM(Q62:Q63)</f>
        <v>6518.3300000000017</v>
      </c>
      <c r="T64">
        <v>951.98000000000013</v>
      </c>
    </row>
    <row r="65" spans="1:34" x14ac:dyDescent="0.25">
      <c r="A65" s="87"/>
      <c r="B65" s="89" t="s">
        <v>139</v>
      </c>
      <c r="C65" s="90">
        <f>'WACAP 2017'!O65+'WACAP 2018'!C64</f>
        <v>1808.02</v>
      </c>
      <c r="D65" s="90">
        <f t="shared" ref="D65:O65" si="31">C65+D64</f>
        <v>3128.6000000000004</v>
      </c>
      <c r="E65" s="90">
        <f t="shared" si="31"/>
        <v>4171.5600000000004</v>
      </c>
      <c r="F65" s="90">
        <f t="shared" si="31"/>
        <v>4829.01</v>
      </c>
      <c r="G65" s="90">
        <f t="shared" si="31"/>
        <v>4939.1100000000006</v>
      </c>
      <c r="H65" s="90">
        <f t="shared" si="31"/>
        <v>5036.55</v>
      </c>
      <c r="I65" s="90">
        <f t="shared" si="31"/>
        <v>5060.16</v>
      </c>
      <c r="J65" s="90">
        <f t="shared" si="31"/>
        <v>5095.28</v>
      </c>
      <c r="K65" s="90">
        <f t="shared" si="31"/>
        <v>5198.8099999999995</v>
      </c>
      <c r="L65" s="90">
        <f t="shared" si="31"/>
        <v>5642.44</v>
      </c>
      <c r="M65" s="207">
        <f t="shared" si="31"/>
        <v>4753.6099999999997</v>
      </c>
      <c r="N65" s="90">
        <f t="shared" si="31"/>
        <v>5484.79</v>
      </c>
      <c r="O65" s="191">
        <f t="shared" si="31"/>
        <v>6518.33</v>
      </c>
      <c r="Q65" s="178"/>
      <c r="T65">
        <v>1808.02</v>
      </c>
      <c r="U65" s="108">
        <f>1808.02-1805.56</f>
        <v>2.4600000000000364</v>
      </c>
    </row>
    <row r="66" spans="1:34" x14ac:dyDescent="0.25">
      <c r="A66" s="87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207"/>
      <c r="N66" s="90"/>
      <c r="O66" s="111"/>
      <c r="Q66" s="178"/>
      <c r="S66" s="122"/>
      <c r="T66" s="108"/>
      <c r="U66" s="108"/>
    </row>
    <row r="67" spans="1:34" x14ac:dyDescent="0.25">
      <c r="A67" s="86">
        <v>504</v>
      </c>
      <c r="B67" s="104" t="s">
        <v>86</v>
      </c>
      <c r="C67" s="113"/>
      <c r="D67" s="113"/>
      <c r="E67" s="108"/>
      <c r="F67" s="113"/>
      <c r="G67" s="113"/>
      <c r="H67" s="113"/>
      <c r="I67" s="113"/>
      <c r="J67" s="113"/>
      <c r="K67" s="113"/>
      <c r="L67" s="113"/>
      <c r="M67" s="204"/>
      <c r="N67" s="113"/>
      <c r="O67" s="115"/>
      <c r="Q67" s="178"/>
      <c r="T67">
        <v>504</v>
      </c>
      <c r="AC67" s="108">
        <v>3</v>
      </c>
    </row>
    <row r="68" spans="1:34" x14ac:dyDescent="0.25">
      <c r="A68" s="87" t="s">
        <v>64</v>
      </c>
      <c r="B68" t="s">
        <v>65</v>
      </c>
      <c r="C68" s="105">
        <v>26212</v>
      </c>
      <c r="D68" s="105">
        <v>26234</v>
      </c>
      <c r="E68" s="105">
        <v>26243</v>
      </c>
      <c r="F68" s="105">
        <v>26195</v>
      </c>
      <c r="G68" s="105">
        <v>26136</v>
      </c>
      <c r="H68" s="105">
        <v>26057</v>
      </c>
      <c r="I68" s="105">
        <v>26021</v>
      </c>
      <c r="J68" s="105">
        <v>26015</v>
      </c>
      <c r="K68" s="105">
        <v>26018</v>
      </c>
      <c r="L68" s="105">
        <v>26202</v>
      </c>
      <c r="M68" s="204"/>
      <c r="N68" s="105">
        <v>26397</v>
      </c>
      <c r="O68" s="106">
        <v>26496</v>
      </c>
      <c r="P68" s="113"/>
      <c r="Q68" s="179"/>
      <c r="U68" s="113">
        <v>11483089</v>
      </c>
      <c r="V68" t="s">
        <v>92</v>
      </c>
      <c r="W68" s="113">
        <f>U68</f>
        <v>11483089</v>
      </c>
      <c r="AD68" s="108">
        <f>SUM(J68*3)</f>
        <v>78045</v>
      </c>
      <c r="AE68" s="108">
        <f>SUM(K68*3)</f>
        <v>78054</v>
      </c>
      <c r="AF68" s="108">
        <f>SUM(L68*3)</f>
        <v>78606</v>
      </c>
      <c r="AG68" s="108">
        <f>SUM(N68*3)</f>
        <v>79191</v>
      </c>
      <c r="AH68" s="108">
        <f>SUM(O68*3)</f>
        <v>79488</v>
      </c>
    </row>
    <row r="69" spans="1:34" x14ac:dyDescent="0.25">
      <c r="A69" s="87" t="s">
        <v>71</v>
      </c>
      <c r="B69" t="s">
        <v>70</v>
      </c>
      <c r="C69" s="116">
        <v>3747378.62</v>
      </c>
      <c r="D69" s="116">
        <v>2679131.08</v>
      </c>
      <c r="E69" s="116">
        <v>3103331.87</v>
      </c>
      <c r="F69" s="116">
        <v>2141220</v>
      </c>
      <c r="G69" s="116">
        <v>1349757.98</v>
      </c>
      <c r="H69" s="116">
        <v>844546.7</v>
      </c>
      <c r="I69" s="116">
        <v>711414.76</v>
      </c>
      <c r="J69" s="116">
        <v>676165.17</v>
      </c>
      <c r="K69" s="116">
        <v>646022.94999999995</v>
      </c>
      <c r="L69" s="116">
        <v>987518.65</v>
      </c>
      <c r="M69" s="206"/>
      <c r="N69" s="116">
        <v>1426740.68</v>
      </c>
      <c r="O69" s="117">
        <v>2657414.36</v>
      </c>
      <c r="P69" s="108"/>
      <c r="Q69" s="180"/>
      <c r="S69" s="122" t="s">
        <v>90</v>
      </c>
      <c r="T69" s="108">
        <v>2657414.36</v>
      </c>
      <c r="U69" s="112">
        <f>T69/U68</f>
        <v>0.23141981743762499</v>
      </c>
      <c r="W69" s="112">
        <f>T69/W68</f>
        <v>0.23141981743762499</v>
      </c>
      <c r="Y69">
        <v>0.23141999999999999</v>
      </c>
      <c r="AA69" s="112">
        <f t="shared" ref="AA69" si="32">Y69-W69</f>
        <v>1.8256237499514327E-7</v>
      </c>
    </row>
    <row r="70" spans="1:34" x14ac:dyDescent="0.25">
      <c r="A70" s="87" t="s">
        <v>72</v>
      </c>
      <c r="B70" t="s">
        <v>114</v>
      </c>
      <c r="C70" s="124">
        <f>ROUND(ROUND(9146743*0.9044,0)*0.24608,2)</f>
        <v>2035651.03</v>
      </c>
      <c r="D70" s="124">
        <f>ROUND(ROUND(10687012*0.903,0)*0.24608,2)</f>
        <v>2374763.54</v>
      </c>
      <c r="E70" s="124">
        <f>ROUND(ROUND(7181224*0.9013,0)*0.24608,2)</f>
        <v>1592737.3</v>
      </c>
      <c r="F70" s="124">
        <f>ROUND(ROUND(4977541*0.8898,0)*0.24608,2)</f>
        <v>1089892.26</v>
      </c>
      <c r="G70" s="124">
        <f>ROUND(ROUND(2554573*0.8776,0)*0.24608,2)</f>
        <v>551685.03</v>
      </c>
      <c r="H70" s="124">
        <f>ROUND(ROUND(2530552*0.8711,0)*0.24608,2)</f>
        <v>542449.89</v>
      </c>
      <c r="I70" s="124">
        <f>ROUND(ROUND(2469451*0.8771,0)*0.24608,2)</f>
        <v>532998.21</v>
      </c>
      <c r="J70" s="124">
        <f>ROUND(ROUND(1246891*0.8762,0)*0.23142,2)</f>
        <v>252832.37</v>
      </c>
      <c r="K70" s="124">
        <f>ROUND(ROUND(2233399*0.8787,0)*0.23142,2)</f>
        <v>454158.97</v>
      </c>
      <c r="L70" s="124">
        <f>ROUND(ROUND(4424005*0.8633,0)*0.23142,2)</f>
        <v>883849.45</v>
      </c>
      <c r="M70" s="206"/>
      <c r="N70" s="124">
        <f>ROUND(ROUND(8615742*0.886,0)*0.23142,2)</f>
        <v>1766555.45</v>
      </c>
      <c r="O70" s="124">
        <f>ROUND(ROUND(10228218*0.8923,0)*0.23142,2)</f>
        <v>2112086.7999999998</v>
      </c>
      <c r="P70" s="108"/>
      <c r="Q70" s="180"/>
      <c r="S70" s="122" t="s">
        <v>91</v>
      </c>
      <c r="T70" s="108">
        <v>4981768.76</v>
      </c>
      <c r="U70" s="112">
        <f>T70/U68</f>
        <v>0.43383524764111814</v>
      </c>
      <c r="W70" s="112">
        <f>T70/W68</f>
        <v>0.43383524764111814</v>
      </c>
      <c r="Y70">
        <v>0.43314000000000002</v>
      </c>
      <c r="AA70" s="112">
        <f>Y70-W70</f>
        <v>-6.9524764111811299E-4</v>
      </c>
    </row>
    <row r="71" spans="1:34" x14ac:dyDescent="0.25">
      <c r="A71" s="87" t="s">
        <v>72</v>
      </c>
      <c r="B71" t="s">
        <v>115</v>
      </c>
      <c r="C71" s="95">
        <f>-'WACAP 2017'!O70</f>
        <v>-2621765.6</v>
      </c>
      <c r="D71" s="95">
        <f t="shared" ref="D71:E71" si="33">-C70</f>
        <v>-2035651.03</v>
      </c>
      <c r="E71" s="95">
        <f t="shared" si="33"/>
        <v>-2374763.54</v>
      </c>
      <c r="F71" s="95">
        <f>-E70</f>
        <v>-1592737.3</v>
      </c>
      <c r="G71" s="95">
        <f>-F70</f>
        <v>-1089892.26</v>
      </c>
      <c r="H71" s="95">
        <f>-G70</f>
        <v>-551685.03</v>
      </c>
      <c r="I71" s="95">
        <f>-H70</f>
        <v>-542449.89</v>
      </c>
      <c r="J71" s="95">
        <f t="shared" ref="J71:L71" si="34">-I70</f>
        <v>-532998.21</v>
      </c>
      <c r="K71" s="95">
        <f t="shared" si="34"/>
        <v>-252832.37</v>
      </c>
      <c r="L71" s="95">
        <f t="shared" si="34"/>
        <v>-454158.97</v>
      </c>
      <c r="M71" s="205"/>
      <c r="N71" s="95">
        <f>-L70</f>
        <v>-883849.45</v>
      </c>
      <c r="O71" s="107">
        <f>-N70</f>
        <v>-1766555.45</v>
      </c>
      <c r="P71" s="108"/>
      <c r="Q71" s="180"/>
      <c r="S71" s="122"/>
      <c r="T71" s="108"/>
      <c r="U71" s="112"/>
      <c r="W71" s="112"/>
      <c r="AA71" s="112"/>
    </row>
    <row r="72" spans="1:34" x14ac:dyDescent="0.25">
      <c r="A72" s="87"/>
      <c r="B72" s="89" t="s">
        <v>74</v>
      </c>
      <c r="C72" s="108">
        <f t="shared" ref="C72:O72" si="35">SUM(C69:C71)</f>
        <v>3161264.0500000003</v>
      </c>
      <c r="D72" s="108">
        <f t="shared" si="35"/>
        <v>3018243.59</v>
      </c>
      <c r="E72" s="108">
        <f t="shared" si="35"/>
        <v>2321305.63</v>
      </c>
      <c r="F72" s="108">
        <f>SUM(F69:F71)</f>
        <v>1638374.9599999997</v>
      </c>
      <c r="G72" s="108">
        <f t="shared" si="35"/>
        <v>811550.75</v>
      </c>
      <c r="H72" s="108">
        <f t="shared" si="35"/>
        <v>835311.55999999982</v>
      </c>
      <c r="I72" s="108">
        <f t="shared" si="35"/>
        <v>701963.08</v>
      </c>
      <c r="J72" s="108">
        <f t="shared" ref="J72:N72" si="36">SUM(J69:J71)</f>
        <v>395999.33000000007</v>
      </c>
      <c r="K72" s="108">
        <f t="shared" si="36"/>
        <v>847349.54999999993</v>
      </c>
      <c r="L72" s="108">
        <f t="shared" si="36"/>
        <v>1417209.1300000001</v>
      </c>
      <c r="M72" s="206"/>
      <c r="N72" s="108">
        <f t="shared" si="36"/>
        <v>2309446.6799999997</v>
      </c>
      <c r="O72" s="109">
        <f t="shared" si="35"/>
        <v>3002945.71</v>
      </c>
      <c r="Q72" s="178"/>
    </row>
    <row r="73" spans="1:34" x14ac:dyDescent="0.25">
      <c r="A73" s="87"/>
      <c r="B73" s="89" t="s">
        <v>73</v>
      </c>
      <c r="C73" s="88">
        <f>ROUND(-'Authorized Margins'!J47*'WACAP 2018'!C68,2)</f>
        <v>-3224862.36</v>
      </c>
      <c r="D73" s="88">
        <f>ROUND(-'Authorized Margins'!K47*'WACAP 2018'!D68,2)</f>
        <v>-2675605.66</v>
      </c>
      <c r="E73" s="88">
        <f>ROUND(-'Authorized Margins'!L47*'WACAP 2018'!E68,2)</f>
        <v>-2154287.87</v>
      </c>
      <c r="F73" s="88">
        <f>ROUND(-'Authorized Margins'!M47*'WACAP 2018'!F68,2)</f>
        <v>-1376809.2</v>
      </c>
      <c r="G73" s="88">
        <f>ROUND(-'Authorized Margins'!N47*'WACAP 2018'!G68,2)</f>
        <v>-945861.84</v>
      </c>
      <c r="H73" s="88">
        <f>ROUND(-'Authorized Margins'!O47*'WACAP 2018'!H68,2)</f>
        <v>-742363.93</v>
      </c>
      <c r="I73" s="88">
        <f>ROUND(-'Authorized Margins'!D47*'WACAP 2018'!I68,2)</f>
        <v>-701526.16</v>
      </c>
      <c r="J73" s="88">
        <f>ROUND(-'Authorized Margins 2018'!E12*'WACAP 2018'!J68,2)</f>
        <v>-561924</v>
      </c>
      <c r="K73" s="88">
        <f>ROUND(-'Authorized Margins 2018'!F12*'WACAP 2018'!K68,2)</f>
        <v>-833876.9</v>
      </c>
      <c r="L73" s="88">
        <f>ROUND(-'Authorized Margins 2018'!G12*'WACAP 2018'!L68,2)</f>
        <v>-1556136.78</v>
      </c>
      <c r="M73" s="205"/>
      <c r="N73" s="88">
        <f>ROUND(-'Authorized Margins 2018'!H12*'WACAP 2018'!N68,2)</f>
        <v>-2371506.48</v>
      </c>
      <c r="O73" s="110">
        <f>ROUND(-'Authorized Margins 2018'!I12*'WACAP 2018'!O68,2)</f>
        <v>-3364992</v>
      </c>
      <c r="Q73" s="178"/>
    </row>
    <row r="74" spans="1:34" x14ac:dyDescent="0.25">
      <c r="A74" s="87"/>
      <c r="B74" s="89" t="s">
        <v>75</v>
      </c>
      <c r="C74" s="90">
        <f t="shared" ref="C74:O74" si="37">SUM(C72:C73)</f>
        <v>-63598.30999999959</v>
      </c>
      <c r="D74" s="90">
        <f t="shared" si="37"/>
        <v>342637.9299999997</v>
      </c>
      <c r="E74" s="90">
        <f t="shared" si="37"/>
        <v>167017.75999999978</v>
      </c>
      <c r="F74" s="90">
        <f t="shared" si="37"/>
        <v>261565.75999999978</v>
      </c>
      <c r="G74" s="90">
        <f t="shared" si="37"/>
        <v>-134311.08999999997</v>
      </c>
      <c r="H74" s="90">
        <f t="shared" si="37"/>
        <v>92947.629999999772</v>
      </c>
      <c r="I74" s="90">
        <f t="shared" si="37"/>
        <v>436.91999999992549</v>
      </c>
      <c r="J74" s="90">
        <f t="shared" si="37"/>
        <v>-165924.66999999993</v>
      </c>
      <c r="K74" s="90">
        <f t="shared" si="37"/>
        <v>13472.649999999907</v>
      </c>
      <c r="L74" s="90">
        <f t="shared" si="37"/>
        <v>-138927.64999999991</v>
      </c>
      <c r="M74" s="215">
        <f>-'WACAP 2017'!Q76</f>
        <v>-2543595.8700000015</v>
      </c>
      <c r="N74" s="90">
        <f t="shared" si="37"/>
        <v>-62059.800000000279</v>
      </c>
      <c r="O74" s="111">
        <f t="shared" si="37"/>
        <v>-362046.29000000004</v>
      </c>
      <c r="Q74" s="180">
        <f>SUM(C74:P74)-M74</f>
        <v>-48789.16000000108</v>
      </c>
    </row>
    <row r="75" spans="1:34" x14ac:dyDescent="0.25">
      <c r="A75" s="87"/>
      <c r="B75" s="89" t="s">
        <v>137</v>
      </c>
      <c r="C75" s="187">
        <f>ROUND(ROUND('WACAP 2017'!O77*C$5,2)/365*C$6,2)</f>
        <v>9181.34</v>
      </c>
      <c r="D75" s="187">
        <f>ROUND(ROUND(C77*D$5,2)/365*D$6,2)</f>
        <v>8115.4</v>
      </c>
      <c r="E75" s="199">
        <f>ROUND(ROUND(D77*E$5,2)/365*E$6,2)+0.01</f>
        <v>10251</v>
      </c>
      <c r="F75" s="187">
        <f t="shared" ref="F75:O75" si="38">ROUND(ROUND(E77*F$5,2)/365*F$6,2)</f>
        <v>11085.11</v>
      </c>
      <c r="G75" s="187">
        <f t="shared" si="38"/>
        <v>12489.72</v>
      </c>
      <c r="H75" s="187">
        <f t="shared" si="38"/>
        <v>11639.26</v>
      </c>
      <c r="I75" s="187">
        <f t="shared" si="38"/>
        <v>13035.78</v>
      </c>
      <c r="J75" s="187">
        <f t="shared" si="38"/>
        <v>13089.44</v>
      </c>
      <c r="K75" s="187">
        <f t="shared" si="38"/>
        <v>12078.05</v>
      </c>
      <c r="L75" s="187">
        <f t="shared" si="38"/>
        <v>13306.79</v>
      </c>
      <c r="M75" s="208">
        <f>'Ammort Split 2018'!N75</f>
        <v>-97425.049999999988</v>
      </c>
      <c r="N75" s="187">
        <f>ROUND(ROUND(M77*N$5,2)/365*N$6,2)</f>
        <v>1598.74</v>
      </c>
      <c r="O75" s="188">
        <f t="shared" si="38"/>
        <v>1397.33</v>
      </c>
      <c r="Q75" s="196">
        <f>SUM(C75:P75)</f>
        <v>19842.910000000025</v>
      </c>
    </row>
    <row r="76" spans="1:34" x14ac:dyDescent="0.25">
      <c r="A76" s="87"/>
      <c r="B76" s="89" t="s">
        <v>138</v>
      </c>
      <c r="C76" s="189">
        <f t="shared" ref="C76:O76" si="39">SUM(C74:C75)</f>
        <v>-54416.969999999594</v>
      </c>
      <c r="D76" s="189">
        <f t="shared" si="39"/>
        <v>350753.32999999973</v>
      </c>
      <c r="E76" s="189">
        <f t="shared" si="39"/>
        <v>177268.75999999978</v>
      </c>
      <c r="F76" s="189">
        <f t="shared" si="39"/>
        <v>272650.86999999976</v>
      </c>
      <c r="G76" s="189">
        <f t="shared" si="39"/>
        <v>-121821.36999999997</v>
      </c>
      <c r="H76" s="189">
        <f t="shared" si="39"/>
        <v>104586.88999999977</v>
      </c>
      <c r="I76" s="189">
        <f t="shared" si="39"/>
        <v>13472.699999999926</v>
      </c>
      <c r="J76" s="189">
        <f t="shared" si="39"/>
        <v>-152835.22999999992</v>
      </c>
      <c r="K76" s="189">
        <f t="shared" si="39"/>
        <v>25550.699999999906</v>
      </c>
      <c r="L76" s="189">
        <f t="shared" si="39"/>
        <v>-125620.8599999999</v>
      </c>
      <c r="M76" s="209">
        <f t="shared" si="39"/>
        <v>-2641020.9200000013</v>
      </c>
      <c r="N76" s="189">
        <f t="shared" si="39"/>
        <v>-60461.060000000281</v>
      </c>
      <c r="O76" s="190">
        <f t="shared" si="39"/>
        <v>-360648.96000000002</v>
      </c>
      <c r="Q76" s="198">
        <f>SUM(Q74:Q75)</f>
        <v>-28946.250000001055</v>
      </c>
    </row>
    <row r="77" spans="1:34" x14ac:dyDescent="0.25">
      <c r="A77" s="87"/>
      <c r="B77" s="89" t="s">
        <v>139</v>
      </c>
      <c r="C77" s="90">
        <f>'WACAP 2017'!O77+'WACAP 2018'!C76</f>
        <v>2489178.9000000018</v>
      </c>
      <c r="D77" s="90">
        <f t="shared" ref="D77:O77" si="40">C77+D76</f>
        <v>2839932.2300000014</v>
      </c>
      <c r="E77" s="90">
        <f t="shared" si="40"/>
        <v>3017200.9900000012</v>
      </c>
      <c r="F77" s="90">
        <f t="shared" si="40"/>
        <v>3289851.8600000008</v>
      </c>
      <c r="G77" s="90">
        <f t="shared" si="40"/>
        <v>3168030.4900000007</v>
      </c>
      <c r="H77" s="90">
        <f t="shared" si="40"/>
        <v>3272617.3800000004</v>
      </c>
      <c r="I77" s="90">
        <f t="shared" si="40"/>
        <v>3286090.08</v>
      </c>
      <c r="J77" s="90">
        <f t="shared" si="40"/>
        <v>3133254.85</v>
      </c>
      <c r="K77" s="90">
        <f t="shared" si="40"/>
        <v>3158805.55</v>
      </c>
      <c r="L77" s="90">
        <f t="shared" si="40"/>
        <v>3033184.69</v>
      </c>
      <c r="M77" s="207">
        <f t="shared" si="40"/>
        <v>392163.76999999862</v>
      </c>
      <c r="N77" s="90">
        <f t="shared" si="40"/>
        <v>331702.70999999833</v>
      </c>
      <c r="O77" s="191">
        <f t="shared" si="40"/>
        <v>-28946.250000001688</v>
      </c>
      <c r="Q77" s="178"/>
      <c r="U77" s="108">
        <f>ROUND(T82/Y82,0)</f>
        <v>884588</v>
      </c>
    </row>
    <row r="78" spans="1:34" x14ac:dyDescent="0.25">
      <c r="A78" s="87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207"/>
      <c r="N78" s="90"/>
      <c r="O78" s="111"/>
      <c r="Q78" s="178"/>
      <c r="S78" s="122"/>
      <c r="T78" s="108"/>
      <c r="U78" s="108">
        <f>ROUND(T83/Y83,0)</f>
        <v>335987</v>
      </c>
    </row>
    <row r="79" spans="1:34" x14ac:dyDescent="0.25">
      <c r="A79" s="86">
        <v>511</v>
      </c>
      <c r="B79" s="104" t="s">
        <v>86</v>
      </c>
      <c r="C79" s="113"/>
      <c r="D79" s="113"/>
      <c r="E79" s="108"/>
      <c r="F79" s="113"/>
      <c r="G79" s="113"/>
      <c r="H79" s="113"/>
      <c r="I79" s="113"/>
      <c r="J79" s="113"/>
      <c r="K79" s="113"/>
      <c r="L79" s="113"/>
      <c r="M79" s="204"/>
      <c r="N79" s="113"/>
      <c r="O79" s="115"/>
      <c r="Q79" s="178"/>
      <c r="T79">
        <v>511</v>
      </c>
      <c r="U79" s="108">
        <f>ROUND(T84/Y84,0)</f>
        <v>163071</v>
      </c>
      <c r="V79" s="108">
        <f>SUM(U75:U79)</f>
        <v>1383646</v>
      </c>
      <c r="AC79" s="108">
        <v>25</v>
      </c>
      <c r="AE79" s="113"/>
    </row>
    <row r="80" spans="1:34" x14ac:dyDescent="0.25">
      <c r="A80" s="87" t="s">
        <v>64</v>
      </c>
      <c r="B80" t="s">
        <v>65</v>
      </c>
      <c r="C80" s="105">
        <v>73</v>
      </c>
      <c r="D80" s="105">
        <v>73</v>
      </c>
      <c r="E80" s="105">
        <v>73</v>
      </c>
      <c r="F80" s="105">
        <v>73</v>
      </c>
      <c r="G80" s="105">
        <v>73</v>
      </c>
      <c r="H80" s="105">
        <v>73</v>
      </c>
      <c r="I80" s="105">
        <v>73</v>
      </c>
      <c r="J80" s="105">
        <v>73</v>
      </c>
      <c r="K80" s="105">
        <v>74</v>
      </c>
      <c r="L80" s="105">
        <v>74</v>
      </c>
      <c r="M80" s="204"/>
      <c r="N80" s="105">
        <v>74</v>
      </c>
      <c r="O80" s="106">
        <v>74</v>
      </c>
      <c r="P80" s="113"/>
      <c r="Q80" s="179"/>
      <c r="U80" s="113">
        <v>1383646</v>
      </c>
      <c r="V80" t="s">
        <v>92</v>
      </c>
      <c r="W80" s="113">
        <f>U80</f>
        <v>1383646</v>
      </c>
      <c r="AC80" s="122"/>
      <c r="AD80" s="108">
        <f>SUM(J80*25)</f>
        <v>1825</v>
      </c>
      <c r="AE80" s="108">
        <f>SUM(K80*25)</f>
        <v>1850</v>
      </c>
      <c r="AF80" s="108">
        <f>SUM(L80*25)</f>
        <v>1850</v>
      </c>
      <c r="AG80" s="108">
        <f>SUM(N80*25)</f>
        <v>1850</v>
      </c>
      <c r="AH80" s="108">
        <f>SUM(O80*25)</f>
        <v>1850</v>
      </c>
    </row>
    <row r="81" spans="1:27" x14ac:dyDescent="0.25">
      <c r="A81" s="87" t="s">
        <v>71</v>
      </c>
      <c r="B81" t="s">
        <v>117</v>
      </c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206"/>
      <c r="N81" s="116"/>
      <c r="O81" s="117"/>
      <c r="P81" s="108"/>
      <c r="Q81" s="180"/>
      <c r="S81" s="122" t="s">
        <v>90</v>
      </c>
      <c r="T81" s="108"/>
      <c r="U81" s="112"/>
      <c r="W81" s="112"/>
      <c r="AA81" s="112">
        <f>Y81-W81</f>
        <v>0</v>
      </c>
    </row>
    <row r="82" spans="1:27" x14ac:dyDescent="0.25">
      <c r="A82" s="87" t="s">
        <v>71</v>
      </c>
      <c r="B82" t="s">
        <v>98</v>
      </c>
      <c r="C82" s="116">
        <v>156434.76999999999</v>
      </c>
      <c r="D82" s="116">
        <v>125400.08</v>
      </c>
      <c r="E82" s="116">
        <v>138393.04</v>
      </c>
      <c r="F82" s="116">
        <v>109323.28</v>
      </c>
      <c r="G82" s="116">
        <v>81596.990000000005</v>
      </c>
      <c r="H82" s="116">
        <v>54885.69</v>
      </c>
      <c r="I82" s="116">
        <v>42887.62</v>
      </c>
      <c r="J82" s="116">
        <v>39296.639999999999</v>
      </c>
      <c r="K82" s="116">
        <v>38739.699999999997</v>
      </c>
      <c r="L82" s="116">
        <v>59100.5</v>
      </c>
      <c r="M82" s="206"/>
      <c r="N82" s="116">
        <v>83177.59</v>
      </c>
      <c r="O82" s="117">
        <v>126761.43</v>
      </c>
      <c r="P82" s="108"/>
      <c r="Q82" s="180"/>
      <c r="S82" s="122" t="s">
        <v>90</v>
      </c>
      <c r="T82" s="108">
        <v>126761.43</v>
      </c>
      <c r="U82" s="112">
        <f>T82/U77</f>
        <v>0.14329996563371875</v>
      </c>
      <c r="W82" s="112">
        <f>T82/U77</f>
        <v>0.14329996563371875</v>
      </c>
      <c r="Y82">
        <v>0.14330000000000001</v>
      </c>
      <c r="AA82" s="112">
        <f>Y82-W82</f>
        <v>3.4366281265185705E-8</v>
      </c>
    </row>
    <row r="83" spans="1:27" x14ac:dyDescent="0.25">
      <c r="A83" s="87" t="s">
        <v>71</v>
      </c>
      <c r="B83" t="s">
        <v>99</v>
      </c>
      <c r="C83" s="116">
        <v>43222.92</v>
      </c>
      <c r="D83" s="116">
        <v>29445.74</v>
      </c>
      <c r="E83" s="116">
        <v>38243.29</v>
      </c>
      <c r="F83" s="116">
        <v>31287.71</v>
      </c>
      <c r="G83" s="116">
        <v>21248.27</v>
      </c>
      <c r="H83" s="116">
        <v>15449.41</v>
      </c>
      <c r="I83" s="116">
        <v>13031.72</v>
      </c>
      <c r="J83" s="116">
        <v>14312.45</v>
      </c>
      <c r="K83" s="116">
        <v>12517.83</v>
      </c>
      <c r="L83" s="116">
        <v>26865.67</v>
      </c>
      <c r="M83" s="206"/>
      <c r="N83" s="116">
        <v>18089.310000000001</v>
      </c>
      <c r="O83" s="117">
        <v>36904.800000000003</v>
      </c>
      <c r="P83" s="108"/>
      <c r="Q83" s="180"/>
      <c r="S83" s="122" t="s">
        <v>90</v>
      </c>
      <c r="T83" s="108">
        <v>36904.800000000003</v>
      </c>
      <c r="U83" s="112">
        <f>T83/U78</f>
        <v>0.10983996404622799</v>
      </c>
      <c r="W83" s="112">
        <f>T83/U78</f>
        <v>0.10983996404622799</v>
      </c>
      <c r="Y83">
        <v>0.10983999999999999</v>
      </c>
      <c r="AA83" s="112">
        <f>Y83-W83</f>
        <v>3.5953772001273698E-8</v>
      </c>
    </row>
    <row r="84" spans="1:27" x14ac:dyDescent="0.25">
      <c r="A84" s="87" t="s">
        <v>71</v>
      </c>
      <c r="B84" t="s">
        <v>100</v>
      </c>
      <c r="C84" s="116">
        <v>4269.8500000000004</v>
      </c>
      <c r="D84" s="116">
        <v>1539.46</v>
      </c>
      <c r="E84" s="116">
        <v>2685.1</v>
      </c>
      <c r="F84" s="116">
        <v>1578.77</v>
      </c>
      <c r="G84" s="116">
        <v>639.82000000000005</v>
      </c>
      <c r="H84" s="116">
        <v>0</v>
      </c>
      <c r="I84" s="116">
        <v>0</v>
      </c>
      <c r="J84" s="116">
        <v>0</v>
      </c>
      <c r="K84" s="116">
        <v>0</v>
      </c>
      <c r="L84" s="116">
        <v>477.16</v>
      </c>
      <c r="M84" s="206"/>
      <c r="N84" s="116">
        <v>1262.75</v>
      </c>
      <c r="O84" s="117">
        <v>4417.59</v>
      </c>
      <c r="P84" s="108"/>
      <c r="Q84" s="180"/>
      <c r="S84" s="122" t="s">
        <v>90</v>
      </c>
      <c r="T84" s="108">
        <v>4417.59</v>
      </c>
      <c r="U84" s="112">
        <f>T84/U79</f>
        <v>2.7089979211509099E-2</v>
      </c>
      <c r="W84" s="112">
        <f>T84/U79</f>
        <v>2.7089979211509099E-2</v>
      </c>
      <c r="Y84">
        <v>2.7089999999999999E-2</v>
      </c>
      <c r="AA84" s="112">
        <f t="shared" ref="AA84" si="41">Y84-W84</f>
        <v>2.0788490900924828E-8</v>
      </c>
    </row>
    <row r="85" spans="1:27" x14ac:dyDescent="0.25">
      <c r="A85" s="87" t="s">
        <v>72</v>
      </c>
      <c r="B85" t="s">
        <v>114</v>
      </c>
      <c r="C85" s="124">
        <f>ROUND(ROUND(9146743*0.0956,0)*0.11295,2)</f>
        <v>98766.76</v>
      </c>
      <c r="D85" s="124">
        <f>ROUND(ROUND(10687012*0.097,0)*0.11295,2)</f>
        <v>117088.49</v>
      </c>
      <c r="E85" s="124">
        <f>ROUND(ROUND(7181224*0.0987,0)*0.11295,2)</f>
        <v>80057.490000000005</v>
      </c>
      <c r="F85" s="124">
        <f>ROUND(ROUND(4977541*0.1102,0)*0.11295,2)</f>
        <v>61955.9</v>
      </c>
      <c r="G85" s="124">
        <f>ROUND(ROUND(2554573*0.1224,0)*0.11295,2)</f>
        <v>35317.21</v>
      </c>
      <c r="H85" s="124">
        <f>ROUND(ROUND(2530552*0.1289,0)*0.11295,2)</f>
        <v>36842.93</v>
      </c>
      <c r="I85" s="124">
        <f>ROUND(ROUND(2469451*0.1229,0)*0.11295,2)</f>
        <v>34279.870000000003</v>
      </c>
      <c r="J85" s="124">
        <f>ROUND(ROUND(1246891*0.1238,0)*0.10984,2)</f>
        <v>16955.45</v>
      </c>
      <c r="K85" s="124">
        <f>ROUND(ROUND(2233399*0.1213,0)*0.10984,2)</f>
        <v>29756.86</v>
      </c>
      <c r="L85" s="124">
        <f>ROUND(ROUND(4424005*0.1367,0)*0.10984,2)</f>
        <v>66426.95</v>
      </c>
      <c r="M85" s="206"/>
      <c r="N85" s="124">
        <f>ROUND(ROUND(8615742*0.114,0)*0.10984,2)</f>
        <v>107884.3</v>
      </c>
      <c r="O85" s="124">
        <f>ROUND(ROUND(10228218*0.1077,0)*0.10984,2)</f>
        <v>120997.44</v>
      </c>
      <c r="P85" s="108"/>
      <c r="Q85" s="180"/>
      <c r="S85" s="122" t="s">
        <v>91</v>
      </c>
      <c r="T85" s="108">
        <v>581427.31999999995</v>
      </c>
      <c r="U85" s="112">
        <f>T85/U80</f>
        <v>0.42021392755083303</v>
      </c>
      <c r="W85" s="112">
        <f>T85/W80</f>
        <v>0.42021392755083303</v>
      </c>
      <c r="Y85">
        <v>0.41949999999999998</v>
      </c>
      <c r="AA85" s="112">
        <f>Y85-W85</f>
        <v>-7.1392755083304893E-4</v>
      </c>
    </row>
    <row r="86" spans="1:27" x14ac:dyDescent="0.25">
      <c r="A86" s="87" t="s">
        <v>72</v>
      </c>
      <c r="B86" t="s">
        <v>115</v>
      </c>
      <c r="C86" s="95">
        <f>-'WACAP 2017'!O85</f>
        <v>-134303.76</v>
      </c>
      <c r="D86" s="95">
        <f t="shared" ref="D86:E86" si="42">-C85</f>
        <v>-98766.76</v>
      </c>
      <c r="E86" s="95">
        <f t="shared" si="42"/>
        <v>-117088.49</v>
      </c>
      <c r="F86" s="95">
        <f>-E85</f>
        <v>-80057.490000000005</v>
      </c>
      <c r="G86" s="95">
        <f>-F85</f>
        <v>-61955.9</v>
      </c>
      <c r="H86" s="95">
        <f>-G85</f>
        <v>-35317.21</v>
      </c>
      <c r="I86" s="95">
        <f>-H85</f>
        <v>-36842.93</v>
      </c>
      <c r="J86" s="95">
        <f t="shared" ref="J86:L86" si="43">-I85</f>
        <v>-34279.870000000003</v>
      </c>
      <c r="K86" s="95">
        <f t="shared" si="43"/>
        <v>-16955.45</v>
      </c>
      <c r="L86" s="95">
        <f t="shared" si="43"/>
        <v>-29756.86</v>
      </c>
      <c r="M86" s="205"/>
      <c r="N86" s="95">
        <f>-L85</f>
        <v>-66426.95</v>
      </c>
      <c r="O86" s="107">
        <f>-N85</f>
        <v>-107884.3</v>
      </c>
      <c r="P86" s="108"/>
      <c r="Q86" s="180"/>
      <c r="S86" s="122"/>
      <c r="T86" s="108"/>
      <c r="U86" s="112"/>
      <c r="W86" s="112"/>
      <c r="AA86" s="112"/>
    </row>
    <row r="87" spans="1:27" x14ac:dyDescent="0.25">
      <c r="A87" s="87"/>
      <c r="B87" s="89" t="s">
        <v>74</v>
      </c>
      <c r="C87" s="108">
        <f t="shared" ref="C87:O87" si="44">SUM(C81:C86)</f>
        <v>168390.53999999998</v>
      </c>
      <c r="D87" s="108">
        <f t="shared" si="44"/>
        <v>174707.01</v>
      </c>
      <c r="E87" s="108">
        <f t="shared" si="44"/>
        <v>142290.43000000005</v>
      </c>
      <c r="F87" s="108">
        <f t="shared" si="44"/>
        <v>124088.16999999997</v>
      </c>
      <c r="G87" s="108">
        <f t="shared" si="44"/>
        <v>76846.390000000014</v>
      </c>
      <c r="H87" s="108">
        <f t="shared" si="44"/>
        <v>71860.820000000007</v>
      </c>
      <c r="I87" s="108">
        <f t="shared" si="44"/>
        <v>53356.280000000006</v>
      </c>
      <c r="J87" s="108">
        <f t="shared" ref="J87:N87" si="45">SUM(J81:J86)</f>
        <v>36284.669999999991</v>
      </c>
      <c r="K87" s="108">
        <f t="shared" si="45"/>
        <v>64058.94</v>
      </c>
      <c r="L87" s="108">
        <f t="shared" si="45"/>
        <v>123113.42</v>
      </c>
      <c r="M87" s="206"/>
      <c r="N87" s="108">
        <f t="shared" si="45"/>
        <v>143987</v>
      </c>
      <c r="O87" s="126">
        <f t="shared" si="44"/>
        <v>181196.96000000002</v>
      </c>
      <c r="Q87" s="178"/>
    </row>
    <row r="88" spans="1:27" x14ac:dyDescent="0.25">
      <c r="A88" s="87"/>
      <c r="B88" s="89" t="s">
        <v>73</v>
      </c>
      <c r="C88" s="88">
        <f>ROUND(-'Authorized Margins'!J73*'WACAP 2018'!C80,2)</f>
        <v>-149030.23000000001</v>
      </c>
      <c r="D88" s="88">
        <f>ROUND(-'Authorized Margins'!K73*'WACAP 2018'!D80,2)</f>
        <v>-136038.42000000001</v>
      </c>
      <c r="E88" s="88">
        <f>ROUND(-'Authorized Margins'!L73*'WACAP 2018'!E80,2)</f>
        <v>-165363.98000000001</v>
      </c>
      <c r="F88" s="88">
        <f>ROUND(-'Authorized Margins'!M73*'WACAP 2018'!F80,2)</f>
        <v>-98570.44</v>
      </c>
      <c r="G88" s="88">
        <f>ROUND(-'Authorized Margins'!N73*'WACAP 2018'!G80,2)</f>
        <v>-78942.929999999993</v>
      </c>
      <c r="H88" s="88">
        <f>ROUND(-'Authorized Margins'!O73*'WACAP 2018'!H80,2)</f>
        <v>-56117.29</v>
      </c>
      <c r="I88" s="88">
        <f>ROUND(-'Authorized Margins'!D73*'WACAP 2018'!I80,2)</f>
        <v>-40925.26</v>
      </c>
      <c r="J88" s="88">
        <f>ROUND(-'Authorized Margins 2018'!E16*'WACAP 2018'!J80,2)</f>
        <v>-59298.63</v>
      </c>
      <c r="K88" s="88">
        <f>ROUND(-'Authorized Margins 2018'!F16*'WACAP 2018'!K80,2)</f>
        <v>-56342.12</v>
      </c>
      <c r="L88" s="88">
        <f>ROUND(-'Authorized Margins 2018'!G16*'WACAP 2018'!L80,2)</f>
        <v>-63989.279999999999</v>
      </c>
      <c r="M88" s="205"/>
      <c r="N88" s="88">
        <f>ROUND(-'Authorized Margins 2018'!H16*'WACAP 2018'!N80,2)</f>
        <v>-86033.88</v>
      </c>
      <c r="O88" s="110">
        <f>ROUND(-'Authorized Margins 2018'!I16*'WACAP 2018'!O80,2)</f>
        <v>-139331.64000000001</v>
      </c>
      <c r="Q88" s="178"/>
    </row>
    <row r="89" spans="1:27" x14ac:dyDescent="0.25">
      <c r="A89" s="87"/>
      <c r="B89" s="89" t="s">
        <v>75</v>
      </c>
      <c r="C89" s="90">
        <f t="shared" ref="C89:O89" si="46">SUM(C87:C88)</f>
        <v>19360.309999999969</v>
      </c>
      <c r="D89" s="90">
        <f t="shared" si="46"/>
        <v>38668.589999999997</v>
      </c>
      <c r="E89" s="90">
        <f t="shared" si="46"/>
        <v>-23073.549999999959</v>
      </c>
      <c r="F89" s="90">
        <f t="shared" si="46"/>
        <v>25517.729999999967</v>
      </c>
      <c r="G89" s="90">
        <f t="shared" si="46"/>
        <v>-2096.539999999979</v>
      </c>
      <c r="H89" s="90">
        <f t="shared" si="46"/>
        <v>15743.530000000006</v>
      </c>
      <c r="I89" s="90">
        <f t="shared" si="46"/>
        <v>12431.020000000004</v>
      </c>
      <c r="J89" s="90">
        <f t="shared" si="46"/>
        <v>-23013.960000000006</v>
      </c>
      <c r="K89" s="90">
        <f t="shared" si="46"/>
        <v>7716.82</v>
      </c>
      <c r="L89" s="90">
        <f t="shared" si="46"/>
        <v>59124.14</v>
      </c>
      <c r="M89" s="215">
        <f>-'WACAP 2017'!Q91</f>
        <v>-296435.60000000009</v>
      </c>
      <c r="N89" s="90">
        <f t="shared" si="46"/>
        <v>57953.119999999995</v>
      </c>
      <c r="O89" s="111">
        <f t="shared" si="46"/>
        <v>41865.320000000007</v>
      </c>
      <c r="Q89" s="180">
        <f>SUM(C89:P89)-M89</f>
        <v>230196.53000000003</v>
      </c>
    </row>
    <row r="90" spans="1:27" x14ac:dyDescent="0.25">
      <c r="A90" s="87"/>
      <c r="B90" s="89" t="s">
        <v>137</v>
      </c>
      <c r="C90" s="187">
        <f>ROUND(ROUND('WACAP 2017'!O92*C$5,2)/365*C$6,2)</f>
        <v>1070.01</v>
      </c>
      <c r="D90" s="187">
        <f>ROUND(ROUND(C92*D$5,2)/365*D$6,2)</f>
        <v>1033.07</v>
      </c>
      <c r="E90" s="187">
        <f t="shared" ref="E90:O90" si="47">ROUND(ROUND(D92*E$5,2)/365*E$6,2)</f>
        <v>1287.06</v>
      </c>
      <c r="F90" s="187">
        <f t="shared" si="47"/>
        <v>1229.98</v>
      </c>
      <c r="G90" s="187">
        <f t="shared" si="47"/>
        <v>1372.52</v>
      </c>
      <c r="H90" s="187">
        <f t="shared" si="47"/>
        <v>1325.59</v>
      </c>
      <c r="I90" s="187">
        <f t="shared" si="47"/>
        <v>1505.18</v>
      </c>
      <c r="J90" s="187">
        <f t="shared" si="47"/>
        <v>1560.69</v>
      </c>
      <c r="K90" s="187">
        <f t="shared" si="47"/>
        <v>1427.65</v>
      </c>
      <c r="L90" s="187">
        <f t="shared" si="47"/>
        <v>1598.69</v>
      </c>
      <c r="M90" s="208">
        <f>'Ammort Split 2018'!N90</f>
        <v>-11354.1</v>
      </c>
      <c r="N90" s="187">
        <f>ROUND(ROUND(M92*N$5,2)/365*N$6,2)</f>
        <v>539.9</v>
      </c>
      <c r="O90" s="188">
        <f t="shared" si="47"/>
        <v>804.3</v>
      </c>
      <c r="Q90" s="196">
        <f>SUM(C90:P90)</f>
        <v>3400.54</v>
      </c>
    </row>
    <row r="91" spans="1:27" x14ac:dyDescent="0.25">
      <c r="A91" s="87"/>
      <c r="B91" s="89" t="s">
        <v>138</v>
      </c>
      <c r="C91" s="189">
        <f t="shared" ref="C91:O91" si="48">SUM(C89:C90)</f>
        <v>20430.319999999967</v>
      </c>
      <c r="D91" s="189">
        <f t="shared" si="48"/>
        <v>39701.659999999996</v>
      </c>
      <c r="E91" s="189">
        <f t="shared" si="48"/>
        <v>-21786.489999999958</v>
      </c>
      <c r="F91" s="189">
        <f t="shared" si="48"/>
        <v>26747.709999999966</v>
      </c>
      <c r="G91" s="189">
        <f t="shared" si="48"/>
        <v>-724.01999999997906</v>
      </c>
      <c r="H91" s="189">
        <f t="shared" si="48"/>
        <v>17069.120000000006</v>
      </c>
      <c r="I91" s="189">
        <f t="shared" si="48"/>
        <v>13936.200000000004</v>
      </c>
      <c r="J91" s="189">
        <f t="shared" si="48"/>
        <v>-21453.270000000008</v>
      </c>
      <c r="K91" s="189">
        <f t="shared" si="48"/>
        <v>9144.4699999999993</v>
      </c>
      <c r="L91" s="189">
        <f t="shared" si="48"/>
        <v>60722.83</v>
      </c>
      <c r="M91" s="209">
        <f t="shared" si="48"/>
        <v>-307789.70000000007</v>
      </c>
      <c r="N91" s="189">
        <f t="shared" si="48"/>
        <v>58493.02</v>
      </c>
      <c r="O91" s="190">
        <f t="shared" si="48"/>
        <v>42669.62000000001</v>
      </c>
      <c r="Q91" s="198">
        <f>SUM(Q89:Q90)</f>
        <v>233597.07000000004</v>
      </c>
    </row>
    <row r="92" spans="1:27" x14ac:dyDescent="0.25">
      <c r="A92" s="87"/>
      <c r="B92" s="89" t="s">
        <v>139</v>
      </c>
      <c r="C92" s="90">
        <f>'WACAP 2017'!O92+'WACAP 2018'!C91</f>
        <v>316865.92000000004</v>
      </c>
      <c r="D92" s="90">
        <f t="shared" ref="D92:O92" si="49">C92+D91</f>
        <v>356567.58</v>
      </c>
      <c r="E92" s="90">
        <f t="shared" si="49"/>
        <v>334781.09000000008</v>
      </c>
      <c r="F92" s="90">
        <f t="shared" si="49"/>
        <v>361528.80000000005</v>
      </c>
      <c r="G92" s="90">
        <f t="shared" si="49"/>
        <v>360804.78000000009</v>
      </c>
      <c r="H92" s="90">
        <f t="shared" si="49"/>
        <v>377873.90000000008</v>
      </c>
      <c r="I92" s="90">
        <f t="shared" si="49"/>
        <v>391810.10000000009</v>
      </c>
      <c r="J92" s="90">
        <f t="shared" si="49"/>
        <v>370356.83000000007</v>
      </c>
      <c r="K92" s="90">
        <f t="shared" si="49"/>
        <v>379501.30000000005</v>
      </c>
      <c r="L92" s="90">
        <f t="shared" si="49"/>
        <v>440224.13000000006</v>
      </c>
      <c r="M92" s="207">
        <f t="shared" si="49"/>
        <v>132434.43</v>
      </c>
      <c r="N92" s="90">
        <f t="shared" si="49"/>
        <v>190927.44999999998</v>
      </c>
      <c r="O92" s="191">
        <f t="shared" si="49"/>
        <v>233597.07</v>
      </c>
      <c r="Q92" s="178"/>
    </row>
    <row r="93" spans="1:27" x14ac:dyDescent="0.25">
      <c r="A93" s="86"/>
      <c r="C93" s="113"/>
      <c r="D93" s="113"/>
      <c r="E93" s="108"/>
      <c r="F93" s="113"/>
      <c r="G93" s="113"/>
      <c r="H93" s="113"/>
      <c r="I93" s="113"/>
      <c r="J93" s="113"/>
      <c r="K93" s="113"/>
      <c r="L93" s="113"/>
      <c r="M93" s="204"/>
      <c r="N93" s="113"/>
      <c r="O93" s="115"/>
      <c r="Q93" s="178"/>
    </row>
    <row r="94" spans="1:27" x14ac:dyDescent="0.25">
      <c r="A94" s="86">
        <v>512</v>
      </c>
      <c r="B94" s="104" t="s">
        <v>86</v>
      </c>
      <c r="C94" s="113"/>
      <c r="D94" s="113"/>
      <c r="E94" s="108"/>
      <c r="F94" s="113"/>
      <c r="G94" s="113"/>
      <c r="H94" s="113"/>
      <c r="I94" s="113"/>
      <c r="J94" s="229" t="s">
        <v>149</v>
      </c>
      <c r="K94" s="113"/>
      <c r="L94" s="113"/>
      <c r="M94" s="204"/>
      <c r="N94" s="113"/>
      <c r="O94" s="115"/>
      <c r="Q94" s="178"/>
      <c r="S94" s="224"/>
      <c r="T94" s="224">
        <v>512</v>
      </c>
      <c r="U94" s="224"/>
      <c r="V94" s="224"/>
      <c r="W94" s="224"/>
      <c r="X94" s="224"/>
      <c r="Y94" s="224"/>
      <c r="Z94" s="224"/>
      <c r="AA94" s="224"/>
    </row>
    <row r="95" spans="1:27" x14ac:dyDescent="0.25">
      <c r="A95" s="87" t="s">
        <v>64</v>
      </c>
      <c r="B95" t="s">
        <v>65</v>
      </c>
      <c r="C95" s="105">
        <v>1</v>
      </c>
      <c r="D95" s="105">
        <v>1</v>
      </c>
      <c r="E95" s="105">
        <v>1</v>
      </c>
      <c r="F95" s="105">
        <v>1</v>
      </c>
      <c r="G95" s="105">
        <v>1</v>
      </c>
      <c r="H95" s="105">
        <v>1</v>
      </c>
      <c r="I95" s="105">
        <v>1</v>
      </c>
      <c r="J95" s="105">
        <v>0</v>
      </c>
      <c r="K95" s="105">
        <v>0</v>
      </c>
      <c r="L95" s="105">
        <v>0</v>
      </c>
      <c r="M95" s="204"/>
      <c r="N95" s="105">
        <v>0</v>
      </c>
      <c r="O95" s="106">
        <v>0</v>
      </c>
      <c r="P95" s="113"/>
      <c r="Q95" s="179"/>
      <c r="S95" s="224"/>
      <c r="T95" s="224"/>
      <c r="U95" s="225">
        <v>4195</v>
      </c>
      <c r="V95" s="224" t="s">
        <v>92</v>
      </c>
      <c r="W95" s="225">
        <f>U95</f>
        <v>4195</v>
      </c>
      <c r="X95" s="224"/>
      <c r="Y95" s="224"/>
      <c r="Z95" s="224"/>
      <c r="AA95" s="224"/>
    </row>
    <row r="96" spans="1:27" x14ac:dyDescent="0.25">
      <c r="A96" s="87" t="s">
        <v>71</v>
      </c>
      <c r="B96" t="s">
        <v>70</v>
      </c>
      <c r="C96" s="95">
        <v>953.02</v>
      </c>
      <c r="D96" s="95">
        <v>766.8</v>
      </c>
      <c r="E96" s="95">
        <v>894.6</v>
      </c>
      <c r="F96" s="95">
        <v>822</v>
      </c>
      <c r="G96" s="95">
        <v>990.18</v>
      </c>
      <c r="H96" s="95">
        <v>961.19</v>
      </c>
      <c r="I96" s="95">
        <v>901.04</v>
      </c>
      <c r="J96" s="95">
        <v>0</v>
      </c>
      <c r="K96" s="95">
        <v>0</v>
      </c>
      <c r="L96" s="95">
        <v>0</v>
      </c>
      <c r="M96" s="205"/>
      <c r="N96" s="95">
        <v>0</v>
      </c>
      <c r="O96" s="107">
        <v>0</v>
      </c>
      <c r="P96" s="108"/>
      <c r="Q96" s="180"/>
      <c r="S96" s="226" t="s">
        <v>90</v>
      </c>
      <c r="T96" s="227">
        <v>901.04</v>
      </c>
      <c r="U96" s="228">
        <f>T96/U95</f>
        <v>0.21478903456495826</v>
      </c>
      <c r="V96" s="224"/>
      <c r="W96" s="228">
        <f>T96/W95</f>
        <v>0.21478903456495826</v>
      </c>
      <c r="X96" s="224"/>
      <c r="Y96" s="224">
        <v>0.21479000000000001</v>
      </c>
      <c r="Z96" s="224"/>
      <c r="AA96" s="228">
        <f>Y96-W96</f>
        <v>9.6543504174428918E-7</v>
      </c>
    </row>
    <row r="97" spans="1:34" x14ac:dyDescent="0.25">
      <c r="A97" s="87"/>
      <c r="B97" s="89" t="s">
        <v>74</v>
      </c>
      <c r="C97" s="108">
        <f t="shared" ref="C97:O97" si="50">C96</f>
        <v>953.02</v>
      </c>
      <c r="D97" s="108">
        <f t="shared" si="50"/>
        <v>766.8</v>
      </c>
      <c r="E97" s="108">
        <f t="shared" si="50"/>
        <v>894.6</v>
      </c>
      <c r="F97" s="108">
        <f t="shared" si="50"/>
        <v>822</v>
      </c>
      <c r="G97" s="108">
        <f t="shared" si="50"/>
        <v>990.18</v>
      </c>
      <c r="H97" s="108">
        <f t="shared" si="50"/>
        <v>961.19</v>
      </c>
      <c r="I97" s="108">
        <f t="shared" si="50"/>
        <v>901.04</v>
      </c>
      <c r="J97" s="108">
        <f t="shared" si="50"/>
        <v>0</v>
      </c>
      <c r="K97" s="108">
        <f t="shared" si="50"/>
        <v>0</v>
      </c>
      <c r="L97" s="108">
        <f t="shared" si="50"/>
        <v>0</v>
      </c>
      <c r="M97" s="206"/>
      <c r="N97" s="108">
        <f t="shared" si="50"/>
        <v>0</v>
      </c>
      <c r="O97" s="109">
        <f t="shared" si="50"/>
        <v>0</v>
      </c>
      <c r="Q97" s="178"/>
      <c r="S97" s="226" t="s">
        <v>91</v>
      </c>
      <c r="T97" s="227">
        <v>1920.14</v>
      </c>
      <c r="U97" s="228">
        <f>T97/U95</f>
        <v>0.45772109654350418</v>
      </c>
      <c r="V97" s="224"/>
      <c r="W97" s="228">
        <f>T97/W95</f>
        <v>0.45772109654350418</v>
      </c>
      <c r="X97" s="224"/>
      <c r="Y97" s="224">
        <v>0.45772000000000002</v>
      </c>
      <c r="Z97" s="224"/>
      <c r="AA97" s="228">
        <f>Y97-W97</f>
        <v>-1.0965435041643268E-6</v>
      </c>
    </row>
    <row r="98" spans="1:34" x14ac:dyDescent="0.25">
      <c r="A98" s="87"/>
      <c r="B98" s="89" t="s">
        <v>73</v>
      </c>
      <c r="C98" s="88">
        <f>-'Authorized Margins'!J79*'WACAP 2018'!C95</f>
        <v>-744.68</v>
      </c>
      <c r="D98" s="88">
        <f>-'Authorized Margins'!K79*'WACAP 2018'!D95</f>
        <v>-817.71</v>
      </c>
      <c r="E98" s="88">
        <f>-'Authorized Margins'!L79*'WACAP 2018'!E95</f>
        <v>-890.73</v>
      </c>
      <c r="F98" s="88">
        <f>-'Authorized Margins'!M79*'WACAP 2018'!F95</f>
        <v>-779.9</v>
      </c>
      <c r="G98" s="88">
        <f>-'Authorized Margins'!N79*'WACAP 2018'!G95</f>
        <v>-862.38</v>
      </c>
      <c r="H98" s="88">
        <f>-'Authorized Margins'!O79*'WACAP 2018'!H95</f>
        <v>-863.67</v>
      </c>
      <c r="I98" s="88">
        <f>-'Authorized Margins'!D79*'WACAP 2018'!I95</f>
        <v>-848.85</v>
      </c>
      <c r="J98" s="88">
        <v>0</v>
      </c>
      <c r="K98" s="88">
        <v>0</v>
      </c>
      <c r="L98" s="88">
        <v>0</v>
      </c>
      <c r="M98" s="205"/>
      <c r="N98" s="88">
        <v>0</v>
      </c>
      <c r="O98" s="110">
        <v>0</v>
      </c>
      <c r="Q98" s="178"/>
    </row>
    <row r="99" spans="1:34" x14ac:dyDescent="0.25">
      <c r="A99" s="87"/>
      <c r="B99" s="89" t="s">
        <v>75</v>
      </c>
      <c r="C99" s="90">
        <f t="shared" ref="C99:O99" si="51">SUM(C97:C98)</f>
        <v>208.34000000000003</v>
      </c>
      <c r="D99" s="90">
        <f t="shared" si="51"/>
        <v>-50.910000000000082</v>
      </c>
      <c r="E99" s="90">
        <f t="shared" si="51"/>
        <v>3.8700000000000045</v>
      </c>
      <c r="F99" s="90">
        <f t="shared" si="51"/>
        <v>42.100000000000023</v>
      </c>
      <c r="G99" s="90">
        <f t="shared" si="51"/>
        <v>127.79999999999995</v>
      </c>
      <c r="H99" s="90">
        <f t="shared" si="51"/>
        <v>97.520000000000095</v>
      </c>
      <c r="I99" s="90">
        <f t="shared" si="51"/>
        <v>52.189999999999941</v>
      </c>
      <c r="J99" s="90">
        <f t="shared" si="51"/>
        <v>0</v>
      </c>
      <c r="K99" s="90">
        <f t="shared" si="51"/>
        <v>0</v>
      </c>
      <c r="L99" s="90">
        <f t="shared" si="51"/>
        <v>0</v>
      </c>
      <c r="M99" s="215">
        <f>-'WACAP 2017'!Q101</f>
        <v>-397.53999999999991</v>
      </c>
      <c r="N99" s="90">
        <f t="shared" si="51"/>
        <v>0</v>
      </c>
      <c r="O99" s="111">
        <f t="shared" si="51"/>
        <v>0</v>
      </c>
      <c r="Q99" s="180">
        <f>SUM(C99:P99)-M99</f>
        <v>480.90999999999997</v>
      </c>
    </row>
    <row r="100" spans="1:34" x14ac:dyDescent="0.25">
      <c r="A100" s="87"/>
      <c r="B100" s="89" t="s">
        <v>137</v>
      </c>
      <c r="C100" s="187">
        <f>ROUND(ROUND('WACAP 2017'!O102*C$5,2)/365*C$6,2)</f>
        <v>1.44</v>
      </c>
      <c r="D100" s="187">
        <f>ROUND(ROUND(C102*D$5,2)/365*D$6,2)</f>
        <v>1.98</v>
      </c>
      <c r="E100" s="187">
        <f t="shared" ref="E100:O100" si="52">ROUND(ROUND(D102*E$5,2)/365*E$6,2)</f>
        <v>2.02</v>
      </c>
      <c r="F100" s="187">
        <f t="shared" si="52"/>
        <v>2.0699999999999998</v>
      </c>
      <c r="G100" s="187">
        <f t="shared" si="52"/>
        <v>2.31</v>
      </c>
      <c r="H100" s="187">
        <f t="shared" si="52"/>
        <v>2.71</v>
      </c>
      <c r="I100" s="187">
        <f t="shared" si="52"/>
        <v>3.34</v>
      </c>
      <c r="J100" s="187">
        <f t="shared" si="52"/>
        <v>3.56</v>
      </c>
      <c r="K100" s="187">
        <f t="shared" si="52"/>
        <v>3.46</v>
      </c>
      <c r="L100" s="187">
        <f t="shared" si="52"/>
        <v>3.8</v>
      </c>
      <c r="M100" s="208">
        <f>'Ammort Split 2018'!N100</f>
        <v>-15.230000000000002</v>
      </c>
      <c r="N100" s="187">
        <f>ROUND(ROUND(M102*N$5,2)/365*N$6,2)</f>
        <v>2.0099999999999998</v>
      </c>
      <c r="O100" s="188">
        <f t="shared" si="52"/>
        <v>2.08</v>
      </c>
      <c r="Q100" s="196">
        <f>SUM(C100:P100)</f>
        <v>15.549999999999999</v>
      </c>
    </row>
    <row r="101" spans="1:34" x14ac:dyDescent="0.25">
      <c r="A101" s="87"/>
      <c r="B101" s="89" t="s">
        <v>138</v>
      </c>
      <c r="C101" s="189">
        <f t="shared" ref="C101:O101" si="53">SUM(C99:C100)</f>
        <v>209.78000000000003</v>
      </c>
      <c r="D101" s="189">
        <f t="shared" si="53"/>
        <v>-48.930000000000085</v>
      </c>
      <c r="E101" s="189">
        <f t="shared" si="53"/>
        <v>5.8900000000000041</v>
      </c>
      <c r="F101" s="189">
        <f t="shared" si="53"/>
        <v>44.170000000000023</v>
      </c>
      <c r="G101" s="189">
        <f t="shared" si="53"/>
        <v>130.10999999999996</v>
      </c>
      <c r="H101" s="189">
        <f t="shared" si="53"/>
        <v>100.23000000000009</v>
      </c>
      <c r="I101" s="189">
        <f t="shared" si="53"/>
        <v>55.529999999999944</v>
      </c>
      <c r="J101" s="189">
        <f t="shared" si="53"/>
        <v>3.56</v>
      </c>
      <c r="K101" s="189">
        <f t="shared" si="53"/>
        <v>3.46</v>
      </c>
      <c r="L101" s="189">
        <f t="shared" si="53"/>
        <v>3.8</v>
      </c>
      <c r="M101" s="209">
        <f t="shared" si="53"/>
        <v>-412.76999999999992</v>
      </c>
      <c r="N101" s="189">
        <f t="shared" si="53"/>
        <v>2.0099999999999998</v>
      </c>
      <c r="O101" s="190">
        <f t="shared" si="53"/>
        <v>2.08</v>
      </c>
      <c r="Q101" s="198">
        <f>SUM(Q99:Q100)</f>
        <v>496.46</v>
      </c>
    </row>
    <row r="102" spans="1:34" x14ac:dyDescent="0.25">
      <c r="A102" s="87"/>
      <c r="B102" s="89" t="s">
        <v>139</v>
      </c>
      <c r="C102" s="90">
        <f>'WACAP 2017'!O102+'WACAP 2018'!C101</f>
        <v>607.31999999999994</v>
      </c>
      <c r="D102" s="90">
        <f t="shared" ref="D102:O102" si="54">C102+D101</f>
        <v>558.38999999999987</v>
      </c>
      <c r="E102" s="90">
        <f t="shared" si="54"/>
        <v>564.27999999999986</v>
      </c>
      <c r="F102" s="90">
        <f t="shared" si="54"/>
        <v>608.44999999999993</v>
      </c>
      <c r="G102" s="90">
        <f t="shared" si="54"/>
        <v>738.56</v>
      </c>
      <c r="H102" s="90">
        <f t="shared" si="54"/>
        <v>838.79000000000008</v>
      </c>
      <c r="I102" s="90">
        <f t="shared" si="54"/>
        <v>894.32</v>
      </c>
      <c r="J102" s="90">
        <f t="shared" si="54"/>
        <v>897.88</v>
      </c>
      <c r="K102" s="90">
        <f t="shared" si="54"/>
        <v>901.34</v>
      </c>
      <c r="L102" s="90">
        <f t="shared" si="54"/>
        <v>905.14</v>
      </c>
      <c r="M102" s="207">
        <f t="shared" si="54"/>
        <v>492.37000000000006</v>
      </c>
      <c r="N102" s="90">
        <f t="shared" si="54"/>
        <v>494.38000000000005</v>
      </c>
      <c r="O102" s="191">
        <f t="shared" si="54"/>
        <v>496.46000000000004</v>
      </c>
      <c r="Q102" s="178"/>
      <c r="U102" s="108">
        <f>ROUND(T107/Y107,0)</f>
        <v>79</v>
      </c>
    </row>
    <row r="103" spans="1:34" x14ac:dyDescent="0.25">
      <c r="A103" s="86"/>
      <c r="C103" s="113"/>
      <c r="D103" s="113"/>
      <c r="E103" s="108"/>
      <c r="F103" s="113"/>
      <c r="G103" s="113"/>
      <c r="H103" s="113"/>
      <c r="I103" s="113"/>
      <c r="J103" s="113"/>
      <c r="K103" s="113"/>
      <c r="L103" s="113"/>
      <c r="M103" s="204"/>
      <c r="N103" s="113"/>
      <c r="O103" s="115"/>
      <c r="Q103" s="178"/>
      <c r="S103" s="122"/>
      <c r="T103" s="108"/>
      <c r="U103" s="108">
        <f>ROUND(T108/Y108,0)</f>
        <v>0</v>
      </c>
    </row>
    <row r="104" spans="1:34" x14ac:dyDescent="0.25">
      <c r="A104" s="86" t="s">
        <v>83</v>
      </c>
      <c r="B104" s="104" t="s">
        <v>87</v>
      </c>
      <c r="C104" s="113"/>
      <c r="D104" s="113"/>
      <c r="E104" s="108"/>
      <c r="F104" s="113"/>
      <c r="G104" s="113"/>
      <c r="H104" s="113"/>
      <c r="I104" s="113"/>
      <c r="J104" s="113"/>
      <c r="K104" s="113"/>
      <c r="L104" s="113"/>
      <c r="M104" s="204"/>
      <c r="N104" s="113"/>
      <c r="O104" s="115"/>
      <c r="Q104" s="178"/>
      <c r="T104">
        <v>505</v>
      </c>
      <c r="U104" s="108">
        <f>ROUND(T109/Y109,0)</f>
        <v>0</v>
      </c>
      <c r="V104" s="108">
        <f>SUM(U100:U104)</f>
        <v>79</v>
      </c>
      <c r="AC104" s="108">
        <v>12</v>
      </c>
      <c r="AE104" s="113"/>
    </row>
    <row r="105" spans="1:34" x14ac:dyDescent="0.25">
      <c r="A105" s="87" t="s">
        <v>64</v>
      </c>
      <c r="B105" t="s">
        <v>65</v>
      </c>
      <c r="C105" s="105">
        <v>1</v>
      </c>
      <c r="D105" s="105">
        <v>1</v>
      </c>
      <c r="E105" s="105">
        <v>1</v>
      </c>
      <c r="F105" s="105">
        <v>1</v>
      </c>
      <c r="G105" s="105">
        <v>1</v>
      </c>
      <c r="H105" s="105">
        <v>1</v>
      </c>
      <c r="I105" s="105">
        <v>1</v>
      </c>
      <c r="J105" s="105">
        <v>1</v>
      </c>
      <c r="K105" s="105">
        <v>1</v>
      </c>
      <c r="L105" s="105">
        <v>1</v>
      </c>
      <c r="M105" s="204"/>
      <c r="N105" s="105">
        <v>1</v>
      </c>
      <c r="O105" s="106">
        <v>1</v>
      </c>
      <c r="P105" s="113"/>
      <c r="Q105" s="179"/>
      <c r="U105" s="113">
        <v>79</v>
      </c>
      <c r="V105" t="s">
        <v>92</v>
      </c>
      <c r="W105" s="113">
        <f>U105</f>
        <v>79</v>
      </c>
      <c r="AC105" s="122"/>
      <c r="AD105" s="108">
        <f>SUM(J105*12)</f>
        <v>12</v>
      </c>
      <c r="AE105" s="108">
        <f>SUM(K105*12)</f>
        <v>12</v>
      </c>
      <c r="AF105" s="108">
        <f>SUM(L105*12)</f>
        <v>12</v>
      </c>
      <c r="AG105" s="108">
        <f>SUM(N105*12)</f>
        <v>12</v>
      </c>
      <c r="AH105" s="108">
        <f>SUM(O105*12)</f>
        <v>12</v>
      </c>
    </row>
    <row r="106" spans="1:34" x14ac:dyDescent="0.25">
      <c r="A106" s="87" t="s">
        <v>71</v>
      </c>
      <c r="B106" t="s">
        <v>95</v>
      </c>
      <c r="C106" s="116">
        <v>78.58</v>
      </c>
      <c r="D106" s="116">
        <v>94.22</v>
      </c>
      <c r="E106" s="116">
        <v>0</v>
      </c>
      <c r="F106" s="116">
        <v>9.61</v>
      </c>
      <c r="G106" s="116">
        <v>0</v>
      </c>
      <c r="H106" s="116">
        <v>0</v>
      </c>
      <c r="I106" s="116">
        <v>31.47</v>
      </c>
      <c r="J106" s="116">
        <v>0</v>
      </c>
      <c r="K106" s="116">
        <v>64.09</v>
      </c>
      <c r="L106" s="116">
        <v>33.56</v>
      </c>
      <c r="M106" s="206"/>
      <c r="N106" s="116">
        <v>3.75</v>
      </c>
      <c r="O106" s="117">
        <v>11.25</v>
      </c>
      <c r="P106" s="108"/>
      <c r="Q106" s="180"/>
      <c r="S106" s="122" t="s">
        <v>90</v>
      </c>
      <c r="T106" s="108"/>
      <c r="U106" s="112"/>
      <c r="W106" s="112"/>
      <c r="AA106" s="112">
        <f>Y106-W106</f>
        <v>0</v>
      </c>
    </row>
    <row r="107" spans="1:34" x14ac:dyDescent="0.25">
      <c r="A107" s="87" t="s">
        <v>71</v>
      </c>
      <c r="B107" t="s">
        <v>97</v>
      </c>
      <c r="C107" s="116">
        <v>0</v>
      </c>
      <c r="D107" s="116">
        <v>116.39</v>
      </c>
      <c r="E107" s="116">
        <v>0</v>
      </c>
      <c r="F107" s="116">
        <v>0</v>
      </c>
      <c r="G107" s="116">
        <v>0</v>
      </c>
      <c r="H107" s="116">
        <v>0</v>
      </c>
      <c r="I107" s="116">
        <v>0</v>
      </c>
      <c r="J107" s="116">
        <v>0</v>
      </c>
      <c r="K107" s="116">
        <v>0</v>
      </c>
      <c r="L107" s="116">
        <v>0</v>
      </c>
      <c r="M107" s="206"/>
      <c r="N107" s="116">
        <v>0</v>
      </c>
      <c r="O107" s="117">
        <v>0</v>
      </c>
      <c r="P107" s="108"/>
      <c r="Q107" s="180"/>
      <c r="S107" s="122" t="s">
        <v>90</v>
      </c>
      <c r="T107" s="108">
        <v>14.1</v>
      </c>
      <c r="U107" s="112">
        <f>T107/U102</f>
        <v>0.17848101265822786</v>
      </c>
      <c r="W107" s="112">
        <f>T107/U102</f>
        <v>0.17848101265822786</v>
      </c>
      <c r="Y107">
        <v>0.17851</v>
      </c>
      <c r="AA107" s="112">
        <f>Y107-W107</f>
        <v>2.8987341772146458E-5</v>
      </c>
    </row>
    <row r="108" spans="1:34" x14ac:dyDescent="0.25">
      <c r="A108" s="87" t="s">
        <v>72</v>
      </c>
      <c r="B108" t="s">
        <v>101</v>
      </c>
      <c r="C108" s="116">
        <v>94.22</v>
      </c>
      <c r="D108" s="116">
        <v>0</v>
      </c>
      <c r="E108" s="116">
        <v>9.61</v>
      </c>
      <c r="F108" s="116">
        <v>0</v>
      </c>
      <c r="G108" s="116">
        <v>0</v>
      </c>
      <c r="H108" s="116">
        <v>31.47</v>
      </c>
      <c r="I108" s="116">
        <v>0</v>
      </c>
      <c r="J108" s="116">
        <v>64.09</v>
      </c>
      <c r="K108" s="116">
        <v>33.56</v>
      </c>
      <c r="L108" s="116">
        <v>3.75</v>
      </c>
      <c r="M108" s="206"/>
      <c r="N108" s="116">
        <v>11.25</v>
      </c>
      <c r="O108" s="117">
        <v>14.1</v>
      </c>
      <c r="P108" s="108"/>
      <c r="Q108" s="180"/>
      <c r="S108" s="122" t="s">
        <v>90</v>
      </c>
      <c r="T108" s="108">
        <v>0</v>
      </c>
      <c r="U108" s="112" t="e">
        <f>T108/U103</f>
        <v>#DIV/0!</v>
      </c>
      <c r="W108" s="112" t="e">
        <f>T108/U103</f>
        <v>#DIV/0!</v>
      </c>
      <c r="Y108">
        <v>0.14457</v>
      </c>
      <c r="AA108" s="112" t="e">
        <f>Y108-W108</f>
        <v>#DIV/0!</v>
      </c>
    </row>
    <row r="109" spans="1:34" x14ac:dyDescent="0.25">
      <c r="A109" s="87" t="s">
        <v>72</v>
      </c>
      <c r="B109" t="s">
        <v>145</v>
      </c>
      <c r="C109" s="116">
        <v>116.39</v>
      </c>
      <c r="D109" s="116">
        <v>0</v>
      </c>
      <c r="E109" s="116">
        <v>0</v>
      </c>
      <c r="F109" s="116">
        <v>0</v>
      </c>
      <c r="G109" s="116">
        <v>0</v>
      </c>
      <c r="H109" s="116">
        <v>0</v>
      </c>
      <c r="I109" s="116">
        <v>0</v>
      </c>
      <c r="J109" s="116">
        <v>0</v>
      </c>
      <c r="K109" s="116">
        <v>0</v>
      </c>
      <c r="L109" s="116">
        <v>0</v>
      </c>
      <c r="M109" s="206"/>
      <c r="N109" s="116">
        <v>0</v>
      </c>
      <c r="O109" s="117">
        <v>0</v>
      </c>
      <c r="P109" s="108"/>
      <c r="Q109" s="180"/>
      <c r="S109" s="122" t="s">
        <v>90</v>
      </c>
      <c r="T109" s="108">
        <v>0</v>
      </c>
      <c r="U109" s="112" t="e">
        <f>T109/U104</f>
        <v>#DIV/0!</v>
      </c>
      <c r="W109" s="112" t="e">
        <f>T109/U104</f>
        <v>#DIV/0!</v>
      </c>
      <c r="Y109">
        <v>0.13944000000000001</v>
      </c>
      <c r="AA109" s="112" t="e">
        <f>Y109-W109</f>
        <v>#DIV/0!</v>
      </c>
    </row>
    <row r="110" spans="1:34" x14ac:dyDescent="0.25">
      <c r="A110" s="87" t="s">
        <v>72</v>
      </c>
      <c r="B110" t="s">
        <v>102</v>
      </c>
      <c r="C110" s="116">
        <f>-'WACAP 2017'!O108</f>
        <v>-78.58</v>
      </c>
      <c r="D110" s="116">
        <f t="shared" ref="D110:O111" si="55">-C108</f>
        <v>-94.22</v>
      </c>
      <c r="E110" s="116">
        <f t="shared" si="55"/>
        <v>0</v>
      </c>
      <c r="F110" s="116">
        <f t="shared" si="55"/>
        <v>-9.61</v>
      </c>
      <c r="G110" s="116">
        <f t="shared" si="55"/>
        <v>0</v>
      </c>
      <c r="H110" s="116">
        <f t="shared" si="55"/>
        <v>0</v>
      </c>
      <c r="I110" s="116">
        <f t="shared" si="55"/>
        <v>-31.47</v>
      </c>
      <c r="J110" s="116">
        <f t="shared" si="55"/>
        <v>0</v>
      </c>
      <c r="K110" s="116">
        <f t="shared" si="55"/>
        <v>-64.09</v>
      </c>
      <c r="L110" s="116">
        <f t="shared" si="55"/>
        <v>-33.56</v>
      </c>
      <c r="M110" s="206"/>
      <c r="N110" s="116">
        <f>-L108</f>
        <v>-3.75</v>
      </c>
      <c r="O110" s="117">
        <f t="shared" si="55"/>
        <v>-11.25</v>
      </c>
      <c r="P110" s="108"/>
      <c r="Q110" s="180"/>
      <c r="S110" s="122" t="s">
        <v>91</v>
      </c>
      <c r="T110" s="108">
        <v>33.14</v>
      </c>
      <c r="U110" s="112">
        <f>T110/U105</f>
        <v>0.41949367088607598</v>
      </c>
      <c r="W110" s="112">
        <f>T110/W105</f>
        <v>0.41949367088607598</v>
      </c>
      <c r="Y110">
        <v>0.41949999999999998</v>
      </c>
      <c r="AA110" s="112">
        <f>Y110-W110</f>
        <v>6.3291139240084782E-6</v>
      </c>
    </row>
    <row r="111" spans="1:34" x14ac:dyDescent="0.25">
      <c r="A111" s="87" t="s">
        <v>72</v>
      </c>
      <c r="B111" t="s">
        <v>146</v>
      </c>
      <c r="C111" s="95">
        <f>-'WACAP 2017'!O109</f>
        <v>0</v>
      </c>
      <c r="D111" s="95">
        <f t="shared" si="55"/>
        <v>-116.39</v>
      </c>
      <c r="E111" s="95">
        <f t="shared" si="55"/>
        <v>0</v>
      </c>
      <c r="F111" s="95">
        <f t="shared" si="55"/>
        <v>0</v>
      </c>
      <c r="G111" s="95">
        <f t="shared" si="55"/>
        <v>0</v>
      </c>
      <c r="H111" s="95">
        <f t="shared" si="55"/>
        <v>0</v>
      </c>
      <c r="I111" s="95">
        <f t="shared" si="55"/>
        <v>0</v>
      </c>
      <c r="J111" s="95">
        <f t="shared" si="55"/>
        <v>0</v>
      </c>
      <c r="K111" s="95">
        <f t="shared" si="55"/>
        <v>0</v>
      </c>
      <c r="L111" s="95">
        <f t="shared" si="55"/>
        <v>0</v>
      </c>
      <c r="M111" s="205"/>
      <c r="N111" s="95">
        <f>-L109</f>
        <v>0</v>
      </c>
      <c r="O111" s="107">
        <f t="shared" si="55"/>
        <v>0</v>
      </c>
      <c r="P111" s="108"/>
      <c r="Q111" s="180"/>
    </row>
    <row r="112" spans="1:34" x14ac:dyDescent="0.25">
      <c r="A112" s="86"/>
      <c r="B112" s="89" t="s">
        <v>74</v>
      </c>
      <c r="C112" s="108">
        <f t="shared" ref="C112:O112" si="56">SUM(C106:C111)</f>
        <v>210.61</v>
      </c>
      <c r="D112" s="108">
        <f t="shared" si="56"/>
        <v>0</v>
      </c>
      <c r="E112" s="108">
        <f t="shared" si="56"/>
        <v>9.61</v>
      </c>
      <c r="F112" s="108">
        <f t="shared" si="56"/>
        <v>0</v>
      </c>
      <c r="G112" s="108">
        <f t="shared" si="56"/>
        <v>0</v>
      </c>
      <c r="H112" s="108">
        <f t="shared" si="56"/>
        <v>31.47</v>
      </c>
      <c r="I112" s="108">
        <f t="shared" si="56"/>
        <v>0</v>
      </c>
      <c r="J112" s="108">
        <f t="shared" si="56"/>
        <v>64.09</v>
      </c>
      <c r="K112" s="108">
        <f t="shared" si="56"/>
        <v>33.56</v>
      </c>
      <c r="L112" s="108">
        <f t="shared" si="56"/>
        <v>3.75</v>
      </c>
      <c r="M112" s="206"/>
      <c r="N112" s="108">
        <f t="shared" si="56"/>
        <v>11.25</v>
      </c>
      <c r="O112" s="109">
        <f t="shared" si="56"/>
        <v>14.100000000000001</v>
      </c>
      <c r="Q112" s="178"/>
    </row>
    <row r="113" spans="1:34" x14ac:dyDescent="0.25">
      <c r="A113" s="86"/>
      <c r="B113" s="89" t="s">
        <v>73</v>
      </c>
      <c r="C113" s="88">
        <f>ROUND(-'Authorized Margins'!J60*'WACAP 2018'!C105,2)</f>
        <v>-463.97</v>
      </c>
      <c r="D113" s="88">
        <f>ROUND(-'Authorized Margins'!K60*'WACAP 2018'!D105,2)</f>
        <v>-523.33000000000004</v>
      </c>
      <c r="E113" s="88">
        <f>ROUND(-'Authorized Margins'!L60*'WACAP 2018'!E105,2)</f>
        <v>-416.44</v>
      </c>
      <c r="F113" s="88">
        <f>ROUND(-'Authorized Margins'!M60*'WACAP 2018'!F105,2)</f>
        <v>-304.64</v>
      </c>
      <c r="G113" s="88">
        <f>ROUND(-'Authorized Margins'!N60*'WACAP 2018'!G105,2)</f>
        <v>-260.88</v>
      </c>
      <c r="H113" s="88">
        <f>ROUND(-'Authorized Margins'!O60*'WACAP 2018'!H105,2)</f>
        <v>-210.75</v>
      </c>
      <c r="I113" s="88">
        <f>ROUND(-'Authorized Margins'!D60*'WACAP 2018'!I105,2)</f>
        <v>-199.5</v>
      </c>
      <c r="J113" s="88">
        <f>ROUND(-'Authorized Margins 2018'!E14*'WACAP 2018'!J105,2)</f>
        <v>-161.43</v>
      </c>
      <c r="K113" s="88">
        <f>ROUND(-'Authorized Margins 2018'!F14*'WACAP 2018'!K105,2)</f>
        <v>-209.7</v>
      </c>
      <c r="L113" s="88">
        <f>ROUND(-'Authorized Margins 2018'!G14*'WACAP 2018'!L105,2)</f>
        <v>-357.27</v>
      </c>
      <c r="M113" s="205"/>
      <c r="N113" s="88">
        <f>ROUND(-'Authorized Margins 2018'!H14*'WACAP 2018'!N105,2)</f>
        <v>-308.02999999999997</v>
      </c>
      <c r="O113" s="110">
        <f>ROUND(-'Authorized Margins 2018'!I14*'WACAP 2018'!O105,2)</f>
        <v>-430.43</v>
      </c>
      <c r="Q113" s="178"/>
    </row>
    <row r="114" spans="1:34" x14ac:dyDescent="0.25">
      <c r="A114" s="86"/>
      <c r="B114" s="89" t="s">
        <v>75</v>
      </c>
      <c r="C114" s="90">
        <f t="shared" ref="C114:O114" si="57">SUM(C112:C113)</f>
        <v>-253.36</v>
      </c>
      <c r="D114" s="90">
        <f t="shared" si="57"/>
        <v>-523.33000000000004</v>
      </c>
      <c r="E114" s="90">
        <f t="shared" si="57"/>
        <v>-406.83</v>
      </c>
      <c r="F114" s="90">
        <f t="shared" si="57"/>
        <v>-304.64</v>
      </c>
      <c r="G114" s="90">
        <f t="shared" si="57"/>
        <v>-260.88</v>
      </c>
      <c r="H114" s="90">
        <f t="shared" si="57"/>
        <v>-179.28</v>
      </c>
      <c r="I114" s="90">
        <f t="shared" si="57"/>
        <v>-199.5</v>
      </c>
      <c r="J114" s="90">
        <f t="shared" si="57"/>
        <v>-97.34</v>
      </c>
      <c r="K114" s="90">
        <f t="shared" si="57"/>
        <v>-176.14</v>
      </c>
      <c r="L114" s="90">
        <f t="shared" si="57"/>
        <v>-353.52</v>
      </c>
      <c r="M114" s="215">
        <f>-'WACAP 2017'!Q116</f>
        <v>3837.4000000000005</v>
      </c>
      <c r="N114" s="90">
        <f t="shared" si="57"/>
        <v>-296.77999999999997</v>
      </c>
      <c r="O114" s="111">
        <f t="shared" si="57"/>
        <v>-416.33</v>
      </c>
      <c r="Q114" s="180">
        <f>SUM(C114:P114)-M114</f>
        <v>-3467.93</v>
      </c>
    </row>
    <row r="115" spans="1:34" x14ac:dyDescent="0.25">
      <c r="A115" s="87"/>
      <c r="B115" s="89" t="s">
        <v>137</v>
      </c>
      <c r="C115" s="187">
        <f>ROUND(ROUND('WACAP 2017'!O117*C$5,2)/365*C$6,2)</f>
        <v>-13.85</v>
      </c>
      <c r="D115" s="187">
        <f>ROUND(ROUND(C117*D$5,2)/365*D$6,2)</f>
        <v>-13.38</v>
      </c>
      <c r="E115" s="187">
        <f t="shared" ref="E115:O115" si="58">ROUND(ROUND(D117*E$5,2)/365*E$6,2)</f>
        <v>-16.75</v>
      </c>
      <c r="F115" s="187">
        <f t="shared" si="58"/>
        <v>-18.61</v>
      </c>
      <c r="G115" s="187">
        <f t="shared" si="58"/>
        <v>-20.46</v>
      </c>
      <c r="H115" s="187">
        <f t="shared" si="58"/>
        <v>-20.83</v>
      </c>
      <c r="I115" s="187">
        <f t="shared" si="58"/>
        <v>-23.38</v>
      </c>
      <c r="J115" s="187">
        <f t="shared" si="58"/>
        <v>-24.27</v>
      </c>
      <c r="K115" s="187">
        <f t="shared" si="58"/>
        <v>-23.95</v>
      </c>
      <c r="L115" s="187">
        <f t="shared" si="58"/>
        <v>-27.02</v>
      </c>
      <c r="M115" s="208">
        <f>'Ammort Split 2018'!N115</f>
        <v>146.99</v>
      </c>
      <c r="N115" s="187">
        <f>ROUND(ROUND(M117*N$5,2)/365*N$6,2)</f>
        <v>-11.46</v>
      </c>
      <c r="O115" s="188">
        <f t="shared" si="58"/>
        <v>-13.14</v>
      </c>
      <c r="Q115" s="196">
        <f>SUM(C115:P115)</f>
        <v>-80.11</v>
      </c>
    </row>
    <row r="116" spans="1:34" x14ac:dyDescent="0.25">
      <c r="A116" s="87"/>
      <c r="B116" s="89" t="s">
        <v>138</v>
      </c>
      <c r="C116" s="189">
        <f t="shared" ref="C116:O116" si="59">SUM(C114:C115)</f>
        <v>-267.21000000000004</v>
      </c>
      <c r="D116" s="189">
        <f t="shared" si="59"/>
        <v>-536.71</v>
      </c>
      <c r="E116" s="189">
        <f t="shared" si="59"/>
        <v>-423.58</v>
      </c>
      <c r="F116" s="189">
        <f t="shared" si="59"/>
        <v>-323.25</v>
      </c>
      <c r="G116" s="189">
        <f t="shared" si="59"/>
        <v>-281.33999999999997</v>
      </c>
      <c r="H116" s="189">
        <f t="shared" si="59"/>
        <v>-200.11</v>
      </c>
      <c r="I116" s="189">
        <f t="shared" si="59"/>
        <v>-222.88</v>
      </c>
      <c r="J116" s="189">
        <f t="shared" si="59"/>
        <v>-121.61</v>
      </c>
      <c r="K116" s="189">
        <f t="shared" si="59"/>
        <v>-200.08999999999997</v>
      </c>
      <c r="L116" s="189">
        <f t="shared" si="59"/>
        <v>-380.53999999999996</v>
      </c>
      <c r="M116" s="209">
        <f t="shared" si="59"/>
        <v>3984.3900000000003</v>
      </c>
      <c r="N116" s="189">
        <f t="shared" si="59"/>
        <v>-308.23999999999995</v>
      </c>
      <c r="O116" s="190">
        <f t="shared" si="59"/>
        <v>-429.46999999999997</v>
      </c>
      <c r="Q116" s="198">
        <f>SUM(Q114:Q115)</f>
        <v>-3548.04</v>
      </c>
    </row>
    <row r="117" spans="1:34" x14ac:dyDescent="0.25">
      <c r="A117" s="87"/>
      <c r="B117" s="89" t="s">
        <v>139</v>
      </c>
      <c r="C117" s="90">
        <f>'WACAP 2017'!O117+'WACAP 2018'!C116</f>
        <v>-4104.6099999999988</v>
      </c>
      <c r="D117" s="90">
        <f t="shared" ref="D117:O117" si="60">C117+D116</f>
        <v>-4641.3199999999988</v>
      </c>
      <c r="E117" s="90">
        <f t="shared" si="60"/>
        <v>-5064.8999999999987</v>
      </c>
      <c r="F117" s="90">
        <f t="shared" si="60"/>
        <v>-5388.1499999999987</v>
      </c>
      <c r="G117" s="90">
        <f t="shared" si="60"/>
        <v>-5669.4899999999989</v>
      </c>
      <c r="H117" s="90">
        <f t="shared" si="60"/>
        <v>-5869.5999999999985</v>
      </c>
      <c r="I117" s="90">
        <f t="shared" si="60"/>
        <v>-6092.4799999999987</v>
      </c>
      <c r="J117" s="90">
        <f t="shared" si="60"/>
        <v>-6214.0899999999983</v>
      </c>
      <c r="K117" s="90">
        <f t="shared" si="60"/>
        <v>-6414.1799999999985</v>
      </c>
      <c r="L117" s="90">
        <f t="shared" si="60"/>
        <v>-6794.7199999999984</v>
      </c>
      <c r="M117" s="207">
        <f t="shared" si="60"/>
        <v>-2810.3299999999981</v>
      </c>
      <c r="N117" s="90">
        <f t="shared" si="60"/>
        <v>-3118.5699999999979</v>
      </c>
      <c r="O117" s="191">
        <f t="shared" si="60"/>
        <v>-3548.0399999999977</v>
      </c>
      <c r="Q117" s="178"/>
    </row>
    <row r="118" spans="1:34" x14ac:dyDescent="0.25">
      <c r="A118" s="86"/>
      <c r="B118" s="89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207"/>
      <c r="N118" s="90"/>
      <c r="O118" s="111"/>
      <c r="Q118" s="178"/>
      <c r="S118" s="122"/>
      <c r="T118" s="108"/>
      <c r="U118" s="108">
        <f>ROUND(T121/Y121,0)</f>
        <v>121886</v>
      </c>
    </row>
    <row r="119" spans="1:34" x14ac:dyDescent="0.25">
      <c r="A119" s="86">
        <v>570</v>
      </c>
      <c r="B119" s="104" t="s">
        <v>88</v>
      </c>
      <c r="C119" s="113"/>
      <c r="D119" s="113"/>
      <c r="E119" s="108"/>
      <c r="F119" s="113"/>
      <c r="G119" s="113"/>
      <c r="H119" s="113"/>
      <c r="I119" s="113"/>
      <c r="J119" s="113"/>
      <c r="K119" s="113"/>
      <c r="L119" s="113"/>
      <c r="M119" s="204"/>
      <c r="N119" s="113"/>
      <c r="O119" s="115"/>
      <c r="Q119" s="178"/>
      <c r="T119">
        <v>570</v>
      </c>
      <c r="U119" s="108">
        <f>ROUND(T122/Y122,0)</f>
        <v>138596</v>
      </c>
      <c r="V119" s="108">
        <f>SUM(U118:U119)</f>
        <v>260482</v>
      </c>
      <c r="AC119" s="108">
        <v>33</v>
      </c>
      <c r="AE119" s="113"/>
    </row>
    <row r="120" spans="1:34" x14ac:dyDescent="0.25">
      <c r="A120" s="87" t="s">
        <v>64</v>
      </c>
      <c r="B120" t="s">
        <v>65</v>
      </c>
      <c r="C120" s="105">
        <v>7</v>
      </c>
      <c r="D120" s="105">
        <v>7</v>
      </c>
      <c r="E120" s="105">
        <v>7</v>
      </c>
      <c r="F120" s="105">
        <v>7</v>
      </c>
      <c r="G120" s="105">
        <v>7</v>
      </c>
      <c r="H120" s="105">
        <v>7</v>
      </c>
      <c r="I120" s="105">
        <v>7</v>
      </c>
      <c r="J120" s="105">
        <v>9</v>
      </c>
      <c r="K120" s="105">
        <v>8</v>
      </c>
      <c r="L120" s="105">
        <v>8</v>
      </c>
      <c r="M120" s="204"/>
      <c r="N120" s="105">
        <v>8</v>
      </c>
      <c r="O120" s="106">
        <v>8</v>
      </c>
      <c r="P120" s="113"/>
      <c r="Q120" s="179"/>
      <c r="U120" s="113">
        <v>260482</v>
      </c>
      <c r="V120" t="s">
        <v>92</v>
      </c>
      <c r="W120" s="113">
        <f>U120</f>
        <v>260482</v>
      </c>
      <c r="AC120" s="122"/>
      <c r="AD120" s="108">
        <f>SUM(J120*33)</f>
        <v>297</v>
      </c>
      <c r="AE120" s="108">
        <f>SUM(K120*33)</f>
        <v>264</v>
      </c>
      <c r="AF120" s="108">
        <f>SUM(L120*33)</f>
        <v>264</v>
      </c>
      <c r="AG120" s="108">
        <f>SUM(N120*33)</f>
        <v>264</v>
      </c>
      <c r="AH120" s="108">
        <f>SUM(O120*33)</f>
        <v>264</v>
      </c>
    </row>
    <row r="121" spans="1:34" x14ac:dyDescent="0.25">
      <c r="A121" s="87" t="s">
        <v>71</v>
      </c>
      <c r="B121" t="s">
        <v>103</v>
      </c>
      <c r="C121" s="116">
        <v>9200.8700000000008</v>
      </c>
      <c r="D121" s="116">
        <v>8695.19</v>
      </c>
      <c r="E121" s="116">
        <v>8330.48</v>
      </c>
      <c r="F121" s="116">
        <v>8341.75</v>
      </c>
      <c r="G121" s="116">
        <v>7943.29</v>
      </c>
      <c r="H121" s="116">
        <v>6886.74</v>
      </c>
      <c r="I121" s="116">
        <v>6144.86</v>
      </c>
      <c r="J121" s="116">
        <f>7365.66+779.66+63.26</f>
        <v>8208.58</v>
      </c>
      <c r="K121" s="116">
        <v>5560.29</v>
      </c>
      <c r="L121" s="116">
        <v>6218.27</v>
      </c>
      <c r="M121" s="206"/>
      <c r="N121" s="116">
        <v>9365.1299999999992</v>
      </c>
      <c r="O121" s="117">
        <v>8872.8700000000008</v>
      </c>
      <c r="P121" s="108"/>
      <c r="Q121" s="180"/>
      <c r="S121" s="122" t="s">
        <v>90</v>
      </c>
      <c r="T121" s="108">
        <v>9622.91</v>
      </c>
      <c r="U121" s="112">
        <f>T121/U118</f>
        <v>7.8950084505193377E-2</v>
      </c>
      <c r="W121" s="112">
        <f>T121/U118</f>
        <v>7.8950084505193377E-2</v>
      </c>
      <c r="Y121">
        <v>7.8950000000000006E-2</v>
      </c>
      <c r="AA121" s="112">
        <f>Y121-W121</f>
        <v>-8.450519337066531E-8</v>
      </c>
    </row>
    <row r="122" spans="1:34" x14ac:dyDescent="0.25">
      <c r="A122" s="87" t="s">
        <v>71</v>
      </c>
      <c r="B122" t="s">
        <v>104</v>
      </c>
      <c r="C122" s="116">
        <v>2865.37</v>
      </c>
      <c r="D122" s="116">
        <v>2805.42</v>
      </c>
      <c r="E122" s="116">
        <v>2794.08</v>
      </c>
      <c r="F122" s="116">
        <v>2759.82</v>
      </c>
      <c r="G122" s="116">
        <v>2048.6799999999998</v>
      </c>
      <c r="H122" s="116">
        <v>1168.1099999999999</v>
      </c>
      <c r="I122" s="116">
        <v>736.5</v>
      </c>
      <c r="J122" s="116">
        <v>505.1</v>
      </c>
      <c r="K122" s="116">
        <v>516.21</v>
      </c>
      <c r="L122" s="116">
        <v>896.57</v>
      </c>
      <c r="M122" s="206"/>
      <c r="N122" s="116">
        <v>1778.64</v>
      </c>
      <c r="O122" s="117">
        <v>2367.19</v>
      </c>
      <c r="P122" s="108"/>
      <c r="Q122" s="180"/>
      <c r="S122" s="122" t="s">
        <v>90</v>
      </c>
      <c r="T122" s="108">
        <v>3115.63</v>
      </c>
      <c r="U122" s="112">
        <f>T122/U119</f>
        <v>2.2479941701059193E-2</v>
      </c>
      <c r="W122" s="112">
        <f>T122/U119</f>
        <v>2.2479941701059193E-2</v>
      </c>
      <c r="Y122">
        <v>2.248E-2</v>
      </c>
      <c r="AA122" s="112">
        <f>Y122-W122</f>
        <v>5.829894080683351E-8</v>
      </c>
    </row>
    <row r="123" spans="1:34" x14ac:dyDescent="0.25">
      <c r="A123" s="87" t="s">
        <v>72</v>
      </c>
      <c r="B123" t="s">
        <v>105</v>
      </c>
      <c r="C123" s="116">
        <v>8695.19</v>
      </c>
      <c r="D123" s="116">
        <v>8330.48</v>
      </c>
      <c r="E123" s="116">
        <v>8341.75</v>
      </c>
      <c r="F123" s="116">
        <v>7943.29</v>
      </c>
      <c r="G123" s="116">
        <v>6886.74</v>
      </c>
      <c r="H123" s="116">
        <v>6144.86</v>
      </c>
      <c r="I123" s="116">
        <v>7365.66</v>
      </c>
      <c r="J123" s="116">
        <v>5560.29</v>
      </c>
      <c r="K123" s="116">
        <v>6218.27</v>
      </c>
      <c r="L123" s="116">
        <v>9365.1299999999992</v>
      </c>
      <c r="M123" s="206"/>
      <c r="N123" s="116">
        <v>8872.8700000000008</v>
      </c>
      <c r="O123" s="117">
        <v>9622.91</v>
      </c>
      <c r="P123" s="108"/>
      <c r="Q123" s="180"/>
      <c r="S123" s="122" t="s">
        <v>91</v>
      </c>
      <c r="T123" s="108">
        <v>105729.64</v>
      </c>
      <c r="U123" s="112">
        <f>T123/U120</f>
        <v>0.40589998541165995</v>
      </c>
      <c r="W123" s="112">
        <f>T123/W120</f>
        <v>0.40589998541165995</v>
      </c>
      <c r="Y123">
        <v>0.40589999999999998</v>
      </c>
      <c r="AA123" s="112">
        <f>Y123-W123</f>
        <v>1.4588340035981417E-8</v>
      </c>
    </row>
    <row r="124" spans="1:34" x14ac:dyDescent="0.25">
      <c r="A124" s="87" t="s">
        <v>72</v>
      </c>
      <c r="B124" t="s">
        <v>106</v>
      </c>
      <c r="C124" s="116">
        <v>2805.42</v>
      </c>
      <c r="D124" s="116">
        <v>2794.08</v>
      </c>
      <c r="E124" s="116">
        <v>2759.82</v>
      </c>
      <c r="F124" s="116">
        <v>2048.6799999999998</v>
      </c>
      <c r="G124" s="116">
        <v>1168.1099999999999</v>
      </c>
      <c r="H124" s="116">
        <v>736.5</v>
      </c>
      <c r="I124" s="116">
        <v>505.1</v>
      </c>
      <c r="J124" s="116">
        <v>516.21</v>
      </c>
      <c r="K124" s="116">
        <v>896.57</v>
      </c>
      <c r="L124" s="116">
        <v>1778.64</v>
      </c>
      <c r="M124" s="206"/>
      <c r="N124" s="116">
        <v>2367.19</v>
      </c>
      <c r="O124" s="117">
        <v>3115.63</v>
      </c>
      <c r="P124" s="108"/>
      <c r="Q124" s="180"/>
      <c r="AA124" s="112"/>
    </row>
    <row r="125" spans="1:34" x14ac:dyDescent="0.25">
      <c r="A125" s="87" t="s">
        <v>72</v>
      </c>
      <c r="B125" t="s">
        <v>107</v>
      </c>
      <c r="C125" s="116">
        <f>-'WACAP 2017'!O123</f>
        <v>-9200.8700000000008</v>
      </c>
      <c r="D125" s="116">
        <f t="shared" ref="D125:L126" si="61">-C123</f>
        <v>-8695.19</v>
      </c>
      <c r="E125" s="116">
        <f t="shared" si="61"/>
        <v>-8330.48</v>
      </c>
      <c r="F125" s="116">
        <f t="shared" si="61"/>
        <v>-8341.75</v>
      </c>
      <c r="G125" s="116">
        <f t="shared" si="61"/>
        <v>-7943.29</v>
      </c>
      <c r="H125" s="116">
        <f t="shared" si="61"/>
        <v>-6886.74</v>
      </c>
      <c r="I125" s="116">
        <f t="shared" si="61"/>
        <v>-6144.86</v>
      </c>
      <c r="J125" s="116">
        <f>-I123-363.62</f>
        <v>-7729.28</v>
      </c>
      <c r="K125" s="116">
        <f t="shared" si="61"/>
        <v>-5560.29</v>
      </c>
      <c r="L125" s="116">
        <f t="shared" si="61"/>
        <v>-6218.27</v>
      </c>
      <c r="M125" s="206"/>
      <c r="N125" s="116">
        <f t="shared" ref="N125:N126" si="62">-L123</f>
        <v>-9365.1299999999992</v>
      </c>
      <c r="O125" s="117">
        <f>-N123</f>
        <v>-8872.8700000000008</v>
      </c>
      <c r="P125" s="108"/>
      <c r="Q125" s="180"/>
    </row>
    <row r="126" spans="1:34" x14ac:dyDescent="0.25">
      <c r="A126" s="87" t="s">
        <v>72</v>
      </c>
      <c r="B126" t="s">
        <v>108</v>
      </c>
      <c r="C126" s="95">
        <f>-'WACAP 2017'!O124</f>
        <v>-2865.37</v>
      </c>
      <c r="D126" s="95">
        <f t="shared" si="61"/>
        <v>-2805.42</v>
      </c>
      <c r="E126" s="95">
        <f t="shared" si="61"/>
        <v>-2794.08</v>
      </c>
      <c r="F126" s="95">
        <f t="shared" si="61"/>
        <v>-2759.82</v>
      </c>
      <c r="G126" s="95">
        <f t="shared" si="61"/>
        <v>-2048.6799999999998</v>
      </c>
      <c r="H126" s="95">
        <f t="shared" si="61"/>
        <v>-1168.1099999999999</v>
      </c>
      <c r="I126" s="95">
        <f t="shared" si="61"/>
        <v>-736.5</v>
      </c>
      <c r="J126" s="95">
        <f t="shared" si="61"/>
        <v>-505.1</v>
      </c>
      <c r="K126" s="95">
        <f t="shared" si="61"/>
        <v>-516.21</v>
      </c>
      <c r="L126" s="95">
        <f t="shared" si="61"/>
        <v>-896.57</v>
      </c>
      <c r="M126" s="205"/>
      <c r="N126" s="95">
        <f t="shared" si="62"/>
        <v>-1778.64</v>
      </c>
      <c r="O126" s="107">
        <f>-N124</f>
        <v>-2367.19</v>
      </c>
      <c r="P126" s="108"/>
      <c r="Q126" s="180"/>
    </row>
    <row r="127" spans="1:34" x14ac:dyDescent="0.25">
      <c r="A127" s="87"/>
      <c r="B127" s="89" t="s">
        <v>74</v>
      </c>
      <c r="C127" s="108">
        <f t="shared" ref="C127:E127" si="63">SUM(C121:C126)</f>
        <v>11500.609999999997</v>
      </c>
      <c r="D127" s="108">
        <f t="shared" si="63"/>
        <v>11124.559999999998</v>
      </c>
      <c r="E127" s="108">
        <f t="shared" si="63"/>
        <v>11101.569999999998</v>
      </c>
      <c r="F127" s="108">
        <f>SUM(F121:F126)</f>
        <v>9991.9700000000012</v>
      </c>
      <c r="G127" s="108">
        <f t="shared" ref="G127:O127" si="64">SUM(G121:G126)</f>
        <v>8054.8499999999985</v>
      </c>
      <c r="H127" s="108">
        <f t="shared" si="64"/>
        <v>6881.36</v>
      </c>
      <c r="I127" s="108">
        <f t="shared" si="64"/>
        <v>7870.760000000002</v>
      </c>
      <c r="J127" s="108">
        <f t="shared" si="64"/>
        <v>6555.8</v>
      </c>
      <c r="K127" s="108">
        <f t="shared" si="64"/>
        <v>7114.84</v>
      </c>
      <c r="L127" s="108">
        <f t="shared" si="64"/>
        <v>11143.77</v>
      </c>
      <c r="M127" s="206"/>
      <c r="N127" s="108">
        <f t="shared" si="64"/>
        <v>11240.06</v>
      </c>
      <c r="O127" s="111">
        <f t="shared" si="64"/>
        <v>12738.54</v>
      </c>
      <c r="Q127" s="178"/>
    </row>
    <row r="128" spans="1:34" x14ac:dyDescent="0.25">
      <c r="A128" s="87"/>
      <c r="B128" s="89" t="s">
        <v>73</v>
      </c>
      <c r="C128" s="88">
        <f>ROUND(-'Authorized Margins'!J95*'WACAP 2018'!C120,2)</f>
        <v>-16748.55</v>
      </c>
      <c r="D128" s="88">
        <f>ROUND(-'Authorized Margins'!K95*'WACAP 2018'!D120,2)</f>
        <v>-16839.27</v>
      </c>
      <c r="E128" s="88">
        <f>ROUND(-'Authorized Margins'!L95*'WACAP 2018'!E120,2)</f>
        <v>-14322.07</v>
      </c>
      <c r="F128" s="88">
        <f>ROUND(-'Authorized Margins'!M95*'WACAP 2018'!F120,2)</f>
        <v>-13668.48</v>
      </c>
      <c r="G128" s="88">
        <f>ROUND(-'Authorized Margins'!N95*'WACAP 2018'!G120,2)</f>
        <v>-13131.93</v>
      </c>
      <c r="H128" s="88">
        <f>ROUND(-'Authorized Margins'!O95*'WACAP 2018'!H120,2)</f>
        <v>-11028.71</v>
      </c>
      <c r="I128" s="88">
        <f>ROUND(-'Authorized Margins'!D95*'WACAP 2018'!I120,2)</f>
        <v>-9885.68</v>
      </c>
      <c r="J128" s="88">
        <f>ROUND(-'Authorized Margins 2018'!E18*'WACAP 2018'!J120,2)</f>
        <v>-9942.93</v>
      </c>
      <c r="K128" s="88">
        <f>ROUND(-'Authorized Margins 2018'!F18*'WACAP 2018'!K120,2)</f>
        <v>-6932.32</v>
      </c>
      <c r="L128" s="88">
        <f>ROUND(-'Authorized Margins 2018'!G18*'WACAP 2018'!L120,2)</f>
        <v>-8996.48</v>
      </c>
      <c r="M128" s="205"/>
      <c r="N128" s="88">
        <f>ROUND(-'Authorized Margins 2018'!H18*'WACAP 2018'!N120,2)</f>
        <v>-12708</v>
      </c>
      <c r="O128" s="110">
        <f>ROUND(-'Authorized Margins 2018'!I18*'WACAP 2018'!O120,2)</f>
        <v>-14600.88</v>
      </c>
      <c r="Q128" s="178"/>
    </row>
    <row r="129" spans="1:27" x14ac:dyDescent="0.25">
      <c r="A129" s="87"/>
      <c r="B129" s="89" t="s">
        <v>75</v>
      </c>
      <c r="C129" s="90">
        <f t="shared" ref="C129:O129" si="65">SUM(C127:C128)</f>
        <v>-5247.9400000000023</v>
      </c>
      <c r="D129" s="90">
        <f t="shared" si="65"/>
        <v>-5714.7100000000028</v>
      </c>
      <c r="E129" s="90">
        <f t="shared" si="65"/>
        <v>-3220.5000000000018</v>
      </c>
      <c r="F129" s="90">
        <f t="shared" si="65"/>
        <v>-3676.5099999999984</v>
      </c>
      <c r="G129" s="90">
        <f t="shared" si="65"/>
        <v>-5077.0800000000017</v>
      </c>
      <c r="H129" s="90">
        <f t="shared" si="65"/>
        <v>-4147.3499999999995</v>
      </c>
      <c r="I129" s="90">
        <f t="shared" si="65"/>
        <v>-2014.9199999999983</v>
      </c>
      <c r="J129" s="90">
        <f t="shared" si="65"/>
        <v>-3387.13</v>
      </c>
      <c r="K129" s="90">
        <f t="shared" si="65"/>
        <v>182.52000000000044</v>
      </c>
      <c r="L129" s="90">
        <f t="shared" si="65"/>
        <v>2147.2900000000009</v>
      </c>
      <c r="M129" s="215">
        <f>-'WACAP 2017'!Q131</f>
        <v>23801.620000000006</v>
      </c>
      <c r="N129" s="90">
        <f t="shared" si="65"/>
        <v>-1467.9400000000005</v>
      </c>
      <c r="O129" s="111">
        <f t="shared" si="65"/>
        <v>-1862.3399999999983</v>
      </c>
      <c r="Q129" s="180">
        <f>SUM(C129:P129)-M129</f>
        <v>-33486.61</v>
      </c>
    </row>
    <row r="130" spans="1:27" x14ac:dyDescent="0.25">
      <c r="A130" s="87"/>
      <c r="B130" s="89" t="s">
        <v>137</v>
      </c>
      <c r="C130" s="187">
        <f>ROUND(ROUND('WACAP 2017'!O132*C$5,2)/365*C$6,2)</f>
        <v>-85.91</v>
      </c>
      <c r="D130" s="187">
        <f>ROUND(ROUND(C132*D$5,2)/365*D$6,2)</f>
        <v>-94.99</v>
      </c>
      <c r="E130" s="187">
        <f t="shared" ref="E130:O130" si="66">ROUND(ROUND(D132*E$5,2)/365*E$6,2)</f>
        <v>-126.14</v>
      </c>
      <c r="F130" s="187">
        <f t="shared" si="66"/>
        <v>-140.68</v>
      </c>
      <c r="G130" s="187">
        <f t="shared" si="66"/>
        <v>-159.86000000000001</v>
      </c>
      <c r="H130" s="187">
        <f t="shared" si="66"/>
        <v>-173.95</v>
      </c>
      <c r="I130" s="187">
        <f t="shared" si="66"/>
        <v>-205.81</v>
      </c>
      <c r="J130" s="187">
        <f t="shared" si="66"/>
        <v>-214.65</v>
      </c>
      <c r="K130" s="187">
        <f t="shared" si="66"/>
        <v>-221.61</v>
      </c>
      <c r="L130" s="187">
        <f t="shared" si="66"/>
        <v>-242.35</v>
      </c>
      <c r="M130" s="208">
        <f>'Ammort Split 2018'!N130</f>
        <v>911.66</v>
      </c>
      <c r="N130" s="187">
        <f>ROUND(ROUND(M132*N$5,2)/365*N$6,2)</f>
        <v>-126.01</v>
      </c>
      <c r="O130" s="188">
        <f t="shared" si="66"/>
        <v>-136.93</v>
      </c>
      <c r="Q130" s="196">
        <f>SUM(C130:P130)</f>
        <v>-1017.2299999999998</v>
      </c>
    </row>
    <row r="131" spans="1:27" x14ac:dyDescent="0.25">
      <c r="A131" s="87"/>
      <c r="B131" s="89" t="s">
        <v>138</v>
      </c>
      <c r="C131" s="189">
        <f t="shared" ref="C131:O131" si="67">SUM(C129:C130)</f>
        <v>-5333.8500000000022</v>
      </c>
      <c r="D131" s="189">
        <f t="shared" si="67"/>
        <v>-5809.7000000000025</v>
      </c>
      <c r="E131" s="189">
        <f t="shared" si="67"/>
        <v>-3346.6400000000017</v>
      </c>
      <c r="F131" s="189">
        <f t="shared" si="67"/>
        <v>-3817.1899999999982</v>
      </c>
      <c r="G131" s="189">
        <f t="shared" si="67"/>
        <v>-5236.9400000000014</v>
      </c>
      <c r="H131" s="189">
        <f t="shared" si="67"/>
        <v>-4321.2999999999993</v>
      </c>
      <c r="I131" s="189">
        <f t="shared" si="67"/>
        <v>-2220.7299999999982</v>
      </c>
      <c r="J131" s="189">
        <f t="shared" si="67"/>
        <v>-3601.78</v>
      </c>
      <c r="K131" s="189">
        <f t="shared" si="67"/>
        <v>-39.089999999999577</v>
      </c>
      <c r="L131" s="189">
        <f t="shared" si="67"/>
        <v>1904.940000000001</v>
      </c>
      <c r="M131" s="209">
        <f>SUM(M129:M130)</f>
        <v>24713.280000000006</v>
      </c>
      <c r="N131" s="189">
        <f t="shared" si="67"/>
        <v>-1593.9500000000005</v>
      </c>
      <c r="O131" s="190">
        <f t="shared" si="67"/>
        <v>-1999.2699999999984</v>
      </c>
      <c r="Q131" s="198">
        <f>SUM(Q129:Q130)</f>
        <v>-34503.840000000004</v>
      </c>
    </row>
    <row r="132" spans="1:27" x14ac:dyDescent="0.25">
      <c r="A132" s="87"/>
      <c r="B132" s="89" t="s">
        <v>139</v>
      </c>
      <c r="C132" s="90">
        <f>'WACAP 2017'!O132+'WACAP 2018'!C131</f>
        <v>-29135.470000000005</v>
      </c>
      <c r="D132" s="90">
        <f t="shared" ref="D132:O132" si="68">C132+D131</f>
        <v>-34945.170000000006</v>
      </c>
      <c r="E132" s="90">
        <f t="shared" si="68"/>
        <v>-38291.810000000005</v>
      </c>
      <c r="F132" s="90">
        <f t="shared" si="68"/>
        <v>-42109</v>
      </c>
      <c r="G132" s="90">
        <f t="shared" si="68"/>
        <v>-47345.94</v>
      </c>
      <c r="H132" s="90">
        <f t="shared" si="68"/>
        <v>-51667.240000000005</v>
      </c>
      <c r="I132" s="90">
        <f t="shared" si="68"/>
        <v>-53887.97</v>
      </c>
      <c r="J132" s="90">
        <f t="shared" si="68"/>
        <v>-57489.75</v>
      </c>
      <c r="K132" s="90">
        <f t="shared" si="68"/>
        <v>-57528.84</v>
      </c>
      <c r="L132" s="90">
        <f t="shared" si="68"/>
        <v>-55623.899999999994</v>
      </c>
      <c r="M132" s="207">
        <f>L132+M131</f>
        <v>-30910.619999999988</v>
      </c>
      <c r="N132" s="90">
        <f t="shared" si="68"/>
        <v>-32504.569999999989</v>
      </c>
      <c r="O132" s="191">
        <f t="shared" si="68"/>
        <v>-34503.839999999989</v>
      </c>
      <c r="Q132" s="178"/>
    </row>
    <row r="133" spans="1:27" x14ac:dyDescent="0.25">
      <c r="A133" s="86"/>
      <c r="C133" s="113"/>
      <c r="D133" s="113"/>
      <c r="E133" s="108"/>
      <c r="F133" s="113"/>
      <c r="G133" s="113"/>
      <c r="H133" s="113"/>
      <c r="I133" s="113"/>
      <c r="J133" s="113"/>
      <c r="K133" s="113"/>
      <c r="L133" s="113"/>
      <c r="M133" s="204"/>
      <c r="N133" s="113"/>
      <c r="O133" s="115"/>
      <c r="Q133" s="178"/>
      <c r="S133" s="226"/>
      <c r="T133" s="227"/>
      <c r="U133" s="227">
        <f>ROUND(T136/Y136,0)</f>
        <v>3496</v>
      </c>
      <c r="V133" s="224"/>
      <c r="W133" s="224"/>
      <c r="X133" s="224"/>
      <c r="Y133" s="224"/>
      <c r="Z133" s="224"/>
      <c r="AA133" s="224"/>
    </row>
    <row r="134" spans="1:27" x14ac:dyDescent="0.25">
      <c r="A134" s="86">
        <v>577</v>
      </c>
      <c r="B134" s="104" t="s">
        <v>88</v>
      </c>
      <c r="C134" s="113"/>
      <c r="D134" s="113"/>
      <c r="E134" s="108"/>
      <c r="F134" s="113"/>
      <c r="G134" s="113"/>
      <c r="H134" s="113"/>
      <c r="I134" s="113"/>
      <c r="J134" s="229" t="s">
        <v>149</v>
      </c>
      <c r="K134" s="113"/>
      <c r="L134" s="113"/>
      <c r="M134" s="204"/>
      <c r="N134" s="113"/>
      <c r="O134" s="115"/>
      <c r="Q134" s="178"/>
      <c r="S134" s="224"/>
      <c r="T134" s="224">
        <v>577</v>
      </c>
      <c r="U134" s="227">
        <f>ROUND(T137/Y137,0)</f>
        <v>0</v>
      </c>
      <c r="V134" s="227">
        <f>SUM(U133:U134)</f>
        <v>3496</v>
      </c>
      <c r="W134" s="224"/>
      <c r="X134" s="224"/>
      <c r="Y134" s="224"/>
      <c r="Z134" s="224"/>
      <c r="AA134" s="224"/>
    </row>
    <row r="135" spans="1:27" x14ac:dyDescent="0.25">
      <c r="A135" s="87" t="s">
        <v>64</v>
      </c>
      <c r="B135" t="s">
        <v>65</v>
      </c>
      <c r="C135" s="105">
        <v>2</v>
      </c>
      <c r="D135" s="105">
        <v>2</v>
      </c>
      <c r="E135" s="105">
        <v>2</v>
      </c>
      <c r="F135" s="105">
        <v>2</v>
      </c>
      <c r="G135" s="105">
        <v>2</v>
      </c>
      <c r="H135" s="105">
        <v>2</v>
      </c>
      <c r="I135" s="105">
        <v>2</v>
      </c>
      <c r="J135" s="105">
        <v>0</v>
      </c>
      <c r="K135" s="105"/>
      <c r="L135" s="105"/>
      <c r="M135" s="204"/>
      <c r="N135" s="105"/>
      <c r="O135" s="106"/>
      <c r="P135" s="113"/>
      <c r="Q135" s="179"/>
      <c r="S135" s="224"/>
      <c r="T135" s="224"/>
      <c r="U135" s="225">
        <v>8245</v>
      </c>
      <c r="V135" s="224" t="s">
        <v>92</v>
      </c>
      <c r="W135" s="225">
        <f>U135</f>
        <v>8245</v>
      </c>
      <c r="X135" s="224"/>
      <c r="Y135" s="224"/>
      <c r="Z135" s="224"/>
      <c r="AA135" s="224"/>
    </row>
    <row r="136" spans="1:27" x14ac:dyDescent="0.25">
      <c r="A136" s="87" t="s">
        <v>71</v>
      </c>
      <c r="B136" t="s">
        <v>109</v>
      </c>
      <c r="C136" s="116">
        <v>832.08</v>
      </c>
      <c r="D136" s="116">
        <v>832.08</v>
      </c>
      <c r="E136" s="116">
        <v>832.08</v>
      </c>
      <c r="F136" s="116">
        <v>832.08</v>
      </c>
      <c r="G136" s="116">
        <v>832.08</v>
      </c>
      <c r="H136" s="116">
        <v>832.08</v>
      </c>
      <c r="I136" s="116">
        <v>815.23</v>
      </c>
      <c r="J136" s="116">
        <f>779.66-779.66</f>
        <v>0</v>
      </c>
      <c r="K136" s="116"/>
      <c r="L136" s="116"/>
      <c r="M136" s="206"/>
      <c r="N136" s="116"/>
      <c r="O136" s="117"/>
      <c r="P136" s="108"/>
      <c r="Q136" s="180"/>
      <c r="S136" s="226" t="s">
        <v>90</v>
      </c>
      <c r="T136" s="227">
        <v>363.62</v>
      </c>
      <c r="U136" s="228">
        <f>T136/U133</f>
        <v>0.10401029748283754</v>
      </c>
      <c r="V136" s="224"/>
      <c r="W136" s="228">
        <f>T136/U133</f>
        <v>0.10401029748283754</v>
      </c>
      <c r="X136" s="224"/>
      <c r="Y136" s="224">
        <v>0.10401000000000001</v>
      </c>
      <c r="Z136" s="224"/>
      <c r="AA136" s="228">
        <f>Y136-W136</f>
        <v>-2.9748283753017191E-7</v>
      </c>
    </row>
    <row r="137" spans="1:27" x14ac:dyDescent="0.25">
      <c r="A137" s="87" t="s">
        <v>71</v>
      </c>
      <c r="B137" t="s">
        <v>96</v>
      </c>
      <c r="C137" s="116">
        <v>930.33</v>
      </c>
      <c r="D137" s="116">
        <v>896.88</v>
      </c>
      <c r="E137" s="116">
        <v>747.38</v>
      </c>
      <c r="F137" s="116">
        <v>705.66</v>
      </c>
      <c r="G137" s="116">
        <v>396.29</v>
      </c>
      <c r="H137" s="116">
        <v>83.19</v>
      </c>
      <c r="I137" s="116">
        <v>61.06</v>
      </c>
      <c r="J137" s="116">
        <f>63.26-63.26</f>
        <v>0</v>
      </c>
      <c r="K137" s="116"/>
      <c r="L137" s="116"/>
      <c r="M137" s="206"/>
      <c r="N137" s="116"/>
      <c r="O137" s="117"/>
      <c r="P137" s="108"/>
      <c r="Q137" s="180"/>
      <c r="S137" s="226" t="s">
        <v>90</v>
      </c>
      <c r="T137" s="227">
        <v>0</v>
      </c>
      <c r="U137" s="228" t="e">
        <f>T137/U134</f>
        <v>#DIV/0!</v>
      </c>
      <c r="V137" s="224"/>
      <c r="W137" s="228" t="e">
        <f>T137/U134</f>
        <v>#DIV/0!</v>
      </c>
      <c r="X137" s="224"/>
      <c r="Y137" s="224">
        <v>8.4459999999999993E-2</v>
      </c>
      <c r="Z137" s="224"/>
      <c r="AA137" s="228" t="e">
        <f>Y137-W137</f>
        <v>#DIV/0!</v>
      </c>
    </row>
    <row r="138" spans="1:27" x14ac:dyDescent="0.25">
      <c r="A138" s="87" t="s">
        <v>72</v>
      </c>
      <c r="B138" t="s">
        <v>110</v>
      </c>
      <c r="C138" s="116">
        <v>832.08</v>
      </c>
      <c r="D138" s="116">
        <v>832.08</v>
      </c>
      <c r="E138" s="116">
        <v>832.08</v>
      </c>
      <c r="F138" s="116">
        <v>832.08</v>
      </c>
      <c r="G138" s="116">
        <v>832.08</v>
      </c>
      <c r="H138" s="116">
        <v>815.23</v>
      </c>
      <c r="I138" s="116">
        <v>363.62</v>
      </c>
      <c r="J138" s="116"/>
      <c r="K138" s="116"/>
      <c r="L138" s="116"/>
      <c r="M138" s="206"/>
      <c r="N138" s="116"/>
      <c r="O138" s="117"/>
      <c r="P138" s="108"/>
      <c r="Q138" s="180"/>
      <c r="S138" s="226" t="s">
        <v>91</v>
      </c>
      <c r="T138" s="227">
        <v>1509.12</v>
      </c>
      <c r="U138" s="228">
        <f>T138/U135</f>
        <v>0.18303456640388113</v>
      </c>
      <c r="V138" s="224"/>
      <c r="W138" s="228">
        <f>T138/W135</f>
        <v>0.18303456640388113</v>
      </c>
      <c r="X138" s="224"/>
      <c r="Y138" s="224">
        <v>0.43167</v>
      </c>
      <c r="Z138" s="224"/>
      <c r="AA138" s="228">
        <f>Y138-W138</f>
        <v>0.24863543359611887</v>
      </c>
    </row>
    <row r="139" spans="1:27" x14ac:dyDescent="0.25">
      <c r="A139" s="87" t="s">
        <v>72</v>
      </c>
      <c r="B139" t="s">
        <v>111</v>
      </c>
      <c r="C139" s="116">
        <v>896.88</v>
      </c>
      <c r="D139" s="116">
        <v>747.38</v>
      </c>
      <c r="E139" s="116">
        <v>705.66</v>
      </c>
      <c r="F139" s="116">
        <v>396.29</v>
      </c>
      <c r="G139" s="116">
        <v>83.19</v>
      </c>
      <c r="H139" s="116">
        <v>61.06</v>
      </c>
      <c r="I139" s="116">
        <v>0</v>
      </c>
      <c r="J139" s="116"/>
      <c r="K139" s="116"/>
      <c r="L139" s="116"/>
      <c r="M139" s="206"/>
      <c r="N139" s="116"/>
      <c r="O139" s="117"/>
      <c r="P139" s="108"/>
      <c r="Q139" s="180"/>
      <c r="S139" s="224"/>
      <c r="T139" s="224"/>
      <c r="U139" s="224"/>
      <c r="V139" s="224"/>
      <c r="W139" s="224"/>
      <c r="X139" s="224"/>
      <c r="Y139" s="224"/>
      <c r="Z139" s="224"/>
      <c r="AA139" s="228"/>
    </row>
    <row r="140" spans="1:27" x14ac:dyDescent="0.25">
      <c r="A140" s="87" t="s">
        <v>72</v>
      </c>
      <c r="B140" t="s">
        <v>112</v>
      </c>
      <c r="C140" s="116">
        <f>-'WACAP 2017'!O138</f>
        <v>-832.08</v>
      </c>
      <c r="D140" s="116">
        <f>-C138</f>
        <v>-832.08</v>
      </c>
      <c r="E140" s="116">
        <f>-D138</f>
        <v>-832.08</v>
      </c>
      <c r="F140" s="116">
        <f>-E138</f>
        <v>-832.08</v>
      </c>
      <c r="G140" s="116">
        <f t="shared" ref="D140:L141" si="69">-F138</f>
        <v>-832.08</v>
      </c>
      <c r="H140" s="116">
        <f t="shared" si="69"/>
        <v>-832.08</v>
      </c>
      <c r="I140" s="116">
        <f t="shared" si="69"/>
        <v>-815.23</v>
      </c>
      <c r="J140" s="116">
        <f>-I138+363.62</f>
        <v>0</v>
      </c>
      <c r="K140" s="116">
        <f t="shared" si="69"/>
        <v>0</v>
      </c>
      <c r="L140" s="116">
        <f t="shared" si="69"/>
        <v>0</v>
      </c>
      <c r="M140" s="206"/>
      <c r="N140" s="116">
        <f t="shared" ref="N140:N141" si="70">-L138</f>
        <v>0</v>
      </c>
      <c r="O140" s="117">
        <f>-N138</f>
        <v>0</v>
      </c>
      <c r="P140" s="108"/>
      <c r="Q140" s="180"/>
    </row>
    <row r="141" spans="1:27" x14ac:dyDescent="0.25">
      <c r="A141" s="87" t="s">
        <v>72</v>
      </c>
      <c r="B141" t="s">
        <v>113</v>
      </c>
      <c r="C141" s="95">
        <f>-'WACAP 2017'!O139</f>
        <v>-930.33</v>
      </c>
      <c r="D141" s="95">
        <f t="shared" si="69"/>
        <v>-896.88</v>
      </c>
      <c r="E141" s="95">
        <f t="shared" si="69"/>
        <v>-747.38</v>
      </c>
      <c r="F141" s="95">
        <f t="shared" si="69"/>
        <v>-705.66</v>
      </c>
      <c r="G141" s="95">
        <f t="shared" si="69"/>
        <v>-396.29</v>
      </c>
      <c r="H141" s="95">
        <f t="shared" si="69"/>
        <v>-83.19</v>
      </c>
      <c r="I141" s="95">
        <f t="shared" si="69"/>
        <v>-61.06</v>
      </c>
      <c r="J141" s="95">
        <f t="shared" si="69"/>
        <v>0</v>
      </c>
      <c r="K141" s="95">
        <f t="shared" si="69"/>
        <v>0</v>
      </c>
      <c r="L141" s="95">
        <f t="shared" si="69"/>
        <v>0</v>
      </c>
      <c r="M141" s="205"/>
      <c r="N141" s="95">
        <f t="shared" si="70"/>
        <v>0</v>
      </c>
      <c r="O141" s="107">
        <f>-N139</f>
        <v>0</v>
      </c>
      <c r="P141" s="108"/>
      <c r="Q141" s="180"/>
    </row>
    <row r="142" spans="1:27" x14ac:dyDescent="0.25">
      <c r="A142" s="4"/>
      <c r="B142" s="89" t="s">
        <v>74</v>
      </c>
      <c r="C142" s="108">
        <f t="shared" ref="C142:E142" si="71">SUM(C136:C141)</f>
        <v>1728.9600000000005</v>
      </c>
      <c r="D142" s="108">
        <f t="shared" si="71"/>
        <v>1579.46</v>
      </c>
      <c r="E142" s="108">
        <f t="shared" si="71"/>
        <v>1537.7399999999998</v>
      </c>
      <c r="F142" s="108">
        <f>SUM(F136:F141)</f>
        <v>1228.3700000000003</v>
      </c>
      <c r="G142" s="108">
        <f t="shared" ref="G142:O142" si="72">SUM(G136:G141)</f>
        <v>915.27000000000044</v>
      </c>
      <c r="H142" s="108">
        <f t="shared" si="72"/>
        <v>876.29</v>
      </c>
      <c r="I142" s="108">
        <f t="shared" si="72"/>
        <v>363.61999999999983</v>
      </c>
      <c r="J142" s="108">
        <f t="shared" si="72"/>
        <v>0</v>
      </c>
      <c r="K142" s="108">
        <f t="shared" si="72"/>
        <v>0</v>
      </c>
      <c r="L142" s="108">
        <f t="shared" si="72"/>
        <v>0</v>
      </c>
      <c r="M142" s="206"/>
      <c r="N142" s="108">
        <f t="shared" si="72"/>
        <v>0</v>
      </c>
      <c r="O142" s="111">
        <f t="shared" si="72"/>
        <v>0</v>
      </c>
      <c r="Q142" s="178"/>
    </row>
    <row r="143" spans="1:27" x14ac:dyDescent="0.25">
      <c r="A143" s="4"/>
      <c r="B143" s="89" t="s">
        <v>73</v>
      </c>
      <c r="C143" s="88">
        <f>ROUND(-'Authorized Margins'!J105*'WACAP 2018'!C135,2)</f>
        <v>-2343.46</v>
      </c>
      <c r="D143" s="88">
        <f>ROUND(-'Authorized Margins'!K105*'WACAP 2018'!D135,2)</f>
        <v>-2320.3200000000002</v>
      </c>
      <c r="E143" s="88">
        <f>ROUND(-'Authorized Margins'!L105*'WACAP 2018'!E135,2)</f>
        <v>-1840.36</v>
      </c>
      <c r="F143" s="88">
        <f>ROUND(-'Authorized Margins'!M105*'WACAP 2018'!F135,2)</f>
        <v>-1772.62</v>
      </c>
      <c r="G143" s="88">
        <f>ROUND(-'Authorized Margins'!N105*'WACAP 2018'!G135,2)</f>
        <v>-1589.68</v>
      </c>
      <c r="H143" s="88">
        <f>ROUND(-'Authorized Margins'!O105*'WACAP 2018'!H135,2)</f>
        <v>-1271.5</v>
      </c>
      <c r="I143" s="88">
        <f>ROUND(-'Authorized Margins'!D105*'WACAP 2018'!I135,2)</f>
        <v>-1373.4</v>
      </c>
      <c r="J143" s="88">
        <v>0</v>
      </c>
      <c r="K143" s="88">
        <v>0</v>
      </c>
      <c r="L143" s="88">
        <v>0</v>
      </c>
      <c r="M143" s="205"/>
      <c r="N143" s="88">
        <v>0</v>
      </c>
      <c r="O143" s="110">
        <v>0</v>
      </c>
      <c r="Q143" s="178"/>
    </row>
    <row r="144" spans="1:27" x14ac:dyDescent="0.25">
      <c r="A144" s="4"/>
      <c r="B144" s="89" t="s">
        <v>75</v>
      </c>
      <c r="C144" s="90">
        <f t="shared" ref="C144:O144" si="73">SUM(C142:C143)</f>
        <v>-614.49999999999955</v>
      </c>
      <c r="D144" s="90">
        <f t="shared" si="73"/>
        <v>-740.86000000000013</v>
      </c>
      <c r="E144" s="90">
        <f t="shared" si="73"/>
        <v>-302.62000000000012</v>
      </c>
      <c r="F144" s="90">
        <f t="shared" si="73"/>
        <v>-544.24999999999955</v>
      </c>
      <c r="G144" s="90">
        <f t="shared" si="73"/>
        <v>-674.40999999999963</v>
      </c>
      <c r="H144" s="90">
        <f t="shared" si="73"/>
        <v>-395.21000000000004</v>
      </c>
      <c r="I144" s="90">
        <f t="shared" si="73"/>
        <v>-1009.7800000000002</v>
      </c>
      <c r="J144" s="90">
        <f t="shared" si="73"/>
        <v>0</v>
      </c>
      <c r="K144" s="90">
        <f t="shared" si="73"/>
        <v>0</v>
      </c>
      <c r="L144" s="90">
        <f t="shared" si="73"/>
        <v>0</v>
      </c>
      <c r="M144" s="215">
        <f>-'WACAP 2017'!Q146</f>
        <v>2062.389999999999</v>
      </c>
      <c r="N144" s="90">
        <f t="shared" si="73"/>
        <v>0</v>
      </c>
      <c r="O144" s="111">
        <f t="shared" si="73"/>
        <v>0</v>
      </c>
      <c r="Q144" s="180">
        <f>SUM(C144:P144)-M144</f>
        <v>-4281.6299999999992</v>
      </c>
    </row>
    <row r="145" spans="1:34" x14ac:dyDescent="0.25">
      <c r="A145" s="87"/>
      <c r="B145" s="89" t="s">
        <v>137</v>
      </c>
      <c r="C145" s="187">
        <f>ROUND(ROUND('WACAP 2017'!O147*C$5,2)/365*C$6,2)</f>
        <v>-7.44</v>
      </c>
      <c r="D145" s="187">
        <f>ROUND(ROUND(C147*D$5,2)/365*D$6,2)</f>
        <v>-8.75</v>
      </c>
      <c r="E145" s="187">
        <f t="shared" ref="E145:O145" si="74">ROUND(ROUND(D147*E$5,2)/365*E$6,2)</f>
        <v>-12.39</v>
      </c>
      <c r="F145" s="187">
        <f t="shared" si="74"/>
        <v>-13.77</v>
      </c>
      <c r="G145" s="187">
        <f t="shared" si="74"/>
        <v>-16.350000000000001</v>
      </c>
      <c r="H145" s="187">
        <f t="shared" si="74"/>
        <v>-18.36</v>
      </c>
      <c r="I145" s="187">
        <f t="shared" si="74"/>
        <v>-21.55</v>
      </c>
      <c r="J145" s="187">
        <f t="shared" si="74"/>
        <v>-25.66</v>
      </c>
      <c r="K145" s="187">
        <f t="shared" si="74"/>
        <v>-24.93</v>
      </c>
      <c r="L145" s="187">
        <f>ROUND(ROUND(K147*L$5,2)/365*L$6,2)</f>
        <v>-27.35</v>
      </c>
      <c r="M145" s="208">
        <f>'Ammort Split 2018'!N145</f>
        <v>78.990000000000009</v>
      </c>
      <c r="N145" s="187">
        <f>ROUND(ROUND(M147*N$5,2)/365*N$6,2)</f>
        <v>-17.850000000000001</v>
      </c>
      <c r="O145" s="188">
        <f t="shared" si="74"/>
        <v>-18.52</v>
      </c>
      <c r="Q145" s="196">
        <f>SUM(C145:P145)</f>
        <v>-133.92999999999998</v>
      </c>
    </row>
    <row r="146" spans="1:34" x14ac:dyDescent="0.25">
      <c r="A146" s="87"/>
      <c r="B146" s="89" t="s">
        <v>138</v>
      </c>
      <c r="C146" s="189">
        <f t="shared" ref="C146:O146" si="75">SUM(C144:C145)</f>
        <v>-621.9399999999996</v>
      </c>
      <c r="D146" s="189">
        <f t="shared" si="75"/>
        <v>-749.61000000000013</v>
      </c>
      <c r="E146" s="189">
        <f t="shared" si="75"/>
        <v>-315.0100000000001</v>
      </c>
      <c r="F146" s="189">
        <f t="shared" si="75"/>
        <v>-558.01999999999953</v>
      </c>
      <c r="G146" s="189">
        <f t="shared" si="75"/>
        <v>-690.75999999999965</v>
      </c>
      <c r="H146" s="189">
        <f t="shared" si="75"/>
        <v>-413.57000000000005</v>
      </c>
      <c r="I146" s="189">
        <f t="shared" si="75"/>
        <v>-1031.3300000000002</v>
      </c>
      <c r="J146" s="189">
        <f t="shared" si="75"/>
        <v>-25.66</v>
      </c>
      <c r="K146" s="189">
        <f t="shared" si="75"/>
        <v>-24.93</v>
      </c>
      <c r="L146" s="189">
        <f t="shared" si="75"/>
        <v>-27.35</v>
      </c>
      <c r="M146" s="209">
        <f t="shared" si="75"/>
        <v>2141.3799999999992</v>
      </c>
      <c r="N146" s="189">
        <f t="shared" si="75"/>
        <v>-17.850000000000001</v>
      </c>
      <c r="O146" s="190">
        <f t="shared" si="75"/>
        <v>-18.52</v>
      </c>
      <c r="Q146" s="198">
        <f>SUM(Q144:Q145)</f>
        <v>-4415.5599999999995</v>
      </c>
    </row>
    <row r="147" spans="1:34" x14ac:dyDescent="0.25">
      <c r="A147" s="87"/>
      <c r="B147" s="89" t="s">
        <v>139</v>
      </c>
      <c r="C147" s="90">
        <f>'WACAP 2017'!O147+'WACAP 2018'!C146</f>
        <v>-2684.3299999999986</v>
      </c>
      <c r="D147" s="90">
        <f t="shared" ref="D147:O147" si="76">C147+D146</f>
        <v>-3433.9399999999987</v>
      </c>
      <c r="E147" s="90">
        <f t="shared" si="76"/>
        <v>-3748.9499999999989</v>
      </c>
      <c r="F147" s="90">
        <f t="shared" si="76"/>
        <v>-4306.9699999999984</v>
      </c>
      <c r="G147" s="90">
        <f t="shared" si="76"/>
        <v>-4997.7299999999977</v>
      </c>
      <c r="H147" s="90">
        <f t="shared" si="76"/>
        <v>-5411.2999999999975</v>
      </c>
      <c r="I147" s="90">
        <f t="shared" si="76"/>
        <v>-6442.6299999999974</v>
      </c>
      <c r="J147" s="90">
        <f t="shared" si="76"/>
        <v>-6468.2899999999972</v>
      </c>
      <c r="K147" s="90">
        <f t="shared" si="76"/>
        <v>-6493.2199999999975</v>
      </c>
      <c r="L147" s="90">
        <f t="shared" si="76"/>
        <v>-6520.5699999999979</v>
      </c>
      <c r="M147" s="207">
        <f t="shared" si="76"/>
        <v>-4379.1899999999987</v>
      </c>
      <c r="N147" s="90">
        <f t="shared" si="76"/>
        <v>-4397.0399999999991</v>
      </c>
      <c r="O147" s="191">
        <f t="shared" si="76"/>
        <v>-4415.5599999999995</v>
      </c>
      <c r="Q147" s="178"/>
    </row>
    <row r="148" spans="1:34" ht="15.75" thickBot="1" x14ac:dyDescent="0.3">
      <c r="A148" s="118"/>
      <c r="B148" s="119"/>
      <c r="C148" s="119"/>
      <c r="D148" s="119"/>
      <c r="E148" s="176"/>
      <c r="F148" s="119"/>
      <c r="G148" s="119"/>
      <c r="H148" s="119"/>
      <c r="I148" s="119"/>
      <c r="J148" s="119"/>
      <c r="K148" s="119"/>
      <c r="L148" s="119"/>
      <c r="M148" s="211"/>
      <c r="N148" s="119"/>
      <c r="O148" s="120"/>
      <c r="Q148" s="181"/>
    </row>
    <row r="149" spans="1:34" x14ac:dyDescent="0.25">
      <c r="E149" s="108"/>
      <c r="M149" s="203"/>
    </row>
    <row r="150" spans="1:34" x14ac:dyDescent="0.25">
      <c r="B150" s="89" t="s">
        <v>89</v>
      </c>
      <c r="C150" s="90">
        <f t="shared" ref="C150:N150" si="77">C12+C24+C62+C74+C37+C114+C50+C89+C99+C129+C144</f>
        <v>-254921.14000000071</v>
      </c>
      <c r="D150" s="90">
        <f t="shared" si="77"/>
        <v>811118.46999999892</v>
      </c>
      <c r="E150" s="90">
        <f t="shared" si="77"/>
        <v>448352.56999999972</v>
      </c>
      <c r="F150" s="90">
        <f t="shared" si="77"/>
        <v>552354.37999999942</v>
      </c>
      <c r="G150" s="90">
        <f t="shared" si="77"/>
        <v>-546739.59999999939</v>
      </c>
      <c r="H150" s="90">
        <f t="shared" si="77"/>
        <v>92773.670000000071</v>
      </c>
      <c r="I150" s="90">
        <f t="shared" si="77"/>
        <v>-23270.85000000025</v>
      </c>
      <c r="J150" s="90">
        <f t="shared" si="77"/>
        <v>-450457.18000000005</v>
      </c>
      <c r="K150" s="90">
        <f t="shared" si="77"/>
        <v>83303.359999999768</v>
      </c>
      <c r="L150" s="90">
        <f t="shared" si="77"/>
        <v>-302039.75000000041</v>
      </c>
      <c r="M150" s="207">
        <f t="shared" si="77"/>
        <v>-5899943.7300000032</v>
      </c>
      <c r="N150" s="90">
        <f t="shared" si="77"/>
        <v>-347558.70000000019</v>
      </c>
      <c r="O150" s="90">
        <f>O12+O24+O62+O74+O37+O114+O50+O89+O99+O129+O144</f>
        <v>-1107807.2499999993</v>
      </c>
      <c r="Q150" s="187">
        <f>Q12+Q24+Q74+Q37+Q114+Q50+Q89+Q99+Q129+Q144+Q62</f>
        <v>-1044892.0200000021</v>
      </c>
      <c r="S150" s="108"/>
      <c r="AD150" s="108">
        <f>SUM(AD5:AD149)</f>
        <v>273521</v>
      </c>
      <c r="AE150" s="108">
        <f>SUM(AE5:AE149)</f>
        <v>274028</v>
      </c>
      <c r="AF150" s="108">
        <f>SUM(AF5:AF149)</f>
        <v>275871</v>
      </c>
      <c r="AG150" s="108">
        <f t="shared" ref="AG150:AH150" si="78">SUM(AG5:AG149)</f>
        <v>277375</v>
      </c>
      <c r="AH150" s="108">
        <f t="shared" si="78"/>
        <v>278164</v>
      </c>
    </row>
    <row r="151" spans="1:34" x14ac:dyDescent="0.25">
      <c r="B151" s="89" t="s">
        <v>141</v>
      </c>
      <c r="C151" s="199">
        <f>C13+C25+C63+C75+C38+C115+C51+C90+C100+C130+C145-0.02</f>
        <v>21296.37</v>
      </c>
      <c r="D151" s="216">
        <f t="shared" ref="D151" si="79">D13+D25+D63+D75+D38+D115+D51+D90+D100+D130+D145</f>
        <v>18473.749999999996</v>
      </c>
      <c r="E151" s="199">
        <f>E13+E25+E63+E75+E38+E115+E51+E90+E100+E130+E145-0.02</f>
        <v>23447.57</v>
      </c>
      <c r="F151" s="199">
        <f>F13+F25+F63+F75+F38+F115+F51+F90+F100+F130+F145+0.01</f>
        <v>25599.179999999993</v>
      </c>
      <c r="G151" s="199">
        <f>G13+G25+G63+G75+G38+G115+G51+G90+G100+G130+G145-0.01</f>
        <v>28646.65</v>
      </c>
      <c r="H151" s="199">
        <f>H13+H25+H63+H75+H38+H115+H51+H90+H100+H130+H145+0.01</f>
        <v>25819.109999999993</v>
      </c>
      <c r="I151" s="199">
        <f>I13+I25+I63+I75+I38+I115+I51+I90+I100+I130+I145-0.01</f>
        <v>28465.230000000003</v>
      </c>
      <c r="J151" s="216">
        <f>J13+J25+J63+J75+J38+J115+J51+J90+J100+J130+J145+0.01</f>
        <v>28485.919999999998</v>
      </c>
      <c r="K151" s="199">
        <f>K13+K25+K63+K75+K38+K115+K51+K90+K100+K130+K145-0.01</f>
        <v>25940.41</v>
      </c>
      <c r="L151" s="199">
        <f>L13+L25+L63+L75+L38+L115+L51+L90+L100+L130+L145-0.01+0.01</f>
        <v>28808.440000000002</v>
      </c>
      <c r="M151" s="208">
        <f>M13+M25+M63+M75+M38+M115+M51+M90+M100+M130+M145</f>
        <v>-225980.16</v>
      </c>
      <c r="N151" s="199">
        <f>N13+N25+N63+N75+N38+N115+N51+N90+N100+N130+N145-0.01</f>
        <v>1791.6200000000001</v>
      </c>
      <c r="O151" s="187">
        <f>O13+O25+O63+O75+O38+O115+O51+O90+O100+O130+O145</f>
        <v>394.75999999999993</v>
      </c>
      <c r="Q151" s="189">
        <f>Q13+Q25+Q75+Q38+Q115+Q51+Q90+Q100+Q130+Q145+Q63</f>
        <v>31188.900000000034</v>
      </c>
      <c r="S151" s="108"/>
    </row>
    <row r="152" spans="1:34" x14ac:dyDescent="0.25">
      <c r="B152" s="89" t="s">
        <v>139</v>
      </c>
      <c r="C152" s="90">
        <f>SUM(C150:C151)+'WACAP 2017'!O152</f>
        <v>5666318.9600000009</v>
      </c>
      <c r="D152" s="90">
        <f t="shared" ref="D152:K152" si="80">SUM(D150:D151)+C152</f>
        <v>6495911.1799999997</v>
      </c>
      <c r="E152" s="90">
        <f t="shared" si="80"/>
        <v>6967711.3199999994</v>
      </c>
      <c r="F152" s="90">
        <f t="shared" si="80"/>
        <v>7545664.879999999</v>
      </c>
      <c r="G152" s="90">
        <f t="shared" si="80"/>
        <v>7027571.9299999997</v>
      </c>
      <c r="H152" s="90">
        <f t="shared" si="80"/>
        <v>7146164.71</v>
      </c>
      <c r="I152" s="90">
        <f t="shared" si="80"/>
        <v>7151359.0899999999</v>
      </c>
      <c r="J152" s="90">
        <f t="shared" si="80"/>
        <v>6729387.8300000001</v>
      </c>
      <c r="K152" s="90">
        <f t="shared" si="80"/>
        <v>6838631.5999999996</v>
      </c>
      <c r="L152" s="90">
        <f>SUM(L150:L151)+K152</f>
        <v>6565400.2899999991</v>
      </c>
      <c r="M152" s="207">
        <f>SUM(M150:M151)+L152</f>
        <v>439476.39999999572</v>
      </c>
      <c r="N152" s="90">
        <f>SUM(N150:N151)+M152</f>
        <v>93709.319999995525</v>
      </c>
      <c r="O152" s="128">
        <f>SUM(O150:O151)+N152</f>
        <v>-1013703.1700000038</v>
      </c>
      <c r="Q152" s="128">
        <f>SUM(Q150:Q151)</f>
        <v>-1013703.1200000021</v>
      </c>
      <c r="S152" s="108"/>
    </row>
    <row r="153" spans="1:34" x14ac:dyDescent="0.25">
      <c r="B153" s="89"/>
      <c r="C153" s="187"/>
      <c r="D153" s="90"/>
      <c r="E153" s="90"/>
      <c r="F153" s="90"/>
      <c r="G153" s="90"/>
      <c r="H153" s="90"/>
      <c r="I153" s="90"/>
      <c r="J153" s="90"/>
      <c r="K153" s="90"/>
      <c r="L153" s="90"/>
      <c r="M153" s="207"/>
      <c r="N153" s="90"/>
      <c r="O153" s="90"/>
    </row>
    <row r="154" spans="1:34" ht="15.75" thickBot="1" x14ac:dyDescent="0.3">
      <c r="A154" s="696" t="s">
        <v>76</v>
      </c>
      <c r="E154" s="108"/>
      <c r="M154" s="217" t="s">
        <v>147</v>
      </c>
    </row>
    <row r="155" spans="1:34" ht="15.75" x14ac:dyDescent="0.25">
      <c r="A155" s="697"/>
      <c r="B155" s="93"/>
      <c r="C155" s="103">
        <v>43131</v>
      </c>
      <c r="D155" s="103">
        <v>43159</v>
      </c>
      <c r="E155" s="103">
        <v>43190</v>
      </c>
      <c r="F155" s="103">
        <v>43220</v>
      </c>
      <c r="G155" s="103">
        <v>43251</v>
      </c>
      <c r="H155" s="103">
        <v>43281</v>
      </c>
      <c r="I155" s="103">
        <v>43312</v>
      </c>
      <c r="J155" s="103">
        <v>43343</v>
      </c>
      <c r="K155" s="103">
        <v>43373</v>
      </c>
      <c r="L155" s="103">
        <v>43404</v>
      </c>
      <c r="M155" s="200" t="s">
        <v>147</v>
      </c>
      <c r="N155" s="103">
        <v>43434</v>
      </c>
      <c r="O155" s="177">
        <v>43465</v>
      </c>
    </row>
    <row r="156" spans="1:34" ht="15.75" x14ac:dyDescent="0.25">
      <c r="A156" s="96" t="s">
        <v>127</v>
      </c>
      <c r="B156" s="97" t="s">
        <v>79</v>
      </c>
      <c r="C156" s="99">
        <f>-C150</f>
        <v>254921.14000000071</v>
      </c>
      <c r="D156" s="99">
        <f t="shared" ref="D156:O156" si="81">-D150</f>
        <v>-811118.46999999892</v>
      </c>
      <c r="E156" s="99">
        <f t="shared" si="81"/>
        <v>-448352.56999999972</v>
      </c>
      <c r="F156" s="99">
        <f t="shared" si="81"/>
        <v>-552354.37999999942</v>
      </c>
      <c r="G156" s="99">
        <f t="shared" si="81"/>
        <v>546739.59999999939</v>
      </c>
      <c r="H156" s="99">
        <f t="shared" si="81"/>
        <v>-92773.670000000071</v>
      </c>
      <c r="I156" s="99">
        <f t="shared" si="81"/>
        <v>23270.85000000025</v>
      </c>
      <c r="J156" s="99">
        <f t="shared" si="81"/>
        <v>450457.18000000005</v>
      </c>
      <c r="K156" s="99">
        <f t="shared" si="81"/>
        <v>-83303.359999999768</v>
      </c>
      <c r="L156" s="99">
        <f t="shared" si="81"/>
        <v>302039.75000000041</v>
      </c>
      <c r="M156" s="213">
        <f t="shared" si="81"/>
        <v>5899943.7300000032</v>
      </c>
      <c r="N156" s="99">
        <f t="shared" si="81"/>
        <v>347558.70000000019</v>
      </c>
      <c r="O156" s="99">
        <f t="shared" si="81"/>
        <v>1107807.2499999993</v>
      </c>
      <c r="R156" s="108">
        <f t="shared" ref="R156:R161" si="82">SUM(C156:K156)</f>
        <v>-712513.67999999761</v>
      </c>
    </row>
    <row r="157" spans="1:34" ht="15.75" x14ac:dyDescent="0.25">
      <c r="A157" s="92" t="s">
        <v>128</v>
      </c>
      <c r="B157" s="94" t="s">
        <v>77</v>
      </c>
      <c r="C157" s="99">
        <f>C12+C24</f>
        <v>-251521.90000000116</v>
      </c>
      <c r="D157" s="99">
        <f t="shared" ref="D157:O157" si="83">D12+D24</f>
        <v>475894.17999999912</v>
      </c>
      <c r="E157" s="99">
        <f t="shared" si="83"/>
        <v>279376.13999999996</v>
      </c>
      <c r="F157" s="99">
        <f t="shared" si="83"/>
        <v>215541.01999999967</v>
      </c>
      <c r="G157" s="99">
        <f t="shared" si="83"/>
        <v>-429104.81999999954</v>
      </c>
      <c r="H157" s="99">
        <f t="shared" si="83"/>
        <v>-28563.249999999702</v>
      </c>
      <c r="I157" s="99">
        <f t="shared" si="83"/>
        <v>-47380.860000000175</v>
      </c>
      <c r="J157" s="99">
        <f t="shared" si="83"/>
        <v>-287367.85000000009</v>
      </c>
      <c r="K157" s="99">
        <f t="shared" si="83"/>
        <v>45275.579999999842</v>
      </c>
      <c r="L157" s="99">
        <f t="shared" si="83"/>
        <v>-247854.96000000043</v>
      </c>
      <c r="M157" s="213">
        <f t="shared" si="83"/>
        <v>-2828932.4500000011</v>
      </c>
      <c r="N157" s="99">
        <f t="shared" si="83"/>
        <v>-353450.87999999989</v>
      </c>
      <c r="O157" s="99">
        <f t="shared" si="83"/>
        <v>-810428.94999999925</v>
      </c>
      <c r="R157" s="108">
        <f t="shared" si="82"/>
        <v>-27851.760000002047</v>
      </c>
    </row>
    <row r="158" spans="1:34" ht="15.75" x14ac:dyDescent="0.25">
      <c r="A158" s="92" t="s">
        <v>129</v>
      </c>
      <c r="B158" s="94" t="s">
        <v>80</v>
      </c>
      <c r="C158" s="99">
        <f>C37+C50</f>
        <v>45797.330000000016</v>
      </c>
      <c r="D158" s="99">
        <f t="shared" ref="D158:O158" si="84">D37+D50</f>
        <v>-40367.109999999986</v>
      </c>
      <c r="E158" s="99">
        <f t="shared" si="84"/>
        <v>27926.630000000023</v>
      </c>
      <c r="F158" s="99">
        <f t="shared" si="84"/>
        <v>53571.05000000001</v>
      </c>
      <c r="G158" s="99">
        <f t="shared" si="84"/>
        <v>24565.649999999994</v>
      </c>
      <c r="H158" s="99">
        <f t="shared" si="84"/>
        <v>17190.789999999994</v>
      </c>
      <c r="I158" s="99">
        <f t="shared" si="84"/>
        <v>14410.529999999992</v>
      </c>
      <c r="J158" s="99">
        <f t="shared" si="84"/>
        <v>29318.810000000005</v>
      </c>
      <c r="K158" s="99">
        <f t="shared" si="84"/>
        <v>16748.040000000008</v>
      </c>
      <c r="L158" s="99">
        <f t="shared" si="84"/>
        <v>23403.219999999987</v>
      </c>
      <c r="M158" s="213">
        <f t="shared" si="84"/>
        <v>-259427.63999999998</v>
      </c>
      <c r="N158" s="99">
        <f t="shared" si="84"/>
        <v>11051.780000000013</v>
      </c>
      <c r="O158" s="99">
        <f t="shared" si="84"/>
        <v>24070.910000000011</v>
      </c>
      <c r="R158" s="108">
        <f t="shared" si="82"/>
        <v>189161.72000000003</v>
      </c>
    </row>
    <row r="159" spans="1:34" ht="15.75" x14ac:dyDescent="0.25">
      <c r="A159" s="92" t="s">
        <v>130</v>
      </c>
      <c r="B159" s="94" t="s">
        <v>78</v>
      </c>
      <c r="C159" s="99">
        <f>C62+C74+C89+C99</f>
        <v>-43080.769999999626</v>
      </c>
      <c r="D159" s="99">
        <f t="shared" ref="D159:O159" si="85">D62+D74+D89+D99</f>
        <v>382570.29999999976</v>
      </c>
      <c r="E159" s="99">
        <f t="shared" si="85"/>
        <v>144979.74999999983</v>
      </c>
      <c r="F159" s="99">
        <f t="shared" si="85"/>
        <v>287767.70999999973</v>
      </c>
      <c r="G159" s="99">
        <f t="shared" si="85"/>
        <v>-136188.05999999997</v>
      </c>
      <c r="H159" s="99">
        <f t="shared" si="85"/>
        <v>108867.96999999978</v>
      </c>
      <c r="I159" s="99">
        <f t="shared" si="85"/>
        <v>12923.679999999929</v>
      </c>
      <c r="J159" s="99">
        <f t="shared" si="85"/>
        <v>-188923.66999999993</v>
      </c>
      <c r="K159" s="99">
        <f t="shared" si="85"/>
        <v>21273.359999999906</v>
      </c>
      <c r="L159" s="99">
        <f t="shared" si="85"/>
        <v>-79381.779999999897</v>
      </c>
      <c r="M159" s="213">
        <f t="shared" si="85"/>
        <v>-2841285.0500000017</v>
      </c>
      <c r="N159" s="99">
        <f t="shared" si="85"/>
        <v>-3394.8800000002811</v>
      </c>
      <c r="O159" s="99">
        <f t="shared" si="85"/>
        <v>-319170.54000000004</v>
      </c>
      <c r="R159" s="108">
        <f t="shared" si="82"/>
        <v>590190.26999999944</v>
      </c>
    </row>
    <row r="160" spans="1:34" ht="15.75" x14ac:dyDescent="0.25">
      <c r="A160" s="92" t="s">
        <v>131</v>
      </c>
      <c r="B160" s="94" t="s">
        <v>81</v>
      </c>
      <c r="C160" s="99">
        <f t="shared" ref="C160:O160" si="86">C114</f>
        <v>-253.36</v>
      </c>
      <c r="D160" s="99">
        <f t="shared" si="86"/>
        <v>-523.33000000000004</v>
      </c>
      <c r="E160" s="99">
        <f t="shared" si="86"/>
        <v>-406.83</v>
      </c>
      <c r="F160" s="99">
        <f t="shared" si="86"/>
        <v>-304.64</v>
      </c>
      <c r="G160" s="99">
        <f t="shared" si="86"/>
        <v>-260.88</v>
      </c>
      <c r="H160" s="99">
        <f t="shared" si="86"/>
        <v>-179.28</v>
      </c>
      <c r="I160" s="99">
        <f t="shared" si="86"/>
        <v>-199.5</v>
      </c>
      <c r="J160" s="99">
        <f t="shared" si="86"/>
        <v>-97.34</v>
      </c>
      <c r="K160" s="99">
        <f t="shared" si="86"/>
        <v>-176.14</v>
      </c>
      <c r="L160" s="99">
        <f t="shared" si="86"/>
        <v>-353.52</v>
      </c>
      <c r="M160" s="213">
        <f t="shared" si="86"/>
        <v>3837.4000000000005</v>
      </c>
      <c r="N160" s="99">
        <f t="shared" si="86"/>
        <v>-296.77999999999997</v>
      </c>
      <c r="O160" s="99">
        <f t="shared" si="86"/>
        <v>-416.33</v>
      </c>
      <c r="R160" s="108">
        <f t="shared" si="82"/>
        <v>-2401.2999999999997</v>
      </c>
    </row>
    <row r="161" spans="1:18" ht="15.75" x14ac:dyDescent="0.25">
      <c r="A161" s="98" t="s">
        <v>132</v>
      </c>
      <c r="B161" s="91" t="s">
        <v>82</v>
      </c>
      <c r="C161" s="100">
        <f t="shared" ref="C161:O161" si="87">C129+C144</f>
        <v>-5862.4400000000023</v>
      </c>
      <c r="D161" s="100">
        <f t="shared" si="87"/>
        <v>-6455.5700000000033</v>
      </c>
      <c r="E161" s="100">
        <f t="shared" si="87"/>
        <v>-3523.1200000000017</v>
      </c>
      <c r="F161" s="100">
        <f t="shared" si="87"/>
        <v>-4220.7599999999984</v>
      </c>
      <c r="G161" s="100">
        <f t="shared" si="87"/>
        <v>-5751.4900000000016</v>
      </c>
      <c r="H161" s="100">
        <f t="shared" si="87"/>
        <v>-4542.5599999999995</v>
      </c>
      <c r="I161" s="100">
        <f t="shared" si="87"/>
        <v>-3024.6999999999985</v>
      </c>
      <c r="J161" s="100">
        <f t="shared" si="87"/>
        <v>-3387.13</v>
      </c>
      <c r="K161" s="100">
        <f t="shared" si="87"/>
        <v>182.52000000000044</v>
      </c>
      <c r="L161" s="100">
        <f t="shared" si="87"/>
        <v>2147.2900000000009</v>
      </c>
      <c r="M161" s="214">
        <f t="shared" si="87"/>
        <v>25864.010000000006</v>
      </c>
      <c r="N161" s="100">
        <f t="shared" si="87"/>
        <v>-1467.9400000000005</v>
      </c>
      <c r="O161" s="100">
        <f t="shared" si="87"/>
        <v>-1862.3399999999983</v>
      </c>
      <c r="R161" s="108">
        <f t="shared" si="82"/>
        <v>-36585.25</v>
      </c>
    </row>
    <row r="162" spans="1:18" ht="16.5" thickBot="1" x14ac:dyDescent="0.3">
      <c r="A162" s="92"/>
      <c r="B162" s="94"/>
      <c r="O162" s="230" t="s">
        <v>152</v>
      </c>
      <c r="Q162" s="230" t="s">
        <v>151</v>
      </c>
    </row>
    <row r="163" spans="1:18" ht="15.75" x14ac:dyDescent="0.25">
      <c r="O163" s="177">
        <v>43465</v>
      </c>
      <c r="Q163" s="177">
        <v>43465</v>
      </c>
    </row>
    <row r="164" spans="1:18" x14ac:dyDescent="0.25">
      <c r="O164" s="99">
        <v>1003283.4399999994</v>
      </c>
      <c r="Q164" s="99">
        <f t="shared" ref="Q164:Q169" si="88">O156-O164</f>
        <v>104523.80999999994</v>
      </c>
    </row>
    <row r="165" spans="1:18" x14ac:dyDescent="0.25">
      <c r="O165" s="99">
        <v>-745110.55999999866</v>
      </c>
      <c r="Q165" s="99">
        <f t="shared" si="88"/>
        <v>-65318.390000000596</v>
      </c>
    </row>
    <row r="166" spans="1:18" x14ac:dyDescent="0.25">
      <c r="C166" s="187"/>
      <c r="D166" s="187"/>
      <c r="E166" s="187"/>
      <c r="F166" s="187"/>
      <c r="G166" s="187"/>
      <c r="H166" s="187"/>
      <c r="I166" s="187"/>
      <c r="J166" s="187"/>
      <c r="K166" s="187"/>
      <c r="L166" s="187"/>
      <c r="O166" s="99">
        <v>24070.910000000011</v>
      </c>
      <c r="Q166" s="99">
        <f t="shared" si="88"/>
        <v>0</v>
      </c>
    </row>
    <row r="167" spans="1:18" x14ac:dyDescent="0.25">
      <c r="B167" s="108"/>
      <c r="D167" s="108"/>
      <c r="E167" s="108"/>
      <c r="F167" s="108"/>
      <c r="G167" s="108"/>
      <c r="H167" s="108"/>
      <c r="I167" s="108"/>
      <c r="J167" s="108"/>
      <c r="K167" s="108"/>
      <c r="L167" s="108"/>
      <c r="O167" s="99">
        <v>-279965.12000000087</v>
      </c>
      <c r="Q167" s="99">
        <f t="shared" si="88"/>
        <v>-39205.419999999169</v>
      </c>
    </row>
    <row r="168" spans="1:18" x14ac:dyDescent="0.25">
      <c r="O168" s="99">
        <v>-416.33</v>
      </c>
      <c r="Q168" s="99">
        <f t="shared" si="88"/>
        <v>0</v>
      </c>
    </row>
    <row r="169" spans="1:18" x14ac:dyDescent="0.25">
      <c r="C169" s="108"/>
      <c r="D169" s="108"/>
      <c r="E169" s="108"/>
      <c r="F169" s="108"/>
      <c r="G169" s="108"/>
      <c r="H169" s="108"/>
      <c r="I169" s="108"/>
      <c r="J169" s="108"/>
      <c r="K169" s="108"/>
      <c r="L169" s="108"/>
      <c r="O169" s="100">
        <v>-1862.3399999999983</v>
      </c>
      <c r="Q169" s="100">
        <f t="shared" si="88"/>
        <v>0</v>
      </c>
    </row>
    <row r="171" spans="1:18" x14ac:dyDescent="0.25">
      <c r="D171" s="187"/>
      <c r="E171" s="187"/>
      <c r="F171" s="187"/>
      <c r="G171" s="187"/>
      <c r="H171" s="187"/>
      <c r="I171" s="187"/>
      <c r="J171" s="187"/>
      <c r="K171" s="187"/>
      <c r="L171" s="187"/>
    </row>
    <row r="172" spans="1:18" x14ac:dyDescent="0.25">
      <c r="C172" s="108"/>
      <c r="D172" s="108"/>
      <c r="E172" s="108"/>
      <c r="F172" s="108"/>
      <c r="G172" s="108"/>
      <c r="H172" s="108"/>
      <c r="I172" s="108"/>
      <c r="J172" s="108"/>
      <c r="K172" s="108"/>
      <c r="L172" s="108"/>
    </row>
    <row r="175" spans="1:18" x14ac:dyDescent="0.25">
      <c r="D175" s="108"/>
      <c r="E175" s="108"/>
      <c r="F175" s="108"/>
      <c r="G175" s="108"/>
      <c r="H175" s="108"/>
      <c r="I175" s="108"/>
      <c r="J175" s="108"/>
      <c r="K175" s="108"/>
      <c r="L175" s="108"/>
    </row>
    <row r="181" spans="3:15" x14ac:dyDescent="0.25">
      <c r="C181" s="187"/>
      <c r="D181" s="187"/>
      <c r="E181" s="187"/>
      <c r="F181" s="187"/>
      <c r="G181" s="187"/>
      <c r="H181" s="187"/>
      <c r="I181" s="187"/>
      <c r="J181" s="187"/>
      <c r="K181" s="187"/>
      <c r="L181" s="187"/>
      <c r="N181" s="187"/>
      <c r="O181" s="187"/>
    </row>
    <row r="182" spans="3:15" x14ac:dyDescent="0.25">
      <c r="C182" s="187"/>
      <c r="D182" s="187"/>
      <c r="E182" s="187"/>
      <c r="F182" s="187"/>
      <c r="G182" s="187"/>
      <c r="H182" s="187"/>
      <c r="I182" s="187"/>
      <c r="J182" s="187"/>
      <c r="K182" s="187"/>
      <c r="L182" s="187"/>
      <c r="N182" s="187"/>
      <c r="O182" s="187"/>
    </row>
    <row r="183" spans="3:15" x14ac:dyDescent="0.25">
      <c r="C183" s="187"/>
      <c r="D183" s="187"/>
      <c r="E183" s="187"/>
      <c r="F183" s="187"/>
      <c r="G183" s="187"/>
      <c r="H183" s="187"/>
      <c r="I183" s="187"/>
      <c r="J183" s="187"/>
      <c r="K183" s="187"/>
      <c r="L183" s="187"/>
      <c r="N183" s="187"/>
      <c r="O183" s="187"/>
    </row>
    <row r="184" spans="3:15" x14ac:dyDescent="0.25">
      <c r="C184" s="187"/>
      <c r="D184" s="187"/>
      <c r="E184" s="187"/>
      <c r="F184" s="187"/>
      <c r="G184" s="187"/>
      <c r="H184" s="187"/>
      <c r="I184" s="187"/>
      <c r="J184" s="187"/>
      <c r="K184" s="187"/>
      <c r="L184" s="187"/>
      <c r="N184" s="187"/>
      <c r="O184" s="187"/>
    </row>
  </sheetData>
  <mergeCells count="4">
    <mergeCell ref="A1:O1"/>
    <mergeCell ref="A2:O2"/>
    <mergeCell ref="A3:O3"/>
    <mergeCell ref="A154:A155"/>
  </mergeCells>
  <pageMargins left="0.7" right="0.7" top="0.75" bottom="0.75" header="0.3" footer="0.3"/>
  <pageSetup scale="41" fitToHeight="2" orientation="landscape" r:id="rId1"/>
  <rowBreaks count="1" manualBreakCount="1">
    <brk id="78" max="17" man="1"/>
  </rowBreaks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19987-C9D0-4EF1-8FF9-14F150C75E34}">
  <dimension ref="A1:W172"/>
  <sheetViews>
    <sheetView workbookViewId="0">
      <selection sqref="A1:M1"/>
    </sheetView>
  </sheetViews>
  <sheetFormatPr defaultColWidth="9.140625" defaultRowHeight="15" x14ac:dyDescent="0.25"/>
  <cols>
    <col min="1" max="1" width="24.7109375" bestFit="1" customWidth="1"/>
    <col min="2" max="2" width="65.7109375" bestFit="1" customWidth="1"/>
    <col min="3" max="4" width="14" customWidth="1"/>
    <col min="5" max="6" width="14" bestFit="1" customWidth="1"/>
    <col min="7" max="13" width="14" customWidth="1"/>
    <col min="14" max="14" width="12.28515625" bestFit="1" customWidth="1"/>
    <col min="15" max="15" width="18.7109375" bestFit="1" customWidth="1"/>
    <col min="16" max="16" width="13.28515625" bestFit="1" customWidth="1"/>
    <col min="17" max="17" width="10.5703125" bestFit="1" customWidth="1"/>
    <col min="18" max="18" width="7.5703125" bestFit="1" customWidth="1"/>
    <col min="19" max="19" width="10.5703125" bestFit="1" customWidth="1"/>
    <col min="21" max="21" width="8" bestFit="1" customWidth="1"/>
    <col min="23" max="23" width="9.7109375" bestFit="1" customWidth="1"/>
  </cols>
  <sheetData>
    <row r="1" spans="1:23" ht="18.75" x14ac:dyDescent="0.3">
      <c r="A1" s="676" t="s">
        <v>67</v>
      </c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676"/>
    </row>
    <row r="2" spans="1:23" ht="21" x14ac:dyDescent="0.35">
      <c r="A2" s="681" t="s">
        <v>69</v>
      </c>
      <c r="B2" s="681"/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</row>
    <row r="3" spans="1:23" ht="18" thickBot="1" x14ac:dyDescent="0.35">
      <c r="A3" s="693" t="s">
        <v>153</v>
      </c>
      <c r="B3" s="693"/>
      <c r="C3" s="693"/>
      <c r="D3" s="693"/>
      <c r="E3" s="693"/>
      <c r="F3" s="693"/>
      <c r="G3" s="693"/>
      <c r="H3" s="693"/>
      <c r="I3" s="693"/>
      <c r="J3" s="693"/>
      <c r="K3" s="693"/>
      <c r="L3" s="693"/>
      <c r="M3" s="693"/>
    </row>
    <row r="4" spans="1:23" ht="15.75" x14ac:dyDescent="0.25">
      <c r="A4" s="101" t="s">
        <v>66</v>
      </c>
      <c r="B4" s="102"/>
      <c r="C4" s="103">
        <v>43496</v>
      </c>
      <c r="D4" s="103">
        <v>43524</v>
      </c>
      <c r="E4" s="103">
        <v>43555</v>
      </c>
      <c r="F4" s="103">
        <v>43585</v>
      </c>
      <c r="G4" s="103">
        <v>43616</v>
      </c>
      <c r="H4" s="103">
        <v>43646</v>
      </c>
      <c r="I4" s="103">
        <v>43677</v>
      </c>
      <c r="J4" s="103">
        <v>43708</v>
      </c>
      <c r="K4" s="103">
        <v>43738</v>
      </c>
      <c r="L4" s="103">
        <v>43769</v>
      </c>
      <c r="M4" s="200" t="s">
        <v>147</v>
      </c>
      <c r="N4" s="104" t="s">
        <v>137</v>
      </c>
    </row>
    <row r="5" spans="1:23" x14ac:dyDescent="0.25">
      <c r="A5" s="4"/>
      <c r="B5" s="89" t="s">
        <v>136</v>
      </c>
      <c r="C5" s="185">
        <v>5.1799999999999999E-2</v>
      </c>
      <c r="D5" s="185">
        <v>5.1799999999999999E-2</v>
      </c>
      <c r="E5" s="185">
        <v>5.1799999999999999E-2</v>
      </c>
      <c r="F5" s="185">
        <v>5.45E-2</v>
      </c>
      <c r="G5" s="185">
        <v>5.45E-2</v>
      </c>
      <c r="H5" s="185">
        <v>5.45E-2</v>
      </c>
      <c r="I5" s="185">
        <v>5.5E-2</v>
      </c>
      <c r="J5" s="185">
        <v>5.5E-2</v>
      </c>
      <c r="K5" s="185">
        <v>5.5E-2</v>
      </c>
      <c r="L5" s="185">
        <v>5.4199999999999998E-2</v>
      </c>
      <c r="M5" s="201"/>
    </row>
    <row r="6" spans="1:23" ht="15.75" x14ac:dyDescent="0.25">
      <c r="A6" s="183"/>
      <c r="B6" s="89" t="s">
        <v>140</v>
      </c>
      <c r="C6" s="192">
        <v>31</v>
      </c>
      <c r="D6" s="192">
        <v>28</v>
      </c>
      <c r="E6" s="192">
        <v>31</v>
      </c>
      <c r="F6" s="192">
        <v>30</v>
      </c>
      <c r="G6" s="192">
        <v>31</v>
      </c>
      <c r="H6" s="192">
        <v>30</v>
      </c>
      <c r="I6" s="192">
        <v>31</v>
      </c>
      <c r="J6" s="192">
        <v>31</v>
      </c>
      <c r="K6" s="192">
        <v>30</v>
      </c>
      <c r="L6" s="192">
        <v>31</v>
      </c>
      <c r="M6" s="202"/>
    </row>
    <row r="7" spans="1:23" x14ac:dyDescent="0.25">
      <c r="A7" s="86">
        <v>502</v>
      </c>
      <c r="B7" s="104" t="s">
        <v>84</v>
      </c>
      <c r="M7" s="203"/>
    </row>
    <row r="8" spans="1:23" x14ac:dyDescent="0.25">
      <c r="A8" s="87" t="s">
        <v>64</v>
      </c>
      <c r="B8" t="s">
        <v>65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204"/>
      <c r="Q8" s="113"/>
      <c r="S8" s="113"/>
    </row>
    <row r="9" spans="1:23" x14ac:dyDescent="0.25">
      <c r="A9" s="87" t="s">
        <v>71</v>
      </c>
      <c r="B9" t="s">
        <v>70</v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205"/>
      <c r="O9" s="122"/>
      <c r="P9" s="108"/>
      <c r="Q9" s="112"/>
      <c r="S9" s="112"/>
      <c r="W9" s="112"/>
    </row>
    <row r="10" spans="1:23" x14ac:dyDescent="0.25">
      <c r="A10" s="87"/>
      <c r="B10" s="89" t="s">
        <v>74</v>
      </c>
      <c r="C10" s="108">
        <f t="shared" ref="C10:M10" si="0">C9</f>
        <v>0</v>
      </c>
      <c r="D10" s="108">
        <f t="shared" si="0"/>
        <v>0</v>
      </c>
      <c r="E10" s="108">
        <f t="shared" si="0"/>
        <v>0</v>
      </c>
      <c r="F10" s="108">
        <f t="shared" si="0"/>
        <v>0</v>
      </c>
      <c r="G10" s="108">
        <f t="shared" si="0"/>
        <v>0</v>
      </c>
      <c r="H10" s="108">
        <f t="shared" si="0"/>
        <v>0</v>
      </c>
      <c r="I10" s="108">
        <f t="shared" si="0"/>
        <v>0</v>
      </c>
      <c r="J10" s="108">
        <f t="shared" si="0"/>
        <v>0</v>
      </c>
      <c r="K10" s="108">
        <f t="shared" si="0"/>
        <v>0</v>
      </c>
      <c r="L10" s="108">
        <f t="shared" si="0"/>
        <v>0</v>
      </c>
      <c r="M10" s="206">
        <f t="shared" si="0"/>
        <v>0</v>
      </c>
      <c r="O10" s="122"/>
      <c r="P10" s="108"/>
      <c r="Q10" s="112"/>
      <c r="S10" s="112"/>
      <c r="W10" s="112"/>
    </row>
    <row r="11" spans="1:23" x14ac:dyDescent="0.25">
      <c r="A11" s="87"/>
      <c r="B11" s="89" t="s">
        <v>73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205">
        <f>ROUND(-'Authorized Margins'!G35*'WACAP 2017'!M8,2)</f>
        <v>0</v>
      </c>
    </row>
    <row r="12" spans="1:23" x14ac:dyDescent="0.25">
      <c r="A12" s="87"/>
      <c r="B12" s="89" t="s">
        <v>75</v>
      </c>
      <c r="C12" s="90">
        <f>-'WACAP 2018'!Q14</f>
        <v>-8606.2899999999991</v>
      </c>
      <c r="D12" s="90">
        <f t="shared" ref="D12:L12" si="1">SUM(D10:D11)</f>
        <v>0</v>
      </c>
      <c r="E12" s="90">
        <f t="shared" si="1"/>
        <v>0</v>
      </c>
      <c r="F12" s="90">
        <f t="shared" si="1"/>
        <v>0</v>
      </c>
      <c r="G12" s="90">
        <f t="shared" si="1"/>
        <v>0</v>
      </c>
      <c r="H12" s="90">
        <f t="shared" si="1"/>
        <v>0</v>
      </c>
      <c r="I12" s="90">
        <f t="shared" si="1"/>
        <v>0</v>
      </c>
      <c r="J12" s="90">
        <f t="shared" si="1"/>
        <v>0</v>
      </c>
      <c r="K12" s="90">
        <f t="shared" si="1"/>
        <v>0</v>
      </c>
      <c r="L12" s="90">
        <f t="shared" si="1"/>
        <v>0</v>
      </c>
      <c r="M12" s="215"/>
    </row>
    <row r="13" spans="1:23" x14ac:dyDescent="0.25">
      <c r="A13" s="87"/>
      <c r="B13" s="89" t="s">
        <v>137</v>
      </c>
      <c r="C13" s="187">
        <f>ROUND(ROUND(C12*C$5,2)/365*C$6,2)</f>
        <v>-37.86</v>
      </c>
      <c r="D13" s="187">
        <f>ROUND(ROUND(C15*D$5,2)/365*D$6,2)</f>
        <v>-34.35</v>
      </c>
      <c r="E13" s="187">
        <f t="shared" ref="E13:L13" si="2">ROUND(ROUND(D15*E$5,2)/365*E$6,2)</f>
        <v>-38.18</v>
      </c>
      <c r="F13" s="187">
        <f t="shared" si="2"/>
        <v>-39.049999999999997</v>
      </c>
      <c r="G13" s="187">
        <f t="shared" si="2"/>
        <v>-40.53</v>
      </c>
      <c r="H13" s="187">
        <f t="shared" si="2"/>
        <v>-39.4</v>
      </c>
      <c r="I13" s="187">
        <f t="shared" si="2"/>
        <v>-41.27</v>
      </c>
      <c r="J13" s="187">
        <f t="shared" si="2"/>
        <v>-41.47</v>
      </c>
      <c r="K13" s="187">
        <f t="shared" si="2"/>
        <v>-40.32</v>
      </c>
      <c r="L13" s="187">
        <f t="shared" si="2"/>
        <v>-41.24</v>
      </c>
      <c r="M13" s="208">
        <f>ROUND(ROUND(K15*M$5,2)/365*M$6,2)</f>
        <v>0</v>
      </c>
      <c r="N13" s="108">
        <f>SUM(C13:M13)</f>
        <v>-393.67</v>
      </c>
    </row>
    <row r="14" spans="1:23" x14ac:dyDescent="0.25">
      <c r="A14" s="87"/>
      <c r="B14" s="89" t="s">
        <v>138</v>
      </c>
      <c r="C14" s="189">
        <f>C13</f>
        <v>-37.86</v>
      </c>
      <c r="D14" s="189">
        <f t="shared" ref="D14:M14" si="3">SUM(D12:D13)</f>
        <v>-34.35</v>
      </c>
      <c r="E14" s="189">
        <f t="shared" si="3"/>
        <v>-38.18</v>
      </c>
      <c r="F14" s="189">
        <f t="shared" si="3"/>
        <v>-39.049999999999997</v>
      </c>
      <c r="G14" s="189">
        <f t="shared" si="3"/>
        <v>-40.53</v>
      </c>
      <c r="H14" s="189">
        <f t="shared" si="3"/>
        <v>-39.4</v>
      </c>
      <c r="I14" s="189">
        <f t="shared" si="3"/>
        <v>-41.27</v>
      </c>
      <c r="J14" s="189">
        <f t="shared" si="3"/>
        <v>-41.47</v>
      </c>
      <c r="K14" s="189">
        <f t="shared" si="3"/>
        <v>-40.32</v>
      </c>
      <c r="L14" s="189">
        <f t="shared" si="3"/>
        <v>-41.24</v>
      </c>
      <c r="M14" s="209">
        <f t="shared" si="3"/>
        <v>0</v>
      </c>
    </row>
    <row r="15" spans="1:23" x14ac:dyDescent="0.25">
      <c r="A15" s="87"/>
      <c r="B15" s="89" t="s">
        <v>139</v>
      </c>
      <c r="C15" s="90">
        <f>C14+C12</f>
        <v>-8644.15</v>
      </c>
      <c r="D15" s="90">
        <f>C15+D14</f>
        <v>-8678.5</v>
      </c>
      <c r="E15" s="90">
        <f t="shared" ref="E15:M15" si="4">D15+E14</f>
        <v>-8716.68</v>
      </c>
      <c r="F15" s="90">
        <f t="shared" si="4"/>
        <v>-8755.73</v>
      </c>
      <c r="G15" s="90">
        <f t="shared" si="4"/>
        <v>-8796.26</v>
      </c>
      <c r="H15" s="90">
        <f t="shared" si="4"/>
        <v>-8835.66</v>
      </c>
      <c r="I15" s="90">
        <f t="shared" si="4"/>
        <v>-8876.93</v>
      </c>
      <c r="J15" s="90">
        <f t="shared" si="4"/>
        <v>-8918.4</v>
      </c>
      <c r="K15" s="90">
        <f t="shared" si="4"/>
        <v>-8958.7199999999993</v>
      </c>
      <c r="L15" s="90">
        <f t="shared" si="4"/>
        <v>-8999.9599999999991</v>
      </c>
      <c r="M15" s="207">
        <f t="shared" si="4"/>
        <v>-8999.9599999999991</v>
      </c>
    </row>
    <row r="16" spans="1:23" x14ac:dyDescent="0.25">
      <c r="A16" s="86"/>
      <c r="C16" s="113"/>
      <c r="D16" s="113"/>
      <c r="E16" s="108"/>
      <c r="F16" s="112"/>
      <c r="G16" s="112"/>
      <c r="H16" s="112"/>
      <c r="I16" s="112"/>
      <c r="J16" s="112"/>
      <c r="K16" s="112"/>
      <c r="L16" s="112"/>
      <c r="M16" s="210"/>
      <c r="R16" s="104"/>
    </row>
    <row r="17" spans="1:23" x14ac:dyDescent="0.25">
      <c r="A17" s="86">
        <v>503</v>
      </c>
      <c r="B17" s="104" t="s">
        <v>84</v>
      </c>
      <c r="C17" s="113"/>
      <c r="D17" s="113"/>
      <c r="E17" s="108"/>
      <c r="F17" s="108"/>
      <c r="G17" s="113"/>
      <c r="H17" s="113"/>
      <c r="I17" s="113"/>
      <c r="J17" s="113"/>
      <c r="K17" s="113"/>
      <c r="L17" s="113"/>
      <c r="M17" s="204"/>
      <c r="Q17" s="113"/>
      <c r="S17" s="113"/>
    </row>
    <row r="18" spans="1:23" x14ac:dyDescent="0.25">
      <c r="A18" s="87" t="s">
        <v>64</v>
      </c>
      <c r="B18" t="s">
        <v>65</v>
      </c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204"/>
      <c r="O18" s="122"/>
      <c r="P18" s="108"/>
      <c r="Q18" s="112"/>
      <c r="S18" s="112"/>
      <c r="W18" s="112"/>
    </row>
    <row r="19" spans="1:23" x14ac:dyDescent="0.25">
      <c r="A19" s="87" t="s">
        <v>71</v>
      </c>
      <c r="B19" t="s">
        <v>70</v>
      </c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206"/>
      <c r="O19" s="122"/>
      <c r="P19" s="108"/>
      <c r="Q19" s="112"/>
      <c r="S19" s="112"/>
      <c r="W19" s="112"/>
    </row>
    <row r="20" spans="1:23" x14ac:dyDescent="0.25">
      <c r="A20" s="87" t="s">
        <v>72</v>
      </c>
      <c r="B20" t="s">
        <v>114</v>
      </c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206"/>
    </row>
    <row r="21" spans="1:23" x14ac:dyDescent="0.25">
      <c r="A21" s="87" t="s">
        <v>72</v>
      </c>
      <c r="B21" t="s">
        <v>115</v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205"/>
    </row>
    <row r="22" spans="1:23" x14ac:dyDescent="0.25">
      <c r="A22" s="87"/>
      <c r="B22" s="89" t="s">
        <v>74</v>
      </c>
      <c r="C22" s="108">
        <f t="shared" ref="C22:M22" si="5">SUM(C19:C21)</f>
        <v>0</v>
      </c>
      <c r="D22" s="108">
        <f t="shared" si="5"/>
        <v>0</v>
      </c>
      <c r="E22" s="108">
        <f t="shared" si="5"/>
        <v>0</v>
      </c>
      <c r="F22" s="108">
        <f t="shared" si="5"/>
        <v>0</v>
      </c>
      <c r="G22" s="108">
        <f t="shared" si="5"/>
        <v>0</v>
      </c>
      <c r="H22" s="108">
        <f t="shared" si="5"/>
        <v>0</v>
      </c>
      <c r="I22" s="108">
        <f t="shared" si="5"/>
        <v>0</v>
      </c>
      <c r="J22" s="108">
        <f t="shared" si="5"/>
        <v>0</v>
      </c>
      <c r="K22" s="108">
        <f t="shared" si="5"/>
        <v>0</v>
      </c>
      <c r="L22" s="108">
        <f t="shared" si="5"/>
        <v>0</v>
      </c>
      <c r="M22" s="206">
        <f t="shared" si="5"/>
        <v>0</v>
      </c>
    </row>
    <row r="23" spans="1:23" x14ac:dyDescent="0.25">
      <c r="A23" s="87"/>
      <c r="B23" s="89" t="s">
        <v>73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205">
        <f>ROUND(-'Authorized Margins'!G41*'WACAP 2017'!M18,2)</f>
        <v>0</v>
      </c>
      <c r="Q23" s="113"/>
      <c r="S23" s="113"/>
    </row>
    <row r="24" spans="1:23" x14ac:dyDescent="0.25">
      <c r="A24" s="87"/>
      <c r="B24" s="89" t="s">
        <v>75</v>
      </c>
      <c r="C24" s="90">
        <f>-'WACAP 2018'!Q26</f>
        <v>1444647.4400000013</v>
      </c>
      <c r="D24" s="90">
        <f t="shared" ref="D24" si="6">SUM(D22:D23)</f>
        <v>0</v>
      </c>
      <c r="E24" s="90">
        <f t="shared" ref="E24:L24" si="7">SUM(E22:E23)</f>
        <v>0</v>
      </c>
      <c r="F24" s="90">
        <f t="shared" si="7"/>
        <v>0</v>
      </c>
      <c r="G24" s="90">
        <f t="shared" si="7"/>
        <v>0</v>
      </c>
      <c r="H24" s="90">
        <f t="shared" si="7"/>
        <v>0</v>
      </c>
      <c r="I24" s="90">
        <f t="shared" si="7"/>
        <v>0</v>
      </c>
      <c r="J24" s="90">
        <f t="shared" si="7"/>
        <v>0</v>
      </c>
      <c r="K24" s="90">
        <f t="shared" si="7"/>
        <v>0</v>
      </c>
      <c r="L24" s="90">
        <f t="shared" si="7"/>
        <v>0</v>
      </c>
      <c r="M24" s="215"/>
      <c r="O24" s="122"/>
      <c r="P24" s="108"/>
      <c r="Q24" s="112"/>
      <c r="S24" s="112"/>
      <c r="W24" s="112"/>
    </row>
    <row r="25" spans="1:23" x14ac:dyDescent="0.25">
      <c r="A25" s="87"/>
      <c r="B25" s="89" t="s">
        <v>137</v>
      </c>
      <c r="C25" s="216">
        <f>ROUND(ROUND(C24*C$5,2)/365*C$6,2)</f>
        <v>6355.66</v>
      </c>
      <c r="D25" s="216">
        <f t="shared" ref="D25:K25" si="8">ROUND(ROUND(C27*D$5,2)/365*D$6,2)</f>
        <v>5765.85</v>
      </c>
      <c r="E25" s="216">
        <f t="shared" si="8"/>
        <v>6408.99</v>
      </c>
      <c r="F25" s="216">
        <f t="shared" si="8"/>
        <v>6554.24</v>
      </c>
      <c r="G25" s="216">
        <f t="shared" si="8"/>
        <v>6803.05</v>
      </c>
      <c r="H25" s="216">
        <f t="shared" si="8"/>
        <v>6614.07</v>
      </c>
      <c r="I25" s="216">
        <f t="shared" si="8"/>
        <v>6928.14</v>
      </c>
      <c r="J25" s="216">
        <f t="shared" si="8"/>
        <v>6960.5</v>
      </c>
      <c r="K25" s="216">
        <f t="shared" si="8"/>
        <v>6767.43</v>
      </c>
      <c r="L25" s="199">
        <f>ROUND(ROUND(K27*L$5,2)/365*L$6,2)+0.01</f>
        <v>6922.46</v>
      </c>
      <c r="M25" s="208">
        <f>ROUND(ROUND(K27*M$5,2)/365*M$6,2)</f>
        <v>0</v>
      </c>
      <c r="N25" s="108">
        <f>SUM(C25:M25)</f>
        <v>66080.39</v>
      </c>
    </row>
    <row r="26" spans="1:23" x14ac:dyDescent="0.25">
      <c r="A26" s="87"/>
      <c r="B26" s="89" t="s">
        <v>138</v>
      </c>
      <c r="C26" s="189">
        <f>C25</f>
        <v>6355.66</v>
      </c>
      <c r="D26" s="189">
        <f t="shared" ref="D26:M26" si="9">SUM(D24:D25)</f>
        <v>5765.85</v>
      </c>
      <c r="E26" s="189">
        <f t="shared" si="9"/>
        <v>6408.99</v>
      </c>
      <c r="F26" s="189">
        <f t="shared" si="9"/>
        <v>6554.24</v>
      </c>
      <c r="G26" s="189">
        <f t="shared" si="9"/>
        <v>6803.05</v>
      </c>
      <c r="H26" s="189">
        <f t="shared" si="9"/>
        <v>6614.07</v>
      </c>
      <c r="I26" s="189">
        <f t="shared" si="9"/>
        <v>6928.14</v>
      </c>
      <c r="J26" s="189">
        <f t="shared" si="9"/>
        <v>6960.5</v>
      </c>
      <c r="K26" s="189">
        <f t="shared" si="9"/>
        <v>6767.43</v>
      </c>
      <c r="L26" s="189">
        <f t="shared" si="9"/>
        <v>6922.46</v>
      </c>
      <c r="M26" s="209">
        <f t="shared" si="9"/>
        <v>0</v>
      </c>
    </row>
    <row r="27" spans="1:23" x14ac:dyDescent="0.25">
      <c r="A27" s="87"/>
      <c r="B27" s="89" t="s">
        <v>139</v>
      </c>
      <c r="C27" s="90">
        <f>C26+C24</f>
        <v>1451003.1000000013</v>
      </c>
      <c r="D27" s="90">
        <f>C27+D26</f>
        <v>1456768.9500000014</v>
      </c>
      <c r="E27" s="90">
        <f t="shared" ref="E27:M27" si="10">D27+E26</f>
        <v>1463177.9400000013</v>
      </c>
      <c r="F27" s="90">
        <f t="shared" si="10"/>
        <v>1469732.1800000013</v>
      </c>
      <c r="G27" s="90">
        <f t="shared" si="10"/>
        <v>1476535.2300000014</v>
      </c>
      <c r="H27" s="90">
        <f t="shared" si="10"/>
        <v>1483149.3000000014</v>
      </c>
      <c r="I27" s="90">
        <f t="shared" si="10"/>
        <v>1490077.4400000013</v>
      </c>
      <c r="J27" s="90">
        <f t="shared" si="10"/>
        <v>1497037.9400000013</v>
      </c>
      <c r="K27" s="90">
        <f t="shared" si="10"/>
        <v>1503805.3700000013</v>
      </c>
      <c r="L27" s="90">
        <f t="shared" si="10"/>
        <v>1510727.8300000012</v>
      </c>
      <c r="M27" s="207">
        <f t="shared" si="10"/>
        <v>1510727.8300000012</v>
      </c>
    </row>
    <row r="28" spans="1:23" x14ac:dyDescent="0.25">
      <c r="A28" s="87"/>
      <c r="B28" s="8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207"/>
      <c r="O28" s="122"/>
      <c r="P28" s="108"/>
      <c r="Q28" s="112"/>
      <c r="S28" s="112"/>
      <c r="W28" s="112"/>
    </row>
    <row r="29" spans="1:23" x14ac:dyDescent="0.25">
      <c r="A29" s="86">
        <v>505</v>
      </c>
      <c r="B29" s="104" t="s">
        <v>85</v>
      </c>
      <c r="C29" s="113"/>
      <c r="D29" s="113"/>
      <c r="E29" s="108"/>
      <c r="F29" s="113"/>
      <c r="G29" s="113"/>
      <c r="H29" s="113"/>
      <c r="I29" s="113"/>
      <c r="J29" s="113"/>
      <c r="K29" s="113"/>
      <c r="L29" s="113"/>
      <c r="M29" s="204"/>
    </row>
    <row r="30" spans="1:23" x14ac:dyDescent="0.25">
      <c r="A30" s="87" t="s">
        <v>64</v>
      </c>
      <c r="B30" t="s">
        <v>65</v>
      </c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204"/>
    </row>
    <row r="31" spans="1:23" x14ac:dyDescent="0.25">
      <c r="A31" s="87" t="s">
        <v>71</v>
      </c>
      <c r="B31" t="s">
        <v>117</v>
      </c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206"/>
    </row>
    <row r="32" spans="1:23" x14ac:dyDescent="0.25">
      <c r="A32" s="87" t="s">
        <v>71</v>
      </c>
      <c r="B32" t="s">
        <v>95</v>
      </c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206"/>
    </row>
    <row r="33" spans="1:14" x14ac:dyDescent="0.25">
      <c r="A33" s="87" t="s">
        <v>71</v>
      </c>
      <c r="B33" t="s">
        <v>97</v>
      </c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206"/>
    </row>
    <row r="34" spans="1:14" x14ac:dyDescent="0.25">
      <c r="A34" s="87" t="s">
        <v>71</v>
      </c>
      <c r="B34" t="s">
        <v>96</v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205"/>
    </row>
    <row r="35" spans="1:14" x14ac:dyDescent="0.25">
      <c r="A35" s="86"/>
      <c r="B35" s="89" t="s">
        <v>74</v>
      </c>
      <c r="C35" s="108">
        <f t="shared" ref="C35:M35" si="11">SUM(C31:C34)</f>
        <v>0</v>
      </c>
      <c r="D35" s="108">
        <f t="shared" si="11"/>
        <v>0</v>
      </c>
      <c r="E35" s="108">
        <f t="shared" si="11"/>
        <v>0</v>
      </c>
      <c r="F35" s="108">
        <f t="shared" si="11"/>
        <v>0</v>
      </c>
      <c r="G35" s="108">
        <f t="shared" si="11"/>
        <v>0</v>
      </c>
      <c r="H35" s="108">
        <f t="shared" si="11"/>
        <v>0</v>
      </c>
      <c r="I35" s="108">
        <f t="shared" si="11"/>
        <v>0</v>
      </c>
      <c r="J35" s="108">
        <f t="shared" si="11"/>
        <v>0</v>
      </c>
      <c r="K35" s="108">
        <f t="shared" si="11"/>
        <v>0</v>
      </c>
      <c r="L35" s="108">
        <f t="shared" si="11"/>
        <v>0</v>
      </c>
      <c r="M35" s="206">
        <f t="shared" si="11"/>
        <v>0</v>
      </c>
    </row>
    <row r="36" spans="1:14" x14ac:dyDescent="0.25">
      <c r="A36" s="86"/>
      <c r="B36" s="89" t="s">
        <v>73</v>
      </c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205">
        <f>ROUND(-'Authorized Margins'!G60*'WACAP 2017'!M30,2)</f>
        <v>0</v>
      </c>
    </row>
    <row r="37" spans="1:14" x14ac:dyDescent="0.25">
      <c r="A37" s="86"/>
      <c r="B37" s="89" t="s">
        <v>75</v>
      </c>
      <c r="C37" s="90">
        <f>-'WACAP 2018'!Q39</f>
        <v>-7433.6600000000544</v>
      </c>
      <c r="D37" s="90">
        <f t="shared" ref="D37" si="12">SUM(D35:D36)</f>
        <v>0</v>
      </c>
      <c r="E37" s="90">
        <f t="shared" ref="E37:L37" si="13">SUM(E35:E36)</f>
        <v>0</v>
      </c>
      <c r="F37" s="90">
        <f t="shared" si="13"/>
        <v>0</v>
      </c>
      <c r="G37" s="90">
        <f t="shared" si="13"/>
        <v>0</v>
      </c>
      <c r="H37" s="90">
        <f t="shared" si="13"/>
        <v>0</v>
      </c>
      <c r="I37" s="90">
        <f t="shared" si="13"/>
        <v>0</v>
      </c>
      <c r="J37" s="90">
        <f t="shared" si="13"/>
        <v>0</v>
      </c>
      <c r="K37" s="90">
        <f t="shared" si="13"/>
        <v>0</v>
      </c>
      <c r="L37" s="90">
        <f t="shared" si="13"/>
        <v>0</v>
      </c>
      <c r="M37" s="207"/>
    </row>
    <row r="38" spans="1:14" x14ac:dyDescent="0.25">
      <c r="A38" s="87"/>
      <c r="B38" s="89" t="s">
        <v>137</v>
      </c>
      <c r="C38" s="187">
        <f>ROUND(ROUND(C37*C$5,2)/365*C$6,2)</f>
        <v>-32.700000000000003</v>
      </c>
      <c r="D38" s="187">
        <f>ROUND(ROUND(C40*D$5,2)/365*D$6,2)</f>
        <v>-29.67</v>
      </c>
      <c r="E38" s="187">
        <f t="shared" ref="E38:L38" si="14">ROUND(ROUND(D40*E$5,2)/365*E$6,2)</f>
        <v>-32.979999999999997</v>
      </c>
      <c r="F38" s="187">
        <f t="shared" si="14"/>
        <v>-33.729999999999997</v>
      </c>
      <c r="G38" s="187">
        <f t="shared" si="14"/>
        <v>-35.01</v>
      </c>
      <c r="H38" s="187">
        <f t="shared" si="14"/>
        <v>-34.03</v>
      </c>
      <c r="I38" s="187">
        <f t="shared" si="14"/>
        <v>-35.65</v>
      </c>
      <c r="J38" s="187">
        <f t="shared" si="14"/>
        <v>-35.82</v>
      </c>
      <c r="K38" s="187">
        <f t="shared" si="14"/>
        <v>-34.82</v>
      </c>
      <c r="L38" s="187">
        <f t="shared" si="14"/>
        <v>-35.619999999999997</v>
      </c>
      <c r="M38" s="208">
        <f>ROUND(ROUND(K40*M$5,2)/365*M$6,2)</f>
        <v>0</v>
      </c>
      <c r="N38" s="108">
        <f>SUM(C38:M38)</f>
        <v>-340.03</v>
      </c>
    </row>
    <row r="39" spans="1:14" x14ac:dyDescent="0.25">
      <c r="A39" s="87"/>
      <c r="B39" s="89" t="s">
        <v>138</v>
      </c>
      <c r="C39" s="189">
        <f>C38</f>
        <v>-32.700000000000003</v>
      </c>
      <c r="D39" s="189">
        <f t="shared" ref="D39:M39" si="15">SUM(D37:D38)</f>
        <v>-29.67</v>
      </c>
      <c r="E39" s="189">
        <f t="shared" si="15"/>
        <v>-32.979999999999997</v>
      </c>
      <c r="F39" s="189">
        <f t="shared" si="15"/>
        <v>-33.729999999999997</v>
      </c>
      <c r="G39" s="189">
        <f t="shared" si="15"/>
        <v>-35.01</v>
      </c>
      <c r="H39" s="189">
        <f t="shared" si="15"/>
        <v>-34.03</v>
      </c>
      <c r="I39" s="189">
        <f t="shared" si="15"/>
        <v>-35.65</v>
      </c>
      <c r="J39" s="189">
        <f t="shared" si="15"/>
        <v>-35.82</v>
      </c>
      <c r="K39" s="189">
        <f t="shared" si="15"/>
        <v>-34.82</v>
      </c>
      <c r="L39" s="189">
        <f t="shared" si="15"/>
        <v>-35.619999999999997</v>
      </c>
      <c r="M39" s="209">
        <f t="shared" si="15"/>
        <v>0</v>
      </c>
    </row>
    <row r="40" spans="1:14" x14ac:dyDescent="0.25">
      <c r="A40" s="87"/>
      <c r="B40" s="89" t="s">
        <v>139</v>
      </c>
      <c r="C40" s="90">
        <f>C39+C37</f>
        <v>-7466.3600000000542</v>
      </c>
      <c r="D40" s="90">
        <f>C40+D39</f>
        <v>-7496.0300000000543</v>
      </c>
      <c r="E40" s="90">
        <f t="shared" ref="E40:M40" si="16">D40+E39</f>
        <v>-7529.0100000000539</v>
      </c>
      <c r="F40" s="90">
        <f t="shared" si="16"/>
        <v>-7562.7400000000534</v>
      </c>
      <c r="G40" s="90">
        <f t="shared" si="16"/>
        <v>-7597.7500000000537</v>
      </c>
      <c r="H40" s="90">
        <f t="shared" si="16"/>
        <v>-7631.7800000000534</v>
      </c>
      <c r="I40" s="90">
        <f t="shared" si="16"/>
        <v>-7667.430000000053</v>
      </c>
      <c r="J40" s="90">
        <f t="shared" si="16"/>
        <v>-7703.2500000000528</v>
      </c>
      <c r="K40" s="90">
        <f t="shared" si="16"/>
        <v>-7738.0700000000525</v>
      </c>
      <c r="L40" s="90">
        <f t="shared" si="16"/>
        <v>-7773.6900000000524</v>
      </c>
      <c r="M40" s="207">
        <f t="shared" si="16"/>
        <v>-7773.6900000000524</v>
      </c>
    </row>
    <row r="41" spans="1:14" x14ac:dyDescent="0.25">
      <c r="A41" s="86"/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207"/>
    </row>
    <row r="42" spans="1:14" x14ac:dyDescent="0.25">
      <c r="A42" s="86">
        <v>511</v>
      </c>
      <c r="B42" s="104" t="s">
        <v>85</v>
      </c>
      <c r="C42" s="113"/>
      <c r="D42" s="113"/>
      <c r="E42" s="108"/>
      <c r="F42" s="113"/>
      <c r="G42" s="113"/>
      <c r="H42" s="113"/>
      <c r="I42" s="113"/>
      <c r="J42" s="113"/>
      <c r="K42" s="113"/>
      <c r="L42" s="113"/>
      <c r="M42" s="204"/>
    </row>
    <row r="43" spans="1:14" x14ac:dyDescent="0.25">
      <c r="A43" s="87" t="s">
        <v>64</v>
      </c>
      <c r="B43" t="s">
        <v>65</v>
      </c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204"/>
    </row>
    <row r="44" spans="1:14" x14ac:dyDescent="0.25">
      <c r="A44" s="87" t="s">
        <v>71</v>
      </c>
      <c r="B44" t="s">
        <v>117</v>
      </c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206"/>
    </row>
    <row r="45" spans="1:14" x14ac:dyDescent="0.25">
      <c r="A45" s="87" t="s">
        <v>71</v>
      </c>
      <c r="B45" t="s">
        <v>98</v>
      </c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206"/>
    </row>
    <row r="46" spans="1:14" x14ac:dyDescent="0.25">
      <c r="A46" s="87" t="s">
        <v>71</v>
      </c>
      <c r="B46" t="s">
        <v>99</v>
      </c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206"/>
    </row>
    <row r="47" spans="1:14" x14ac:dyDescent="0.25">
      <c r="A47" s="87" t="s">
        <v>71</v>
      </c>
      <c r="B47" t="s">
        <v>100</v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205"/>
    </row>
    <row r="48" spans="1:14" x14ac:dyDescent="0.25">
      <c r="A48" s="87"/>
      <c r="B48" s="89" t="s">
        <v>74</v>
      </c>
      <c r="C48" s="108">
        <f t="shared" ref="C48:M48" si="17">SUM(C44:C47)</f>
        <v>0</v>
      </c>
      <c r="D48" s="108">
        <f t="shared" si="17"/>
        <v>0</v>
      </c>
      <c r="E48" s="108">
        <f t="shared" si="17"/>
        <v>0</v>
      </c>
      <c r="F48" s="108">
        <f t="shared" si="17"/>
        <v>0</v>
      </c>
      <c r="G48" s="108">
        <f t="shared" si="17"/>
        <v>0</v>
      </c>
      <c r="H48" s="108">
        <f t="shared" si="17"/>
        <v>0</v>
      </c>
      <c r="I48" s="108">
        <f t="shared" si="17"/>
        <v>0</v>
      </c>
      <c r="J48" s="108">
        <f t="shared" si="17"/>
        <v>0</v>
      </c>
      <c r="K48" s="108">
        <f t="shared" si="17"/>
        <v>0</v>
      </c>
      <c r="L48" s="108">
        <f t="shared" si="17"/>
        <v>0</v>
      </c>
      <c r="M48" s="206">
        <f t="shared" si="17"/>
        <v>0</v>
      </c>
    </row>
    <row r="49" spans="1:14" x14ac:dyDescent="0.25">
      <c r="A49" s="87"/>
      <c r="B49" s="89" t="s">
        <v>73</v>
      </c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205">
        <f>ROUND(-'Authorized Margins'!G73*'WACAP 2017'!M43,2)</f>
        <v>0</v>
      </c>
    </row>
    <row r="50" spans="1:14" x14ac:dyDescent="0.25">
      <c r="A50" s="87"/>
      <c r="B50" s="89" t="s">
        <v>75</v>
      </c>
      <c r="C50" s="90">
        <f>-'WACAP 2018'!Q52</f>
        <v>-245706.20000000004</v>
      </c>
      <c r="D50" s="90">
        <f t="shared" ref="D50" si="18">SUM(D48:D49)</f>
        <v>0</v>
      </c>
      <c r="E50" s="90">
        <f t="shared" ref="E50:L50" si="19">SUM(E48:E49)</f>
        <v>0</v>
      </c>
      <c r="F50" s="90">
        <f t="shared" si="19"/>
        <v>0</v>
      </c>
      <c r="G50" s="90">
        <f t="shared" si="19"/>
        <v>0</v>
      </c>
      <c r="H50" s="90">
        <f t="shared" si="19"/>
        <v>0</v>
      </c>
      <c r="I50" s="90">
        <f t="shared" si="19"/>
        <v>0</v>
      </c>
      <c r="J50" s="90">
        <f t="shared" si="19"/>
        <v>0</v>
      </c>
      <c r="K50" s="90">
        <f t="shared" si="19"/>
        <v>0</v>
      </c>
      <c r="L50" s="90">
        <f t="shared" si="19"/>
        <v>0</v>
      </c>
      <c r="M50" s="207"/>
    </row>
    <row r="51" spans="1:14" x14ac:dyDescent="0.25">
      <c r="A51" s="87"/>
      <c r="B51" s="89" t="s">
        <v>137</v>
      </c>
      <c r="C51" s="187">
        <f>ROUND(ROUND(C50*C$5,2)/365*C$6,2)</f>
        <v>-1080.97</v>
      </c>
      <c r="D51" s="187">
        <f>ROUND(ROUND(C53*D$5,2)/365*D$6,2)</f>
        <v>-980.66</v>
      </c>
      <c r="E51" s="187">
        <f t="shared" ref="E51:L51" si="20">ROUND(ROUND(D53*E$5,2)/365*E$6,2)</f>
        <v>-1090.04</v>
      </c>
      <c r="F51" s="187">
        <f t="shared" si="20"/>
        <v>-1114.75</v>
      </c>
      <c r="G51" s="187">
        <f t="shared" si="20"/>
        <v>-1157.07</v>
      </c>
      <c r="H51" s="187">
        <f t="shared" si="20"/>
        <v>-1124.92</v>
      </c>
      <c r="I51" s="187">
        <f t="shared" si="20"/>
        <v>-1178.3399999999999</v>
      </c>
      <c r="J51" s="187">
        <f t="shared" si="20"/>
        <v>-1183.8399999999999</v>
      </c>
      <c r="K51" s="187">
        <f t="shared" si="20"/>
        <v>-1151.01</v>
      </c>
      <c r="L51" s="187">
        <f t="shared" si="20"/>
        <v>-1177.3699999999999</v>
      </c>
      <c r="M51" s="208">
        <f>ROUND(ROUND(K53*M$5,2)/365*M$6,2)</f>
        <v>0</v>
      </c>
      <c r="N51" s="108">
        <f>SUM(C51:M51)</f>
        <v>-11238.970000000001</v>
      </c>
    </row>
    <row r="52" spans="1:14" x14ac:dyDescent="0.25">
      <c r="A52" s="87"/>
      <c r="B52" s="89" t="s">
        <v>138</v>
      </c>
      <c r="C52" s="189">
        <f>C51</f>
        <v>-1080.97</v>
      </c>
      <c r="D52" s="189">
        <f t="shared" ref="D52:M52" si="21">SUM(D50:D51)</f>
        <v>-980.66</v>
      </c>
      <c r="E52" s="189">
        <f t="shared" si="21"/>
        <v>-1090.04</v>
      </c>
      <c r="F52" s="189">
        <f t="shared" si="21"/>
        <v>-1114.75</v>
      </c>
      <c r="G52" s="189">
        <f t="shared" si="21"/>
        <v>-1157.07</v>
      </c>
      <c r="H52" s="189">
        <f t="shared" si="21"/>
        <v>-1124.92</v>
      </c>
      <c r="I52" s="189">
        <f t="shared" si="21"/>
        <v>-1178.3399999999999</v>
      </c>
      <c r="J52" s="189">
        <f t="shared" si="21"/>
        <v>-1183.8399999999999</v>
      </c>
      <c r="K52" s="189">
        <f t="shared" si="21"/>
        <v>-1151.01</v>
      </c>
      <c r="L52" s="189">
        <f t="shared" si="21"/>
        <v>-1177.3699999999999</v>
      </c>
      <c r="M52" s="209">
        <f t="shared" si="21"/>
        <v>0</v>
      </c>
    </row>
    <row r="53" spans="1:14" x14ac:dyDescent="0.25">
      <c r="A53" s="87"/>
      <c r="B53" s="89" t="s">
        <v>139</v>
      </c>
      <c r="C53" s="90">
        <f>C52+C50</f>
        <v>-246787.17000000004</v>
      </c>
      <c r="D53" s="90">
        <f>C53+D52</f>
        <v>-247767.83000000005</v>
      </c>
      <c r="E53" s="90">
        <f t="shared" ref="E53:M53" si="22">D53+E52</f>
        <v>-248857.87000000005</v>
      </c>
      <c r="F53" s="90">
        <f t="shared" si="22"/>
        <v>-249972.62000000005</v>
      </c>
      <c r="G53" s="90">
        <f t="shared" si="22"/>
        <v>-251129.69000000006</v>
      </c>
      <c r="H53" s="90">
        <f t="shared" si="22"/>
        <v>-252254.61000000007</v>
      </c>
      <c r="I53" s="90">
        <f t="shared" si="22"/>
        <v>-253432.95000000007</v>
      </c>
      <c r="J53" s="90">
        <f t="shared" si="22"/>
        <v>-254616.79000000007</v>
      </c>
      <c r="K53" s="90">
        <f t="shared" si="22"/>
        <v>-255767.80000000008</v>
      </c>
      <c r="L53" s="90">
        <f t="shared" si="22"/>
        <v>-256945.17000000007</v>
      </c>
      <c r="M53" s="207">
        <f t="shared" si="22"/>
        <v>-256945.17000000007</v>
      </c>
    </row>
    <row r="54" spans="1:14" x14ac:dyDescent="0.25">
      <c r="A54" s="86"/>
      <c r="C54" s="113"/>
      <c r="D54" s="113"/>
      <c r="E54" s="108"/>
      <c r="F54" s="113"/>
      <c r="G54" s="113"/>
      <c r="H54" s="113"/>
      <c r="I54" s="113"/>
      <c r="J54" s="113"/>
      <c r="K54" s="113"/>
      <c r="L54" s="113"/>
      <c r="M54" s="204"/>
    </row>
    <row r="55" spans="1:14" x14ac:dyDescent="0.25">
      <c r="A55" s="86" t="s">
        <v>142</v>
      </c>
      <c r="B55" s="104" t="s">
        <v>86</v>
      </c>
      <c r="C55" s="113"/>
      <c r="D55" s="113"/>
      <c r="E55" s="108"/>
      <c r="F55" s="113"/>
      <c r="G55" s="113"/>
      <c r="H55" s="113"/>
      <c r="I55" s="113"/>
      <c r="J55" s="113"/>
      <c r="K55" s="113"/>
      <c r="L55" s="113"/>
      <c r="M55" s="204"/>
    </row>
    <row r="56" spans="1:14" x14ac:dyDescent="0.25">
      <c r="A56" s="87" t="s">
        <v>64</v>
      </c>
      <c r="B56" t="s">
        <v>65</v>
      </c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204"/>
    </row>
    <row r="57" spans="1:14" x14ac:dyDescent="0.25">
      <c r="A57" s="87" t="s">
        <v>71</v>
      </c>
      <c r="B57" t="s">
        <v>70</v>
      </c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206"/>
    </row>
    <row r="58" spans="1:14" x14ac:dyDescent="0.25">
      <c r="A58" s="87" t="s">
        <v>72</v>
      </c>
      <c r="B58" t="s">
        <v>143</v>
      </c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206"/>
    </row>
    <row r="59" spans="1:14" x14ac:dyDescent="0.25">
      <c r="A59" s="87" t="s">
        <v>72</v>
      </c>
      <c r="B59" t="s">
        <v>144</v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205"/>
    </row>
    <row r="60" spans="1:14" x14ac:dyDescent="0.25">
      <c r="A60" s="87"/>
      <c r="B60" s="89" t="s">
        <v>74</v>
      </c>
      <c r="C60" s="108">
        <f t="shared" ref="C60:E60" si="23">SUM(C57:C59)</f>
        <v>0</v>
      </c>
      <c r="D60" s="108">
        <f t="shared" si="23"/>
        <v>0</v>
      </c>
      <c r="E60" s="108">
        <f t="shared" si="23"/>
        <v>0</v>
      </c>
      <c r="F60" s="108">
        <f>SUM(F57:F59)</f>
        <v>0</v>
      </c>
      <c r="G60" s="108">
        <f t="shared" ref="G60:M60" si="24">SUM(G57:G59)</f>
        <v>0</v>
      </c>
      <c r="H60" s="108">
        <f t="shared" si="24"/>
        <v>0</v>
      </c>
      <c r="I60" s="108">
        <f t="shared" si="24"/>
        <v>0</v>
      </c>
      <c r="J60" s="108">
        <f t="shared" si="24"/>
        <v>0</v>
      </c>
      <c r="K60" s="108">
        <f t="shared" si="24"/>
        <v>0</v>
      </c>
      <c r="L60" s="108">
        <f t="shared" si="24"/>
        <v>0</v>
      </c>
      <c r="M60" s="206">
        <f t="shared" si="24"/>
        <v>0</v>
      </c>
    </row>
    <row r="61" spans="1:14" x14ac:dyDescent="0.25">
      <c r="A61" s="87"/>
      <c r="B61" s="89" t="s">
        <v>73</v>
      </c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205">
        <f>ROUND(-'Authorized Margins'!G47*'WACAP 2017'!M56,2)</f>
        <v>0</v>
      </c>
    </row>
    <row r="62" spans="1:14" x14ac:dyDescent="0.25">
      <c r="A62" s="87"/>
      <c r="B62" s="89" t="s">
        <v>75</v>
      </c>
      <c r="C62" s="90">
        <f>-'WACAP 2018'!Q64</f>
        <v>-6518.3300000000017</v>
      </c>
      <c r="D62" s="90">
        <f t="shared" ref="D62" si="25">SUM(D60:D61)</f>
        <v>0</v>
      </c>
      <c r="E62" s="90">
        <f t="shared" ref="E62:M62" si="26">SUM(E60:E61)</f>
        <v>0</v>
      </c>
      <c r="F62" s="90">
        <f t="shared" si="26"/>
        <v>0</v>
      </c>
      <c r="G62" s="90">
        <f t="shared" si="26"/>
        <v>0</v>
      </c>
      <c r="H62" s="90">
        <f t="shared" si="26"/>
        <v>0</v>
      </c>
      <c r="I62" s="90">
        <f t="shared" si="26"/>
        <v>0</v>
      </c>
      <c r="J62" s="90">
        <f t="shared" si="26"/>
        <v>0</v>
      </c>
      <c r="K62" s="90">
        <f t="shared" si="26"/>
        <v>0</v>
      </c>
      <c r="L62" s="90">
        <f t="shared" si="26"/>
        <v>0</v>
      </c>
      <c r="M62" s="207">
        <f t="shared" si="26"/>
        <v>0</v>
      </c>
    </row>
    <row r="63" spans="1:14" x14ac:dyDescent="0.25">
      <c r="A63" s="87"/>
      <c r="B63" s="89" t="s">
        <v>137</v>
      </c>
      <c r="C63" s="187">
        <f>ROUND(ROUND(C62*C$5,2)/365*C$6,2)</f>
        <v>-28.68</v>
      </c>
      <c r="D63" s="187">
        <f>ROUND(ROUND(C65*D$5,2)/365*D$6,2)</f>
        <v>-26.02</v>
      </c>
      <c r="E63" s="187">
        <f t="shared" ref="E63:L63" si="27">ROUND(ROUND(D65*E$5,2)/365*E$6,2)</f>
        <v>-28.92</v>
      </c>
      <c r="F63" s="187">
        <f t="shared" si="27"/>
        <v>-29.57</v>
      </c>
      <c r="G63" s="187">
        <f t="shared" si="27"/>
        <v>-30.7</v>
      </c>
      <c r="H63" s="187">
        <f t="shared" si="27"/>
        <v>-29.84</v>
      </c>
      <c r="I63" s="187">
        <f t="shared" si="27"/>
        <v>-31.26</v>
      </c>
      <c r="J63" s="187">
        <f t="shared" si="27"/>
        <v>-31.41</v>
      </c>
      <c r="K63" s="187">
        <f t="shared" si="27"/>
        <v>-30.54</v>
      </c>
      <c r="L63" s="187">
        <f t="shared" si="27"/>
        <v>-31.23</v>
      </c>
      <c r="M63" s="208">
        <f t="shared" ref="M63" si="28">ROUND(ROUND(K65*M$5,2)/365*M$6,2)</f>
        <v>0</v>
      </c>
      <c r="N63" s="108">
        <f>SUM(C63:M63)</f>
        <v>-298.17</v>
      </c>
    </row>
    <row r="64" spans="1:14" x14ac:dyDescent="0.25">
      <c r="A64" s="87"/>
      <c r="B64" s="89" t="s">
        <v>138</v>
      </c>
      <c r="C64" s="189">
        <f>C63</f>
        <v>-28.68</v>
      </c>
      <c r="D64" s="189">
        <f t="shared" ref="D64:M64" si="29">SUM(D62:D63)</f>
        <v>-26.02</v>
      </c>
      <c r="E64" s="189">
        <f t="shared" si="29"/>
        <v>-28.92</v>
      </c>
      <c r="F64" s="189">
        <f t="shared" si="29"/>
        <v>-29.57</v>
      </c>
      <c r="G64" s="189">
        <f t="shared" si="29"/>
        <v>-30.7</v>
      </c>
      <c r="H64" s="189">
        <f t="shared" si="29"/>
        <v>-29.84</v>
      </c>
      <c r="I64" s="189">
        <f t="shared" si="29"/>
        <v>-31.26</v>
      </c>
      <c r="J64" s="189">
        <f t="shared" si="29"/>
        <v>-31.41</v>
      </c>
      <c r="K64" s="189">
        <f t="shared" si="29"/>
        <v>-30.54</v>
      </c>
      <c r="L64" s="189">
        <f t="shared" si="29"/>
        <v>-31.23</v>
      </c>
      <c r="M64" s="209">
        <f t="shared" si="29"/>
        <v>0</v>
      </c>
    </row>
    <row r="65" spans="1:14" x14ac:dyDescent="0.25">
      <c r="A65" s="87"/>
      <c r="B65" s="89" t="s">
        <v>139</v>
      </c>
      <c r="C65" s="90">
        <f>C64+C62</f>
        <v>-6547.010000000002</v>
      </c>
      <c r="D65" s="90">
        <f>C65+D64</f>
        <v>-6573.0300000000025</v>
      </c>
      <c r="E65" s="90">
        <f t="shared" ref="E65:M65" si="30">D65+E64</f>
        <v>-6601.9500000000025</v>
      </c>
      <c r="F65" s="90">
        <f t="shared" si="30"/>
        <v>-6631.5200000000023</v>
      </c>
      <c r="G65" s="90">
        <f t="shared" si="30"/>
        <v>-6662.2200000000021</v>
      </c>
      <c r="H65" s="90">
        <f t="shared" si="30"/>
        <v>-6692.0600000000022</v>
      </c>
      <c r="I65" s="90">
        <f t="shared" si="30"/>
        <v>-6723.3200000000024</v>
      </c>
      <c r="J65" s="90">
        <f t="shared" si="30"/>
        <v>-6754.7300000000023</v>
      </c>
      <c r="K65" s="90">
        <f t="shared" si="30"/>
        <v>-6785.2700000000023</v>
      </c>
      <c r="L65" s="90">
        <f t="shared" si="30"/>
        <v>-6816.5000000000018</v>
      </c>
      <c r="M65" s="207">
        <f t="shared" si="30"/>
        <v>-6816.5000000000018</v>
      </c>
    </row>
    <row r="66" spans="1:14" x14ac:dyDescent="0.25">
      <c r="A66" s="87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207"/>
    </row>
    <row r="67" spans="1:14" x14ac:dyDescent="0.25">
      <c r="A67" s="86">
        <v>504</v>
      </c>
      <c r="B67" s="104" t="s">
        <v>86</v>
      </c>
      <c r="C67" s="113"/>
      <c r="D67" s="113"/>
      <c r="E67" s="108"/>
      <c r="F67" s="113"/>
      <c r="G67" s="113"/>
      <c r="H67" s="113"/>
      <c r="I67" s="113"/>
      <c r="J67" s="113"/>
      <c r="K67" s="113"/>
      <c r="L67" s="113"/>
      <c r="M67" s="204"/>
    </row>
    <row r="68" spans="1:14" x14ac:dyDescent="0.25">
      <c r="A68" s="87" t="s">
        <v>64</v>
      </c>
      <c r="B68" t="s">
        <v>65</v>
      </c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204"/>
    </row>
    <row r="69" spans="1:14" x14ac:dyDescent="0.25">
      <c r="A69" s="87" t="s">
        <v>71</v>
      </c>
      <c r="B69" t="s">
        <v>70</v>
      </c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206"/>
    </row>
    <row r="70" spans="1:14" x14ac:dyDescent="0.25">
      <c r="A70" s="87" t="s">
        <v>72</v>
      </c>
      <c r="B70" t="s">
        <v>114</v>
      </c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206"/>
    </row>
    <row r="71" spans="1:14" x14ac:dyDescent="0.25">
      <c r="A71" s="87" t="s">
        <v>72</v>
      </c>
      <c r="B71" t="s">
        <v>115</v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205"/>
    </row>
    <row r="72" spans="1:14" x14ac:dyDescent="0.25">
      <c r="A72" s="87"/>
      <c r="B72" s="89" t="s">
        <v>74</v>
      </c>
      <c r="C72" s="108">
        <f t="shared" ref="C72:M72" si="31">SUM(C69:C71)</f>
        <v>0</v>
      </c>
      <c r="D72" s="108">
        <f t="shared" si="31"/>
        <v>0</v>
      </c>
      <c r="E72" s="108">
        <f t="shared" si="31"/>
        <v>0</v>
      </c>
      <c r="F72" s="108">
        <f>SUM(F69:F71)</f>
        <v>0</v>
      </c>
      <c r="G72" s="108">
        <f t="shared" si="31"/>
        <v>0</v>
      </c>
      <c r="H72" s="108">
        <f t="shared" si="31"/>
        <v>0</v>
      </c>
      <c r="I72" s="108">
        <f t="shared" si="31"/>
        <v>0</v>
      </c>
      <c r="J72" s="108">
        <f t="shared" si="31"/>
        <v>0</v>
      </c>
      <c r="K72" s="108">
        <f t="shared" si="31"/>
        <v>0</v>
      </c>
      <c r="L72" s="108">
        <f t="shared" si="31"/>
        <v>0</v>
      </c>
      <c r="M72" s="206">
        <f t="shared" si="31"/>
        <v>0</v>
      </c>
    </row>
    <row r="73" spans="1:14" x14ac:dyDescent="0.25">
      <c r="A73" s="87"/>
      <c r="B73" s="89" t="s">
        <v>73</v>
      </c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205">
        <f>ROUND(-'Authorized Margins'!G47*'WACAP 2017'!M68,2)</f>
        <v>0</v>
      </c>
    </row>
    <row r="74" spans="1:14" x14ac:dyDescent="0.25">
      <c r="A74" s="87"/>
      <c r="B74" s="89" t="s">
        <v>75</v>
      </c>
      <c r="C74" s="90">
        <f>-'WACAP 2018'!Q76</f>
        <v>28946.250000001055</v>
      </c>
      <c r="D74" s="90">
        <f t="shared" ref="D74" si="32">SUM(D72:D73)</f>
        <v>0</v>
      </c>
      <c r="E74" s="90">
        <f t="shared" ref="E74:L74" si="33">SUM(E72:E73)</f>
        <v>0</v>
      </c>
      <c r="F74" s="90">
        <f t="shared" si="33"/>
        <v>0</v>
      </c>
      <c r="G74" s="90">
        <f t="shared" si="33"/>
        <v>0</v>
      </c>
      <c r="H74" s="90">
        <f t="shared" si="33"/>
        <v>0</v>
      </c>
      <c r="I74" s="90">
        <f t="shared" si="33"/>
        <v>0</v>
      </c>
      <c r="J74" s="90">
        <f t="shared" si="33"/>
        <v>0</v>
      </c>
      <c r="K74" s="90">
        <f t="shared" si="33"/>
        <v>0</v>
      </c>
      <c r="L74" s="90">
        <f t="shared" si="33"/>
        <v>0</v>
      </c>
      <c r="M74" s="207"/>
    </row>
    <row r="75" spans="1:14" x14ac:dyDescent="0.25">
      <c r="A75" s="87"/>
      <c r="B75" s="89" t="s">
        <v>137</v>
      </c>
      <c r="C75" s="216">
        <f>ROUND(ROUND(C74*C$5,2)/365*C$6,2)</f>
        <v>127.35</v>
      </c>
      <c r="D75" s="216">
        <f>ROUND(ROUND(C77*D$5,2)/365*D$6,2)</f>
        <v>115.53</v>
      </c>
      <c r="E75" s="216">
        <f>ROUND(ROUND(D77*E$5,2)/365*E$6,2)</f>
        <v>128.41999999999999</v>
      </c>
      <c r="F75" s="187">
        <f t="shared" ref="F75:K75" si="34">ROUND(ROUND(E77*F$5,2)/365*F$6,2)</f>
        <v>131.33000000000001</v>
      </c>
      <c r="G75" s="187">
        <f t="shared" si="34"/>
        <v>136.31</v>
      </c>
      <c r="H75" s="187">
        <f t="shared" si="34"/>
        <v>132.53</v>
      </c>
      <c r="I75" s="187">
        <f t="shared" si="34"/>
        <v>138.82</v>
      </c>
      <c r="J75" s="187">
        <f t="shared" si="34"/>
        <v>139.47</v>
      </c>
      <c r="K75" s="187">
        <f t="shared" si="34"/>
        <v>135.6</v>
      </c>
      <c r="L75" s="216">
        <f>ROUND(ROUND(K77*L$5,2)/365*L$6,2)</f>
        <v>138.69999999999999</v>
      </c>
      <c r="M75" s="208">
        <f>ROUND(ROUND(K77*M$5,2)/365*M$6,2)</f>
        <v>0</v>
      </c>
      <c r="N75" s="108">
        <f>SUM(C75:M75)</f>
        <v>1324.06</v>
      </c>
    </row>
    <row r="76" spans="1:14" x14ac:dyDescent="0.25">
      <c r="A76" s="87"/>
      <c r="B76" s="89" t="s">
        <v>138</v>
      </c>
      <c r="C76" s="189">
        <f>C75</f>
        <v>127.35</v>
      </c>
      <c r="D76" s="189">
        <f t="shared" ref="D76:M76" si="35">SUM(D74:D75)</f>
        <v>115.53</v>
      </c>
      <c r="E76" s="189">
        <f t="shared" si="35"/>
        <v>128.41999999999999</v>
      </c>
      <c r="F76" s="189">
        <f t="shared" si="35"/>
        <v>131.33000000000001</v>
      </c>
      <c r="G76" s="189">
        <f t="shared" si="35"/>
        <v>136.31</v>
      </c>
      <c r="H76" s="189">
        <f t="shared" si="35"/>
        <v>132.53</v>
      </c>
      <c r="I76" s="189">
        <f t="shared" si="35"/>
        <v>138.82</v>
      </c>
      <c r="J76" s="189">
        <f t="shared" si="35"/>
        <v>139.47</v>
      </c>
      <c r="K76" s="189">
        <f t="shared" si="35"/>
        <v>135.6</v>
      </c>
      <c r="L76" s="189">
        <f t="shared" si="35"/>
        <v>138.69999999999999</v>
      </c>
      <c r="M76" s="209">
        <f t="shared" si="35"/>
        <v>0</v>
      </c>
    </row>
    <row r="77" spans="1:14" x14ac:dyDescent="0.25">
      <c r="A77" s="87"/>
      <c r="B77" s="89" t="s">
        <v>139</v>
      </c>
      <c r="C77" s="90">
        <f>C76+C74</f>
        <v>29073.600000001054</v>
      </c>
      <c r="D77" s="90">
        <f>C77+D76</f>
        <v>29189.130000001052</v>
      </c>
      <c r="E77" s="90">
        <f t="shared" ref="E77:M77" si="36">D77+E76</f>
        <v>29317.550000001051</v>
      </c>
      <c r="F77" s="90">
        <f t="shared" si="36"/>
        <v>29448.880000001052</v>
      </c>
      <c r="G77" s="90">
        <f t="shared" si="36"/>
        <v>29585.190000001054</v>
      </c>
      <c r="H77" s="90">
        <f t="shared" si="36"/>
        <v>29717.720000001053</v>
      </c>
      <c r="I77" s="90">
        <f t="shared" si="36"/>
        <v>29856.540000001052</v>
      </c>
      <c r="J77" s="90">
        <f t="shared" si="36"/>
        <v>29996.010000001053</v>
      </c>
      <c r="K77" s="90">
        <f t="shared" si="36"/>
        <v>30131.610000001052</v>
      </c>
      <c r="L77" s="90">
        <f t="shared" si="36"/>
        <v>30270.310000001053</v>
      </c>
      <c r="M77" s="207">
        <f t="shared" si="36"/>
        <v>30270.310000001053</v>
      </c>
    </row>
    <row r="78" spans="1:14" x14ac:dyDescent="0.25">
      <c r="A78" s="87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207"/>
    </row>
    <row r="79" spans="1:14" x14ac:dyDescent="0.25">
      <c r="A79" s="86">
        <v>511</v>
      </c>
      <c r="B79" s="104" t="s">
        <v>86</v>
      </c>
      <c r="C79" s="113"/>
      <c r="D79" s="113"/>
      <c r="E79" s="108"/>
      <c r="F79" s="113"/>
      <c r="G79" s="113"/>
      <c r="H79" s="113"/>
      <c r="I79" s="113"/>
      <c r="J79" s="113"/>
      <c r="K79" s="113"/>
      <c r="L79" s="113"/>
      <c r="M79" s="204"/>
    </row>
    <row r="80" spans="1:14" x14ac:dyDescent="0.25">
      <c r="A80" s="87" t="s">
        <v>64</v>
      </c>
      <c r="B80" t="s">
        <v>65</v>
      </c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204"/>
    </row>
    <row r="81" spans="1:14" x14ac:dyDescent="0.25">
      <c r="A81" s="87" t="s">
        <v>71</v>
      </c>
      <c r="B81" t="s">
        <v>117</v>
      </c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206"/>
    </row>
    <row r="82" spans="1:14" x14ac:dyDescent="0.25">
      <c r="A82" s="87" t="s">
        <v>71</v>
      </c>
      <c r="B82" t="s">
        <v>98</v>
      </c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206"/>
    </row>
    <row r="83" spans="1:14" x14ac:dyDescent="0.25">
      <c r="A83" s="87" t="s">
        <v>71</v>
      </c>
      <c r="B83" t="s">
        <v>99</v>
      </c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206"/>
    </row>
    <row r="84" spans="1:14" x14ac:dyDescent="0.25">
      <c r="A84" s="87" t="s">
        <v>71</v>
      </c>
      <c r="B84" t="s">
        <v>100</v>
      </c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206"/>
    </row>
    <row r="85" spans="1:14" x14ac:dyDescent="0.25">
      <c r="A85" s="87" t="s">
        <v>72</v>
      </c>
      <c r="B85" t="s">
        <v>114</v>
      </c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206"/>
    </row>
    <row r="86" spans="1:14" x14ac:dyDescent="0.25">
      <c r="A86" s="87" t="s">
        <v>72</v>
      </c>
      <c r="B86" t="s">
        <v>115</v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205"/>
    </row>
    <row r="87" spans="1:14" x14ac:dyDescent="0.25">
      <c r="A87" s="87"/>
      <c r="B87" s="89" t="s">
        <v>74</v>
      </c>
      <c r="C87" s="108">
        <f t="shared" ref="C87:M87" si="37">SUM(C81:C86)</f>
        <v>0</v>
      </c>
      <c r="D87" s="108">
        <f t="shared" si="37"/>
        <v>0</v>
      </c>
      <c r="E87" s="108">
        <f t="shared" si="37"/>
        <v>0</v>
      </c>
      <c r="F87" s="108">
        <f t="shared" si="37"/>
        <v>0</v>
      </c>
      <c r="G87" s="108">
        <f t="shared" si="37"/>
        <v>0</v>
      </c>
      <c r="H87" s="108">
        <f t="shared" si="37"/>
        <v>0</v>
      </c>
      <c r="I87" s="108">
        <f t="shared" si="37"/>
        <v>0</v>
      </c>
      <c r="J87" s="108">
        <f t="shared" si="37"/>
        <v>0</v>
      </c>
      <c r="K87" s="108">
        <f t="shared" si="37"/>
        <v>0</v>
      </c>
      <c r="L87" s="108">
        <f t="shared" si="37"/>
        <v>0</v>
      </c>
      <c r="M87" s="206">
        <f t="shared" si="37"/>
        <v>0</v>
      </c>
    </row>
    <row r="88" spans="1:14" x14ac:dyDescent="0.25">
      <c r="A88" s="87"/>
      <c r="B88" s="89" t="s">
        <v>73</v>
      </c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205">
        <f>ROUND(-'Authorized Margins'!G73*'WACAP 2017'!M80,2)</f>
        <v>0</v>
      </c>
    </row>
    <row r="89" spans="1:14" x14ac:dyDescent="0.25">
      <c r="A89" s="87"/>
      <c r="B89" s="89" t="s">
        <v>75</v>
      </c>
      <c r="C89" s="90">
        <f>-'WACAP 2018'!Q91</f>
        <v>-233597.07000000004</v>
      </c>
      <c r="D89" s="90">
        <f t="shared" ref="D89" si="38">SUM(D87:D88)</f>
        <v>0</v>
      </c>
      <c r="E89" s="90">
        <f t="shared" ref="E89:L89" si="39">SUM(E87:E88)</f>
        <v>0</v>
      </c>
      <c r="F89" s="90">
        <f t="shared" si="39"/>
        <v>0</v>
      </c>
      <c r="G89" s="90">
        <f t="shared" si="39"/>
        <v>0</v>
      </c>
      <c r="H89" s="90">
        <f t="shared" si="39"/>
        <v>0</v>
      </c>
      <c r="I89" s="90">
        <f t="shared" si="39"/>
        <v>0</v>
      </c>
      <c r="J89" s="90">
        <f t="shared" si="39"/>
        <v>0</v>
      </c>
      <c r="K89" s="90">
        <f t="shared" si="39"/>
        <v>0</v>
      </c>
      <c r="L89" s="90">
        <f t="shared" si="39"/>
        <v>0</v>
      </c>
      <c r="M89" s="207"/>
    </row>
    <row r="90" spans="1:14" x14ac:dyDescent="0.25">
      <c r="A90" s="87"/>
      <c r="B90" s="89" t="s">
        <v>137</v>
      </c>
      <c r="C90" s="187">
        <f>ROUND(ROUND(C89*C$5,2)/365*C$6,2)</f>
        <v>-1027.7</v>
      </c>
      <c r="D90" s="187">
        <f>ROUND(ROUND(C92*D$5,2)/365*D$6,2)</f>
        <v>-932.33</v>
      </c>
      <c r="E90" s="187">
        <f t="shared" ref="E90:L90" si="40">ROUND(ROUND(D92*E$5,2)/365*E$6,2)</f>
        <v>-1036.32</v>
      </c>
      <c r="F90" s="187">
        <f t="shared" si="40"/>
        <v>-1059.81</v>
      </c>
      <c r="G90" s="187">
        <f t="shared" si="40"/>
        <v>-1100.04</v>
      </c>
      <c r="H90" s="187">
        <f t="shared" si="40"/>
        <v>-1069.48</v>
      </c>
      <c r="I90" s="187">
        <f t="shared" si="40"/>
        <v>-1120.27</v>
      </c>
      <c r="J90" s="187">
        <f t="shared" si="40"/>
        <v>-1125.5</v>
      </c>
      <c r="K90" s="187">
        <f t="shared" si="40"/>
        <v>-1094.28</v>
      </c>
      <c r="L90" s="187">
        <f t="shared" si="40"/>
        <v>-1119.3499999999999</v>
      </c>
      <c r="M90" s="208">
        <f>ROUND(ROUND(K92*M$5,2)/365*M$6,2)</f>
        <v>0</v>
      </c>
      <c r="N90" s="108">
        <f>SUM(C90:M90)</f>
        <v>-10685.080000000002</v>
      </c>
    </row>
    <row r="91" spans="1:14" x14ac:dyDescent="0.25">
      <c r="A91" s="87"/>
      <c r="B91" s="89" t="s">
        <v>138</v>
      </c>
      <c r="C91" s="189">
        <f>C90</f>
        <v>-1027.7</v>
      </c>
      <c r="D91" s="189">
        <f t="shared" ref="D91:M91" si="41">SUM(D89:D90)</f>
        <v>-932.33</v>
      </c>
      <c r="E91" s="189">
        <f t="shared" si="41"/>
        <v>-1036.32</v>
      </c>
      <c r="F91" s="189">
        <f t="shared" si="41"/>
        <v>-1059.81</v>
      </c>
      <c r="G91" s="189">
        <f t="shared" si="41"/>
        <v>-1100.04</v>
      </c>
      <c r="H91" s="189">
        <f t="shared" si="41"/>
        <v>-1069.48</v>
      </c>
      <c r="I91" s="189">
        <f t="shared" si="41"/>
        <v>-1120.27</v>
      </c>
      <c r="J91" s="189">
        <f t="shared" si="41"/>
        <v>-1125.5</v>
      </c>
      <c r="K91" s="189">
        <f t="shared" si="41"/>
        <v>-1094.28</v>
      </c>
      <c r="L91" s="189">
        <f t="shared" si="41"/>
        <v>-1119.3499999999999</v>
      </c>
      <c r="M91" s="209">
        <f t="shared" si="41"/>
        <v>0</v>
      </c>
    </row>
    <row r="92" spans="1:14" x14ac:dyDescent="0.25">
      <c r="A92" s="87"/>
      <c r="B92" s="89" t="s">
        <v>139</v>
      </c>
      <c r="C92" s="90">
        <f>C91+C89</f>
        <v>-234624.77000000005</v>
      </c>
      <c r="D92" s="90">
        <f>C92+D91</f>
        <v>-235557.10000000003</v>
      </c>
      <c r="E92" s="90">
        <f t="shared" ref="E92:M92" si="42">D92+E91</f>
        <v>-236593.42000000004</v>
      </c>
      <c r="F92" s="90">
        <f t="shared" si="42"/>
        <v>-237653.23000000004</v>
      </c>
      <c r="G92" s="90">
        <f t="shared" si="42"/>
        <v>-238753.27000000005</v>
      </c>
      <c r="H92" s="90">
        <f t="shared" si="42"/>
        <v>-239822.75000000006</v>
      </c>
      <c r="I92" s="90">
        <f t="shared" si="42"/>
        <v>-240943.02000000005</v>
      </c>
      <c r="J92" s="90">
        <f t="shared" si="42"/>
        <v>-242068.52000000005</v>
      </c>
      <c r="K92" s="90">
        <f t="shared" si="42"/>
        <v>-243162.80000000005</v>
      </c>
      <c r="L92" s="90">
        <f t="shared" si="42"/>
        <v>-244282.15000000005</v>
      </c>
      <c r="M92" s="207">
        <f t="shared" si="42"/>
        <v>-244282.15000000005</v>
      </c>
    </row>
    <row r="93" spans="1:14" x14ac:dyDescent="0.25">
      <c r="A93" s="86"/>
      <c r="C93" s="113"/>
      <c r="D93" s="113"/>
      <c r="E93" s="108"/>
      <c r="F93" s="113"/>
      <c r="G93" s="113"/>
      <c r="H93" s="113"/>
      <c r="I93" s="113"/>
      <c r="J93" s="113"/>
      <c r="K93" s="113"/>
      <c r="L93" s="113"/>
      <c r="M93" s="204"/>
    </row>
    <row r="94" spans="1:14" x14ac:dyDescent="0.25">
      <c r="A94" s="86">
        <v>512</v>
      </c>
      <c r="B94" s="104" t="s">
        <v>86</v>
      </c>
      <c r="C94" s="113"/>
      <c r="D94" s="113"/>
      <c r="E94" s="108"/>
      <c r="F94" s="113"/>
      <c r="G94" s="113"/>
      <c r="H94" s="113"/>
      <c r="I94" s="113"/>
      <c r="J94" s="113"/>
      <c r="K94" s="113"/>
      <c r="L94" s="113"/>
      <c r="M94" s="204"/>
    </row>
    <row r="95" spans="1:14" x14ac:dyDescent="0.25">
      <c r="A95" s="87" t="s">
        <v>64</v>
      </c>
      <c r="B95" t="s">
        <v>65</v>
      </c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204"/>
    </row>
    <row r="96" spans="1:14" x14ac:dyDescent="0.25">
      <c r="A96" s="87" t="s">
        <v>71</v>
      </c>
      <c r="B96" t="s">
        <v>70</v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205"/>
    </row>
    <row r="97" spans="1:14" x14ac:dyDescent="0.25">
      <c r="A97" s="87"/>
      <c r="B97" s="89" t="s">
        <v>74</v>
      </c>
      <c r="C97" s="108">
        <f t="shared" ref="C97:M97" si="43">C96</f>
        <v>0</v>
      </c>
      <c r="D97" s="108">
        <f t="shared" si="43"/>
        <v>0</v>
      </c>
      <c r="E97" s="108">
        <f t="shared" si="43"/>
        <v>0</v>
      </c>
      <c r="F97" s="108">
        <f t="shared" si="43"/>
        <v>0</v>
      </c>
      <c r="G97" s="108">
        <f t="shared" si="43"/>
        <v>0</v>
      </c>
      <c r="H97" s="108">
        <f t="shared" si="43"/>
        <v>0</v>
      </c>
      <c r="I97" s="108">
        <f t="shared" si="43"/>
        <v>0</v>
      </c>
      <c r="J97" s="108">
        <f t="shared" si="43"/>
        <v>0</v>
      </c>
      <c r="K97" s="108">
        <f t="shared" si="43"/>
        <v>0</v>
      </c>
      <c r="L97" s="108">
        <f t="shared" si="43"/>
        <v>0</v>
      </c>
      <c r="M97" s="206">
        <f t="shared" si="43"/>
        <v>0</v>
      </c>
    </row>
    <row r="98" spans="1:14" x14ac:dyDescent="0.25">
      <c r="A98" s="87"/>
      <c r="B98" s="89" t="s">
        <v>73</v>
      </c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205">
        <f>-'Authorized Margins'!G79*'WACAP 2017'!M95</f>
        <v>0</v>
      </c>
    </row>
    <row r="99" spans="1:14" x14ac:dyDescent="0.25">
      <c r="A99" s="87"/>
      <c r="B99" s="89" t="s">
        <v>75</v>
      </c>
      <c r="C99" s="90">
        <f>-'WACAP 2018'!Q101</f>
        <v>-496.46</v>
      </c>
      <c r="D99" s="90">
        <f t="shared" ref="D99" si="44">SUM(D97:D98)</f>
        <v>0</v>
      </c>
      <c r="E99" s="90">
        <f t="shared" ref="E99:L99" si="45">SUM(E97:E98)</f>
        <v>0</v>
      </c>
      <c r="F99" s="90">
        <f t="shared" si="45"/>
        <v>0</v>
      </c>
      <c r="G99" s="90">
        <f t="shared" si="45"/>
        <v>0</v>
      </c>
      <c r="H99" s="90">
        <f t="shared" si="45"/>
        <v>0</v>
      </c>
      <c r="I99" s="90">
        <f t="shared" si="45"/>
        <v>0</v>
      </c>
      <c r="J99" s="90">
        <f t="shared" si="45"/>
        <v>0</v>
      </c>
      <c r="K99" s="90">
        <f t="shared" si="45"/>
        <v>0</v>
      </c>
      <c r="L99" s="90">
        <f t="shared" si="45"/>
        <v>0</v>
      </c>
      <c r="M99" s="207"/>
    </row>
    <row r="100" spans="1:14" x14ac:dyDescent="0.25">
      <c r="A100" s="87"/>
      <c r="B100" s="89" t="s">
        <v>137</v>
      </c>
      <c r="C100" s="187">
        <f>ROUND(ROUND(C99*C$5,2)/365*C$6,2)</f>
        <v>-2.1800000000000002</v>
      </c>
      <c r="D100" s="187">
        <f>ROUND(ROUND(C102*D$5,2)/365*D$6,2)</f>
        <v>-1.98</v>
      </c>
      <c r="E100" s="187">
        <f t="shared" ref="E100:L100" si="46">ROUND(ROUND(D102*E$5,2)/365*E$6,2)</f>
        <v>-2.2000000000000002</v>
      </c>
      <c r="F100" s="187">
        <f t="shared" si="46"/>
        <v>-2.25</v>
      </c>
      <c r="G100" s="187">
        <f t="shared" si="46"/>
        <v>-2.34</v>
      </c>
      <c r="H100" s="187">
        <f t="shared" si="46"/>
        <v>-2.27</v>
      </c>
      <c r="I100" s="187">
        <f t="shared" si="46"/>
        <v>-2.38</v>
      </c>
      <c r="J100" s="187">
        <f t="shared" si="46"/>
        <v>-2.39</v>
      </c>
      <c r="K100" s="187">
        <f t="shared" si="46"/>
        <v>-2.33</v>
      </c>
      <c r="L100" s="187">
        <f t="shared" si="46"/>
        <v>-2.38</v>
      </c>
      <c r="M100" s="208">
        <f>ROUND(ROUND(K102*M$5,2)/365*M$6,2)</f>
        <v>0</v>
      </c>
      <c r="N100" s="108">
        <f>SUM(C100:M100)</f>
        <v>-22.7</v>
      </c>
    </row>
    <row r="101" spans="1:14" x14ac:dyDescent="0.25">
      <c r="A101" s="87"/>
      <c r="B101" s="89" t="s">
        <v>138</v>
      </c>
      <c r="C101" s="189">
        <f>C100</f>
        <v>-2.1800000000000002</v>
      </c>
      <c r="D101" s="189">
        <f t="shared" ref="D101:M101" si="47">SUM(D99:D100)</f>
        <v>-1.98</v>
      </c>
      <c r="E101" s="189">
        <f t="shared" si="47"/>
        <v>-2.2000000000000002</v>
      </c>
      <c r="F101" s="189">
        <f t="shared" si="47"/>
        <v>-2.25</v>
      </c>
      <c r="G101" s="189">
        <f t="shared" si="47"/>
        <v>-2.34</v>
      </c>
      <c r="H101" s="189">
        <f t="shared" si="47"/>
        <v>-2.27</v>
      </c>
      <c r="I101" s="189">
        <f t="shared" si="47"/>
        <v>-2.38</v>
      </c>
      <c r="J101" s="189">
        <f t="shared" si="47"/>
        <v>-2.39</v>
      </c>
      <c r="K101" s="189">
        <f t="shared" si="47"/>
        <v>-2.33</v>
      </c>
      <c r="L101" s="189">
        <f t="shared" si="47"/>
        <v>-2.38</v>
      </c>
      <c r="M101" s="209">
        <f t="shared" si="47"/>
        <v>0</v>
      </c>
    </row>
    <row r="102" spans="1:14" x14ac:dyDescent="0.25">
      <c r="A102" s="87"/>
      <c r="B102" s="89" t="s">
        <v>139</v>
      </c>
      <c r="C102" s="90">
        <f>C101+C99</f>
        <v>-498.64</v>
      </c>
      <c r="D102" s="90">
        <f>C102+D101</f>
        <v>-500.62</v>
      </c>
      <c r="E102" s="90">
        <f t="shared" ref="E102:M102" si="48">D102+E101</f>
        <v>-502.82</v>
      </c>
      <c r="F102" s="90">
        <f t="shared" si="48"/>
        <v>-505.07</v>
      </c>
      <c r="G102" s="90">
        <f t="shared" si="48"/>
        <v>-507.40999999999997</v>
      </c>
      <c r="H102" s="90">
        <f t="shared" si="48"/>
        <v>-509.67999999999995</v>
      </c>
      <c r="I102" s="90">
        <f t="shared" si="48"/>
        <v>-512.05999999999995</v>
      </c>
      <c r="J102" s="90">
        <f t="shared" si="48"/>
        <v>-514.44999999999993</v>
      </c>
      <c r="K102" s="90">
        <f t="shared" si="48"/>
        <v>-516.78</v>
      </c>
      <c r="L102" s="90">
        <f t="shared" si="48"/>
        <v>-519.16</v>
      </c>
      <c r="M102" s="207">
        <f t="shared" si="48"/>
        <v>-519.16</v>
      </c>
    </row>
    <row r="103" spans="1:14" x14ac:dyDescent="0.25">
      <c r="A103" s="86"/>
      <c r="C103" s="113"/>
      <c r="D103" s="113"/>
      <c r="E103" s="108"/>
      <c r="F103" s="113"/>
      <c r="G103" s="113"/>
      <c r="H103" s="113"/>
      <c r="I103" s="113"/>
      <c r="J103" s="113"/>
      <c r="K103" s="113"/>
      <c r="L103" s="113"/>
      <c r="M103" s="204"/>
    </row>
    <row r="104" spans="1:14" x14ac:dyDescent="0.25">
      <c r="A104" s="86" t="s">
        <v>83</v>
      </c>
      <c r="B104" s="104" t="s">
        <v>87</v>
      </c>
      <c r="C104" s="113"/>
      <c r="D104" s="113"/>
      <c r="E104" s="108"/>
      <c r="F104" s="113"/>
      <c r="G104" s="113"/>
      <c r="H104" s="113"/>
      <c r="I104" s="113"/>
      <c r="J104" s="113"/>
      <c r="K104" s="113"/>
      <c r="L104" s="113"/>
      <c r="M104" s="204"/>
    </row>
    <row r="105" spans="1:14" x14ac:dyDescent="0.25">
      <c r="A105" s="87" t="s">
        <v>64</v>
      </c>
      <c r="B105" t="s">
        <v>65</v>
      </c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204"/>
    </row>
    <row r="106" spans="1:14" x14ac:dyDescent="0.25">
      <c r="A106" s="87" t="s">
        <v>71</v>
      </c>
      <c r="B106" t="s">
        <v>95</v>
      </c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206"/>
    </row>
    <row r="107" spans="1:14" x14ac:dyDescent="0.25">
      <c r="A107" s="87" t="s">
        <v>71</v>
      </c>
      <c r="B107" t="s">
        <v>97</v>
      </c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206"/>
    </row>
    <row r="108" spans="1:14" x14ac:dyDescent="0.25">
      <c r="A108" s="87" t="s">
        <v>72</v>
      </c>
      <c r="B108" t="s">
        <v>101</v>
      </c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  <c r="M108" s="206"/>
    </row>
    <row r="109" spans="1:14" x14ac:dyDescent="0.25">
      <c r="A109" s="87" t="s">
        <v>72</v>
      </c>
      <c r="B109" t="s">
        <v>145</v>
      </c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206"/>
    </row>
    <row r="110" spans="1:14" x14ac:dyDescent="0.25">
      <c r="A110" s="87" t="s">
        <v>72</v>
      </c>
      <c r="B110" t="s">
        <v>102</v>
      </c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206"/>
    </row>
    <row r="111" spans="1:14" x14ac:dyDescent="0.25">
      <c r="A111" s="87" t="s">
        <v>72</v>
      </c>
      <c r="B111" t="s">
        <v>146</v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205"/>
    </row>
    <row r="112" spans="1:14" x14ac:dyDescent="0.25">
      <c r="A112" s="86"/>
      <c r="B112" s="89" t="s">
        <v>74</v>
      </c>
      <c r="C112" s="108">
        <f t="shared" ref="C112:M112" si="49">SUM(C106:C111)</f>
        <v>0</v>
      </c>
      <c r="D112" s="108">
        <f t="shared" si="49"/>
        <v>0</v>
      </c>
      <c r="E112" s="108">
        <f t="shared" si="49"/>
        <v>0</v>
      </c>
      <c r="F112" s="108">
        <f t="shared" si="49"/>
        <v>0</v>
      </c>
      <c r="G112" s="108">
        <f t="shared" si="49"/>
        <v>0</v>
      </c>
      <c r="H112" s="108">
        <f t="shared" si="49"/>
        <v>0</v>
      </c>
      <c r="I112" s="108">
        <f t="shared" si="49"/>
        <v>0</v>
      </c>
      <c r="J112" s="108">
        <f t="shared" si="49"/>
        <v>0</v>
      </c>
      <c r="K112" s="108">
        <f t="shared" si="49"/>
        <v>0</v>
      </c>
      <c r="L112" s="108">
        <f t="shared" si="49"/>
        <v>0</v>
      </c>
      <c r="M112" s="206">
        <f t="shared" si="49"/>
        <v>0</v>
      </c>
    </row>
    <row r="113" spans="1:14" x14ac:dyDescent="0.25">
      <c r="A113" s="86"/>
      <c r="B113" s="89" t="s">
        <v>73</v>
      </c>
      <c r="C113" s="88"/>
      <c r="D113" s="88"/>
      <c r="E113" s="88"/>
      <c r="F113" s="88"/>
      <c r="G113" s="88"/>
      <c r="H113" s="88"/>
      <c r="I113" s="88"/>
      <c r="J113" s="88"/>
      <c r="K113" s="88"/>
      <c r="L113" s="88"/>
      <c r="M113" s="205">
        <f>ROUND(-'Authorized Margins'!G60*'WACAP 2017'!M105,2)</f>
        <v>0</v>
      </c>
    </row>
    <row r="114" spans="1:14" x14ac:dyDescent="0.25">
      <c r="A114" s="86"/>
      <c r="B114" s="89" t="s">
        <v>75</v>
      </c>
      <c r="C114" s="90">
        <f>-'WACAP 2018'!Q116</f>
        <v>3548.04</v>
      </c>
      <c r="D114" s="90">
        <f t="shared" ref="D114" si="50">SUM(D112:D113)</f>
        <v>0</v>
      </c>
      <c r="E114" s="90">
        <f t="shared" ref="E114:L114" si="51">SUM(E112:E113)</f>
        <v>0</v>
      </c>
      <c r="F114" s="90">
        <f t="shared" si="51"/>
        <v>0</v>
      </c>
      <c r="G114" s="90">
        <f t="shared" si="51"/>
        <v>0</v>
      </c>
      <c r="H114" s="90">
        <f t="shared" si="51"/>
        <v>0</v>
      </c>
      <c r="I114" s="90">
        <f t="shared" si="51"/>
        <v>0</v>
      </c>
      <c r="J114" s="90">
        <f t="shared" si="51"/>
        <v>0</v>
      </c>
      <c r="K114" s="90">
        <f t="shared" si="51"/>
        <v>0</v>
      </c>
      <c r="L114" s="90">
        <f t="shared" si="51"/>
        <v>0</v>
      </c>
      <c r="M114" s="207"/>
    </row>
    <row r="115" spans="1:14" x14ac:dyDescent="0.25">
      <c r="A115" s="87"/>
      <c r="B115" s="89" t="s">
        <v>137</v>
      </c>
      <c r="C115" s="187">
        <f>ROUND(ROUND(C114*C$5,2)/365*C$6,2)</f>
        <v>15.61</v>
      </c>
      <c r="D115" s="187">
        <f>ROUND(ROUND(C117*D$5,2)/365*D$6,2)</f>
        <v>14.16</v>
      </c>
      <c r="E115" s="187">
        <f t="shared" ref="E115:L115" si="52">ROUND(ROUND(D117*E$5,2)/365*E$6,2)</f>
        <v>15.74</v>
      </c>
      <c r="F115" s="187">
        <f t="shared" si="52"/>
        <v>16.100000000000001</v>
      </c>
      <c r="G115" s="187">
        <f t="shared" si="52"/>
        <v>16.71</v>
      </c>
      <c r="H115" s="187">
        <f t="shared" si="52"/>
        <v>16.239999999999998</v>
      </c>
      <c r="I115" s="187">
        <f t="shared" si="52"/>
        <v>17.02</v>
      </c>
      <c r="J115" s="187">
        <f t="shared" si="52"/>
        <v>17.100000000000001</v>
      </c>
      <c r="K115" s="187">
        <f t="shared" si="52"/>
        <v>16.62</v>
      </c>
      <c r="L115" s="187">
        <f t="shared" si="52"/>
        <v>17</v>
      </c>
      <c r="M115" s="208">
        <f>ROUND(ROUND(K117*M$5,2)/365*M$6,2)</f>
        <v>0</v>
      </c>
      <c r="N115" s="108">
        <f>SUM(C115:M115)</f>
        <v>162.29999999999998</v>
      </c>
    </row>
    <row r="116" spans="1:14" x14ac:dyDescent="0.25">
      <c r="A116" s="87"/>
      <c r="B116" s="89" t="s">
        <v>138</v>
      </c>
      <c r="C116" s="189">
        <f>C115</f>
        <v>15.61</v>
      </c>
      <c r="D116" s="189">
        <f t="shared" ref="D116:M116" si="53">SUM(D114:D115)</f>
        <v>14.16</v>
      </c>
      <c r="E116" s="189">
        <f t="shared" si="53"/>
        <v>15.74</v>
      </c>
      <c r="F116" s="189">
        <f t="shared" si="53"/>
        <v>16.100000000000001</v>
      </c>
      <c r="G116" s="189">
        <f t="shared" si="53"/>
        <v>16.71</v>
      </c>
      <c r="H116" s="189">
        <f t="shared" si="53"/>
        <v>16.239999999999998</v>
      </c>
      <c r="I116" s="189">
        <f t="shared" si="53"/>
        <v>17.02</v>
      </c>
      <c r="J116" s="189">
        <f t="shared" si="53"/>
        <v>17.100000000000001</v>
      </c>
      <c r="K116" s="189">
        <f t="shared" si="53"/>
        <v>16.62</v>
      </c>
      <c r="L116" s="189">
        <f t="shared" si="53"/>
        <v>17</v>
      </c>
      <c r="M116" s="209">
        <f t="shared" si="53"/>
        <v>0</v>
      </c>
    </row>
    <row r="117" spans="1:14" x14ac:dyDescent="0.25">
      <c r="A117" s="87"/>
      <c r="B117" s="89" t="s">
        <v>139</v>
      </c>
      <c r="C117" s="90">
        <f>C116+C114</f>
        <v>3563.65</v>
      </c>
      <c r="D117" s="90">
        <f>C117+D116</f>
        <v>3577.81</v>
      </c>
      <c r="E117" s="90">
        <f t="shared" ref="E117:M117" si="54">D117+E116</f>
        <v>3593.5499999999997</v>
      </c>
      <c r="F117" s="90">
        <f t="shared" si="54"/>
        <v>3609.6499999999996</v>
      </c>
      <c r="G117" s="90">
        <f t="shared" si="54"/>
        <v>3626.3599999999997</v>
      </c>
      <c r="H117" s="90">
        <f t="shared" si="54"/>
        <v>3642.5999999999995</v>
      </c>
      <c r="I117" s="90">
        <f t="shared" si="54"/>
        <v>3659.6199999999994</v>
      </c>
      <c r="J117" s="90">
        <f t="shared" si="54"/>
        <v>3676.7199999999993</v>
      </c>
      <c r="K117" s="90">
        <f t="shared" si="54"/>
        <v>3693.3399999999992</v>
      </c>
      <c r="L117" s="90">
        <f t="shared" si="54"/>
        <v>3710.3399999999992</v>
      </c>
      <c r="M117" s="207">
        <f t="shared" si="54"/>
        <v>3710.3399999999992</v>
      </c>
    </row>
    <row r="118" spans="1:14" x14ac:dyDescent="0.25">
      <c r="A118" s="86"/>
      <c r="B118" s="89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207"/>
    </row>
    <row r="119" spans="1:14" x14ac:dyDescent="0.25">
      <c r="A119" s="86">
        <v>570</v>
      </c>
      <c r="B119" s="104" t="s">
        <v>88</v>
      </c>
      <c r="C119" s="113"/>
      <c r="D119" s="113"/>
      <c r="E119" s="108"/>
      <c r="F119" s="113"/>
      <c r="G119" s="113"/>
      <c r="H119" s="113"/>
      <c r="I119" s="113"/>
      <c r="J119" s="113"/>
      <c r="K119" s="113"/>
      <c r="L119" s="113"/>
      <c r="M119" s="204"/>
    </row>
    <row r="120" spans="1:14" x14ac:dyDescent="0.25">
      <c r="A120" s="87" t="s">
        <v>64</v>
      </c>
      <c r="B120" t="s">
        <v>65</v>
      </c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  <c r="M120" s="204"/>
    </row>
    <row r="121" spans="1:14" x14ac:dyDescent="0.25">
      <c r="A121" s="87" t="s">
        <v>71</v>
      </c>
      <c r="B121" t="s">
        <v>103</v>
      </c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206"/>
    </row>
    <row r="122" spans="1:14" x14ac:dyDescent="0.25">
      <c r="A122" s="87" t="s">
        <v>71</v>
      </c>
      <c r="B122" t="s">
        <v>104</v>
      </c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206"/>
    </row>
    <row r="123" spans="1:14" x14ac:dyDescent="0.25">
      <c r="A123" s="87" t="s">
        <v>72</v>
      </c>
      <c r="B123" t="s">
        <v>105</v>
      </c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  <c r="M123" s="206"/>
    </row>
    <row r="124" spans="1:14" x14ac:dyDescent="0.25">
      <c r="A124" s="87" t="s">
        <v>72</v>
      </c>
      <c r="B124" t="s">
        <v>106</v>
      </c>
      <c r="C124" s="116"/>
      <c r="D124" s="116"/>
      <c r="E124" s="116"/>
      <c r="F124" s="116"/>
      <c r="G124" s="116"/>
      <c r="H124" s="116"/>
      <c r="I124" s="116"/>
      <c r="J124" s="116"/>
      <c r="K124" s="116"/>
      <c r="L124" s="116"/>
      <c r="M124" s="206"/>
    </row>
    <row r="125" spans="1:14" x14ac:dyDescent="0.25">
      <c r="A125" s="87" t="s">
        <v>72</v>
      </c>
      <c r="B125" t="s">
        <v>107</v>
      </c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  <c r="M125" s="206"/>
    </row>
    <row r="126" spans="1:14" x14ac:dyDescent="0.25">
      <c r="A126" s="87" t="s">
        <v>72</v>
      </c>
      <c r="B126" t="s">
        <v>108</v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205"/>
    </row>
    <row r="127" spans="1:14" x14ac:dyDescent="0.25">
      <c r="A127" s="87"/>
      <c r="B127" s="89" t="s">
        <v>74</v>
      </c>
      <c r="C127" s="108">
        <f t="shared" ref="C127:E127" si="55">SUM(C121:C126)</f>
        <v>0</v>
      </c>
      <c r="D127" s="108">
        <f t="shared" si="55"/>
        <v>0</v>
      </c>
      <c r="E127" s="108">
        <f t="shared" si="55"/>
        <v>0</v>
      </c>
      <c r="F127" s="108">
        <f>SUM(F121:F126)</f>
        <v>0</v>
      </c>
      <c r="G127" s="108">
        <f t="shared" ref="G127:M127" si="56">SUM(G121:G126)</f>
        <v>0</v>
      </c>
      <c r="H127" s="108">
        <f t="shared" si="56"/>
        <v>0</v>
      </c>
      <c r="I127" s="108">
        <f t="shared" si="56"/>
        <v>0</v>
      </c>
      <c r="J127" s="108">
        <f t="shared" si="56"/>
        <v>0</v>
      </c>
      <c r="K127" s="108">
        <f t="shared" si="56"/>
        <v>0</v>
      </c>
      <c r="L127" s="108">
        <f t="shared" si="56"/>
        <v>0</v>
      </c>
      <c r="M127" s="206">
        <f t="shared" si="56"/>
        <v>0</v>
      </c>
    </row>
    <row r="128" spans="1:14" x14ac:dyDescent="0.25">
      <c r="A128" s="87"/>
      <c r="B128" s="89" t="s">
        <v>73</v>
      </c>
      <c r="C128" s="88"/>
      <c r="D128" s="88"/>
      <c r="E128" s="88"/>
      <c r="F128" s="88"/>
      <c r="G128" s="88"/>
      <c r="H128" s="88"/>
      <c r="I128" s="88"/>
      <c r="J128" s="88"/>
      <c r="K128" s="88"/>
      <c r="L128" s="88"/>
      <c r="M128" s="205">
        <f>ROUND(-'Authorized Margins'!G95*'WACAP 2017'!M120,2)</f>
        <v>0</v>
      </c>
    </row>
    <row r="129" spans="1:14" x14ac:dyDescent="0.25">
      <c r="A129" s="87"/>
      <c r="B129" s="89" t="s">
        <v>75</v>
      </c>
      <c r="C129" s="90">
        <f>-'WACAP 2018'!Q131</f>
        <v>34503.840000000004</v>
      </c>
      <c r="D129" s="90">
        <f t="shared" ref="D129" si="57">SUM(D127:D128)</f>
        <v>0</v>
      </c>
      <c r="E129" s="90">
        <f t="shared" ref="E129:L129" si="58">SUM(E127:E128)</f>
        <v>0</v>
      </c>
      <c r="F129" s="90">
        <f t="shared" si="58"/>
        <v>0</v>
      </c>
      <c r="G129" s="90">
        <f t="shared" si="58"/>
        <v>0</v>
      </c>
      <c r="H129" s="90">
        <f t="shared" si="58"/>
        <v>0</v>
      </c>
      <c r="I129" s="90">
        <f t="shared" si="58"/>
        <v>0</v>
      </c>
      <c r="J129" s="90">
        <f t="shared" si="58"/>
        <v>0</v>
      </c>
      <c r="K129" s="90">
        <f t="shared" si="58"/>
        <v>0</v>
      </c>
      <c r="L129" s="90">
        <f t="shared" si="58"/>
        <v>0</v>
      </c>
      <c r="M129" s="215"/>
    </row>
    <row r="130" spans="1:14" x14ac:dyDescent="0.25">
      <c r="A130" s="87"/>
      <c r="B130" s="89" t="s">
        <v>137</v>
      </c>
      <c r="C130" s="187">
        <f>ROUND(ROUND(C129*C$5,2)/365*C$6,2)</f>
        <v>151.80000000000001</v>
      </c>
      <c r="D130" s="187">
        <f>ROUND(ROUND(C132*D$5,2)/365*D$6,2)</f>
        <v>137.71</v>
      </c>
      <c r="E130" s="187">
        <f t="shared" ref="E130:L130" si="59">ROUND(ROUND(D132*E$5,2)/365*E$6,2)</f>
        <v>153.07</v>
      </c>
      <c r="F130" s="187">
        <f t="shared" si="59"/>
        <v>156.54</v>
      </c>
      <c r="G130" s="187">
        <f t="shared" si="59"/>
        <v>162.47999999999999</v>
      </c>
      <c r="H130" s="187">
        <f t="shared" si="59"/>
        <v>157.97</v>
      </c>
      <c r="I130" s="187">
        <f t="shared" si="59"/>
        <v>165.47</v>
      </c>
      <c r="J130" s="187">
        <f t="shared" si="59"/>
        <v>166.24</v>
      </c>
      <c r="K130" s="187">
        <f t="shared" si="59"/>
        <v>161.63</v>
      </c>
      <c r="L130" s="187">
        <f t="shared" si="59"/>
        <v>165.34</v>
      </c>
      <c r="M130" s="208">
        <f>ROUND(ROUND(K132*M$5,2)/365*M$6,2)</f>
        <v>0</v>
      </c>
      <c r="N130" s="108">
        <f>SUM(C130:M130)</f>
        <v>1578.2499999999998</v>
      </c>
    </row>
    <row r="131" spans="1:14" x14ac:dyDescent="0.25">
      <c r="A131" s="87"/>
      <c r="B131" s="89" t="s">
        <v>138</v>
      </c>
      <c r="C131" s="189">
        <f>C130</f>
        <v>151.80000000000001</v>
      </c>
      <c r="D131" s="189">
        <f t="shared" ref="D131:M131" si="60">SUM(D129:D130)</f>
        <v>137.71</v>
      </c>
      <c r="E131" s="189">
        <f t="shared" si="60"/>
        <v>153.07</v>
      </c>
      <c r="F131" s="189">
        <f t="shared" si="60"/>
        <v>156.54</v>
      </c>
      <c r="G131" s="189">
        <f t="shared" si="60"/>
        <v>162.47999999999999</v>
      </c>
      <c r="H131" s="189">
        <f t="shared" si="60"/>
        <v>157.97</v>
      </c>
      <c r="I131" s="189">
        <f t="shared" si="60"/>
        <v>165.47</v>
      </c>
      <c r="J131" s="189">
        <f t="shared" si="60"/>
        <v>166.24</v>
      </c>
      <c r="K131" s="189">
        <f t="shared" si="60"/>
        <v>161.63</v>
      </c>
      <c r="L131" s="189">
        <f t="shared" si="60"/>
        <v>165.34</v>
      </c>
      <c r="M131" s="209">
        <f t="shared" si="60"/>
        <v>0</v>
      </c>
    </row>
    <row r="132" spans="1:14" x14ac:dyDescent="0.25">
      <c r="A132" s="87"/>
      <c r="B132" s="89" t="s">
        <v>139</v>
      </c>
      <c r="C132" s="90">
        <f>C131+C129</f>
        <v>34655.640000000007</v>
      </c>
      <c r="D132" s="90">
        <f>C132+D131</f>
        <v>34793.350000000006</v>
      </c>
      <c r="E132" s="90">
        <f t="shared" ref="E132:M132" si="61">D132+E131</f>
        <v>34946.420000000006</v>
      </c>
      <c r="F132" s="90">
        <f t="shared" si="61"/>
        <v>35102.960000000006</v>
      </c>
      <c r="G132" s="90">
        <f t="shared" si="61"/>
        <v>35265.44000000001</v>
      </c>
      <c r="H132" s="90">
        <f t="shared" si="61"/>
        <v>35423.410000000011</v>
      </c>
      <c r="I132" s="90">
        <f t="shared" si="61"/>
        <v>35588.880000000012</v>
      </c>
      <c r="J132" s="90">
        <f t="shared" si="61"/>
        <v>35755.12000000001</v>
      </c>
      <c r="K132" s="90">
        <f t="shared" si="61"/>
        <v>35916.750000000007</v>
      </c>
      <c r="L132" s="90">
        <f t="shared" si="61"/>
        <v>36082.090000000004</v>
      </c>
      <c r="M132" s="207">
        <f t="shared" si="61"/>
        <v>36082.090000000004</v>
      </c>
    </row>
    <row r="133" spans="1:14" x14ac:dyDescent="0.25">
      <c r="A133" s="86"/>
      <c r="C133" s="113"/>
      <c r="D133" s="113"/>
      <c r="E133" s="108"/>
      <c r="F133" s="113"/>
      <c r="G133" s="113"/>
      <c r="H133" s="113"/>
      <c r="I133" s="113"/>
      <c r="J133" s="113"/>
      <c r="K133" s="113"/>
      <c r="L133" s="113"/>
      <c r="M133" s="204"/>
    </row>
    <row r="134" spans="1:14" x14ac:dyDescent="0.25">
      <c r="A134" s="86">
        <v>577</v>
      </c>
      <c r="B134" s="104" t="s">
        <v>88</v>
      </c>
      <c r="C134" s="113"/>
      <c r="D134" s="113"/>
      <c r="E134" s="108"/>
      <c r="F134" s="113"/>
      <c r="G134" s="113"/>
      <c r="H134" s="113"/>
      <c r="I134" s="113"/>
      <c r="J134" s="113"/>
      <c r="K134" s="113"/>
      <c r="L134" s="113"/>
      <c r="M134" s="204"/>
    </row>
    <row r="135" spans="1:14" x14ac:dyDescent="0.25">
      <c r="A135" s="87" t="s">
        <v>64</v>
      </c>
      <c r="B135" t="s">
        <v>65</v>
      </c>
      <c r="C135" s="105"/>
      <c r="D135" s="105"/>
      <c r="E135" s="105"/>
      <c r="F135" s="105"/>
      <c r="G135" s="105"/>
      <c r="H135" s="105"/>
      <c r="I135" s="105"/>
      <c r="J135" s="105"/>
      <c r="K135" s="105"/>
      <c r="L135" s="105"/>
      <c r="M135" s="204"/>
    </row>
    <row r="136" spans="1:14" x14ac:dyDescent="0.25">
      <c r="A136" s="87" t="s">
        <v>71</v>
      </c>
      <c r="B136" t="s">
        <v>109</v>
      </c>
      <c r="C136" s="116"/>
      <c r="D136" s="116"/>
      <c r="E136" s="116"/>
      <c r="F136" s="116"/>
      <c r="G136" s="116"/>
      <c r="H136" s="116"/>
      <c r="I136" s="116"/>
      <c r="J136" s="116"/>
      <c r="K136" s="116"/>
      <c r="L136" s="116"/>
      <c r="M136" s="206"/>
    </row>
    <row r="137" spans="1:14" x14ac:dyDescent="0.25">
      <c r="A137" s="87" t="s">
        <v>71</v>
      </c>
      <c r="B137" t="s">
        <v>96</v>
      </c>
      <c r="C137" s="116"/>
      <c r="D137" s="116"/>
      <c r="E137" s="116"/>
      <c r="F137" s="116"/>
      <c r="G137" s="116"/>
      <c r="H137" s="116"/>
      <c r="I137" s="116"/>
      <c r="J137" s="116"/>
      <c r="K137" s="116"/>
      <c r="L137" s="116"/>
      <c r="M137" s="206"/>
    </row>
    <row r="138" spans="1:14" x14ac:dyDescent="0.25">
      <c r="A138" s="87" t="s">
        <v>72</v>
      </c>
      <c r="B138" t="s">
        <v>110</v>
      </c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206"/>
    </row>
    <row r="139" spans="1:14" x14ac:dyDescent="0.25">
      <c r="A139" s="87" t="s">
        <v>72</v>
      </c>
      <c r="B139" t="s">
        <v>111</v>
      </c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206"/>
    </row>
    <row r="140" spans="1:14" x14ac:dyDescent="0.25">
      <c r="A140" s="87" t="s">
        <v>72</v>
      </c>
      <c r="B140" t="s">
        <v>112</v>
      </c>
      <c r="C140" s="116"/>
      <c r="D140" s="116"/>
      <c r="E140" s="116"/>
      <c r="F140" s="116"/>
      <c r="G140" s="116"/>
      <c r="H140" s="116"/>
      <c r="I140" s="116"/>
      <c r="J140" s="116"/>
      <c r="K140" s="116"/>
      <c r="L140" s="116"/>
      <c r="M140" s="206"/>
    </row>
    <row r="141" spans="1:14" x14ac:dyDescent="0.25">
      <c r="A141" s="87" t="s">
        <v>72</v>
      </c>
      <c r="B141" t="s">
        <v>113</v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205"/>
    </row>
    <row r="142" spans="1:14" x14ac:dyDescent="0.25">
      <c r="A142" s="4"/>
      <c r="B142" s="89" t="s">
        <v>74</v>
      </c>
      <c r="C142" s="108">
        <f t="shared" ref="C142:E142" si="62">SUM(C136:C141)</f>
        <v>0</v>
      </c>
      <c r="D142" s="108">
        <f t="shared" si="62"/>
        <v>0</v>
      </c>
      <c r="E142" s="108">
        <f t="shared" si="62"/>
        <v>0</v>
      </c>
      <c r="F142" s="108">
        <f>SUM(F136:F141)</f>
        <v>0</v>
      </c>
      <c r="G142" s="108">
        <f t="shared" ref="G142:M142" si="63">SUM(G136:G141)</f>
        <v>0</v>
      </c>
      <c r="H142" s="108">
        <f t="shared" si="63"/>
        <v>0</v>
      </c>
      <c r="I142" s="108">
        <f t="shared" si="63"/>
        <v>0</v>
      </c>
      <c r="J142" s="108">
        <f t="shared" si="63"/>
        <v>0</v>
      </c>
      <c r="K142" s="108">
        <f t="shared" si="63"/>
        <v>0</v>
      </c>
      <c r="L142" s="108">
        <f t="shared" si="63"/>
        <v>0</v>
      </c>
      <c r="M142" s="206">
        <f t="shared" si="63"/>
        <v>0</v>
      </c>
    </row>
    <row r="143" spans="1:14" x14ac:dyDescent="0.25">
      <c r="A143" s="4"/>
      <c r="B143" s="89" t="s">
        <v>73</v>
      </c>
      <c r="C143" s="88"/>
      <c r="D143" s="88"/>
      <c r="E143" s="88"/>
      <c r="F143" s="88"/>
      <c r="G143" s="88"/>
      <c r="H143" s="88"/>
      <c r="I143" s="88"/>
      <c r="J143" s="88"/>
      <c r="K143" s="88"/>
      <c r="L143" s="88"/>
      <c r="M143" s="205">
        <f>ROUND(-'Authorized Margins'!G105*'WACAP 2017'!M135,2)</f>
        <v>0</v>
      </c>
    </row>
    <row r="144" spans="1:14" x14ac:dyDescent="0.25">
      <c r="A144" s="4"/>
      <c r="B144" s="89" t="s">
        <v>75</v>
      </c>
      <c r="C144" s="90">
        <f>-'WACAP 2018'!Q146</f>
        <v>4415.5599999999995</v>
      </c>
      <c r="D144" s="90">
        <f t="shared" ref="D144" si="64">SUM(D142:D143)</f>
        <v>0</v>
      </c>
      <c r="E144" s="90">
        <f t="shared" ref="E144:L144" si="65">SUM(E142:E143)</f>
        <v>0</v>
      </c>
      <c r="F144" s="90">
        <f t="shared" si="65"/>
        <v>0</v>
      </c>
      <c r="G144" s="90">
        <f t="shared" si="65"/>
        <v>0</v>
      </c>
      <c r="H144" s="90">
        <f t="shared" si="65"/>
        <v>0</v>
      </c>
      <c r="I144" s="90">
        <f t="shared" si="65"/>
        <v>0</v>
      </c>
      <c r="J144" s="90">
        <f t="shared" si="65"/>
        <v>0</v>
      </c>
      <c r="K144" s="90">
        <f t="shared" si="65"/>
        <v>0</v>
      </c>
      <c r="L144" s="90">
        <f t="shared" si="65"/>
        <v>0</v>
      </c>
      <c r="M144" s="207"/>
    </row>
    <row r="145" spans="1:14" x14ac:dyDescent="0.25">
      <c r="A145" s="87"/>
      <c r="B145" s="89" t="s">
        <v>137</v>
      </c>
      <c r="C145" s="187">
        <f>ROUND(ROUND(C144*C$5,2)/365*C$6,2)</f>
        <v>19.43</v>
      </c>
      <c r="D145" s="187">
        <f>ROUND(ROUND(C147*D$5,2)/365*D$6,2)</f>
        <v>17.62</v>
      </c>
      <c r="E145" s="187">
        <f t="shared" ref="E145:K145" si="66">ROUND(ROUND(D147*E$5,2)/365*E$6,2)</f>
        <v>19.59</v>
      </c>
      <c r="F145" s="187">
        <f t="shared" si="66"/>
        <v>20.03</v>
      </c>
      <c r="G145" s="187">
        <f t="shared" si="66"/>
        <v>20.79</v>
      </c>
      <c r="H145" s="187">
        <f t="shared" si="66"/>
        <v>20.22</v>
      </c>
      <c r="I145" s="187">
        <f t="shared" si="66"/>
        <v>21.18</v>
      </c>
      <c r="J145" s="187">
        <f t="shared" si="66"/>
        <v>21.27</v>
      </c>
      <c r="K145" s="187">
        <f t="shared" si="66"/>
        <v>20.68</v>
      </c>
      <c r="L145" s="187">
        <f>ROUND(ROUND(K147*L$5,2)/365*L$6,2)</f>
        <v>21.16</v>
      </c>
      <c r="M145" s="208">
        <f>ROUND(ROUND(K147*M$5,2)/365*M$6,2)</f>
        <v>0</v>
      </c>
      <c r="N145" s="108">
        <f>SUM(C145:M145)</f>
        <v>201.97000000000003</v>
      </c>
    </row>
    <row r="146" spans="1:14" x14ac:dyDescent="0.25">
      <c r="A146" s="87"/>
      <c r="B146" s="89" t="s">
        <v>138</v>
      </c>
      <c r="C146" s="189">
        <f>C145</f>
        <v>19.43</v>
      </c>
      <c r="D146" s="189">
        <f t="shared" ref="D146:M146" si="67">SUM(D144:D145)</f>
        <v>17.62</v>
      </c>
      <c r="E146" s="189">
        <f t="shared" si="67"/>
        <v>19.59</v>
      </c>
      <c r="F146" s="189">
        <f t="shared" si="67"/>
        <v>20.03</v>
      </c>
      <c r="G146" s="189">
        <f t="shared" si="67"/>
        <v>20.79</v>
      </c>
      <c r="H146" s="189">
        <f t="shared" si="67"/>
        <v>20.22</v>
      </c>
      <c r="I146" s="189">
        <f t="shared" si="67"/>
        <v>21.18</v>
      </c>
      <c r="J146" s="189">
        <f t="shared" si="67"/>
        <v>21.27</v>
      </c>
      <c r="K146" s="189">
        <f t="shared" si="67"/>
        <v>20.68</v>
      </c>
      <c r="L146" s="189">
        <f t="shared" si="67"/>
        <v>21.16</v>
      </c>
      <c r="M146" s="209">
        <f t="shared" si="67"/>
        <v>0</v>
      </c>
    </row>
    <row r="147" spans="1:14" x14ac:dyDescent="0.25">
      <c r="A147" s="87"/>
      <c r="B147" s="89" t="s">
        <v>139</v>
      </c>
      <c r="C147" s="90">
        <f>C146+C144</f>
        <v>4434.99</v>
      </c>
      <c r="D147" s="90">
        <f>C147+D146</f>
        <v>4452.6099999999997</v>
      </c>
      <c r="E147" s="90">
        <f t="shared" ref="E147:L147" si="68">D147+E146</f>
        <v>4472.2</v>
      </c>
      <c r="F147" s="90">
        <f t="shared" si="68"/>
        <v>4492.2299999999996</v>
      </c>
      <c r="G147" s="90">
        <f t="shared" si="68"/>
        <v>4513.0199999999995</v>
      </c>
      <c r="H147" s="90">
        <f t="shared" si="68"/>
        <v>4533.24</v>
      </c>
      <c r="I147" s="90">
        <f t="shared" si="68"/>
        <v>4554.42</v>
      </c>
      <c r="J147" s="90">
        <f t="shared" si="68"/>
        <v>4575.6900000000005</v>
      </c>
      <c r="K147" s="90">
        <f t="shared" si="68"/>
        <v>4596.3700000000008</v>
      </c>
      <c r="L147" s="90">
        <f t="shared" si="68"/>
        <v>4617.5300000000007</v>
      </c>
      <c r="M147" s="207">
        <f>L147+M146</f>
        <v>4617.5300000000007</v>
      </c>
    </row>
    <row r="148" spans="1:14" ht="15.75" thickBot="1" x14ac:dyDescent="0.3">
      <c r="A148" s="118"/>
      <c r="B148" s="119"/>
      <c r="C148" s="119"/>
      <c r="D148" s="119"/>
      <c r="E148" s="176"/>
      <c r="F148" s="119"/>
      <c r="G148" s="119"/>
      <c r="H148" s="119"/>
      <c r="I148" s="119"/>
      <c r="J148" s="119"/>
      <c r="K148" s="119"/>
      <c r="L148" s="119"/>
      <c r="M148" s="211"/>
    </row>
    <row r="149" spans="1:14" x14ac:dyDescent="0.25">
      <c r="E149" s="108"/>
      <c r="M149" s="203"/>
    </row>
    <row r="150" spans="1:14" x14ac:dyDescent="0.25">
      <c r="B150" s="89" t="s">
        <v>89</v>
      </c>
      <c r="C150" s="90">
        <f t="shared" ref="C150:M151" si="69">C12+C24+C62+C74+C37+C114+C50+C89+C99+C129+C144</f>
        <v>1013703.1200000023</v>
      </c>
      <c r="D150" s="90">
        <f t="shared" si="69"/>
        <v>0</v>
      </c>
      <c r="E150" s="90">
        <f t="shared" si="69"/>
        <v>0</v>
      </c>
      <c r="F150" s="90">
        <f t="shared" si="69"/>
        <v>0</v>
      </c>
      <c r="G150" s="90">
        <f t="shared" si="69"/>
        <v>0</v>
      </c>
      <c r="H150" s="90">
        <f t="shared" si="69"/>
        <v>0</v>
      </c>
      <c r="I150" s="90">
        <f t="shared" si="69"/>
        <v>0</v>
      </c>
      <c r="J150" s="90">
        <f t="shared" si="69"/>
        <v>0</v>
      </c>
      <c r="K150" s="90">
        <f t="shared" si="69"/>
        <v>0</v>
      </c>
      <c r="L150" s="90">
        <f t="shared" si="69"/>
        <v>0</v>
      </c>
      <c r="M150" s="207">
        <f t="shared" si="69"/>
        <v>0</v>
      </c>
    </row>
    <row r="151" spans="1:14" x14ac:dyDescent="0.25">
      <c r="B151" s="89" t="s">
        <v>141</v>
      </c>
      <c r="C151" s="216">
        <f t="shared" si="69"/>
        <v>4459.76</v>
      </c>
      <c r="D151" s="216">
        <f t="shared" si="69"/>
        <v>4045.8599999999992</v>
      </c>
      <c r="E151" s="216">
        <f t="shared" si="69"/>
        <v>4497.17</v>
      </c>
      <c r="F151" s="216">
        <f t="shared" si="69"/>
        <v>4599.08</v>
      </c>
      <c r="G151" s="216">
        <f t="shared" si="69"/>
        <v>4773.6500000000005</v>
      </c>
      <c r="H151" s="216">
        <f t="shared" si="69"/>
        <v>4641.09</v>
      </c>
      <c r="I151" s="216">
        <f t="shared" si="69"/>
        <v>4861.4600000000009</v>
      </c>
      <c r="J151" s="216">
        <f t="shared" si="69"/>
        <v>4884.1500000000005</v>
      </c>
      <c r="K151" s="216">
        <f t="shared" si="69"/>
        <v>4748.6600000000017</v>
      </c>
      <c r="L151" s="199">
        <f>L13+L25+L63+L75+L38+L115+L51+L90+L100+L130+L145+0.01</f>
        <v>4857.4800000000005</v>
      </c>
      <c r="M151" s="208">
        <v>46368.34</v>
      </c>
    </row>
    <row r="152" spans="1:14" x14ac:dyDescent="0.25">
      <c r="B152" s="89" t="s">
        <v>139</v>
      </c>
      <c r="C152" s="90">
        <f>SUM(C150:C151)</f>
        <v>1018162.8800000023</v>
      </c>
      <c r="D152" s="90">
        <f t="shared" ref="D152:K152" si="70">SUM(D150:D151)+C152</f>
        <v>1022208.7400000023</v>
      </c>
      <c r="E152" s="90">
        <f t="shared" si="70"/>
        <v>1026705.9100000024</v>
      </c>
      <c r="F152" s="90">
        <f t="shared" si="70"/>
        <v>1031304.9900000023</v>
      </c>
      <c r="G152" s="90">
        <f t="shared" si="70"/>
        <v>1036078.6400000023</v>
      </c>
      <c r="H152" s="90">
        <f t="shared" si="70"/>
        <v>1040719.7300000023</v>
      </c>
      <c r="I152" s="90">
        <f t="shared" si="70"/>
        <v>1045581.1900000023</v>
      </c>
      <c r="J152" s="90">
        <f t="shared" si="70"/>
        <v>1050465.3400000022</v>
      </c>
      <c r="K152" s="90">
        <f t="shared" si="70"/>
        <v>1055214.0000000021</v>
      </c>
      <c r="L152" s="90">
        <f>SUM(L150:L151)+K152</f>
        <v>1060071.4800000021</v>
      </c>
      <c r="M152" s="207">
        <f>SUM(M150:M151)</f>
        <v>46368.34</v>
      </c>
      <c r="N152" s="90">
        <f>SUM(N5:N151)</f>
        <v>46368.350000000006</v>
      </c>
    </row>
    <row r="153" spans="1:14" x14ac:dyDescent="0.25">
      <c r="B153" s="89"/>
      <c r="C153" s="187"/>
      <c r="D153" s="90"/>
      <c r="E153" s="90"/>
      <c r="F153" s="90"/>
      <c r="G153" s="90"/>
      <c r="H153" s="90"/>
      <c r="I153" s="90"/>
      <c r="J153" s="90"/>
      <c r="K153" s="90"/>
      <c r="L153" s="90"/>
      <c r="M153" s="207"/>
    </row>
    <row r="154" spans="1:14" x14ac:dyDescent="0.25">
      <c r="A154" s="696" t="s">
        <v>76</v>
      </c>
      <c r="E154" s="108"/>
      <c r="M154" s="203"/>
    </row>
    <row r="155" spans="1:14" ht="15.75" x14ac:dyDescent="0.25">
      <c r="A155" s="697"/>
      <c r="B155" s="93"/>
      <c r="C155" s="121">
        <v>42766</v>
      </c>
      <c r="D155" s="121">
        <v>42794</v>
      </c>
      <c r="E155" s="121">
        <v>42825</v>
      </c>
      <c r="F155" s="121">
        <v>42855</v>
      </c>
      <c r="G155" s="121">
        <v>42886</v>
      </c>
      <c r="H155" s="121">
        <v>42916</v>
      </c>
      <c r="I155" s="121">
        <v>42947</v>
      </c>
      <c r="J155" s="121">
        <v>42978</v>
      </c>
      <c r="K155" s="121">
        <v>43008</v>
      </c>
      <c r="L155" s="121">
        <v>43039</v>
      </c>
      <c r="M155" s="212">
        <v>43069</v>
      </c>
    </row>
    <row r="156" spans="1:14" ht="15.75" x14ac:dyDescent="0.25">
      <c r="A156" s="96" t="s">
        <v>127</v>
      </c>
      <c r="B156" s="97" t="s">
        <v>79</v>
      </c>
      <c r="C156" s="99">
        <f>-C150</f>
        <v>-1013703.1200000023</v>
      </c>
      <c r="D156" s="99">
        <f t="shared" ref="D156:M156" si="71">-D150</f>
        <v>0</v>
      </c>
      <c r="E156" s="99">
        <f t="shared" si="71"/>
        <v>0</v>
      </c>
      <c r="F156" s="99">
        <f t="shared" si="71"/>
        <v>0</v>
      </c>
      <c r="G156" s="99">
        <f t="shared" si="71"/>
        <v>0</v>
      </c>
      <c r="H156" s="99">
        <f t="shared" si="71"/>
        <v>0</v>
      </c>
      <c r="I156" s="99">
        <f t="shared" si="71"/>
        <v>0</v>
      </c>
      <c r="J156" s="99">
        <f t="shared" si="71"/>
        <v>0</v>
      </c>
      <c r="K156" s="99">
        <f t="shared" si="71"/>
        <v>0</v>
      </c>
      <c r="L156" s="99">
        <f t="shared" si="71"/>
        <v>0</v>
      </c>
      <c r="M156" s="213">
        <f t="shared" si="71"/>
        <v>0</v>
      </c>
    </row>
    <row r="157" spans="1:14" ht="15.75" x14ac:dyDescent="0.25">
      <c r="A157" s="92" t="s">
        <v>128</v>
      </c>
      <c r="B157" s="94" t="s">
        <v>77</v>
      </c>
      <c r="C157" s="99">
        <f>C12+C24</f>
        <v>1436041.1500000013</v>
      </c>
      <c r="D157" s="99">
        <f t="shared" ref="D157:M157" si="72">D12+D24</f>
        <v>0</v>
      </c>
      <c r="E157" s="99">
        <f t="shared" si="72"/>
        <v>0</v>
      </c>
      <c r="F157" s="99">
        <f t="shared" si="72"/>
        <v>0</v>
      </c>
      <c r="G157" s="99">
        <f t="shared" si="72"/>
        <v>0</v>
      </c>
      <c r="H157" s="99">
        <f t="shared" si="72"/>
        <v>0</v>
      </c>
      <c r="I157" s="99">
        <f t="shared" si="72"/>
        <v>0</v>
      </c>
      <c r="J157" s="99">
        <f t="shared" si="72"/>
        <v>0</v>
      </c>
      <c r="K157" s="99">
        <f t="shared" si="72"/>
        <v>0</v>
      </c>
      <c r="L157" s="99">
        <f t="shared" si="72"/>
        <v>0</v>
      </c>
      <c r="M157" s="213">
        <f t="shared" si="72"/>
        <v>0</v>
      </c>
    </row>
    <row r="158" spans="1:14" ht="15.75" x14ac:dyDescent="0.25">
      <c r="A158" s="92" t="s">
        <v>129</v>
      </c>
      <c r="B158" s="94" t="s">
        <v>80</v>
      </c>
      <c r="C158" s="99">
        <f>C37+C50</f>
        <v>-253139.8600000001</v>
      </c>
      <c r="D158" s="99">
        <f t="shared" ref="D158:M158" si="73">D37+D50</f>
        <v>0</v>
      </c>
      <c r="E158" s="99">
        <f t="shared" si="73"/>
        <v>0</v>
      </c>
      <c r="F158" s="99">
        <f t="shared" si="73"/>
        <v>0</v>
      </c>
      <c r="G158" s="99">
        <f t="shared" si="73"/>
        <v>0</v>
      </c>
      <c r="H158" s="99">
        <f t="shared" si="73"/>
        <v>0</v>
      </c>
      <c r="I158" s="99">
        <f t="shared" si="73"/>
        <v>0</v>
      </c>
      <c r="J158" s="99">
        <f t="shared" si="73"/>
        <v>0</v>
      </c>
      <c r="K158" s="99">
        <f t="shared" si="73"/>
        <v>0</v>
      </c>
      <c r="L158" s="99">
        <f t="shared" si="73"/>
        <v>0</v>
      </c>
      <c r="M158" s="213">
        <f t="shared" si="73"/>
        <v>0</v>
      </c>
    </row>
    <row r="159" spans="1:14" ht="15.75" x14ac:dyDescent="0.25">
      <c r="A159" s="92" t="s">
        <v>130</v>
      </c>
      <c r="B159" s="94" t="s">
        <v>78</v>
      </c>
      <c r="C159" s="99">
        <f>C62+C74+C89+C99</f>
        <v>-211665.60999999897</v>
      </c>
      <c r="D159" s="99">
        <f t="shared" ref="D159:M159" si="74">D62+D74+D89+D99</f>
        <v>0</v>
      </c>
      <c r="E159" s="99">
        <f t="shared" si="74"/>
        <v>0</v>
      </c>
      <c r="F159" s="99">
        <f t="shared" si="74"/>
        <v>0</v>
      </c>
      <c r="G159" s="99">
        <f t="shared" si="74"/>
        <v>0</v>
      </c>
      <c r="H159" s="99">
        <f t="shared" si="74"/>
        <v>0</v>
      </c>
      <c r="I159" s="99">
        <f t="shared" si="74"/>
        <v>0</v>
      </c>
      <c r="J159" s="99">
        <f t="shared" si="74"/>
        <v>0</v>
      </c>
      <c r="K159" s="99">
        <f t="shared" si="74"/>
        <v>0</v>
      </c>
      <c r="L159" s="99">
        <f t="shared" si="74"/>
        <v>0</v>
      </c>
      <c r="M159" s="213">
        <f t="shared" si="74"/>
        <v>0</v>
      </c>
    </row>
    <row r="160" spans="1:14" ht="15.75" x14ac:dyDescent="0.25">
      <c r="A160" s="92" t="s">
        <v>131</v>
      </c>
      <c r="B160" s="94" t="s">
        <v>81</v>
      </c>
      <c r="C160" s="99">
        <f t="shared" ref="C160:M160" si="75">C114</f>
        <v>3548.04</v>
      </c>
      <c r="D160" s="99">
        <f t="shared" si="75"/>
        <v>0</v>
      </c>
      <c r="E160" s="99">
        <f t="shared" si="75"/>
        <v>0</v>
      </c>
      <c r="F160" s="99">
        <f t="shared" si="75"/>
        <v>0</v>
      </c>
      <c r="G160" s="99">
        <f t="shared" si="75"/>
        <v>0</v>
      </c>
      <c r="H160" s="99">
        <f t="shared" si="75"/>
        <v>0</v>
      </c>
      <c r="I160" s="99">
        <f t="shared" si="75"/>
        <v>0</v>
      </c>
      <c r="J160" s="99">
        <f t="shared" si="75"/>
        <v>0</v>
      </c>
      <c r="K160" s="99">
        <f t="shared" si="75"/>
        <v>0</v>
      </c>
      <c r="L160" s="99">
        <f t="shared" si="75"/>
        <v>0</v>
      </c>
      <c r="M160" s="213">
        <f t="shared" si="75"/>
        <v>0</v>
      </c>
    </row>
    <row r="161" spans="1:13" ht="15.75" x14ac:dyDescent="0.25">
      <c r="A161" s="98" t="s">
        <v>132</v>
      </c>
      <c r="B161" s="91" t="s">
        <v>82</v>
      </c>
      <c r="C161" s="100">
        <f t="shared" ref="C161:M161" si="76">C129+C144</f>
        <v>38919.4</v>
      </c>
      <c r="D161" s="100">
        <f t="shared" si="76"/>
        <v>0</v>
      </c>
      <c r="E161" s="100">
        <f t="shared" si="76"/>
        <v>0</v>
      </c>
      <c r="F161" s="100">
        <f t="shared" si="76"/>
        <v>0</v>
      </c>
      <c r="G161" s="100">
        <f t="shared" si="76"/>
        <v>0</v>
      </c>
      <c r="H161" s="100">
        <f t="shared" si="76"/>
        <v>0</v>
      </c>
      <c r="I161" s="100">
        <f t="shared" si="76"/>
        <v>0</v>
      </c>
      <c r="J161" s="100">
        <f t="shared" si="76"/>
        <v>0</v>
      </c>
      <c r="K161" s="100">
        <f t="shared" si="76"/>
        <v>0</v>
      </c>
      <c r="L161" s="100">
        <f t="shared" si="76"/>
        <v>0</v>
      </c>
      <c r="M161" s="214">
        <f t="shared" si="76"/>
        <v>0</v>
      </c>
    </row>
    <row r="162" spans="1:13" ht="15.75" x14ac:dyDescent="0.25">
      <c r="A162" s="92"/>
      <c r="B162" s="94"/>
    </row>
    <row r="169" spans="1:13" x14ac:dyDescent="0.25">
      <c r="D169" s="187"/>
      <c r="E169" s="187"/>
      <c r="F169" s="187"/>
      <c r="G169" s="187"/>
      <c r="H169" s="187"/>
      <c r="I169" s="187"/>
      <c r="J169" s="187"/>
      <c r="K169" s="187"/>
      <c r="L169" s="187"/>
    </row>
    <row r="170" spans="1:13" x14ac:dyDescent="0.25">
      <c r="C170" s="108"/>
      <c r="D170" s="108"/>
      <c r="E170" s="108"/>
      <c r="F170" s="108"/>
      <c r="G170" s="108"/>
      <c r="H170" s="108"/>
      <c r="I170" s="108"/>
      <c r="J170" s="108"/>
      <c r="K170" s="108"/>
      <c r="L170" s="108"/>
    </row>
    <row r="172" spans="1:13" x14ac:dyDescent="0.25">
      <c r="D172" s="108"/>
      <c r="E172" s="108"/>
      <c r="F172" s="108"/>
      <c r="G172" s="108"/>
      <c r="H172" s="108"/>
      <c r="I172" s="108"/>
      <c r="J172" s="108"/>
      <c r="K172" s="108"/>
      <c r="L172" s="108"/>
    </row>
  </sheetData>
  <mergeCells count="4">
    <mergeCell ref="A1:M1"/>
    <mergeCell ref="A2:M2"/>
    <mergeCell ref="A3:M3"/>
    <mergeCell ref="A154:A155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72"/>
  <sheetViews>
    <sheetView workbookViewId="0">
      <selection sqref="A1:M1"/>
    </sheetView>
  </sheetViews>
  <sheetFormatPr defaultColWidth="9.140625" defaultRowHeight="15" x14ac:dyDescent="0.25"/>
  <cols>
    <col min="1" max="1" width="24.7109375" bestFit="1" customWidth="1"/>
    <col min="2" max="2" width="65.7109375" bestFit="1" customWidth="1"/>
    <col min="3" max="4" width="14" customWidth="1"/>
    <col min="5" max="6" width="14" bestFit="1" customWidth="1"/>
    <col min="7" max="13" width="14" customWidth="1"/>
    <col min="14" max="14" width="12.28515625" bestFit="1" customWidth="1"/>
    <col min="15" max="15" width="18.7109375" bestFit="1" customWidth="1"/>
    <col min="16" max="16" width="13.28515625" bestFit="1" customWidth="1"/>
    <col min="17" max="17" width="10.5703125" bestFit="1" customWidth="1"/>
    <col min="18" max="18" width="7.5703125" bestFit="1" customWidth="1"/>
    <col min="19" max="19" width="10.5703125" bestFit="1" customWidth="1"/>
    <col min="21" max="21" width="8" bestFit="1" customWidth="1"/>
    <col min="23" max="23" width="9.7109375" bestFit="1" customWidth="1"/>
  </cols>
  <sheetData>
    <row r="1" spans="1:23" ht="18.75" x14ac:dyDescent="0.3">
      <c r="A1" s="676" t="s">
        <v>67</v>
      </c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676"/>
    </row>
    <row r="2" spans="1:23" ht="21" x14ac:dyDescent="0.35">
      <c r="A2" s="681" t="s">
        <v>69</v>
      </c>
      <c r="B2" s="681"/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</row>
    <row r="3" spans="1:23" ht="18" thickBot="1" x14ac:dyDescent="0.35">
      <c r="A3" s="693" t="s">
        <v>148</v>
      </c>
      <c r="B3" s="693"/>
      <c r="C3" s="693"/>
      <c r="D3" s="693"/>
      <c r="E3" s="693"/>
      <c r="F3" s="693"/>
      <c r="G3" s="693"/>
      <c r="H3" s="693"/>
      <c r="I3" s="693"/>
      <c r="J3" s="693"/>
      <c r="K3" s="693"/>
      <c r="L3" s="693"/>
      <c r="M3" s="693"/>
    </row>
    <row r="4" spans="1:23" ht="15.75" x14ac:dyDescent="0.25">
      <c r="A4" s="101" t="s">
        <v>66</v>
      </c>
      <c r="B4" s="102"/>
      <c r="C4" s="103">
        <v>43131</v>
      </c>
      <c r="D4" s="103">
        <v>43159</v>
      </c>
      <c r="E4" s="103">
        <v>43190</v>
      </c>
      <c r="F4" s="103">
        <v>43220</v>
      </c>
      <c r="G4" s="103">
        <v>43251</v>
      </c>
      <c r="H4" s="103">
        <v>43281</v>
      </c>
      <c r="I4" s="103">
        <v>43312</v>
      </c>
      <c r="J4" s="103">
        <v>43343</v>
      </c>
      <c r="K4" s="103">
        <v>43373</v>
      </c>
      <c r="L4" s="103">
        <v>43404</v>
      </c>
      <c r="M4" s="200" t="s">
        <v>147</v>
      </c>
      <c r="N4" s="104" t="s">
        <v>137</v>
      </c>
    </row>
    <row r="5" spans="1:23" x14ac:dyDescent="0.25">
      <c r="A5" s="4"/>
      <c r="B5" s="89" t="s">
        <v>136</v>
      </c>
      <c r="C5" s="185">
        <v>4.2500000000000003E-2</v>
      </c>
      <c r="D5" s="185">
        <v>4.2500000000000003E-2</v>
      </c>
      <c r="E5" s="185">
        <v>4.2500000000000003E-2</v>
      </c>
      <c r="F5" s="185">
        <v>4.4699999999999997E-2</v>
      </c>
      <c r="G5" s="185">
        <v>4.4699999999999997E-2</v>
      </c>
      <c r="H5" s="185">
        <v>4.4699999999999997E-2</v>
      </c>
      <c r="I5" s="185">
        <v>4.6899999999999997E-2</v>
      </c>
      <c r="J5" s="185">
        <v>4.6899999999999997E-2</v>
      </c>
      <c r="K5" s="185">
        <v>4.6899999999999997E-2</v>
      </c>
      <c r="L5" s="185">
        <v>4.9599999999999998E-2</v>
      </c>
      <c r="M5" s="201"/>
    </row>
    <row r="6" spans="1:23" ht="15.75" x14ac:dyDescent="0.25">
      <c r="A6" s="183"/>
      <c r="B6" s="89" t="s">
        <v>140</v>
      </c>
      <c r="C6" s="192">
        <v>31</v>
      </c>
      <c r="D6" s="192">
        <v>28</v>
      </c>
      <c r="E6" s="192">
        <v>31</v>
      </c>
      <c r="F6" s="192">
        <v>30</v>
      </c>
      <c r="G6" s="192">
        <v>31</v>
      </c>
      <c r="H6" s="192">
        <v>30</v>
      </c>
      <c r="I6" s="192">
        <v>31</v>
      </c>
      <c r="J6" s="192">
        <v>31</v>
      </c>
      <c r="K6" s="192">
        <v>30</v>
      </c>
      <c r="L6" s="192">
        <v>31</v>
      </c>
      <c r="M6" s="202"/>
    </row>
    <row r="7" spans="1:23" x14ac:dyDescent="0.25">
      <c r="A7" s="86">
        <v>502</v>
      </c>
      <c r="B7" s="104" t="s">
        <v>84</v>
      </c>
      <c r="M7" s="203"/>
    </row>
    <row r="8" spans="1:23" x14ac:dyDescent="0.25">
      <c r="A8" s="87" t="s">
        <v>64</v>
      </c>
      <c r="B8" t="s">
        <v>65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204"/>
      <c r="Q8" s="113"/>
      <c r="S8" s="113"/>
    </row>
    <row r="9" spans="1:23" x14ac:dyDescent="0.25">
      <c r="A9" s="87" t="s">
        <v>71</v>
      </c>
      <c r="B9" t="s">
        <v>70</v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205"/>
      <c r="O9" s="122"/>
      <c r="P9" s="108"/>
      <c r="Q9" s="112"/>
      <c r="S9" s="112"/>
      <c r="W9" s="112"/>
    </row>
    <row r="10" spans="1:23" x14ac:dyDescent="0.25">
      <c r="A10" s="87"/>
      <c r="B10" s="89" t="s">
        <v>74</v>
      </c>
      <c r="C10" s="108">
        <f t="shared" ref="C10:M10" si="0">C9</f>
        <v>0</v>
      </c>
      <c r="D10" s="108">
        <f t="shared" si="0"/>
        <v>0</v>
      </c>
      <c r="E10" s="108">
        <f t="shared" si="0"/>
        <v>0</v>
      </c>
      <c r="F10" s="108">
        <f t="shared" si="0"/>
        <v>0</v>
      </c>
      <c r="G10" s="108">
        <f t="shared" si="0"/>
        <v>0</v>
      </c>
      <c r="H10" s="108">
        <f t="shared" si="0"/>
        <v>0</v>
      </c>
      <c r="I10" s="108">
        <f t="shared" si="0"/>
        <v>0</v>
      </c>
      <c r="J10" s="108">
        <f t="shared" si="0"/>
        <v>0</v>
      </c>
      <c r="K10" s="108">
        <f t="shared" si="0"/>
        <v>0</v>
      </c>
      <c r="L10" s="108">
        <f t="shared" si="0"/>
        <v>0</v>
      </c>
      <c r="M10" s="206">
        <f t="shared" si="0"/>
        <v>0</v>
      </c>
      <c r="O10" s="122"/>
      <c r="P10" s="108"/>
      <c r="Q10" s="112"/>
      <c r="S10" s="112"/>
      <c r="W10" s="112"/>
    </row>
    <row r="11" spans="1:23" x14ac:dyDescent="0.25">
      <c r="A11" s="87"/>
      <c r="B11" s="89" t="s">
        <v>73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205">
        <f>ROUND(-'Authorized Margins'!G35*'WACAP 2017'!M8,2)</f>
        <v>0</v>
      </c>
    </row>
    <row r="12" spans="1:23" x14ac:dyDescent="0.25">
      <c r="A12" s="87"/>
      <c r="B12" s="89" t="s">
        <v>75</v>
      </c>
      <c r="C12" s="90">
        <f>-'WACAP 2017'!Q14</f>
        <v>-13086.609999999999</v>
      </c>
      <c r="D12" s="90">
        <f t="shared" ref="D12:L12" si="1">SUM(D10:D11)</f>
        <v>0</v>
      </c>
      <c r="E12" s="90">
        <f t="shared" si="1"/>
        <v>0</v>
      </c>
      <c r="F12" s="90">
        <f t="shared" si="1"/>
        <v>0</v>
      </c>
      <c r="G12" s="90">
        <f t="shared" si="1"/>
        <v>0</v>
      </c>
      <c r="H12" s="90">
        <f t="shared" si="1"/>
        <v>0</v>
      </c>
      <c r="I12" s="90">
        <f t="shared" si="1"/>
        <v>0</v>
      </c>
      <c r="J12" s="90">
        <f t="shared" si="1"/>
        <v>0</v>
      </c>
      <c r="K12" s="90">
        <f t="shared" si="1"/>
        <v>0</v>
      </c>
      <c r="L12" s="90">
        <f t="shared" si="1"/>
        <v>0</v>
      </c>
      <c r="M12" s="215"/>
    </row>
    <row r="13" spans="1:23" x14ac:dyDescent="0.25">
      <c r="A13" s="87"/>
      <c r="B13" s="89" t="s">
        <v>137</v>
      </c>
      <c r="C13" s="187">
        <f>ROUND(ROUND(C12*C$5,2)/365*C$6,2)</f>
        <v>-47.24</v>
      </c>
      <c r="D13" s="187">
        <f>ROUND(ROUND(C15*D$5,2)/365*D$6,2)</f>
        <v>-42.82</v>
      </c>
      <c r="E13" s="187">
        <f t="shared" ref="E13:L13" si="2">ROUND(ROUND(D15*E$5,2)/365*E$6,2)</f>
        <v>-47.56</v>
      </c>
      <c r="F13" s="187">
        <f t="shared" si="2"/>
        <v>-48.59</v>
      </c>
      <c r="G13" s="187">
        <f t="shared" si="2"/>
        <v>-50.39</v>
      </c>
      <c r="H13" s="187">
        <f t="shared" si="2"/>
        <v>-48.95</v>
      </c>
      <c r="I13" s="187">
        <f t="shared" si="2"/>
        <v>-53.26</v>
      </c>
      <c r="J13" s="187">
        <f t="shared" si="2"/>
        <v>-53.48</v>
      </c>
      <c r="K13" s="187">
        <f t="shared" si="2"/>
        <v>-51.96</v>
      </c>
      <c r="L13" s="187">
        <f t="shared" si="2"/>
        <v>-57</v>
      </c>
      <c r="M13" s="208">
        <f>ROUND(ROUND(K15*M$5,2)/365*M$6,2)</f>
        <v>0</v>
      </c>
      <c r="N13" s="108">
        <f>SUM(C13:M13)</f>
        <v>-501.25</v>
      </c>
    </row>
    <row r="14" spans="1:23" x14ac:dyDescent="0.25">
      <c r="A14" s="87"/>
      <c r="B14" s="89" t="s">
        <v>138</v>
      </c>
      <c r="C14" s="189">
        <f>C13</f>
        <v>-47.24</v>
      </c>
      <c r="D14" s="189">
        <f t="shared" ref="D14:M14" si="3">SUM(D12:D13)</f>
        <v>-42.82</v>
      </c>
      <c r="E14" s="189">
        <f t="shared" si="3"/>
        <v>-47.56</v>
      </c>
      <c r="F14" s="189">
        <f t="shared" si="3"/>
        <v>-48.59</v>
      </c>
      <c r="G14" s="189">
        <f t="shared" si="3"/>
        <v>-50.39</v>
      </c>
      <c r="H14" s="189">
        <f t="shared" si="3"/>
        <v>-48.95</v>
      </c>
      <c r="I14" s="189">
        <f t="shared" si="3"/>
        <v>-53.26</v>
      </c>
      <c r="J14" s="189">
        <f t="shared" si="3"/>
        <v>-53.48</v>
      </c>
      <c r="K14" s="189">
        <f t="shared" si="3"/>
        <v>-51.96</v>
      </c>
      <c r="L14" s="189">
        <f t="shared" si="3"/>
        <v>-57</v>
      </c>
      <c r="M14" s="209">
        <f t="shared" si="3"/>
        <v>0</v>
      </c>
    </row>
    <row r="15" spans="1:23" x14ac:dyDescent="0.25">
      <c r="A15" s="87"/>
      <c r="B15" s="89" t="s">
        <v>139</v>
      </c>
      <c r="C15" s="90">
        <f>C14+C12</f>
        <v>-13133.849999999999</v>
      </c>
      <c r="D15" s="90">
        <f>C15+D14</f>
        <v>-13176.669999999998</v>
      </c>
      <c r="E15" s="90">
        <f t="shared" ref="E15:M15" si="4">D15+E14</f>
        <v>-13224.229999999998</v>
      </c>
      <c r="F15" s="90">
        <f t="shared" si="4"/>
        <v>-13272.819999999998</v>
      </c>
      <c r="G15" s="90">
        <f t="shared" si="4"/>
        <v>-13323.209999999997</v>
      </c>
      <c r="H15" s="90">
        <f t="shared" si="4"/>
        <v>-13372.159999999998</v>
      </c>
      <c r="I15" s="90">
        <f t="shared" si="4"/>
        <v>-13425.419999999998</v>
      </c>
      <c r="J15" s="90">
        <f t="shared" si="4"/>
        <v>-13478.899999999998</v>
      </c>
      <c r="K15" s="90">
        <f t="shared" si="4"/>
        <v>-13530.859999999997</v>
      </c>
      <c r="L15" s="90">
        <f t="shared" si="4"/>
        <v>-13587.859999999997</v>
      </c>
      <c r="M15" s="207">
        <f t="shared" si="4"/>
        <v>-13587.859999999997</v>
      </c>
    </row>
    <row r="16" spans="1:23" x14ac:dyDescent="0.25">
      <c r="A16" s="86"/>
      <c r="C16" s="113"/>
      <c r="D16" s="113"/>
      <c r="E16" s="108"/>
      <c r="F16" s="112"/>
      <c r="G16" s="112"/>
      <c r="H16" s="112"/>
      <c r="I16" s="112"/>
      <c r="J16" s="112"/>
      <c r="K16" s="112"/>
      <c r="L16" s="112"/>
      <c r="M16" s="210"/>
      <c r="R16" s="104"/>
    </row>
    <row r="17" spans="1:23" x14ac:dyDescent="0.25">
      <c r="A17" s="86">
        <v>503</v>
      </c>
      <c r="B17" s="104" t="s">
        <v>84</v>
      </c>
      <c r="C17" s="113"/>
      <c r="D17" s="113"/>
      <c r="E17" s="108"/>
      <c r="F17" s="108"/>
      <c r="G17" s="113"/>
      <c r="H17" s="113"/>
      <c r="I17" s="113"/>
      <c r="J17" s="113"/>
      <c r="K17" s="113"/>
      <c r="L17" s="113"/>
      <c r="M17" s="204"/>
      <c r="Q17" s="113"/>
      <c r="S17" s="113"/>
    </row>
    <row r="18" spans="1:23" x14ac:dyDescent="0.25">
      <c r="A18" s="87" t="s">
        <v>64</v>
      </c>
      <c r="B18" t="s">
        <v>65</v>
      </c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204"/>
      <c r="O18" s="122"/>
      <c r="P18" s="108"/>
      <c r="Q18" s="112"/>
      <c r="S18" s="112"/>
      <c r="W18" s="112"/>
    </row>
    <row r="19" spans="1:23" x14ac:dyDescent="0.25">
      <c r="A19" s="87" t="s">
        <v>71</v>
      </c>
      <c r="B19" t="s">
        <v>70</v>
      </c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206"/>
      <c r="O19" s="122"/>
      <c r="P19" s="108"/>
      <c r="Q19" s="112"/>
      <c r="S19" s="112"/>
      <c r="W19" s="112"/>
    </row>
    <row r="20" spans="1:23" x14ac:dyDescent="0.25">
      <c r="A20" s="87" t="s">
        <v>72</v>
      </c>
      <c r="B20" t="s">
        <v>114</v>
      </c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206"/>
    </row>
    <row r="21" spans="1:23" x14ac:dyDescent="0.25">
      <c r="A21" s="87" t="s">
        <v>72</v>
      </c>
      <c r="B21" t="s">
        <v>115</v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205"/>
    </row>
    <row r="22" spans="1:23" x14ac:dyDescent="0.25">
      <c r="A22" s="87"/>
      <c r="B22" s="89" t="s">
        <v>74</v>
      </c>
      <c r="C22" s="108">
        <f t="shared" ref="C22:M22" si="5">SUM(C19:C21)</f>
        <v>0</v>
      </c>
      <c r="D22" s="108">
        <f t="shared" si="5"/>
        <v>0</v>
      </c>
      <c r="E22" s="108">
        <f t="shared" si="5"/>
        <v>0</v>
      </c>
      <c r="F22" s="108">
        <f t="shared" si="5"/>
        <v>0</v>
      </c>
      <c r="G22" s="108">
        <f t="shared" si="5"/>
        <v>0</v>
      </c>
      <c r="H22" s="108">
        <f t="shared" si="5"/>
        <v>0</v>
      </c>
      <c r="I22" s="108">
        <f t="shared" si="5"/>
        <v>0</v>
      </c>
      <c r="J22" s="108">
        <f t="shared" si="5"/>
        <v>0</v>
      </c>
      <c r="K22" s="108">
        <f t="shared" si="5"/>
        <v>0</v>
      </c>
      <c r="L22" s="108">
        <f t="shared" si="5"/>
        <v>0</v>
      </c>
      <c r="M22" s="206">
        <f t="shared" si="5"/>
        <v>0</v>
      </c>
    </row>
    <row r="23" spans="1:23" x14ac:dyDescent="0.25">
      <c r="A23" s="87"/>
      <c r="B23" s="89" t="s">
        <v>73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205">
        <f>ROUND(-'Authorized Margins'!G41*'WACAP 2017'!M18,2)</f>
        <v>0</v>
      </c>
      <c r="Q23" s="113"/>
      <c r="S23" s="113"/>
    </row>
    <row r="24" spans="1:23" x14ac:dyDescent="0.25">
      <c r="A24" s="87"/>
      <c r="B24" s="89" t="s">
        <v>75</v>
      </c>
      <c r="C24" s="90">
        <f>-'WACAP 2017'!Q26</f>
        <v>-2815845.8400000012</v>
      </c>
      <c r="D24" s="90">
        <f t="shared" ref="D24" si="6">SUM(D22:D23)</f>
        <v>0</v>
      </c>
      <c r="E24" s="90">
        <f t="shared" ref="E24:L24" si="7">SUM(E22:E23)</f>
        <v>0</v>
      </c>
      <c r="F24" s="90">
        <f t="shared" si="7"/>
        <v>0</v>
      </c>
      <c r="G24" s="90">
        <f t="shared" si="7"/>
        <v>0</v>
      </c>
      <c r="H24" s="90">
        <f t="shared" si="7"/>
        <v>0</v>
      </c>
      <c r="I24" s="90">
        <f t="shared" si="7"/>
        <v>0</v>
      </c>
      <c r="J24" s="90">
        <f t="shared" si="7"/>
        <v>0</v>
      </c>
      <c r="K24" s="90">
        <f t="shared" si="7"/>
        <v>0</v>
      </c>
      <c r="L24" s="90">
        <f t="shared" si="7"/>
        <v>0</v>
      </c>
      <c r="M24" s="215"/>
      <c r="O24" s="122"/>
      <c r="P24" s="108"/>
      <c r="Q24" s="112"/>
      <c r="S24" s="112"/>
      <c r="W24" s="112"/>
    </row>
    <row r="25" spans="1:23" x14ac:dyDescent="0.25">
      <c r="A25" s="87"/>
      <c r="B25" s="89" t="s">
        <v>137</v>
      </c>
      <c r="C25" s="199">
        <f>ROUND(ROUND(C24*C$5,2)/365*C$6,2)+0.01</f>
        <v>-10164.039999999999</v>
      </c>
      <c r="D25" s="187">
        <f>ROUND(ROUND(C27*D$5,2)/365*D$6,2)</f>
        <v>-9213.57</v>
      </c>
      <c r="E25" s="199">
        <f>ROUND(ROUND(D27*E$5,2)/365*E$6,2)-0.01</f>
        <v>-10234</v>
      </c>
      <c r="F25" s="199">
        <f>ROUND(ROUND(E27*F$5,2)/365*F$6,2)+0.01</f>
        <v>-10454.119999999999</v>
      </c>
      <c r="G25" s="199">
        <f>ROUND(ROUND(F27*G$5,2)/365*G$6,2)-0.01</f>
        <v>-10842.300000000001</v>
      </c>
      <c r="H25" s="199">
        <f>ROUND(ROUND(G27*H$5,2)/365*H$6,2)+0.01</f>
        <v>-10532.369999999999</v>
      </c>
      <c r="I25" s="187">
        <f t="shared" ref="I25:K25" si="8">ROUND(ROUND(H27*I$5,2)/365*I$6,2)</f>
        <v>-11461.06</v>
      </c>
      <c r="J25" s="199">
        <f>ROUND(ROUND(I27*J$5,2)/365*J$6,2)+0.01</f>
        <v>-11506.699999999999</v>
      </c>
      <c r="K25" s="187">
        <f t="shared" si="8"/>
        <v>-11179.88</v>
      </c>
      <c r="L25" s="199">
        <f>ROUND(ROUND(K27*L$5,2)/365*L$6,2)+0.01</f>
        <v>-12264.699999999999</v>
      </c>
      <c r="M25" s="208">
        <f>ROUND(ROUND(K27*M$5,2)/365*M$6,2)</f>
        <v>0</v>
      </c>
      <c r="N25" s="108">
        <f>SUM(C25:M25)</f>
        <v>-107852.73999999999</v>
      </c>
    </row>
    <row r="26" spans="1:23" x14ac:dyDescent="0.25">
      <c r="A26" s="87"/>
      <c r="B26" s="89" t="s">
        <v>138</v>
      </c>
      <c r="C26" s="189">
        <f>C25</f>
        <v>-10164.039999999999</v>
      </c>
      <c r="D26" s="189">
        <f t="shared" ref="D26:M26" si="9">SUM(D24:D25)</f>
        <v>-9213.57</v>
      </c>
      <c r="E26" s="189">
        <f t="shared" si="9"/>
        <v>-10234</v>
      </c>
      <c r="F26" s="189">
        <f t="shared" si="9"/>
        <v>-10454.119999999999</v>
      </c>
      <c r="G26" s="189">
        <f t="shared" si="9"/>
        <v>-10842.300000000001</v>
      </c>
      <c r="H26" s="189">
        <f t="shared" si="9"/>
        <v>-10532.369999999999</v>
      </c>
      <c r="I26" s="189">
        <f t="shared" si="9"/>
        <v>-11461.06</v>
      </c>
      <c r="J26" s="189">
        <f t="shared" si="9"/>
        <v>-11506.699999999999</v>
      </c>
      <c r="K26" s="189">
        <f t="shared" si="9"/>
        <v>-11179.88</v>
      </c>
      <c r="L26" s="189">
        <f t="shared" si="9"/>
        <v>-12264.699999999999</v>
      </c>
      <c r="M26" s="209">
        <f t="shared" si="9"/>
        <v>0</v>
      </c>
    </row>
    <row r="27" spans="1:23" x14ac:dyDescent="0.25">
      <c r="A27" s="87"/>
      <c r="B27" s="89" t="s">
        <v>139</v>
      </c>
      <c r="C27" s="90">
        <f>C26+C24</f>
        <v>-2826009.8800000013</v>
      </c>
      <c r="D27" s="90">
        <f>C27+D26</f>
        <v>-2835223.4500000011</v>
      </c>
      <c r="E27" s="90">
        <f t="shared" ref="E27:M27" si="10">D27+E26</f>
        <v>-2845457.4500000011</v>
      </c>
      <c r="F27" s="90">
        <f t="shared" si="10"/>
        <v>-2855911.5700000012</v>
      </c>
      <c r="G27" s="90">
        <f t="shared" si="10"/>
        <v>-2866753.870000001</v>
      </c>
      <c r="H27" s="90">
        <f t="shared" si="10"/>
        <v>-2877286.2400000012</v>
      </c>
      <c r="I27" s="90">
        <f t="shared" si="10"/>
        <v>-2888747.3000000012</v>
      </c>
      <c r="J27" s="90">
        <f t="shared" si="10"/>
        <v>-2900254.0000000014</v>
      </c>
      <c r="K27" s="90">
        <f t="shared" si="10"/>
        <v>-2911433.8800000013</v>
      </c>
      <c r="L27" s="90">
        <f t="shared" si="10"/>
        <v>-2923698.5800000015</v>
      </c>
      <c r="M27" s="207">
        <f t="shared" si="10"/>
        <v>-2923698.5800000015</v>
      </c>
    </row>
    <row r="28" spans="1:23" x14ac:dyDescent="0.25">
      <c r="A28" s="87"/>
      <c r="B28" s="8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207"/>
      <c r="O28" s="122"/>
      <c r="P28" s="108"/>
      <c r="Q28" s="112"/>
      <c r="S28" s="112"/>
      <c r="W28" s="112"/>
    </row>
    <row r="29" spans="1:23" x14ac:dyDescent="0.25">
      <c r="A29" s="86">
        <v>505</v>
      </c>
      <c r="B29" s="104" t="s">
        <v>85</v>
      </c>
      <c r="C29" s="113"/>
      <c r="D29" s="113"/>
      <c r="E29" s="108"/>
      <c r="F29" s="113"/>
      <c r="G29" s="113"/>
      <c r="H29" s="113"/>
      <c r="I29" s="113"/>
      <c r="J29" s="113"/>
      <c r="K29" s="113"/>
      <c r="L29" s="113"/>
      <c r="M29" s="204"/>
    </row>
    <row r="30" spans="1:23" x14ac:dyDescent="0.25">
      <c r="A30" s="87" t="s">
        <v>64</v>
      </c>
      <c r="B30" t="s">
        <v>65</v>
      </c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204"/>
    </row>
    <row r="31" spans="1:23" x14ac:dyDescent="0.25">
      <c r="A31" s="87" t="s">
        <v>71</v>
      </c>
      <c r="B31" t="s">
        <v>117</v>
      </c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206"/>
    </row>
    <row r="32" spans="1:23" x14ac:dyDescent="0.25">
      <c r="A32" s="87" t="s">
        <v>71</v>
      </c>
      <c r="B32" t="s">
        <v>95</v>
      </c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206"/>
    </row>
    <row r="33" spans="1:14" x14ac:dyDescent="0.25">
      <c r="A33" s="87" t="s">
        <v>71</v>
      </c>
      <c r="B33" t="s">
        <v>97</v>
      </c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206"/>
    </row>
    <row r="34" spans="1:14" x14ac:dyDescent="0.25">
      <c r="A34" s="87" t="s">
        <v>71</v>
      </c>
      <c r="B34" t="s">
        <v>96</v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205"/>
    </row>
    <row r="35" spans="1:14" x14ac:dyDescent="0.25">
      <c r="A35" s="86"/>
      <c r="B35" s="89" t="s">
        <v>74</v>
      </c>
      <c r="C35" s="108">
        <f t="shared" ref="C35:M35" si="11">SUM(C31:C34)</f>
        <v>0</v>
      </c>
      <c r="D35" s="108">
        <f t="shared" si="11"/>
        <v>0</v>
      </c>
      <c r="E35" s="108">
        <f t="shared" si="11"/>
        <v>0</v>
      </c>
      <c r="F35" s="108">
        <f t="shared" si="11"/>
        <v>0</v>
      </c>
      <c r="G35" s="108">
        <f t="shared" si="11"/>
        <v>0</v>
      </c>
      <c r="H35" s="108">
        <f t="shared" si="11"/>
        <v>0</v>
      </c>
      <c r="I35" s="108">
        <f t="shared" si="11"/>
        <v>0</v>
      </c>
      <c r="J35" s="108">
        <f t="shared" si="11"/>
        <v>0</v>
      </c>
      <c r="K35" s="108">
        <f t="shared" si="11"/>
        <v>0</v>
      </c>
      <c r="L35" s="108">
        <f t="shared" si="11"/>
        <v>0</v>
      </c>
      <c r="M35" s="206">
        <f t="shared" si="11"/>
        <v>0</v>
      </c>
    </row>
    <row r="36" spans="1:14" x14ac:dyDescent="0.25">
      <c r="A36" s="86"/>
      <c r="B36" s="89" t="s">
        <v>73</v>
      </c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205">
        <f>ROUND(-'Authorized Margins'!G60*'WACAP 2017'!M30,2)</f>
        <v>0</v>
      </c>
    </row>
    <row r="37" spans="1:14" x14ac:dyDescent="0.25">
      <c r="A37" s="86"/>
      <c r="B37" s="89" t="s">
        <v>75</v>
      </c>
      <c r="C37" s="90">
        <f>-'WACAP 2017'!Q39</f>
        <v>-29054.270000000008</v>
      </c>
      <c r="D37" s="90">
        <f t="shared" ref="D37" si="12">SUM(D35:D36)</f>
        <v>0</v>
      </c>
      <c r="E37" s="90">
        <f t="shared" ref="E37:L37" si="13">SUM(E35:E36)</f>
        <v>0</v>
      </c>
      <c r="F37" s="90">
        <f t="shared" si="13"/>
        <v>0</v>
      </c>
      <c r="G37" s="90">
        <f t="shared" si="13"/>
        <v>0</v>
      </c>
      <c r="H37" s="90">
        <f t="shared" si="13"/>
        <v>0</v>
      </c>
      <c r="I37" s="90">
        <f t="shared" si="13"/>
        <v>0</v>
      </c>
      <c r="J37" s="90">
        <f t="shared" si="13"/>
        <v>0</v>
      </c>
      <c r="K37" s="90">
        <f t="shared" si="13"/>
        <v>0</v>
      </c>
      <c r="L37" s="90">
        <f t="shared" si="13"/>
        <v>0</v>
      </c>
      <c r="M37" s="207"/>
    </row>
    <row r="38" spans="1:14" x14ac:dyDescent="0.25">
      <c r="A38" s="87"/>
      <c r="B38" s="89" t="s">
        <v>137</v>
      </c>
      <c r="C38" s="187">
        <f>ROUND(ROUND(C37*C$5,2)/365*C$6,2)</f>
        <v>-104.87</v>
      </c>
      <c r="D38" s="187">
        <f>ROUND(ROUND(C40*D$5,2)/365*D$6,2)</f>
        <v>-95.07</v>
      </c>
      <c r="E38" s="187">
        <f t="shared" ref="E38:L38" si="14">ROUND(ROUND(D40*E$5,2)/365*E$6,2)</f>
        <v>-105.6</v>
      </c>
      <c r="F38" s="187">
        <f t="shared" si="14"/>
        <v>-107.87</v>
      </c>
      <c r="G38" s="187">
        <f t="shared" si="14"/>
        <v>-111.87</v>
      </c>
      <c r="H38" s="187">
        <f t="shared" si="14"/>
        <v>-108.67</v>
      </c>
      <c r="I38" s="187">
        <f t="shared" si="14"/>
        <v>-118.26</v>
      </c>
      <c r="J38" s="187">
        <f t="shared" si="14"/>
        <v>-118.73</v>
      </c>
      <c r="K38" s="187">
        <f t="shared" si="14"/>
        <v>-115.36</v>
      </c>
      <c r="L38" s="187">
        <f t="shared" si="14"/>
        <v>-126.55</v>
      </c>
      <c r="M38" s="208">
        <f>ROUND(ROUND(K40*M$5,2)/365*M$6,2)</f>
        <v>0</v>
      </c>
      <c r="N38" s="108">
        <f>SUM(C38:M38)</f>
        <v>-1112.8499999999999</v>
      </c>
    </row>
    <row r="39" spans="1:14" x14ac:dyDescent="0.25">
      <c r="A39" s="87"/>
      <c r="B39" s="89" t="s">
        <v>138</v>
      </c>
      <c r="C39" s="189">
        <f>C38</f>
        <v>-104.87</v>
      </c>
      <c r="D39" s="189">
        <f t="shared" ref="D39:M39" si="15">SUM(D37:D38)</f>
        <v>-95.07</v>
      </c>
      <c r="E39" s="189">
        <f t="shared" si="15"/>
        <v>-105.6</v>
      </c>
      <c r="F39" s="189">
        <f t="shared" si="15"/>
        <v>-107.87</v>
      </c>
      <c r="G39" s="189">
        <f t="shared" si="15"/>
        <v>-111.87</v>
      </c>
      <c r="H39" s="189">
        <f t="shared" si="15"/>
        <v>-108.67</v>
      </c>
      <c r="I39" s="189">
        <f t="shared" si="15"/>
        <v>-118.26</v>
      </c>
      <c r="J39" s="189">
        <f t="shared" si="15"/>
        <v>-118.73</v>
      </c>
      <c r="K39" s="189">
        <f t="shared" si="15"/>
        <v>-115.36</v>
      </c>
      <c r="L39" s="189">
        <f t="shared" si="15"/>
        <v>-126.55</v>
      </c>
      <c r="M39" s="209">
        <f t="shared" si="15"/>
        <v>0</v>
      </c>
    </row>
    <row r="40" spans="1:14" x14ac:dyDescent="0.25">
      <c r="A40" s="87"/>
      <c r="B40" s="89" t="s">
        <v>139</v>
      </c>
      <c r="C40" s="90">
        <f>C39+C37</f>
        <v>-29159.140000000007</v>
      </c>
      <c r="D40" s="90">
        <f>C40+D39</f>
        <v>-29254.210000000006</v>
      </c>
      <c r="E40" s="90">
        <f t="shared" ref="E40:M40" si="16">D40+E39</f>
        <v>-29359.810000000005</v>
      </c>
      <c r="F40" s="90">
        <f t="shared" si="16"/>
        <v>-29467.680000000004</v>
      </c>
      <c r="G40" s="90">
        <f t="shared" si="16"/>
        <v>-29579.550000000003</v>
      </c>
      <c r="H40" s="90">
        <f t="shared" si="16"/>
        <v>-29688.22</v>
      </c>
      <c r="I40" s="90">
        <f t="shared" si="16"/>
        <v>-29806.48</v>
      </c>
      <c r="J40" s="90">
        <f t="shared" si="16"/>
        <v>-29925.21</v>
      </c>
      <c r="K40" s="90">
        <f t="shared" si="16"/>
        <v>-30040.57</v>
      </c>
      <c r="L40" s="90">
        <f t="shared" si="16"/>
        <v>-30167.119999999999</v>
      </c>
      <c r="M40" s="207">
        <f t="shared" si="16"/>
        <v>-30167.119999999999</v>
      </c>
    </row>
    <row r="41" spans="1:14" x14ac:dyDescent="0.25">
      <c r="A41" s="86"/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207"/>
    </row>
    <row r="42" spans="1:14" x14ac:dyDescent="0.25">
      <c r="A42" s="86">
        <v>511</v>
      </c>
      <c r="B42" s="104" t="s">
        <v>85</v>
      </c>
      <c r="C42" s="113"/>
      <c r="D42" s="113"/>
      <c r="E42" s="108"/>
      <c r="F42" s="113"/>
      <c r="G42" s="113"/>
      <c r="H42" s="113"/>
      <c r="I42" s="113"/>
      <c r="J42" s="113"/>
      <c r="K42" s="113"/>
      <c r="L42" s="113"/>
      <c r="M42" s="204"/>
    </row>
    <row r="43" spans="1:14" x14ac:dyDescent="0.25">
      <c r="A43" s="87" t="s">
        <v>64</v>
      </c>
      <c r="B43" t="s">
        <v>65</v>
      </c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204"/>
    </row>
    <row r="44" spans="1:14" x14ac:dyDescent="0.25">
      <c r="A44" s="87" t="s">
        <v>71</v>
      </c>
      <c r="B44" t="s">
        <v>117</v>
      </c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206"/>
    </row>
    <row r="45" spans="1:14" x14ac:dyDescent="0.25">
      <c r="A45" s="87" t="s">
        <v>71</v>
      </c>
      <c r="B45" t="s">
        <v>98</v>
      </c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206"/>
    </row>
    <row r="46" spans="1:14" x14ac:dyDescent="0.25">
      <c r="A46" s="87" t="s">
        <v>71</v>
      </c>
      <c r="B46" t="s">
        <v>99</v>
      </c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206"/>
    </row>
    <row r="47" spans="1:14" x14ac:dyDescent="0.25">
      <c r="A47" s="87" t="s">
        <v>71</v>
      </c>
      <c r="B47" t="s">
        <v>100</v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205"/>
    </row>
    <row r="48" spans="1:14" x14ac:dyDescent="0.25">
      <c r="A48" s="87"/>
      <c r="B48" s="89" t="s">
        <v>74</v>
      </c>
      <c r="C48" s="108">
        <f t="shared" ref="C48:M48" si="17">SUM(C44:C47)</f>
        <v>0</v>
      </c>
      <c r="D48" s="108">
        <f t="shared" si="17"/>
        <v>0</v>
      </c>
      <c r="E48" s="108">
        <f t="shared" si="17"/>
        <v>0</v>
      </c>
      <c r="F48" s="108">
        <f t="shared" si="17"/>
        <v>0</v>
      </c>
      <c r="G48" s="108">
        <f t="shared" si="17"/>
        <v>0</v>
      </c>
      <c r="H48" s="108">
        <f t="shared" si="17"/>
        <v>0</v>
      </c>
      <c r="I48" s="108">
        <f t="shared" si="17"/>
        <v>0</v>
      </c>
      <c r="J48" s="108">
        <f t="shared" si="17"/>
        <v>0</v>
      </c>
      <c r="K48" s="108">
        <f t="shared" si="17"/>
        <v>0</v>
      </c>
      <c r="L48" s="108">
        <f t="shared" si="17"/>
        <v>0</v>
      </c>
      <c r="M48" s="206">
        <f t="shared" si="17"/>
        <v>0</v>
      </c>
    </row>
    <row r="49" spans="1:14" x14ac:dyDescent="0.25">
      <c r="A49" s="87"/>
      <c r="B49" s="89" t="s">
        <v>73</v>
      </c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205">
        <f>ROUND(-'Authorized Margins'!G73*'WACAP 2017'!M43,2)</f>
        <v>0</v>
      </c>
    </row>
    <row r="50" spans="1:14" x14ac:dyDescent="0.25">
      <c r="A50" s="87"/>
      <c r="B50" s="89" t="s">
        <v>75</v>
      </c>
      <c r="C50" s="90">
        <f>-'WACAP 2017'!Q52</f>
        <v>-230373.36999999997</v>
      </c>
      <c r="D50" s="90">
        <f t="shared" ref="D50" si="18">SUM(D48:D49)</f>
        <v>0</v>
      </c>
      <c r="E50" s="90">
        <f t="shared" ref="E50:L50" si="19">SUM(E48:E49)</f>
        <v>0</v>
      </c>
      <c r="F50" s="90">
        <f t="shared" si="19"/>
        <v>0</v>
      </c>
      <c r="G50" s="90">
        <f t="shared" si="19"/>
        <v>0</v>
      </c>
      <c r="H50" s="90">
        <f t="shared" si="19"/>
        <v>0</v>
      </c>
      <c r="I50" s="90">
        <f t="shared" si="19"/>
        <v>0</v>
      </c>
      <c r="J50" s="90">
        <f t="shared" si="19"/>
        <v>0</v>
      </c>
      <c r="K50" s="90">
        <f t="shared" si="19"/>
        <v>0</v>
      </c>
      <c r="L50" s="90">
        <f t="shared" si="19"/>
        <v>0</v>
      </c>
      <c r="M50" s="207"/>
    </row>
    <row r="51" spans="1:14" x14ac:dyDescent="0.25">
      <c r="A51" s="87"/>
      <c r="B51" s="89" t="s">
        <v>137</v>
      </c>
      <c r="C51" s="187">
        <f>ROUND(ROUND(C50*C$5,2)/365*C$6,2)</f>
        <v>-831.55</v>
      </c>
      <c r="D51" s="187">
        <f>ROUND(ROUND(C53*D$5,2)/365*D$6,2)</f>
        <v>-753.79</v>
      </c>
      <c r="E51" s="187">
        <f t="shared" ref="E51:L51" si="20">ROUND(ROUND(D53*E$5,2)/365*E$6,2)</f>
        <v>-837.28</v>
      </c>
      <c r="F51" s="187">
        <f t="shared" si="20"/>
        <v>-855.29</v>
      </c>
      <c r="G51" s="187">
        <f t="shared" si="20"/>
        <v>-887.04</v>
      </c>
      <c r="H51" s="187">
        <f t="shared" si="20"/>
        <v>-861.69</v>
      </c>
      <c r="I51" s="187">
        <f t="shared" si="20"/>
        <v>-937.67</v>
      </c>
      <c r="J51" s="187">
        <f t="shared" si="20"/>
        <v>-941.4</v>
      </c>
      <c r="K51" s="187">
        <f t="shared" si="20"/>
        <v>-914.66</v>
      </c>
      <c r="L51" s="187">
        <f t="shared" si="20"/>
        <v>-1003.42</v>
      </c>
      <c r="M51" s="208">
        <f>ROUND(ROUND(K53*M$5,2)/365*M$6,2)</f>
        <v>0</v>
      </c>
      <c r="N51" s="108">
        <f>SUM(C51:M51)</f>
        <v>-8823.7899999999991</v>
      </c>
    </row>
    <row r="52" spans="1:14" x14ac:dyDescent="0.25">
      <c r="A52" s="87"/>
      <c r="B52" s="89" t="s">
        <v>138</v>
      </c>
      <c r="C52" s="189">
        <f>C51</f>
        <v>-831.55</v>
      </c>
      <c r="D52" s="189">
        <f t="shared" ref="D52:M52" si="21">SUM(D50:D51)</f>
        <v>-753.79</v>
      </c>
      <c r="E52" s="189">
        <f t="shared" si="21"/>
        <v>-837.28</v>
      </c>
      <c r="F52" s="189">
        <f t="shared" si="21"/>
        <v>-855.29</v>
      </c>
      <c r="G52" s="189">
        <f t="shared" si="21"/>
        <v>-887.04</v>
      </c>
      <c r="H52" s="189">
        <f t="shared" si="21"/>
        <v>-861.69</v>
      </c>
      <c r="I52" s="189">
        <f t="shared" si="21"/>
        <v>-937.67</v>
      </c>
      <c r="J52" s="189">
        <f t="shared" si="21"/>
        <v>-941.4</v>
      </c>
      <c r="K52" s="189">
        <f t="shared" si="21"/>
        <v>-914.66</v>
      </c>
      <c r="L52" s="189">
        <f t="shared" si="21"/>
        <v>-1003.42</v>
      </c>
      <c r="M52" s="209">
        <f t="shared" si="21"/>
        <v>0</v>
      </c>
    </row>
    <row r="53" spans="1:14" x14ac:dyDescent="0.25">
      <c r="A53" s="87"/>
      <c r="B53" s="89" t="s">
        <v>139</v>
      </c>
      <c r="C53" s="90">
        <f>C52+C50</f>
        <v>-231204.91999999995</v>
      </c>
      <c r="D53" s="90">
        <f>C53+D52</f>
        <v>-231958.70999999996</v>
      </c>
      <c r="E53" s="90">
        <f t="shared" ref="E53:M53" si="22">D53+E52</f>
        <v>-232795.98999999996</v>
      </c>
      <c r="F53" s="90">
        <f t="shared" si="22"/>
        <v>-233651.27999999997</v>
      </c>
      <c r="G53" s="90">
        <f t="shared" si="22"/>
        <v>-234538.31999999998</v>
      </c>
      <c r="H53" s="90">
        <f t="shared" si="22"/>
        <v>-235400.00999999998</v>
      </c>
      <c r="I53" s="90">
        <f t="shared" si="22"/>
        <v>-236337.68</v>
      </c>
      <c r="J53" s="90">
        <f t="shared" si="22"/>
        <v>-237279.08</v>
      </c>
      <c r="K53" s="90">
        <f t="shared" si="22"/>
        <v>-238193.74</v>
      </c>
      <c r="L53" s="90">
        <f t="shared" si="22"/>
        <v>-239197.16</v>
      </c>
      <c r="M53" s="207">
        <f t="shared" si="22"/>
        <v>-239197.16</v>
      </c>
    </row>
    <row r="54" spans="1:14" x14ac:dyDescent="0.25">
      <c r="A54" s="86"/>
      <c r="C54" s="113"/>
      <c r="D54" s="113"/>
      <c r="E54" s="108"/>
      <c r="F54" s="113"/>
      <c r="G54" s="113"/>
      <c r="H54" s="113"/>
      <c r="I54" s="113"/>
      <c r="J54" s="113"/>
      <c r="K54" s="113"/>
      <c r="L54" s="113"/>
      <c r="M54" s="204"/>
    </row>
    <row r="55" spans="1:14" x14ac:dyDescent="0.25">
      <c r="A55" s="86" t="s">
        <v>142</v>
      </c>
      <c r="B55" s="104" t="s">
        <v>86</v>
      </c>
      <c r="C55" s="113"/>
      <c r="D55" s="113"/>
      <c r="E55" s="108"/>
      <c r="F55" s="113"/>
      <c r="G55" s="113"/>
      <c r="H55" s="113"/>
      <c r="I55" s="113"/>
      <c r="J55" s="113"/>
      <c r="K55" s="113"/>
      <c r="L55" s="113"/>
      <c r="M55" s="204"/>
    </row>
    <row r="56" spans="1:14" x14ac:dyDescent="0.25">
      <c r="A56" s="87" t="s">
        <v>64</v>
      </c>
      <c r="B56" t="s">
        <v>65</v>
      </c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204"/>
    </row>
    <row r="57" spans="1:14" x14ac:dyDescent="0.25">
      <c r="A57" s="87" t="s">
        <v>71</v>
      </c>
      <c r="B57" t="s">
        <v>70</v>
      </c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206"/>
    </row>
    <row r="58" spans="1:14" x14ac:dyDescent="0.25">
      <c r="A58" s="87" t="s">
        <v>72</v>
      </c>
      <c r="B58" t="s">
        <v>143</v>
      </c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206"/>
    </row>
    <row r="59" spans="1:14" x14ac:dyDescent="0.25">
      <c r="A59" s="87" t="s">
        <v>72</v>
      </c>
      <c r="B59" t="s">
        <v>144</v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205"/>
    </row>
    <row r="60" spans="1:14" x14ac:dyDescent="0.25">
      <c r="A60" s="87"/>
      <c r="B60" s="89" t="s">
        <v>74</v>
      </c>
      <c r="C60" s="108">
        <f t="shared" ref="C60:E60" si="23">SUM(C57:C59)</f>
        <v>0</v>
      </c>
      <c r="D60" s="108">
        <f t="shared" si="23"/>
        <v>0</v>
      </c>
      <c r="E60" s="108">
        <f t="shared" si="23"/>
        <v>0</v>
      </c>
      <c r="F60" s="108">
        <f>SUM(F57:F59)</f>
        <v>0</v>
      </c>
      <c r="G60" s="108">
        <f t="shared" ref="G60:M60" si="24">SUM(G57:G59)</f>
        <v>0</v>
      </c>
      <c r="H60" s="108">
        <f t="shared" si="24"/>
        <v>0</v>
      </c>
      <c r="I60" s="108">
        <f t="shared" si="24"/>
        <v>0</v>
      </c>
      <c r="J60" s="108">
        <f t="shared" si="24"/>
        <v>0</v>
      </c>
      <c r="K60" s="108">
        <f t="shared" si="24"/>
        <v>0</v>
      </c>
      <c r="L60" s="108">
        <f t="shared" si="24"/>
        <v>0</v>
      </c>
      <c r="M60" s="206">
        <f t="shared" si="24"/>
        <v>0</v>
      </c>
    </row>
    <row r="61" spans="1:14" x14ac:dyDescent="0.25">
      <c r="A61" s="87"/>
      <c r="B61" s="89" t="s">
        <v>73</v>
      </c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205">
        <f>ROUND(-'Authorized Margins'!G47*'WACAP 2017'!M56,2)</f>
        <v>0</v>
      </c>
    </row>
    <row r="62" spans="1:14" x14ac:dyDescent="0.25">
      <c r="A62" s="87"/>
      <c r="B62" s="89" t="s">
        <v>75</v>
      </c>
      <c r="C62" s="90">
        <f>-'WACAP 2017'!Q64</f>
        <v>-856.04</v>
      </c>
      <c r="D62" s="90">
        <f t="shared" ref="D62" si="25">SUM(D60:D61)</f>
        <v>0</v>
      </c>
      <c r="E62" s="90">
        <f t="shared" ref="E62:M62" si="26">SUM(E60:E61)</f>
        <v>0</v>
      </c>
      <c r="F62" s="90">
        <f t="shared" si="26"/>
        <v>0</v>
      </c>
      <c r="G62" s="90">
        <f t="shared" si="26"/>
        <v>0</v>
      </c>
      <c r="H62" s="90">
        <f t="shared" si="26"/>
        <v>0</v>
      </c>
      <c r="I62" s="90">
        <f t="shared" si="26"/>
        <v>0</v>
      </c>
      <c r="J62" s="90">
        <f t="shared" si="26"/>
        <v>0</v>
      </c>
      <c r="K62" s="90">
        <f t="shared" si="26"/>
        <v>0</v>
      </c>
      <c r="L62" s="90">
        <f t="shared" si="26"/>
        <v>0</v>
      </c>
      <c r="M62" s="207">
        <f t="shared" si="26"/>
        <v>0</v>
      </c>
    </row>
    <row r="63" spans="1:14" x14ac:dyDescent="0.25">
      <c r="A63" s="87"/>
      <c r="B63" s="89" t="s">
        <v>137</v>
      </c>
      <c r="C63" s="187">
        <f>ROUND(ROUND(C62*C$5,2)/365*C$6,2)</f>
        <v>-3.09</v>
      </c>
      <c r="D63" s="187">
        <f>ROUND(ROUND(C65*D$5,2)/365*D$6,2)</f>
        <v>-2.8</v>
      </c>
      <c r="E63" s="187">
        <f t="shared" ref="E63:L63" si="27">ROUND(ROUND(D65*E$5,2)/365*E$6,2)</f>
        <v>-3.11</v>
      </c>
      <c r="F63" s="187">
        <f t="shared" si="27"/>
        <v>-3.18</v>
      </c>
      <c r="G63" s="187">
        <f t="shared" si="27"/>
        <v>-3.3</v>
      </c>
      <c r="H63" s="187">
        <f t="shared" si="27"/>
        <v>-3.2</v>
      </c>
      <c r="I63" s="187">
        <f t="shared" si="27"/>
        <v>-3.48</v>
      </c>
      <c r="J63" s="187">
        <f t="shared" si="27"/>
        <v>-3.5</v>
      </c>
      <c r="K63" s="187">
        <f t="shared" si="27"/>
        <v>-3.4</v>
      </c>
      <c r="L63" s="187">
        <f t="shared" si="27"/>
        <v>-3.73</v>
      </c>
      <c r="M63" s="208">
        <f t="shared" ref="M63" si="28">ROUND(ROUND(K65*M$5,2)/365*M$6,2)</f>
        <v>0</v>
      </c>
      <c r="N63" s="108">
        <f>SUM(C63:M63)</f>
        <v>-32.79</v>
      </c>
    </row>
    <row r="64" spans="1:14" x14ac:dyDescent="0.25">
      <c r="A64" s="87"/>
      <c r="B64" s="89" t="s">
        <v>138</v>
      </c>
      <c r="C64" s="189">
        <f>C63</f>
        <v>-3.09</v>
      </c>
      <c r="D64" s="189">
        <f t="shared" ref="D64" si="29">SUM(D62:D63)</f>
        <v>-2.8</v>
      </c>
      <c r="E64" s="189">
        <f t="shared" ref="E64:M64" si="30">SUM(E62:E63)</f>
        <v>-3.11</v>
      </c>
      <c r="F64" s="189">
        <f t="shared" si="30"/>
        <v>-3.18</v>
      </c>
      <c r="G64" s="189">
        <f t="shared" si="30"/>
        <v>-3.3</v>
      </c>
      <c r="H64" s="189">
        <f t="shared" si="30"/>
        <v>-3.2</v>
      </c>
      <c r="I64" s="189">
        <f t="shared" si="30"/>
        <v>-3.48</v>
      </c>
      <c r="J64" s="189">
        <f t="shared" si="30"/>
        <v>-3.5</v>
      </c>
      <c r="K64" s="189">
        <f t="shared" si="30"/>
        <v>-3.4</v>
      </c>
      <c r="L64" s="189">
        <f t="shared" si="30"/>
        <v>-3.73</v>
      </c>
      <c r="M64" s="209">
        <f t="shared" si="30"/>
        <v>0</v>
      </c>
    </row>
    <row r="65" spans="1:14" x14ac:dyDescent="0.25">
      <c r="A65" s="87"/>
      <c r="B65" s="89" t="s">
        <v>139</v>
      </c>
      <c r="C65" s="90">
        <f>C64+C62</f>
        <v>-859.13</v>
      </c>
      <c r="D65" s="90">
        <f>C65+D64</f>
        <v>-861.93</v>
      </c>
      <c r="E65" s="90">
        <f t="shared" ref="E65:M65" si="31">D65+E64</f>
        <v>-865.04</v>
      </c>
      <c r="F65" s="90">
        <f t="shared" si="31"/>
        <v>-868.21999999999991</v>
      </c>
      <c r="G65" s="90">
        <f t="shared" si="31"/>
        <v>-871.51999999999987</v>
      </c>
      <c r="H65" s="90">
        <f t="shared" si="31"/>
        <v>-874.71999999999991</v>
      </c>
      <c r="I65" s="90">
        <f t="shared" si="31"/>
        <v>-878.19999999999993</v>
      </c>
      <c r="J65" s="90">
        <f t="shared" si="31"/>
        <v>-881.69999999999993</v>
      </c>
      <c r="K65" s="90">
        <f t="shared" si="31"/>
        <v>-885.09999999999991</v>
      </c>
      <c r="L65" s="90">
        <f t="shared" si="31"/>
        <v>-888.82999999999993</v>
      </c>
      <c r="M65" s="207">
        <f t="shared" si="31"/>
        <v>-888.82999999999993</v>
      </c>
    </row>
    <row r="66" spans="1:14" x14ac:dyDescent="0.25">
      <c r="A66" s="87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207"/>
    </row>
    <row r="67" spans="1:14" x14ac:dyDescent="0.25">
      <c r="A67" s="86">
        <v>504</v>
      </c>
      <c r="B67" s="104" t="s">
        <v>86</v>
      </c>
      <c r="C67" s="113"/>
      <c r="D67" s="113"/>
      <c r="E67" s="108"/>
      <c r="F67" s="113"/>
      <c r="G67" s="113"/>
      <c r="H67" s="113"/>
      <c r="I67" s="113"/>
      <c r="J67" s="113"/>
      <c r="K67" s="113"/>
      <c r="L67" s="113"/>
      <c r="M67" s="204"/>
    </row>
    <row r="68" spans="1:14" x14ac:dyDescent="0.25">
      <c r="A68" s="87" t="s">
        <v>64</v>
      </c>
      <c r="B68" t="s">
        <v>65</v>
      </c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204"/>
    </row>
    <row r="69" spans="1:14" x14ac:dyDescent="0.25">
      <c r="A69" s="87" t="s">
        <v>71</v>
      </c>
      <c r="B69" t="s">
        <v>70</v>
      </c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206"/>
    </row>
    <row r="70" spans="1:14" x14ac:dyDescent="0.25">
      <c r="A70" s="87" t="s">
        <v>72</v>
      </c>
      <c r="B70" t="s">
        <v>114</v>
      </c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206"/>
    </row>
    <row r="71" spans="1:14" x14ac:dyDescent="0.25">
      <c r="A71" s="87" t="s">
        <v>72</v>
      </c>
      <c r="B71" t="s">
        <v>115</v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205"/>
    </row>
    <row r="72" spans="1:14" x14ac:dyDescent="0.25">
      <c r="A72" s="87"/>
      <c r="B72" s="89" t="s">
        <v>74</v>
      </c>
      <c r="C72" s="108">
        <f t="shared" ref="C72:M72" si="32">SUM(C69:C71)</f>
        <v>0</v>
      </c>
      <c r="D72" s="108">
        <f t="shared" si="32"/>
        <v>0</v>
      </c>
      <c r="E72" s="108">
        <f t="shared" si="32"/>
        <v>0</v>
      </c>
      <c r="F72" s="108">
        <f>SUM(F69:F71)</f>
        <v>0</v>
      </c>
      <c r="G72" s="108">
        <f t="shared" si="32"/>
        <v>0</v>
      </c>
      <c r="H72" s="108">
        <f t="shared" si="32"/>
        <v>0</v>
      </c>
      <c r="I72" s="108">
        <f t="shared" si="32"/>
        <v>0</v>
      </c>
      <c r="J72" s="108">
        <f t="shared" si="32"/>
        <v>0</v>
      </c>
      <c r="K72" s="108">
        <f t="shared" si="32"/>
        <v>0</v>
      </c>
      <c r="L72" s="108">
        <f t="shared" si="32"/>
        <v>0</v>
      </c>
      <c r="M72" s="206">
        <f t="shared" si="32"/>
        <v>0</v>
      </c>
    </row>
    <row r="73" spans="1:14" x14ac:dyDescent="0.25">
      <c r="A73" s="87"/>
      <c r="B73" s="89" t="s">
        <v>73</v>
      </c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205">
        <f>ROUND(-'Authorized Margins'!G47*'WACAP 2017'!M68,2)</f>
        <v>0</v>
      </c>
    </row>
    <row r="74" spans="1:14" x14ac:dyDescent="0.25">
      <c r="A74" s="87"/>
      <c r="B74" s="89" t="s">
        <v>75</v>
      </c>
      <c r="C74" s="90">
        <f>-'WACAP 2017'!Q76</f>
        <v>-2543595.8700000015</v>
      </c>
      <c r="D74" s="90">
        <f t="shared" ref="D74" si="33">SUM(D72:D73)</f>
        <v>0</v>
      </c>
      <c r="E74" s="90">
        <f t="shared" ref="E74:L74" si="34">SUM(E72:E73)</f>
        <v>0</v>
      </c>
      <c r="F74" s="90">
        <f t="shared" si="34"/>
        <v>0</v>
      </c>
      <c r="G74" s="90">
        <f t="shared" si="34"/>
        <v>0</v>
      </c>
      <c r="H74" s="90">
        <f t="shared" si="34"/>
        <v>0</v>
      </c>
      <c r="I74" s="90">
        <f t="shared" si="34"/>
        <v>0</v>
      </c>
      <c r="J74" s="90">
        <f t="shared" si="34"/>
        <v>0</v>
      </c>
      <c r="K74" s="90">
        <f t="shared" si="34"/>
        <v>0</v>
      </c>
      <c r="L74" s="90">
        <f t="shared" si="34"/>
        <v>0</v>
      </c>
      <c r="M74" s="207"/>
    </row>
    <row r="75" spans="1:14" x14ac:dyDescent="0.25">
      <c r="A75" s="87"/>
      <c r="B75" s="89" t="s">
        <v>137</v>
      </c>
      <c r="C75" s="199">
        <f>ROUND(ROUND(C74*C$5,2)/365*C$6,2)+0.01</f>
        <v>-9181.33</v>
      </c>
      <c r="D75" s="187">
        <f>ROUND(ROUND(C77*D$5,2)/365*D$6,2)</f>
        <v>-8322.75</v>
      </c>
      <c r="E75" s="199">
        <f>ROUND(ROUND(D77*E$5,2)/365*E$6,2)-0.01</f>
        <v>-9244.5300000000007</v>
      </c>
      <c r="F75" s="187">
        <f t="shared" ref="F75:K75" si="35">ROUND(ROUND(E77*F$5,2)/365*F$6,2)</f>
        <v>-9443.3799999999992</v>
      </c>
      <c r="G75" s="187">
        <f t="shared" si="35"/>
        <v>-9794.01</v>
      </c>
      <c r="H75" s="187">
        <f t="shared" si="35"/>
        <v>-9514.0499999999993</v>
      </c>
      <c r="I75" s="187">
        <f t="shared" si="35"/>
        <v>-10352.950000000001</v>
      </c>
      <c r="J75" s="187">
        <f t="shared" si="35"/>
        <v>-10394.19</v>
      </c>
      <c r="K75" s="187">
        <f t="shared" si="35"/>
        <v>-10098.959999999999</v>
      </c>
      <c r="L75" s="216">
        <f>ROUND(ROUND(K77*L$5,2)/365*L$6,2)</f>
        <v>-11078.9</v>
      </c>
      <c r="M75" s="208">
        <f>ROUND(ROUND(K77*M$5,2)/365*M$6,2)</f>
        <v>0</v>
      </c>
      <c r="N75" s="108">
        <f>SUM(C75:M75)</f>
        <v>-97425.049999999988</v>
      </c>
    </row>
    <row r="76" spans="1:14" x14ac:dyDescent="0.25">
      <c r="A76" s="87"/>
      <c r="B76" s="89" t="s">
        <v>138</v>
      </c>
      <c r="C76" s="189">
        <f>C75</f>
        <v>-9181.33</v>
      </c>
      <c r="D76" s="189">
        <f t="shared" ref="D76:M76" si="36">SUM(D74:D75)</f>
        <v>-8322.75</v>
      </c>
      <c r="E76" s="189">
        <f t="shared" si="36"/>
        <v>-9244.5300000000007</v>
      </c>
      <c r="F76" s="189">
        <f t="shared" si="36"/>
        <v>-9443.3799999999992</v>
      </c>
      <c r="G76" s="189">
        <f t="shared" si="36"/>
        <v>-9794.01</v>
      </c>
      <c r="H76" s="189">
        <f t="shared" si="36"/>
        <v>-9514.0499999999993</v>
      </c>
      <c r="I76" s="189">
        <f t="shared" si="36"/>
        <v>-10352.950000000001</v>
      </c>
      <c r="J76" s="189">
        <f t="shared" si="36"/>
        <v>-10394.19</v>
      </c>
      <c r="K76" s="189">
        <f t="shared" si="36"/>
        <v>-10098.959999999999</v>
      </c>
      <c r="L76" s="189">
        <f t="shared" si="36"/>
        <v>-11078.9</v>
      </c>
      <c r="M76" s="209">
        <f t="shared" si="36"/>
        <v>0</v>
      </c>
    </row>
    <row r="77" spans="1:14" x14ac:dyDescent="0.25">
      <c r="A77" s="87"/>
      <c r="B77" s="89" t="s">
        <v>139</v>
      </c>
      <c r="C77" s="90">
        <f>C76+C74</f>
        <v>-2552777.2000000016</v>
      </c>
      <c r="D77" s="90">
        <f>C77+D76</f>
        <v>-2561099.9500000016</v>
      </c>
      <c r="E77" s="90">
        <f t="shared" ref="E77:M77" si="37">D77+E76</f>
        <v>-2570344.4800000014</v>
      </c>
      <c r="F77" s="90">
        <f t="shared" si="37"/>
        <v>-2579787.8600000013</v>
      </c>
      <c r="G77" s="90">
        <f t="shared" si="37"/>
        <v>-2589581.870000001</v>
      </c>
      <c r="H77" s="90">
        <f t="shared" si="37"/>
        <v>-2599095.9200000009</v>
      </c>
      <c r="I77" s="90">
        <f t="shared" si="37"/>
        <v>-2609448.870000001</v>
      </c>
      <c r="J77" s="90">
        <f t="shared" si="37"/>
        <v>-2619843.060000001</v>
      </c>
      <c r="K77" s="90">
        <f t="shared" si="37"/>
        <v>-2629942.0200000009</v>
      </c>
      <c r="L77" s="90">
        <f t="shared" si="37"/>
        <v>-2641020.9200000009</v>
      </c>
      <c r="M77" s="207">
        <f t="shared" si="37"/>
        <v>-2641020.9200000009</v>
      </c>
    </row>
    <row r="78" spans="1:14" x14ac:dyDescent="0.25">
      <c r="A78" s="87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207"/>
    </row>
    <row r="79" spans="1:14" x14ac:dyDescent="0.25">
      <c r="A79" s="86">
        <v>511</v>
      </c>
      <c r="B79" s="104" t="s">
        <v>86</v>
      </c>
      <c r="C79" s="113"/>
      <c r="D79" s="113"/>
      <c r="E79" s="108"/>
      <c r="F79" s="113"/>
      <c r="G79" s="113"/>
      <c r="H79" s="113"/>
      <c r="I79" s="113"/>
      <c r="J79" s="113"/>
      <c r="K79" s="113"/>
      <c r="L79" s="113"/>
      <c r="M79" s="204"/>
    </row>
    <row r="80" spans="1:14" x14ac:dyDescent="0.25">
      <c r="A80" s="87" t="s">
        <v>64</v>
      </c>
      <c r="B80" t="s">
        <v>65</v>
      </c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204"/>
    </row>
    <row r="81" spans="1:14" x14ac:dyDescent="0.25">
      <c r="A81" s="87" t="s">
        <v>71</v>
      </c>
      <c r="B81" t="s">
        <v>117</v>
      </c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206"/>
    </row>
    <row r="82" spans="1:14" x14ac:dyDescent="0.25">
      <c r="A82" s="87" t="s">
        <v>71</v>
      </c>
      <c r="B82" t="s">
        <v>98</v>
      </c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206"/>
    </row>
    <row r="83" spans="1:14" x14ac:dyDescent="0.25">
      <c r="A83" s="87" t="s">
        <v>71</v>
      </c>
      <c r="B83" t="s">
        <v>99</v>
      </c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206"/>
    </row>
    <row r="84" spans="1:14" x14ac:dyDescent="0.25">
      <c r="A84" s="87" t="s">
        <v>71</v>
      </c>
      <c r="B84" t="s">
        <v>100</v>
      </c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206"/>
    </row>
    <row r="85" spans="1:14" x14ac:dyDescent="0.25">
      <c r="A85" s="87" t="s">
        <v>72</v>
      </c>
      <c r="B85" t="s">
        <v>114</v>
      </c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206"/>
    </row>
    <row r="86" spans="1:14" x14ac:dyDescent="0.25">
      <c r="A86" s="87" t="s">
        <v>72</v>
      </c>
      <c r="B86" t="s">
        <v>115</v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205"/>
    </row>
    <row r="87" spans="1:14" x14ac:dyDescent="0.25">
      <c r="A87" s="87"/>
      <c r="B87" s="89" t="s">
        <v>74</v>
      </c>
      <c r="C87" s="108">
        <f t="shared" ref="C87:M87" si="38">SUM(C81:C86)</f>
        <v>0</v>
      </c>
      <c r="D87" s="108">
        <f t="shared" si="38"/>
        <v>0</v>
      </c>
      <c r="E87" s="108">
        <f t="shared" si="38"/>
        <v>0</v>
      </c>
      <c r="F87" s="108">
        <f t="shared" si="38"/>
        <v>0</v>
      </c>
      <c r="G87" s="108">
        <f t="shared" si="38"/>
        <v>0</v>
      </c>
      <c r="H87" s="108">
        <f t="shared" si="38"/>
        <v>0</v>
      </c>
      <c r="I87" s="108">
        <f t="shared" si="38"/>
        <v>0</v>
      </c>
      <c r="J87" s="108">
        <f t="shared" si="38"/>
        <v>0</v>
      </c>
      <c r="K87" s="108">
        <f t="shared" si="38"/>
        <v>0</v>
      </c>
      <c r="L87" s="108">
        <f t="shared" si="38"/>
        <v>0</v>
      </c>
      <c r="M87" s="206">
        <f t="shared" si="38"/>
        <v>0</v>
      </c>
    </row>
    <row r="88" spans="1:14" x14ac:dyDescent="0.25">
      <c r="A88" s="87"/>
      <c r="B88" s="89" t="s">
        <v>73</v>
      </c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205">
        <f>ROUND(-'Authorized Margins'!G73*'WACAP 2017'!M80,2)</f>
        <v>0</v>
      </c>
    </row>
    <row r="89" spans="1:14" x14ac:dyDescent="0.25">
      <c r="A89" s="87"/>
      <c r="B89" s="89" t="s">
        <v>75</v>
      </c>
      <c r="C89" s="90">
        <f>-'WACAP 2017'!Q91</f>
        <v>-296435.60000000009</v>
      </c>
      <c r="D89" s="90">
        <f t="shared" ref="D89" si="39">SUM(D87:D88)</f>
        <v>0</v>
      </c>
      <c r="E89" s="90">
        <f t="shared" ref="E89:L89" si="40">SUM(E87:E88)</f>
        <v>0</v>
      </c>
      <c r="F89" s="90">
        <f t="shared" si="40"/>
        <v>0</v>
      </c>
      <c r="G89" s="90">
        <f t="shared" si="40"/>
        <v>0</v>
      </c>
      <c r="H89" s="90">
        <f t="shared" si="40"/>
        <v>0</v>
      </c>
      <c r="I89" s="90">
        <f t="shared" si="40"/>
        <v>0</v>
      </c>
      <c r="J89" s="90">
        <f t="shared" si="40"/>
        <v>0</v>
      </c>
      <c r="K89" s="90">
        <f t="shared" si="40"/>
        <v>0</v>
      </c>
      <c r="L89" s="90">
        <f t="shared" si="40"/>
        <v>0</v>
      </c>
      <c r="M89" s="207"/>
    </row>
    <row r="90" spans="1:14" x14ac:dyDescent="0.25">
      <c r="A90" s="87"/>
      <c r="B90" s="89" t="s">
        <v>137</v>
      </c>
      <c r="C90" s="187">
        <f>ROUND(ROUND(C89*C$5,2)/365*C$6,2)</f>
        <v>-1070.01</v>
      </c>
      <c r="D90" s="187">
        <f>ROUND(ROUND(C92*D$5,2)/365*D$6,2)</f>
        <v>-969.95</v>
      </c>
      <c r="E90" s="187">
        <f t="shared" ref="E90:L90" si="41">ROUND(ROUND(D92*E$5,2)/365*E$6,2)</f>
        <v>-1077.3699999999999</v>
      </c>
      <c r="F90" s="187">
        <f t="shared" si="41"/>
        <v>-1100.55</v>
      </c>
      <c r="G90" s="187">
        <f t="shared" si="41"/>
        <v>-1141.4100000000001</v>
      </c>
      <c r="H90" s="187">
        <f t="shared" si="41"/>
        <v>-1108.79</v>
      </c>
      <c r="I90" s="187">
        <f t="shared" si="41"/>
        <v>-1206.55</v>
      </c>
      <c r="J90" s="187">
        <f t="shared" si="41"/>
        <v>-1211.3599999999999</v>
      </c>
      <c r="K90" s="187">
        <f t="shared" si="41"/>
        <v>-1176.95</v>
      </c>
      <c r="L90" s="187">
        <f t="shared" si="41"/>
        <v>-1291.1600000000001</v>
      </c>
      <c r="M90" s="208">
        <f>ROUND(ROUND(K92*M$5,2)/365*M$6,2)</f>
        <v>0</v>
      </c>
      <c r="N90" s="108">
        <f>SUM(C90:M90)</f>
        <v>-11354.1</v>
      </c>
    </row>
    <row r="91" spans="1:14" x14ac:dyDescent="0.25">
      <c r="A91" s="87"/>
      <c r="B91" s="89" t="s">
        <v>138</v>
      </c>
      <c r="C91" s="189">
        <f>C90</f>
        <v>-1070.01</v>
      </c>
      <c r="D91" s="189">
        <f t="shared" ref="D91:M91" si="42">SUM(D89:D90)</f>
        <v>-969.95</v>
      </c>
      <c r="E91" s="189">
        <f t="shared" si="42"/>
        <v>-1077.3699999999999</v>
      </c>
      <c r="F91" s="189">
        <f t="shared" si="42"/>
        <v>-1100.55</v>
      </c>
      <c r="G91" s="189">
        <f t="shared" si="42"/>
        <v>-1141.4100000000001</v>
      </c>
      <c r="H91" s="189">
        <f t="shared" si="42"/>
        <v>-1108.79</v>
      </c>
      <c r="I91" s="189">
        <f t="shared" si="42"/>
        <v>-1206.55</v>
      </c>
      <c r="J91" s="189">
        <f t="shared" si="42"/>
        <v>-1211.3599999999999</v>
      </c>
      <c r="K91" s="189">
        <f t="shared" si="42"/>
        <v>-1176.95</v>
      </c>
      <c r="L91" s="189">
        <f t="shared" si="42"/>
        <v>-1291.1600000000001</v>
      </c>
      <c r="M91" s="209">
        <f t="shared" si="42"/>
        <v>0</v>
      </c>
    </row>
    <row r="92" spans="1:14" x14ac:dyDescent="0.25">
      <c r="A92" s="87"/>
      <c r="B92" s="89" t="s">
        <v>139</v>
      </c>
      <c r="C92" s="90">
        <f>C91+C89</f>
        <v>-297505.6100000001</v>
      </c>
      <c r="D92" s="90">
        <f>C92+D91</f>
        <v>-298475.56000000011</v>
      </c>
      <c r="E92" s="90">
        <f t="shared" ref="E92:M92" si="43">D92+E91</f>
        <v>-299552.93000000011</v>
      </c>
      <c r="F92" s="90">
        <f t="shared" si="43"/>
        <v>-300653.4800000001</v>
      </c>
      <c r="G92" s="90">
        <f t="shared" si="43"/>
        <v>-301794.89000000007</v>
      </c>
      <c r="H92" s="90">
        <f t="shared" si="43"/>
        <v>-302903.68000000005</v>
      </c>
      <c r="I92" s="90">
        <f t="shared" si="43"/>
        <v>-304110.23000000004</v>
      </c>
      <c r="J92" s="90">
        <f t="shared" si="43"/>
        <v>-305321.59000000003</v>
      </c>
      <c r="K92" s="90">
        <f t="shared" si="43"/>
        <v>-306498.54000000004</v>
      </c>
      <c r="L92" s="90">
        <f t="shared" si="43"/>
        <v>-307789.7</v>
      </c>
      <c r="M92" s="207">
        <f t="shared" si="43"/>
        <v>-307789.7</v>
      </c>
    </row>
    <row r="93" spans="1:14" x14ac:dyDescent="0.25">
      <c r="A93" s="86"/>
      <c r="C93" s="113"/>
      <c r="D93" s="113"/>
      <c r="E93" s="108"/>
      <c r="F93" s="113"/>
      <c r="G93" s="113"/>
      <c r="H93" s="113"/>
      <c r="I93" s="113"/>
      <c r="J93" s="113"/>
      <c r="K93" s="113"/>
      <c r="L93" s="113"/>
      <c r="M93" s="204"/>
    </row>
    <row r="94" spans="1:14" x14ac:dyDescent="0.25">
      <c r="A94" s="86">
        <v>512</v>
      </c>
      <c r="B94" s="104" t="s">
        <v>86</v>
      </c>
      <c r="C94" s="113"/>
      <c r="D94" s="113"/>
      <c r="E94" s="108"/>
      <c r="F94" s="113"/>
      <c r="G94" s="113"/>
      <c r="H94" s="113"/>
      <c r="I94" s="113"/>
      <c r="J94" s="113"/>
      <c r="K94" s="113"/>
      <c r="L94" s="113"/>
      <c r="M94" s="204"/>
    </row>
    <row r="95" spans="1:14" x14ac:dyDescent="0.25">
      <c r="A95" s="87" t="s">
        <v>64</v>
      </c>
      <c r="B95" t="s">
        <v>65</v>
      </c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204"/>
    </row>
    <row r="96" spans="1:14" x14ac:dyDescent="0.25">
      <c r="A96" s="87" t="s">
        <v>71</v>
      </c>
      <c r="B96" t="s">
        <v>70</v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205"/>
    </row>
    <row r="97" spans="1:14" x14ac:dyDescent="0.25">
      <c r="A97" s="87"/>
      <c r="B97" s="89" t="s">
        <v>74</v>
      </c>
      <c r="C97" s="108">
        <f t="shared" ref="C97:M97" si="44">C96</f>
        <v>0</v>
      </c>
      <c r="D97" s="108">
        <f t="shared" si="44"/>
        <v>0</v>
      </c>
      <c r="E97" s="108">
        <f t="shared" si="44"/>
        <v>0</v>
      </c>
      <c r="F97" s="108">
        <f t="shared" si="44"/>
        <v>0</v>
      </c>
      <c r="G97" s="108">
        <f t="shared" si="44"/>
        <v>0</v>
      </c>
      <c r="H97" s="108">
        <f t="shared" si="44"/>
        <v>0</v>
      </c>
      <c r="I97" s="108">
        <f t="shared" si="44"/>
        <v>0</v>
      </c>
      <c r="J97" s="108">
        <f t="shared" si="44"/>
        <v>0</v>
      </c>
      <c r="K97" s="108">
        <f t="shared" si="44"/>
        <v>0</v>
      </c>
      <c r="L97" s="108">
        <f t="shared" si="44"/>
        <v>0</v>
      </c>
      <c r="M97" s="206">
        <f t="shared" si="44"/>
        <v>0</v>
      </c>
    </row>
    <row r="98" spans="1:14" x14ac:dyDescent="0.25">
      <c r="A98" s="87"/>
      <c r="B98" s="89" t="s">
        <v>73</v>
      </c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205">
        <f>-'Authorized Margins'!G79*'WACAP 2017'!M95</f>
        <v>0</v>
      </c>
    </row>
    <row r="99" spans="1:14" x14ac:dyDescent="0.25">
      <c r="A99" s="87"/>
      <c r="B99" s="89" t="s">
        <v>75</v>
      </c>
      <c r="C99" s="90">
        <f>-'WACAP 2017'!Q101</f>
        <v>-397.53999999999991</v>
      </c>
      <c r="D99" s="90">
        <f t="shared" ref="D99" si="45">SUM(D97:D98)</f>
        <v>0</v>
      </c>
      <c r="E99" s="90">
        <f t="shared" ref="E99:L99" si="46">SUM(E97:E98)</f>
        <v>0</v>
      </c>
      <c r="F99" s="90">
        <f t="shared" si="46"/>
        <v>0</v>
      </c>
      <c r="G99" s="90">
        <f t="shared" si="46"/>
        <v>0</v>
      </c>
      <c r="H99" s="90">
        <f t="shared" si="46"/>
        <v>0</v>
      </c>
      <c r="I99" s="90">
        <f t="shared" si="46"/>
        <v>0</v>
      </c>
      <c r="J99" s="90">
        <f t="shared" si="46"/>
        <v>0</v>
      </c>
      <c r="K99" s="90">
        <f t="shared" si="46"/>
        <v>0</v>
      </c>
      <c r="L99" s="90">
        <f t="shared" si="46"/>
        <v>0</v>
      </c>
      <c r="M99" s="207"/>
    </row>
    <row r="100" spans="1:14" x14ac:dyDescent="0.25">
      <c r="A100" s="87"/>
      <c r="B100" s="89" t="s">
        <v>137</v>
      </c>
      <c r="C100" s="187">
        <f>ROUND(ROUND(C99*C$5,2)/365*C$6,2)</f>
        <v>-1.44</v>
      </c>
      <c r="D100" s="187">
        <f>ROUND(ROUND(C102*D$5,2)/365*D$6,2)</f>
        <v>-1.3</v>
      </c>
      <c r="E100" s="187">
        <f t="shared" ref="E100:L100" si="47">ROUND(ROUND(D102*E$5,2)/365*E$6,2)</f>
        <v>-1.44</v>
      </c>
      <c r="F100" s="187">
        <f t="shared" si="47"/>
        <v>-1.48</v>
      </c>
      <c r="G100" s="187">
        <f t="shared" si="47"/>
        <v>-1.53</v>
      </c>
      <c r="H100" s="187">
        <f t="shared" si="47"/>
        <v>-1.49</v>
      </c>
      <c r="I100" s="187">
        <f t="shared" si="47"/>
        <v>-1.62</v>
      </c>
      <c r="J100" s="187">
        <f t="shared" si="47"/>
        <v>-1.62</v>
      </c>
      <c r="K100" s="187">
        <f t="shared" si="47"/>
        <v>-1.58</v>
      </c>
      <c r="L100" s="187">
        <f t="shared" si="47"/>
        <v>-1.73</v>
      </c>
      <c r="M100" s="208">
        <f>ROUND(ROUND(K102*M$5,2)/365*M$6,2)</f>
        <v>0</v>
      </c>
      <c r="N100" s="108">
        <f>SUM(C100:M100)</f>
        <v>-15.230000000000002</v>
      </c>
    </row>
    <row r="101" spans="1:14" x14ac:dyDescent="0.25">
      <c r="A101" s="87"/>
      <c r="B101" s="89" t="s">
        <v>138</v>
      </c>
      <c r="C101" s="189">
        <f>C100</f>
        <v>-1.44</v>
      </c>
      <c r="D101" s="189">
        <f t="shared" ref="D101:M101" si="48">SUM(D99:D100)</f>
        <v>-1.3</v>
      </c>
      <c r="E101" s="189">
        <f t="shared" si="48"/>
        <v>-1.44</v>
      </c>
      <c r="F101" s="189">
        <f t="shared" si="48"/>
        <v>-1.48</v>
      </c>
      <c r="G101" s="189">
        <f t="shared" si="48"/>
        <v>-1.53</v>
      </c>
      <c r="H101" s="189">
        <f t="shared" si="48"/>
        <v>-1.49</v>
      </c>
      <c r="I101" s="189">
        <f t="shared" si="48"/>
        <v>-1.62</v>
      </c>
      <c r="J101" s="189">
        <f t="shared" si="48"/>
        <v>-1.62</v>
      </c>
      <c r="K101" s="189">
        <f t="shared" si="48"/>
        <v>-1.58</v>
      </c>
      <c r="L101" s="189">
        <f t="shared" si="48"/>
        <v>-1.73</v>
      </c>
      <c r="M101" s="209">
        <f t="shared" si="48"/>
        <v>0</v>
      </c>
    </row>
    <row r="102" spans="1:14" x14ac:dyDescent="0.25">
      <c r="A102" s="87"/>
      <c r="B102" s="89" t="s">
        <v>139</v>
      </c>
      <c r="C102" s="90">
        <f>C101+C99</f>
        <v>-398.9799999999999</v>
      </c>
      <c r="D102" s="90">
        <f>C102+D101</f>
        <v>-400.27999999999992</v>
      </c>
      <c r="E102" s="90">
        <f t="shared" ref="E102:M102" si="49">D102+E101</f>
        <v>-401.71999999999991</v>
      </c>
      <c r="F102" s="90">
        <f t="shared" si="49"/>
        <v>-403.19999999999993</v>
      </c>
      <c r="G102" s="90">
        <f t="shared" si="49"/>
        <v>-404.7299999999999</v>
      </c>
      <c r="H102" s="90">
        <f t="shared" si="49"/>
        <v>-406.21999999999991</v>
      </c>
      <c r="I102" s="90">
        <f t="shared" si="49"/>
        <v>-407.83999999999992</v>
      </c>
      <c r="J102" s="90">
        <f t="shared" si="49"/>
        <v>-409.45999999999992</v>
      </c>
      <c r="K102" s="90">
        <f t="shared" si="49"/>
        <v>-411.03999999999991</v>
      </c>
      <c r="L102" s="90">
        <f t="shared" si="49"/>
        <v>-412.76999999999992</v>
      </c>
      <c r="M102" s="207">
        <f t="shared" si="49"/>
        <v>-412.76999999999992</v>
      </c>
    </row>
    <row r="103" spans="1:14" x14ac:dyDescent="0.25">
      <c r="A103" s="86"/>
      <c r="C103" s="113"/>
      <c r="D103" s="113"/>
      <c r="E103" s="108"/>
      <c r="F103" s="113"/>
      <c r="G103" s="113"/>
      <c r="H103" s="113"/>
      <c r="I103" s="113"/>
      <c r="J103" s="113"/>
      <c r="K103" s="113"/>
      <c r="L103" s="113"/>
      <c r="M103" s="204"/>
    </row>
    <row r="104" spans="1:14" x14ac:dyDescent="0.25">
      <c r="A104" s="86" t="s">
        <v>83</v>
      </c>
      <c r="B104" s="104" t="s">
        <v>87</v>
      </c>
      <c r="C104" s="113"/>
      <c r="D104" s="113"/>
      <c r="E104" s="108"/>
      <c r="F104" s="113"/>
      <c r="G104" s="113"/>
      <c r="H104" s="113"/>
      <c r="I104" s="113"/>
      <c r="J104" s="113"/>
      <c r="K104" s="113"/>
      <c r="L104" s="113"/>
      <c r="M104" s="204"/>
    </row>
    <row r="105" spans="1:14" x14ac:dyDescent="0.25">
      <c r="A105" s="87" t="s">
        <v>64</v>
      </c>
      <c r="B105" t="s">
        <v>65</v>
      </c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204"/>
    </row>
    <row r="106" spans="1:14" x14ac:dyDescent="0.25">
      <c r="A106" s="87" t="s">
        <v>71</v>
      </c>
      <c r="B106" t="s">
        <v>95</v>
      </c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206"/>
    </row>
    <row r="107" spans="1:14" x14ac:dyDescent="0.25">
      <c r="A107" s="87" t="s">
        <v>71</v>
      </c>
      <c r="B107" t="s">
        <v>97</v>
      </c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206"/>
    </row>
    <row r="108" spans="1:14" x14ac:dyDescent="0.25">
      <c r="A108" s="87" t="s">
        <v>72</v>
      </c>
      <c r="B108" t="s">
        <v>101</v>
      </c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  <c r="M108" s="206"/>
    </row>
    <row r="109" spans="1:14" x14ac:dyDescent="0.25">
      <c r="A109" s="87" t="s">
        <v>72</v>
      </c>
      <c r="B109" t="s">
        <v>145</v>
      </c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206"/>
    </row>
    <row r="110" spans="1:14" x14ac:dyDescent="0.25">
      <c r="A110" s="87" t="s">
        <v>72</v>
      </c>
      <c r="B110" t="s">
        <v>102</v>
      </c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206"/>
    </row>
    <row r="111" spans="1:14" x14ac:dyDescent="0.25">
      <c r="A111" s="87" t="s">
        <v>72</v>
      </c>
      <c r="B111" t="s">
        <v>146</v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205"/>
    </row>
    <row r="112" spans="1:14" x14ac:dyDescent="0.25">
      <c r="A112" s="86"/>
      <c r="B112" s="89" t="s">
        <v>74</v>
      </c>
      <c r="C112" s="108">
        <f t="shared" ref="C112:M112" si="50">SUM(C106:C111)</f>
        <v>0</v>
      </c>
      <c r="D112" s="108">
        <f t="shared" si="50"/>
        <v>0</v>
      </c>
      <c r="E112" s="108">
        <f t="shared" si="50"/>
        <v>0</v>
      </c>
      <c r="F112" s="108">
        <f t="shared" si="50"/>
        <v>0</v>
      </c>
      <c r="G112" s="108">
        <f t="shared" si="50"/>
        <v>0</v>
      </c>
      <c r="H112" s="108">
        <f t="shared" si="50"/>
        <v>0</v>
      </c>
      <c r="I112" s="108">
        <f t="shared" si="50"/>
        <v>0</v>
      </c>
      <c r="J112" s="108">
        <f t="shared" si="50"/>
        <v>0</v>
      </c>
      <c r="K112" s="108">
        <f t="shared" si="50"/>
        <v>0</v>
      </c>
      <c r="L112" s="108">
        <f t="shared" si="50"/>
        <v>0</v>
      </c>
      <c r="M112" s="206">
        <f t="shared" si="50"/>
        <v>0</v>
      </c>
    </row>
    <row r="113" spans="1:14" x14ac:dyDescent="0.25">
      <c r="A113" s="86"/>
      <c r="B113" s="89" t="s">
        <v>73</v>
      </c>
      <c r="C113" s="88"/>
      <c r="D113" s="88"/>
      <c r="E113" s="88"/>
      <c r="F113" s="88"/>
      <c r="G113" s="88"/>
      <c r="H113" s="88"/>
      <c r="I113" s="88"/>
      <c r="J113" s="88"/>
      <c r="K113" s="88"/>
      <c r="L113" s="88"/>
      <c r="M113" s="205">
        <f>ROUND(-'Authorized Margins'!G60*'WACAP 2017'!M105,2)</f>
        <v>0</v>
      </c>
    </row>
    <row r="114" spans="1:14" x14ac:dyDescent="0.25">
      <c r="A114" s="86"/>
      <c r="B114" s="89" t="s">
        <v>75</v>
      </c>
      <c r="C114" s="90">
        <f>-'WACAP 2017'!Q116</f>
        <v>3837.4000000000005</v>
      </c>
      <c r="D114" s="90">
        <f t="shared" ref="D114" si="51">SUM(D112:D113)</f>
        <v>0</v>
      </c>
      <c r="E114" s="90">
        <f t="shared" ref="E114:L114" si="52">SUM(E112:E113)</f>
        <v>0</v>
      </c>
      <c r="F114" s="90">
        <f t="shared" si="52"/>
        <v>0</v>
      </c>
      <c r="G114" s="90">
        <f t="shared" si="52"/>
        <v>0</v>
      </c>
      <c r="H114" s="90">
        <f t="shared" si="52"/>
        <v>0</v>
      </c>
      <c r="I114" s="90">
        <f t="shared" si="52"/>
        <v>0</v>
      </c>
      <c r="J114" s="90">
        <f t="shared" si="52"/>
        <v>0</v>
      </c>
      <c r="K114" s="90">
        <f t="shared" si="52"/>
        <v>0</v>
      </c>
      <c r="L114" s="90">
        <f t="shared" si="52"/>
        <v>0</v>
      </c>
      <c r="M114" s="207"/>
    </row>
    <row r="115" spans="1:14" x14ac:dyDescent="0.25">
      <c r="A115" s="87"/>
      <c r="B115" s="89" t="s">
        <v>137</v>
      </c>
      <c r="C115" s="187">
        <f>ROUND(ROUND(C114*C$5,2)/365*C$6,2)</f>
        <v>13.85</v>
      </c>
      <c r="D115" s="187">
        <f>ROUND(ROUND(C117*D$5,2)/365*D$6,2)</f>
        <v>12.56</v>
      </c>
      <c r="E115" s="187">
        <f t="shared" ref="E115:L115" si="53">ROUND(ROUND(D117*E$5,2)/365*E$6,2)</f>
        <v>13.95</v>
      </c>
      <c r="F115" s="187">
        <f t="shared" si="53"/>
        <v>14.25</v>
      </c>
      <c r="G115" s="187">
        <f t="shared" si="53"/>
        <v>14.78</v>
      </c>
      <c r="H115" s="187">
        <f t="shared" si="53"/>
        <v>14.35</v>
      </c>
      <c r="I115" s="187">
        <f t="shared" si="53"/>
        <v>15.62</v>
      </c>
      <c r="J115" s="187">
        <f t="shared" si="53"/>
        <v>15.68</v>
      </c>
      <c r="K115" s="187">
        <f t="shared" si="53"/>
        <v>15.24</v>
      </c>
      <c r="L115" s="187">
        <f t="shared" si="53"/>
        <v>16.71</v>
      </c>
      <c r="M115" s="208">
        <f>ROUND(ROUND(K117*M$5,2)/365*M$6,2)</f>
        <v>0</v>
      </c>
      <c r="N115" s="108">
        <f>SUM(C115:M115)</f>
        <v>146.99</v>
      </c>
    </row>
    <row r="116" spans="1:14" x14ac:dyDescent="0.25">
      <c r="A116" s="87"/>
      <c r="B116" s="89" t="s">
        <v>138</v>
      </c>
      <c r="C116" s="189">
        <f>C115</f>
        <v>13.85</v>
      </c>
      <c r="D116" s="189">
        <f t="shared" ref="D116:M116" si="54">SUM(D114:D115)</f>
        <v>12.56</v>
      </c>
      <c r="E116" s="189">
        <f t="shared" si="54"/>
        <v>13.95</v>
      </c>
      <c r="F116" s="189">
        <f t="shared" si="54"/>
        <v>14.25</v>
      </c>
      <c r="G116" s="189">
        <f t="shared" si="54"/>
        <v>14.78</v>
      </c>
      <c r="H116" s="189">
        <f t="shared" si="54"/>
        <v>14.35</v>
      </c>
      <c r="I116" s="189">
        <f t="shared" si="54"/>
        <v>15.62</v>
      </c>
      <c r="J116" s="189">
        <f t="shared" si="54"/>
        <v>15.68</v>
      </c>
      <c r="K116" s="189">
        <f t="shared" si="54"/>
        <v>15.24</v>
      </c>
      <c r="L116" s="189">
        <f t="shared" si="54"/>
        <v>16.71</v>
      </c>
      <c r="M116" s="209">
        <f t="shared" si="54"/>
        <v>0</v>
      </c>
    </row>
    <row r="117" spans="1:14" x14ac:dyDescent="0.25">
      <c r="A117" s="87"/>
      <c r="B117" s="89" t="s">
        <v>139</v>
      </c>
      <c r="C117" s="90">
        <f>C116+C114</f>
        <v>3851.2500000000005</v>
      </c>
      <c r="D117" s="90">
        <f>C117+D116</f>
        <v>3863.8100000000004</v>
      </c>
      <c r="E117" s="90">
        <f t="shared" ref="E117:M117" si="55">D117+E116</f>
        <v>3877.76</v>
      </c>
      <c r="F117" s="90">
        <f t="shared" si="55"/>
        <v>3892.01</v>
      </c>
      <c r="G117" s="90">
        <f t="shared" si="55"/>
        <v>3906.7900000000004</v>
      </c>
      <c r="H117" s="90">
        <f t="shared" si="55"/>
        <v>3921.1400000000003</v>
      </c>
      <c r="I117" s="90">
        <f t="shared" si="55"/>
        <v>3936.76</v>
      </c>
      <c r="J117" s="90">
        <f t="shared" si="55"/>
        <v>3952.44</v>
      </c>
      <c r="K117" s="90">
        <f t="shared" si="55"/>
        <v>3967.68</v>
      </c>
      <c r="L117" s="90">
        <f t="shared" si="55"/>
        <v>3984.39</v>
      </c>
      <c r="M117" s="207">
        <f t="shared" si="55"/>
        <v>3984.39</v>
      </c>
    </row>
    <row r="118" spans="1:14" x14ac:dyDescent="0.25">
      <c r="A118" s="86"/>
      <c r="B118" s="89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207"/>
    </row>
    <row r="119" spans="1:14" x14ac:dyDescent="0.25">
      <c r="A119" s="86">
        <v>570</v>
      </c>
      <c r="B119" s="104" t="s">
        <v>88</v>
      </c>
      <c r="C119" s="113"/>
      <c r="D119" s="113"/>
      <c r="E119" s="108"/>
      <c r="F119" s="113"/>
      <c r="G119" s="113"/>
      <c r="H119" s="113"/>
      <c r="I119" s="113"/>
      <c r="J119" s="113"/>
      <c r="K119" s="113"/>
      <c r="L119" s="113"/>
      <c r="M119" s="204"/>
    </row>
    <row r="120" spans="1:14" x14ac:dyDescent="0.25">
      <c r="A120" s="87" t="s">
        <v>64</v>
      </c>
      <c r="B120" t="s">
        <v>65</v>
      </c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  <c r="M120" s="204"/>
    </row>
    <row r="121" spans="1:14" x14ac:dyDescent="0.25">
      <c r="A121" s="87" t="s">
        <v>71</v>
      </c>
      <c r="B121" t="s">
        <v>103</v>
      </c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206"/>
    </row>
    <row r="122" spans="1:14" x14ac:dyDescent="0.25">
      <c r="A122" s="87" t="s">
        <v>71</v>
      </c>
      <c r="B122" t="s">
        <v>104</v>
      </c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206"/>
    </row>
    <row r="123" spans="1:14" x14ac:dyDescent="0.25">
      <c r="A123" s="87" t="s">
        <v>72</v>
      </c>
      <c r="B123" t="s">
        <v>105</v>
      </c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  <c r="M123" s="206"/>
    </row>
    <row r="124" spans="1:14" x14ac:dyDescent="0.25">
      <c r="A124" s="87" t="s">
        <v>72</v>
      </c>
      <c r="B124" t="s">
        <v>106</v>
      </c>
      <c r="C124" s="116"/>
      <c r="D124" s="116"/>
      <c r="E124" s="116"/>
      <c r="F124" s="116"/>
      <c r="G124" s="116"/>
      <c r="H124" s="116"/>
      <c r="I124" s="116"/>
      <c r="J124" s="116"/>
      <c r="K124" s="116"/>
      <c r="L124" s="116"/>
      <c r="M124" s="206"/>
    </row>
    <row r="125" spans="1:14" x14ac:dyDescent="0.25">
      <c r="A125" s="87" t="s">
        <v>72</v>
      </c>
      <c r="B125" t="s">
        <v>107</v>
      </c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  <c r="M125" s="206"/>
    </row>
    <row r="126" spans="1:14" x14ac:dyDescent="0.25">
      <c r="A126" s="87" t="s">
        <v>72</v>
      </c>
      <c r="B126" t="s">
        <v>108</v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205"/>
    </row>
    <row r="127" spans="1:14" x14ac:dyDescent="0.25">
      <c r="A127" s="87"/>
      <c r="B127" s="89" t="s">
        <v>74</v>
      </c>
      <c r="C127" s="108">
        <f t="shared" ref="C127:E127" si="56">SUM(C121:C126)</f>
        <v>0</v>
      </c>
      <c r="D127" s="108">
        <f t="shared" si="56"/>
        <v>0</v>
      </c>
      <c r="E127" s="108">
        <f t="shared" si="56"/>
        <v>0</v>
      </c>
      <c r="F127" s="108">
        <f>SUM(F121:F126)</f>
        <v>0</v>
      </c>
      <c r="G127" s="108">
        <f t="shared" ref="G127:M127" si="57">SUM(G121:G126)</f>
        <v>0</v>
      </c>
      <c r="H127" s="108">
        <f t="shared" si="57"/>
        <v>0</v>
      </c>
      <c r="I127" s="108">
        <f t="shared" si="57"/>
        <v>0</v>
      </c>
      <c r="J127" s="108">
        <f t="shared" si="57"/>
        <v>0</v>
      </c>
      <c r="K127" s="108">
        <f t="shared" si="57"/>
        <v>0</v>
      </c>
      <c r="L127" s="108">
        <f t="shared" si="57"/>
        <v>0</v>
      </c>
      <c r="M127" s="206">
        <f t="shared" si="57"/>
        <v>0</v>
      </c>
    </row>
    <row r="128" spans="1:14" x14ac:dyDescent="0.25">
      <c r="A128" s="87"/>
      <c r="B128" s="89" t="s">
        <v>73</v>
      </c>
      <c r="C128" s="88"/>
      <c r="D128" s="88"/>
      <c r="E128" s="88"/>
      <c r="F128" s="88"/>
      <c r="G128" s="88"/>
      <c r="H128" s="88"/>
      <c r="I128" s="88"/>
      <c r="J128" s="88"/>
      <c r="K128" s="88"/>
      <c r="L128" s="88"/>
      <c r="M128" s="205">
        <f>ROUND(-'Authorized Margins'!G95*'WACAP 2017'!M120,2)</f>
        <v>0</v>
      </c>
    </row>
    <row r="129" spans="1:14" x14ac:dyDescent="0.25">
      <c r="A129" s="87"/>
      <c r="B129" s="89" t="s">
        <v>75</v>
      </c>
      <c r="C129" s="90">
        <f>-'WACAP 2017'!Q131</f>
        <v>23801.620000000006</v>
      </c>
      <c r="D129" s="90">
        <f t="shared" ref="D129" si="58">SUM(D127:D128)</f>
        <v>0</v>
      </c>
      <c r="E129" s="90">
        <f t="shared" ref="E129:L129" si="59">SUM(E127:E128)</f>
        <v>0</v>
      </c>
      <c r="F129" s="90">
        <f t="shared" si="59"/>
        <v>0</v>
      </c>
      <c r="G129" s="90">
        <f t="shared" si="59"/>
        <v>0</v>
      </c>
      <c r="H129" s="90">
        <f t="shared" si="59"/>
        <v>0</v>
      </c>
      <c r="I129" s="90">
        <f t="shared" si="59"/>
        <v>0</v>
      </c>
      <c r="J129" s="90">
        <f t="shared" si="59"/>
        <v>0</v>
      </c>
      <c r="K129" s="90">
        <f t="shared" si="59"/>
        <v>0</v>
      </c>
      <c r="L129" s="90">
        <f t="shared" si="59"/>
        <v>0</v>
      </c>
      <c r="M129" s="215"/>
    </row>
    <row r="130" spans="1:14" x14ac:dyDescent="0.25">
      <c r="A130" s="87"/>
      <c r="B130" s="89" t="s">
        <v>137</v>
      </c>
      <c r="C130" s="187">
        <f>ROUND(ROUND(C129*C$5,2)/365*C$6,2)</f>
        <v>85.91</v>
      </c>
      <c r="D130" s="187">
        <f>ROUND(ROUND(C132*D$5,2)/365*D$6,2)</f>
        <v>77.88</v>
      </c>
      <c r="E130" s="187">
        <f t="shared" ref="E130:L130" si="60">ROUND(ROUND(D132*E$5,2)/365*E$6,2)</f>
        <v>86.51</v>
      </c>
      <c r="F130" s="187">
        <f t="shared" si="60"/>
        <v>88.37</v>
      </c>
      <c r="G130" s="187">
        <f t="shared" si="60"/>
        <v>91.65</v>
      </c>
      <c r="H130" s="187">
        <f t="shared" si="60"/>
        <v>89.03</v>
      </c>
      <c r="I130" s="187">
        <f t="shared" si="60"/>
        <v>96.88</v>
      </c>
      <c r="J130" s="187">
        <f t="shared" si="60"/>
        <v>97.26</v>
      </c>
      <c r="K130" s="187">
        <f t="shared" si="60"/>
        <v>94.5</v>
      </c>
      <c r="L130" s="187">
        <f t="shared" si="60"/>
        <v>103.67</v>
      </c>
      <c r="M130" s="208">
        <f>ROUND(ROUND(K132*M$5,2)/365*M$6,2)</f>
        <v>0</v>
      </c>
      <c r="N130" s="108">
        <f>SUM(C130:M130)</f>
        <v>911.66</v>
      </c>
    </row>
    <row r="131" spans="1:14" x14ac:dyDescent="0.25">
      <c r="A131" s="87"/>
      <c r="B131" s="89" t="s">
        <v>138</v>
      </c>
      <c r="C131" s="189">
        <f>C130</f>
        <v>85.91</v>
      </c>
      <c r="D131" s="189">
        <f t="shared" ref="D131:M131" si="61">SUM(D129:D130)</f>
        <v>77.88</v>
      </c>
      <c r="E131" s="189">
        <f t="shared" si="61"/>
        <v>86.51</v>
      </c>
      <c r="F131" s="189">
        <f t="shared" si="61"/>
        <v>88.37</v>
      </c>
      <c r="G131" s="189">
        <f t="shared" si="61"/>
        <v>91.65</v>
      </c>
      <c r="H131" s="189">
        <f t="shared" si="61"/>
        <v>89.03</v>
      </c>
      <c r="I131" s="189">
        <f t="shared" si="61"/>
        <v>96.88</v>
      </c>
      <c r="J131" s="189">
        <f t="shared" si="61"/>
        <v>97.26</v>
      </c>
      <c r="K131" s="189">
        <f t="shared" si="61"/>
        <v>94.5</v>
      </c>
      <c r="L131" s="189">
        <f t="shared" si="61"/>
        <v>103.67</v>
      </c>
      <c r="M131" s="209">
        <f t="shared" si="61"/>
        <v>0</v>
      </c>
    </row>
    <row r="132" spans="1:14" x14ac:dyDescent="0.25">
      <c r="A132" s="87"/>
      <c r="B132" s="89" t="s">
        <v>139</v>
      </c>
      <c r="C132" s="90">
        <f>C131+C129</f>
        <v>23887.530000000006</v>
      </c>
      <c r="D132" s="90">
        <f>C132+D131</f>
        <v>23965.410000000007</v>
      </c>
      <c r="E132" s="90">
        <f t="shared" ref="E132:M132" si="62">D132+E131</f>
        <v>24051.920000000006</v>
      </c>
      <c r="F132" s="90">
        <f t="shared" si="62"/>
        <v>24140.290000000005</v>
      </c>
      <c r="G132" s="90">
        <f t="shared" si="62"/>
        <v>24231.940000000006</v>
      </c>
      <c r="H132" s="90">
        <f t="shared" si="62"/>
        <v>24320.970000000005</v>
      </c>
      <c r="I132" s="90">
        <f t="shared" si="62"/>
        <v>24417.850000000006</v>
      </c>
      <c r="J132" s="90">
        <f t="shared" si="62"/>
        <v>24515.110000000004</v>
      </c>
      <c r="K132" s="90">
        <f t="shared" si="62"/>
        <v>24609.610000000004</v>
      </c>
      <c r="L132" s="90">
        <f t="shared" si="62"/>
        <v>24713.280000000002</v>
      </c>
      <c r="M132" s="207">
        <f t="shared" si="62"/>
        <v>24713.280000000002</v>
      </c>
    </row>
    <row r="133" spans="1:14" x14ac:dyDescent="0.25">
      <c r="A133" s="86"/>
      <c r="C133" s="113"/>
      <c r="D133" s="113"/>
      <c r="E133" s="108"/>
      <c r="F133" s="113"/>
      <c r="G133" s="113"/>
      <c r="H133" s="113"/>
      <c r="I133" s="113"/>
      <c r="J133" s="113"/>
      <c r="K133" s="113"/>
      <c r="L133" s="113"/>
      <c r="M133" s="204"/>
    </row>
    <row r="134" spans="1:14" x14ac:dyDescent="0.25">
      <c r="A134" s="86">
        <v>577</v>
      </c>
      <c r="B134" s="104" t="s">
        <v>88</v>
      </c>
      <c r="C134" s="113"/>
      <c r="D134" s="113"/>
      <c r="E134" s="108"/>
      <c r="F134" s="113"/>
      <c r="G134" s="113"/>
      <c r="H134" s="113"/>
      <c r="I134" s="113"/>
      <c r="J134" s="113"/>
      <c r="K134" s="113"/>
      <c r="L134" s="113"/>
      <c r="M134" s="204"/>
    </row>
    <row r="135" spans="1:14" x14ac:dyDescent="0.25">
      <c r="A135" s="87" t="s">
        <v>64</v>
      </c>
      <c r="B135" t="s">
        <v>65</v>
      </c>
      <c r="C135" s="105"/>
      <c r="D135" s="105"/>
      <c r="E135" s="105"/>
      <c r="F135" s="105"/>
      <c r="G135" s="105"/>
      <c r="H135" s="105"/>
      <c r="I135" s="105"/>
      <c r="J135" s="105"/>
      <c r="K135" s="105"/>
      <c r="L135" s="105"/>
      <c r="M135" s="204"/>
    </row>
    <row r="136" spans="1:14" x14ac:dyDescent="0.25">
      <c r="A136" s="87" t="s">
        <v>71</v>
      </c>
      <c r="B136" t="s">
        <v>109</v>
      </c>
      <c r="C136" s="116"/>
      <c r="D136" s="116"/>
      <c r="E136" s="116"/>
      <c r="F136" s="116"/>
      <c r="G136" s="116"/>
      <c r="H136" s="116"/>
      <c r="I136" s="116"/>
      <c r="J136" s="116"/>
      <c r="K136" s="116"/>
      <c r="L136" s="116"/>
      <c r="M136" s="206"/>
    </row>
    <row r="137" spans="1:14" x14ac:dyDescent="0.25">
      <c r="A137" s="87" t="s">
        <v>71</v>
      </c>
      <c r="B137" t="s">
        <v>96</v>
      </c>
      <c r="C137" s="116"/>
      <c r="D137" s="116"/>
      <c r="E137" s="116"/>
      <c r="F137" s="116"/>
      <c r="G137" s="116"/>
      <c r="H137" s="116"/>
      <c r="I137" s="116"/>
      <c r="J137" s="116"/>
      <c r="K137" s="116"/>
      <c r="L137" s="116"/>
      <c r="M137" s="206"/>
    </row>
    <row r="138" spans="1:14" x14ac:dyDescent="0.25">
      <c r="A138" s="87" t="s">
        <v>72</v>
      </c>
      <c r="B138" t="s">
        <v>110</v>
      </c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206"/>
    </row>
    <row r="139" spans="1:14" x14ac:dyDescent="0.25">
      <c r="A139" s="87" t="s">
        <v>72</v>
      </c>
      <c r="B139" t="s">
        <v>111</v>
      </c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206"/>
    </row>
    <row r="140" spans="1:14" x14ac:dyDescent="0.25">
      <c r="A140" s="87" t="s">
        <v>72</v>
      </c>
      <c r="B140" t="s">
        <v>112</v>
      </c>
      <c r="C140" s="116"/>
      <c r="D140" s="116"/>
      <c r="E140" s="116"/>
      <c r="F140" s="116"/>
      <c r="G140" s="116"/>
      <c r="H140" s="116"/>
      <c r="I140" s="116"/>
      <c r="J140" s="116"/>
      <c r="K140" s="116"/>
      <c r="L140" s="116"/>
      <c r="M140" s="206"/>
    </row>
    <row r="141" spans="1:14" x14ac:dyDescent="0.25">
      <c r="A141" s="87" t="s">
        <v>72</v>
      </c>
      <c r="B141" t="s">
        <v>113</v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205"/>
    </row>
    <row r="142" spans="1:14" x14ac:dyDescent="0.25">
      <c r="A142" s="4"/>
      <c r="B142" s="89" t="s">
        <v>74</v>
      </c>
      <c r="C142" s="108">
        <f t="shared" ref="C142:E142" si="63">SUM(C136:C141)</f>
        <v>0</v>
      </c>
      <c r="D142" s="108">
        <f t="shared" si="63"/>
        <v>0</v>
      </c>
      <c r="E142" s="108">
        <f t="shared" si="63"/>
        <v>0</v>
      </c>
      <c r="F142" s="108">
        <f>SUM(F136:F141)</f>
        <v>0</v>
      </c>
      <c r="G142" s="108">
        <f t="shared" ref="G142:M142" si="64">SUM(G136:G141)</f>
        <v>0</v>
      </c>
      <c r="H142" s="108">
        <f t="shared" si="64"/>
        <v>0</v>
      </c>
      <c r="I142" s="108">
        <f t="shared" si="64"/>
        <v>0</v>
      </c>
      <c r="J142" s="108">
        <f t="shared" si="64"/>
        <v>0</v>
      </c>
      <c r="K142" s="108">
        <f t="shared" si="64"/>
        <v>0</v>
      </c>
      <c r="L142" s="108">
        <f t="shared" si="64"/>
        <v>0</v>
      </c>
      <c r="M142" s="206">
        <f t="shared" si="64"/>
        <v>0</v>
      </c>
    </row>
    <row r="143" spans="1:14" x14ac:dyDescent="0.25">
      <c r="A143" s="4"/>
      <c r="B143" s="89" t="s">
        <v>73</v>
      </c>
      <c r="C143" s="88"/>
      <c r="D143" s="88"/>
      <c r="E143" s="88"/>
      <c r="F143" s="88"/>
      <c r="G143" s="88"/>
      <c r="H143" s="88"/>
      <c r="I143" s="88"/>
      <c r="J143" s="88"/>
      <c r="K143" s="88"/>
      <c r="L143" s="88"/>
      <c r="M143" s="205">
        <f>ROUND(-'Authorized Margins'!G105*'WACAP 2017'!M135,2)</f>
        <v>0</v>
      </c>
    </row>
    <row r="144" spans="1:14" x14ac:dyDescent="0.25">
      <c r="A144" s="4"/>
      <c r="B144" s="89" t="s">
        <v>75</v>
      </c>
      <c r="C144" s="90">
        <f>-'WACAP 2017'!Q146</f>
        <v>2062.389999999999</v>
      </c>
      <c r="D144" s="90">
        <f t="shared" ref="D144" si="65">SUM(D142:D143)</f>
        <v>0</v>
      </c>
      <c r="E144" s="90">
        <f t="shared" ref="E144:L144" si="66">SUM(E142:E143)</f>
        <v>0</v>
      </c>
      <c r="F144" s="90">
        <f t="shared" si="66"/>
        <v>0</v>
      </c>
      <c r="G144" s="90">
        <f t="shared" si="66"/>
        <v>0</v>
      </c>
      <c r="H144" s="90">
        <f t="shared" si="66"/>
        <v>0</v>
      </c>
      <c r="I144" s="90">
        <f t="shared" si="66"/>
        <v>0</v>
      </c>
      <c r="J144" s="90">
        <f t="shared" si="66"/>
        <v>0</v>
      </c>
      <c r="K144" s="90">
        <f t="shared" si="66"/>
        <v>0</v>
      </c>
      <c r="L144" s="90">
        <f t="shared" si="66"/>
        <v>0</v>
      </c>
      <c r="M144" s="207"/>
    </row>
    <row r="145" spans="1:14" x14ac:dyDescent="0.25">
      <c r="A145" s="87"/>
      <c r="B145" s="89" t="s">
        <v>137</v>
      </c>
      <c r="C145" s="187">
        <f>ROUND(ROUND(C144*C$5,2)/365*C$6,2)</f>
        <v>7.44</v>
      </c>
      <c r="D145" s="187">
        <f>ROUND(ROUND(C147*D$5,2)/365*D$6,2)</f>
        <v>6.75</v>
      </c>
      <c r="E145" s="187">
        <f t="shared" ref="E145:K145" si="67">ROUND(ROUND(D147*E$5,2)/365*E$6,2)</f>
        <v>7.5</v>
      </c>
      <c r="F145" s="187">
        <f t="shared" si="67"/>
        <v>7.66</v>
      </c>
      <c r="G145" s="187">
        <f t="shared" si="67"/>
        <v>7.94</v>
      </c>
      <c r="H145" s="187">
        <f t="shared" si="67"/>
        <v>7.71</v>
      </c>
      <c r="I145" s="187">
        <f t="shared" si="67"/>
        <v>8.39</v>
      </c>
      <c r="J145" s="187">
        <f t="shared" si="67"/>
        <v>8.43</v>
      </c>
      <c r="K145" s="187">
        <f t="shared" si="67"/>
        <v>8.19</v>
      </c>
      <c r="L145" s="187">
        <f>ROUND(ROUND(K147*L$5,2)/365*L$6,2)</f>
        <v>8.98</v>
      </c>
      <c r="M145" s="208">
        <f>ROUND(ROUND(K147*M$5,2)/365*M$6,2)</f>
        <v>0</v>
      </c>
      <c r="N145" s="108">
        <f>SUM(C145:M145)</f>
        <v>78.990000000000009</v>
      </c>
    </row>
    <row r="146" spans="1:14" x14ac:dyDescent="0.25">
      <c r="A146" s="87"/>
      <c r="B146" s="89" t="s">
        <v>138</v>
      </c>
      <c r="C146" s="189">
        <f>C145</f>
        <v>7.44</v>
      </c>
      <c r="D146" s="189">
        <f t="shared" ref="D146:M146" si="68">SUM(D144:D145)</f>
        <v>6.75</v>
      </c>
      <c r="E146" s="189">
        <f t="shared" si="68"/>
        <v>7.5</v>
      </c>
      <c r="F146" s="189">
        <f t="shared" si="68"/>
        <v>7.66</v>
      </c>
      <c r="G146" s="189">
        <f t="shared" si="68"/>
        <v>7.94</v>
      </c>
      <c r="H146" s="189">
        <f t="shared" si="68"/>
        <v>7.71</v>
      </c>
      <c r="I146" s="189">
        <f t="shared" si="68"/>
        <v>8.39</v>
      </c>
      <c r="J146" s="189">
        <f t="shared" si="68"/>
        <v>8.43</v>
      </c>
      <c r="K146" s="189">
        <f t="shared" si="68"/>
        <v>8.19</v>
      </c>
      <c r="L146" s="189">
        <f t="shared" si="68"/>
        <v>8.98</v>
      </c>
      <c r="M146" s="209">
        <f t="shared" si="68"/>
        <v>0</v>
      </c>
    </row>
    <row r="147" spans="1:14" x14ac:dyDescent="0.25">
      <c r="A147" s="87"/>
      <c r="B147" s="89" t="s">
        <v>139</v>
      </c>
      <c r="C147" s="90">
        <f>C146+C144</f>
        <v>2069.829999999999</v>
      </c>
      <c r="D147" s="90">
        <f>C147+D146</f>
        <v>2076.579999999999</v>
      </c>
      <c r="E147" s="90">
        <f t="shared" ref="E147:L147" si="69">D147+E146</f>
        <v>2084.079999999999</v>
      </c>
      <c r="F147" s="90">
        <f t="shared" si="69"/>
        <v>2091.7399999999989</v>
      </c>
      <c r="G147" s="90">
        <f t="shared" si="69"/>
        <v>2099.6799999999989</v>
      </c>
      <c r="H147" s="90">
        <f t="shared" si="69"/>
        <v>2107.389999999999</v>
      </c>
      <c r="I147" s="90">
        <f t="shared" si="69"/>
        <v>2115.7799999999988</v>
      </c>
      <c r="J147" s="90">
        <f t="shared" si="69"/>
        <v>2124.2099999999987</v>
      </c>
      <c r="K147" s="90">
        <f t="shared" si="69"/>
        <v>2132.3999999999987</v>
      </c>
      <c r="L147" s="90">
        <f t="shared" si="69"/>
        <v>2141.3799999999987</v>
      </c>
      <c r="M147" s="207">
        <f>L147+M146</f>
        <v>2141.3799999999987</v>
      </c>
    </row>
    <row r="148" spans="1:14" ht="15.75" thickBot="1" x14ac:dyDescent="0.3">
      <c r="A148" s="118"/>
      <c r="B148" s="119"/>
      <c r="C148" s="119"/>
      <c r="D148" s="119"/>
      <c r="E148" s="176"/>
      <c r="F148" s="119"/>
      <c r="G148" s="119"/>
      <c r="H148" s="119"/>
      <c r="I148" s="119"/>
      <c r="J148" s="119"/>
      <c r="K148" s="119"/>
      <c r="L148" s="119"/>
      <c r="M148" s="211"/>
    </row>
    <row r="149" spans="1:14" x14ac:dyDescent="0.25">
      <c r="E149" s="108"/>
      <c r="M149" s="203"/>
    </row>
    <row r="150" spans="1:14" x14ac:dyDescent="0.25">
      <c r="B150" s="89" t="s">
        <v>89</v>
      </c>
      <c r="C150" s="90">
        <f t="shared" ref="C150:M151" si="70">C12+C24+C62+C74+C37+C114+C50+C89+C99+C129+C144</f>
        <v>-5899943.7300000032</v>
      </c>
      <c r="D150" s="90">
        <f t="shared" si="70"/>
        <v>0</v>
      </c>
      <c r="E150" s="90">
        <f t="shared" si="70"/>
        <v>0</v>
      </c>
      <c r="F150" s="90">
        <f t="shared" si="70"/>
        <v>0</v>
      </c>
      <c r="G150" s="90">
        <f t="shared" si="70"/>
        <v>0</v>
      </c>
      <c r="H150" s="90">
        <f t="shared" si="70"/>
        <v>0</v>
      </c>
      <c r="I150" s="90">
        <f t="shared" si="70"/>
        <v>0</v>
      </c>
      <c r="J150" s="90">
        <f t="shared" si="70"/>
        <v>0</v>
      </c>
      <c r="K150" s="90">
        <f t="shared" si="70"/>
        <v>0</v>
      </c>
      <c r="L150" s="90">
        <f t="shared" si="70"/>
        <v>0</v>
      </c>
      <c r="M150" s="207">
        <f t="shared" si="70"/>
        <v>0</v>
      </c>
    </row>
    <row r="151" spans="1:14" x14ac:dyDescent="0.25">
      <c r="B151" s="89" t="s">
        <v>141</v>
      </c>
      <c r="C151" s="199">
        <f>C13+C25+C63+C75+C38+C115+C51+C90+C100+C130+C145</f>
        <v>-21296.369999999995</v>
      </c>
      <c r="D151" s="216">
        <f t="shared" si="70"/>
        <v>-19304.859999999997</v>
      </c>
      <c r="E151" s="199">
        <f>E13+E25+E63+E75+E38+E115+E51+E90+E100+E130+E145-0.02</f>
        <v>-21442.949999999997</v>
      </c>
      <c r="F151" s="199">
        <f>F13+F25+F63+F75+F38+F115+F51+F90+F100+F130+F145+0.01</f>
        <v>-21904.17</v>
      </c>
      <c r="G151" s="199">
        <f>G13+G25+G63+G75+G38+G115+G51+G90+G100+G130+G145-0.01</f>
        <v>-22717.489999999998</v>
      </c>
      <c r="H151" s="199">
        <f>H13+H25+H63+H75+H38+H115+H51+H90+H100+H130+H145+0.01</f>
        <v>-22068.110000000004</v>
      </c>
      <c r="I151" s="216">
        <f t="shared" si="70"/>
        <v>-24013.959999999995</v>
      </c>
      <c r="J151" s="199">
        <f>J13+J25+J63+J75+J38+J115+J51+J90+J100+J130+J145+0.01</f>
        <v>-24109.600000000002</v>
      </c>
      <c r="K151" s="216">
        <f t="shared" si="70"/>
        <v>-23424.82</v>
      </c>
      <c r="L151" s="199">
        <f>L13+L25+L63+L75+L38+L115+L51+L90+L100+L130+L145+0.01</f>
        <v>-25697.82</v>
      </c>
      <c r="M151" s="208">
        <v>-225980.16</v>
      </c>
    </row>
    <row r="152" spans="1:14" x14ac:dyDescent="0.25">
      <c r="B152" s="89" t="s">
        <v>139</v>
      </c>
      <c r="C152" s="90">
        <f>SUM(C150:C151)</f>
        <v>-5921240.1000000034</v>
      </c>
      <c r="D152" s="90">
        <f t="shared" ref="D152:K152" si="71">SUM(D150:D151)+C152</f>
        <v>-5940544.9600000037</v>
      </c>
      <c r="E152" s="90">
        <f t="shared" si="71"/>
        <v>-5961987.9100000039</v>
      </c>
      <c r="F152" s="90">
        <f t="shared" si="71"/>
        <v>-5983892.0800000038</v>
      </c>
      <c r="G152" s="90">
        <f t="shared" si="71"/>
        <v>-6006609.570000004</v>
      </c>
      <c r="H152" s="90">
        <f t="shared" si="71"/>
        <v>-6028677.6800000044</v>
      </c>
      <c r="I152" s="90">
        <f t="shared" si="71"/>
        <v>-6052691.6400000043</v>
      </c>
      <c r="J152" s="90">
        <f t="shared" si="71"/>
        <v>-6076801.2400000039</v>
      </c>
      <c r="K152" s="90">
        <f t="shared" si="71"/>
        <v>-6100226.0600000042</v>
      </c>
      <c r="L152" s="90">
        <f>SUM(L150:L151)+K152</f>
        <v>-6125923.8800000045</v>
      </c>
      <c r="M152" s="207">
        <f>SUM(M150:M151)</f>
        <v>-225980.16</v>
      </c>
      <c r="N152" s="90">
        <f>SUM(N5:N151)</f>
        <v>-225980.16</v>
      </c>
    </row>
    <row r="153" spans="1:14" x14ac:dyDescent="0.25">
      <c r="B153" s="89"/>
      <c r="C153" s="187"/>
      <c r="D153" s="90"/>
      <c r="E153" s="90"/>
      <c r="F153" s="90"/>
      <c r="G153" s="90"/>
      <c r="H153" s="90"/>
      <c r="I153" s="90"/>
      <c r="J153" s="90"/>
      <c r="K153" s="90"/>
      <c r="L153" s="90"/>
      <c r="M153" s="207"/>
    </row>
    <row r="154" spans="1:14" x14ac:dyDescent="0.25">
      <c r="A154" s="696" t="s">
        <v>76</v>
      </c>
      <c r="E154" s="108"/>
      <c r="M154" s="203"/>
    </row>
    <row r="155" spans="1:14" ht="15.75" x14ac:dyDescent="0.25">
      <c r="A155" s="697"/>
      <c r="B155" s="93"/>
      <c r="C155" s="121">
        <v>42766</v>
      </c>
      <c r="D155" s="121">
        <v>42794</v>
      </c>
      <c r="E155" s="121">
        <v>42825</v>
      </c>
      <c r="F155" s="121">
        <v>42855</v>
      </c>
      <c r="G155" s="121">
        <v>42886</v>
      </c>
      <c r="H155" s="121">
        <v>42916</v>
      </c>
      <c r="I155" s="121">
        <v>42947</v>
      </c>
      <c r="J155" s="121">
        <v>42978</v>
      </c>
      <c r="K155" s="121">
        <v>43008</v>
      </c>
      <c r="L155" s="121">
        <v>43039</v>
      </c>
      <c r="M155" s="212">
        <v>43069</v>
      </c>
    </row>
    <row r="156" spans="1:14" ht="15.75" x14ac:dyDescent="0.25">
      <c r="A156" s="96" t="s">
        <v>127</v>
      </c>
      <c r="B156" s="97" t="s">
        <v>79</v>
      </c>
      <c r="C156" s="99">
        <f>-C150</f>
        <v>5899943.7300000032</v>
      </c>
      <c r="D156" s="99">
        <f t="shared" ref="D156:M156" si="72">-D150</f>
        <v>0</v>
      </c>
      <c r="E156" s="99">
        <f t="shared" si="72"/>
        <v>0</v>
      </c>
      <c r="F156" s="99">
        <f t="shared" si="72"/>
        <v>0</v>
      </c>
      <c r="G156" s="99">
        <f t="shared" si="72"/>
        <v>0</v>
      </c>
      <c r="H156" s="99">
        <f t="shared" si="72"/>
        <v>0</v>
      </c>
      <c r="I156" s="99">
        <f t="shared" si="72"/>
        <v>0</v>
      </c>
      <c r="J156" s="99">
        <f t="shared" si="72"/>
        <v>0</v>
      </c>
      <c r="K156" s="99">
        <f t="shared" si="72"/>
        <v>0</v>
      </c>
      <c r="L156" s="99">
        <f t="shared" si="72"/>
        <v>0</v>
      </c>
      <c r="M156" s="213">
        <f t="shared" si="72"/>
        <v>0</v>
      </c>
    </row>
    <row r="157" spans="1:14" ht="15.75" x14ac:dyDescent="0.25">
      <c r="A157" s="92" t="s">
        <v>128</v>
      </c>
      <c r="B157" s="94" t="s">
        <v>77</v>
      </c>
      <c r="C157" s="99">
        <f>C12+C24</f>
        <v>-2828932.4500000011</v>
      </c>
      <c r="D157" s="99">
        <f t="shared" ref="D157:M157" si="73">D12+D24</f>
        <v>0</v>
      </c>
      <c r="E157" s="99">
        <f t="shared" si="73"/>
        <v>0</v>
      </c>
      <c r="F157" s="99">
        <f t="shared" si="73"/>
        <v>0</v>
      </c>
      <c r="G157" s="99">
        <f t="shared" si="73"/>
        <v>0</v>
      </c>
      <c r="H157" s="99">
        <f t="shared" si="73"/>
        <v>0</v>
      </c>
      <c r="I157" s="99">
        <f t="shared" si="73"/>
        <v>0</v>
      </c>
      <c r="J157" s="99">
        <f t="shared" si="73"/>
        <v>0</v>
      </c>
      <c r="K157" s="99">
        <f t="shared" si="73"/>
        <v>0</v>
      </c>
      <c r="L157" s="99">
        <f t="shared" si="73"/>
        <v>0</v>
      </c>
      <c r="M157" s="213">
        <f t="shared" si="73"/>
        <v>0</v>
      </c>
    </row>
    <row r="158" spans="1:14" ht="15.75" x14ac:dyDescent="0.25">
      <c r="A158" s="92" t="s">
        <v>129</v>
      </c>
      <c r="B158" s="94" t="s">
        <v>80</v>
      </c>
      <c r="C158" s="99">
        <f>C37+C50</f>
        <v>-259427.63999999998</v>
      </c>
      <c r="D158" s="99">
        <f t="shared" ref="D158:M158" si="74">D37+D50</f>
        <v>0</v>
      </c>
      <c r="E158" s="99">
        <f t="shared" si="74"/>
        <v>0</v>
      </c>
      <c r="F158" s="99">
        <f t="shared" si="74"/>
        <v>0</v>
      </c>
      <c r="G158" s="99">
        <f t="shared" si="74"/>
        <v>0</v>
      </c>
      <c r="H158" s="99">
        <f t="shared" si="74"/>
        <v>0</v>
      </c>
      <c r="I158" s="99">
        <f t="shared" si="74"/>
        <v>0</v>
      </c>
      <c r="J158" s="99">
        <f t="shared" si="74"/>
        <v>0</v>
      </c>
      <c r="K158" s="99">
        <f t="shared" si="74"/>
        <v>0</v>
      </c>
      <c r="L158" s="99">
        <f t="shared" si="74"/>
        <v>0</v>
      </c>
      <c r="M158" s="213">
        <f t="shared" si="74"/>
        <v>0</v>
      </c>
    </row>
    <row r="159" spans="1:14" ht="15.75" x14ac:dyDescent="0.25">
      <c r="A159" s="92" t="s">
        <v>130</v>
      </c>
      <c r="B159" s="94" t="s">
        <v>78</v>
      </c>
      <c r="C159" s="99">
        <f>C62+C74+C89+C99</f>
        <v>-2841285.0500000017</v>
      </c>
      <c r="D159" s="99">
        <f t="shared" ref="D159:M159" si="75">D62+D74+D89+D99</f>
        <v>0</v>
      </c>
      <c r="E159" s="99">
        <f t="shared" si="75"/>
        <v>0</v>
      </c>
      <c r="F159" s="99">
        <f t="shared" si="75"/>
        <v>0</v>
      </c>
      <c r="G159" s="99">
        <f t="shared" si="75"/>
        <v>0</v>
      </c>
      <c r="H159" s="99">
        <f t="shared" si="75"/>
        <v>0</v>
      </c>
      <c r="I159" s="99">
        <f t="shared" si="75"/>
        <v>0</v>
      </c>
      <c r="J159" s="99">
        <f t="shared" si="75"/>
        <v>0</v>
      </c>
      <c r="K159" s="99">
        <f t="shared" si="75"/>
        <v>0</v>
      </c>
      <c r="L159" s="99">
        <f t="shared" si="75"/>
        <v>0</v>
      </c>
      <c r="M159" s="213">
        <f t="shared" si="75"/>
        <v>0</v>
      </c>
    </row>
    <row r="160" spans="1:14" ht="15.75" x14ac:dyDescent="0.25">
      <c r="A160" s="92" t="s">
        <v>131</v>
      </c>
      <c r="B160" s="94" t="s">
        <v>81</v>
      </c>
      <c r="C160" s="99">
        <f t="shared" ref="C160:M160" si="76">C114</f>
        <v>3837.4000000000005</v>
      </c>
      <c r="D160" s="99">
        <f t="shared" si="76"/>
        <v>0</v>
      </c>
      <c r="E160" s="99">
        <f t="shared" si="76"/>
        <v>0</v>
      </c>
      <c r="F160" s="99">
        <f t="shared" si="76"/>
        <v>0</v>
      </c>
      <c r="G160" s="99">
        <f t="shared" si="76"/>
        <v>0</v>
      </c>
      <c r="H160" s="99">
        <f t="shared" si="76"/>
        <v>0</v>
      </c>
      <c r="I160" s="99">
        <f t="shared" si="76"/>
        <v>0</v>
      </c>
      <c r="J160" s="99">
        <f t="shared" si="76"/>
        <v>0</v>
      </c>
      <c r="K160" s="99">
        <f t="shared" si="76"/>
        <v>0</v>
      </c>
      <c r="L160" s="99">
        <f t="shared" si="76"/>
        <v>0</v>
      </c>
      <c r="M160" s="213">
        <f t="shared" si="76"/>
        <v>0</v>
      </c>
    </row>
    <row r="161" spans="1:13" ht="15.75" x14ac:dyDescent="0.25">
      <c r="A161" s="98" t="s">
        <v>132</v>
      </c>
      <c r="B161" s="91" t="s">
        <v>82</v>
      </c>
      <c r="C161" s="100">
        <f t="shared" ref="C161:M161" si="77">C129+C144</f>
        <v>25864.010000000006</v>
      </c>
      <c r="D161" s="100">
        <f t="shared" si="77"/>
        <v>0</v>
      </c>
      <c r="E161" s="100">
        <f t="shared" si="77"/>
        <v>0</v>
      </c>
      <c r="F161" s="100">
        <f t="shared" si="77"/>
        <v>0</v>
      </c>
      <c r="G161" s="100">
        <f t="shared" si="77"/>
        <v>0</v>
      </c>
      <c r="H161" s="100">
        <f t="shared" si="77"/>
        <v>0</v>
      </c>
      <c r="I161" s="100">
        <f t="shared" si="77"/>
        <v>0</v>
      </c>
      <c r="J161" s="100">
        <f t="shared" si="77"/>
        <v>0</v>
      </c>
      <c r="K161" s="100">
        <f t="shared" si="77"/>
        <v>0</v>
      </c>
      <c r="L161" s="100">
        <f t="shared" si="77"/>
        <v>0</v>
      </c>
      <c r="M161" s="214">
        <f t="shared" si="77"/>
        <v>0</v>
      </c>
    </row>
    <row r="162" spans="1:13" ht="15.75" x14ac:dyDescent="0.25">
      <c r="A162" s="92"/>
      <c r="B162" s="94"/>
    </row>
    <row r="169" spans="1:13" x14ac:dyDescent="0.25">
      <c r="D169" s="187"/>
      <c r="E169" s="187"/>
      <c r="F169" s="187"/>
      <c r="G169" s="187"/>
      <c r="H169" s="187"/>
      <c r="I169" s="187"/>
      <c r="J169" s="187"/>
      <c r="K169" s="187"/>
      <c r="L169" s="187"/>
    </row>
    <row r="170" spans="1:13" x14ac:dyDescent="0.25">
      <c r="C170" s="108"/>
      <c r="D170" s="108"/>
      <c r="E170" s="108"/>
      <c r="F170" s="108"/>
      <c r="G170" s="108"/>
      <c r="H170" s="108"/>
      <c r="I170" s="108"/>
      <c r="J170" s="108"/>
      <c r="K170" s="108"/>
      <c r="L170" s="108"/>
    </row>
    <row r="172" spans="1:13" x14ac:dyDescent="0.25">
      <c r="D172" s="108"/>
      <c r="E172" s="108"/>
      <c r="F172" s="108"/>
      <c r="G172" s="108"/>
      <c r="H172" s="108"/>
      <c r="I172" s="108"/>
      <c r="J172" s="108"/>
      <c r="K172" s="108"/>
      <c r="L172" s="108"/>
    </row>
  </sheetData>
  <mergeCells count="4">
    <mergeCell ref="A1:M1"/>
    <mergeCell ref="A2:M2"/>
    <mergeCell ref="A3:M3"/>
    <mergeCell ref="A154:A155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21A5F-E842-4F05-A266-2AB0E52C702D}">
  <sheetPr>
    <pageSetUpPr fitToPage="1"/>
  </sheetPr>
  <dimension ref="A2:AH18"/>
  <sheetViews>
    <sheetView workbookViewId="0"/>
  </sheetViews>
  <sheetFormatPr defaultColWidth="9.140625" defaultRowHeight="15" x14ac:dyDescent="0.25"/>
  <cols>
    <col min="1" max="1" width="9.140625" bestFit="1" customWidth="1"/>
    <col min="2" max="2" width="18.28515625" bestFit="1" customWidth="1"/>
    <col min="3" max="3" width="40.7109375" bestFit="1" customWidth="1"/>
    <col min="4" max="5" width="11.140625" bestFit="1" customWidth="1"/>
    <col min="6" max="15" width="12.7109375" bestFit="1" customWidth="1"/>
    <col min="18" max="18" width="11.140625" bestFit="1" customWidth="1"/>
  </cols>
  <sheetData>
    <row r="2" spans="1:34" x14ac:dyDescent="0.25">
      <c r="D2" s="698" t="s">
        <v>125</v>
      </c>
      <c r="E2" s="698"/>
      <c r="F2" s="698"/>
      <c r="G2" s="698"/>
      <c r="H2" s="698"/>
      <c r="I2" s="698"/>
      <c r="J2" s="698"/>
      <c r="K2" s="698"/>
    </row>
    <row r="3" spans="1:34" x14ac:dyDescent="0.25">
      <c r="D3" s="698"/>
      <c r="E3" s="698"/>
      <c r="F3" s="698"/>
      <c r="G3" s="698"/>
      <c r="H3" s="698"/>
      <c r="I3" s="698"/>
      <c r="J3" s="698"/>
      <c r="K3" s="698"/>
    </row>
    <row r="4" spans="1:34" x14ac:dyDescent="0.25">
      <c r="D4" s="698"/>
      <c r="E4" s="698"/>
      <c r="F4" s="698"/>
      <c r="G4" s="698"/>
      <c r="H4" s="698"/>
      <c r="I4" s="698"/>
      <c r="J4" s="698"/>
      <c r="K4" s="698"/>
    </row>
    <row r="5" spans="1:34" ht="15" customHeight="1" x14ac:dyDescent="0.25">
      <c r="C5" s="699" t="s">
        <v>62</v>
      </c>
      <c r="D5" s="699"/>
      <c r="E5" s="699"/>
      <c r="F5" s="699"/>
      <c r="G5" s="699"/>
      <c r="H5" s="699"/>
      <c r="I5" s="699"/>
      <c r="J5" s="699"/>
      <c r="K5" s="699"/>
      <c r="L5" s="699"/>
      <c r="M5" s="699"/>
      <c r="N5" s="699"/>
      <c r="O5" s="699"/>
    </row>
    <row r="6" spans="1:34" ht="15.75" thickBot="1" x14ac:dyDescent="0.3">
      <c r="C6" s="700"/>
      <c r="D6" s="700"/>
      <c r="E6" s="700"/>
      <c r="F6" s="700"/>
      <c r="G6" s="700"/>
      <c r="H6" s="700"/>
      <c r="I6" s="700"/>
      <c r="J6" s="700"/>
      <c r="K6" s="700"/>
      <c r="L6" s="700"/>
      <c r="M6" s="700"/>
      <c r="N6" s="700"/>
      <c r="O6" s="700"/>
    </row>
    <row r="7" spans="1:34" ht="15.75" thickTop="1" x14ac:dyDescent="0.25">
      <c r="C7" s="3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2"/>
    </row>
    <row r="8" spans="1:34" x14ac:dyDescent="0.25">
      <c r="C8" s="33"/>
      <c r="D8" s="36" t="s">
        <v>13</v>
      </c>
      <c r="E8" s="37" t="s">
        <v>14</v>
      </c>
      <c r="F8" s="37" t="s">
        <v>15</v>
      </c>
      <c r="G8" s="36" t="s">
        <v>16</v>
      </c>
      <c r="H8" s="37" t="s">
        <v>17</v>
      </c>
      <c r="I8" s="37" t="s">
        <v>18</v>
      </c>
      <c r="J8" s="36" t="s">
        <v>19</v>
      </c>
      <c r="K8" s="37" t="s">
        <v>20</v>
      </c>
      <c r="L8" s="37" t="s">
        <v>21</v>
      </c>
      <c r="M8" s="36" t="s">
        <v>22</v>
      </c>
      <c r="N8" s="37" t="s">
        <v>23</v>
      </c>
      <c r="O8" s="223" t="s">
        <v>24</v>
      </c>
    </row>
    <row r="9" spans="1:34" x14ac:dyDescent="0.25">
      <c r="C9" s="80" t="s">
        <v>31</v>
      </c>
      <c r="D9" s="133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222"/>
    </row>
    <row r="10" spans="1:34" s="51" customFormat="1" x14ac:dyDescent="0.25">
      <c r="A10"/>
      <c r="B10"/>
      <c r="C10" s="40" t="s">
        <v>30</v>
      </c>
      <c r="D10" s="130">
        <v>4.2</v>
      </c>
      <c r="E10" s="131">
        <v>3.5</v>
      </c>
      <c r="F10" s="131">
        <v>5.17</v>
      </c>
      <c r="G10" s="131">
        <v>12.93</v>
      </c>
      <c r="H10" s="131">
        <v>24.04</v>
      </c>
      <c r="I10" s="131">
        <v>31.96</v>
      </c>
      <c r="J10" s="131">
        <v>30.35</v>
      </c>
      <c r="K10" s="131">
        <v>22.3</v>
      </c>
      <c r="L10" s="131">
        <v>20.41</v>
      </c>
      <c r="M10" s="131">
        <v>12.52</v>
      </c>
      <c r="N10" s="131">
        <v>7.13</v>
      </c>
      <c r="O10" s="132">
        <v>4.6900000000000004</v>
      </c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51" customFormat="1" x14ac:dyDescent="0.25">
      <c r="A11"/>
      <c r="B11"/>
      <c r="C11" s="82" t="s">
        <v>34</v>
      </c>
      <c r="D11" s="148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50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51" customFormat="1" x14ac:dyDescent="0.25">
      <c r="A12"/>
      <c r="B12"/>
      <c r="C12" s="40" t="s">
        <v>30</v>
      </c>
      <c r="D12" s="130">
        <v>24.45</v>
      </c>
      <c r="E12" s="131">
        <v>21.6</v>
      </c>
      <c r="F12" s="131">
        <v>32.049999999999997</v>
      </c>
      <c r="G12" s="131">
        <v>59.39</v>
      </c>
      <c r="H12" s="131">
        <v>89.84</v>
      </c>
      <c r="I12" s="131">
        <v>127</v>
      </c>
      <c r="J12" s="131">
        <v>127.65</v>
      </c>
      <c r="K12" s="131">
        <v>93.93</v>
      </c>
      <c r="L12" s="131">
        <v>78.319999999999993</v>
      </c>
      <c r="M12" s="131">
        <v>48.24</v>
      </c>
      <c r="N12" s="131">
        <v>31.22</v>
      </c>
      <c r="O12" s="132">
        <v>23.85</v>
      </c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x14ac:dyDescent="0.25">
      <c r="C13" s="80" t="s">
        <v>35</v>
      </c>
      <c r="D13" s="133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5"/>
    </row>
    <row r="14" spans="1:34" x14ac:dyDescent="0.25">
      <c r="C14" s="22" t="s">
        <v>30</v>
      </c>
      <c r="D14" s="159">
        <v>152.5</v>
      </c>
      <c r="E14" s="160">
        <v>161.43</v>
      </c>
      <c r="F14" s="160">
        <v>209.7</v>
      </c>
      <c r="G14" s="160">
        <v>357.27</v>
      </c>
      <c r="H14" s="160">
        <v>308.02999999999997</v>
      </c>
      <c r="I14" s="160">
        <v>430.43</v>
      </c>
      <c r="J14" s="160">
        <v>498.23</v>
      </c>
      <c r="K14" s="160">
        <v>423.12</v>
      </c>
      <c r="L14" s="160">
        <v>397.9</v>
      </c>
      <c r="M14" s="160">
        <v>289.11</v>
      </c>
      <c r="N14" s="160">
        <v>210.22</v>
      </c>
      <c r="O14" s="161">
        <v>189.53</v>
      </c>
    </row>
    <row r="15" spans="1:34" x14ac:dyDescent="0.25">
      <c r="C15" s="80" t="s">
        <v>46</v>
      </c>
      <c r="D15" s="133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5"/>
    </row>
    <row r="16" spans="1:34" x14ac:dyDescent="0.25">
      <c r="C16" s="31" t="s">
        <v>30</v>
      </c>
      <c r="D16" s="130">
        <v>574</v>
      </c>
      <c r="E16" s="131">
        <v>812.31</v>
      </c>
      <c r="F16" s="131">
        <v>761.38</v>
      </c>
      <c r="G16" s="131">
        <v>864.72</v>
      </c>
      <c r="H16" s="131">
        <v>1162.6199999999999</v>
      </c>
      <c r="I16" s="131">
        <v>1882.86</v>
      </c>
      <c r="J16" s="131">
        <v>2112.66</v>
      </c>
      <c r="K16" s="131">
        <v>1703.1</v>
      </c>
      <c r="L16" s="131">
        <v>2111.2199999999998</v>
      </c>
      <c r="M16" s="131">
        <v>1307.21</v>
      </c>
      <c r="N16" s="131">
        <v>797.62</v>
      </c>
      <c r="O16" s="132">
        <v>870.43</v>
      </c>
    </row>
    <row r="17" spans="3:15" x14ac:dyDescent="0.25">
      <c r="C17" s="80" t="s">
        <v>54</v>
      </c>
      <c r="D17" s="133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5"/>
    </row>
    <row r="18" spans="3:15" ht="15.75" thickBot="1" x14ac:dyDescent="0.3">
      <c r="C18" s="218" t="s">
        <v>53</v>
      </c>
      <c r="D18" s="219">
        <v>941.72</v>
      </c>
      <c r="E18" s="220">
        <v>1104.77</v>
      </c>
      <c r="F18" s="220">
        <v>866.54</v>
      </c>
      <c r="G18" s="220">
        <v>1124.56</v>
      </c>
      <c r="H18" s="220">
        <v>1588.5</v>
      </c>
      <c r="I18" s="220">
        <v>1825.11</v>
      </c>
      <c r="J18" s="220">
        <v>2353.02</v>
      </c>
      <c r="K18" s="220">
        <v>2365.04</v>
      </c>
      <c r="L18" s="220">
        <v>1936.49</v>
      </c>
      <c r="M18" s="220">
        <v>1927.27</v>
      </c>
      <c r="N18" s="220">
        <v>1389.07</v>
      </c>
      <c r="O18" s="221">
        <v>1154.77</v>
      </c>
    </row>
  </sheetData>
  <mergeCells count="2">
    <mergeCell ref="D2:K4"/>
    <mergeCell ref="C5:O6"/>
  </mergeCells>
  <pageMargins left="0.7" right="0.7" top="0.75" bottom="0.75" header="0.3" footer="0.3"/>
  <pageSetup scale="64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H18"/>
  <sheetViews>
    <sheetView workbookViewId="0"/>
  </sheetViews>
  <sheetFormatPr defaultColWidth="9.140625" defaultRowHeight="15" x14ac:dyDescent="0.25"/>
  <cols>
    <col min="1" max="1" width="9.140625" bestFit="1" customWidth="1"/>
    <col min="2" max="2" width="18.28515625" bestFit="1" customWidth="1"/>
    <col min="3" max="3" width="40.7109375" bestFit="1" customWidth="1"/>
    <col min="4" max="5" width="11.140625" bestFit="1" customWidth="1"/>
    <col min="6" max="15" width="12.7109375" bestFit="1" customWidth="1"/>
    <col min="18" max="18" width="11.140625" bestFit="1" customWidth="1"/>
  </cols>
  <sheetData>
    <row r="2" spans="1:34" x14ac:dyDescent="0.25">
      <c r="D2" s="698" t="s">
        <v>125</v>
      </c>
      <c r="E2" s="698"/>
      <c r="F2" s="698"/>
      <c r="G2" s="698"/>
      <c r="H2" s="698"/>
      <c r="I2" s="698"/>
      <c r="J2" s="698"/>
      <c r="K2" s="698"/>
    </row>
    <row r="3" spans="1:34" x14ac:dyDescent="0.25">
      <c r="D3" s="698"/>
      <c r="E3" s="698"/>
      <c r="F3" s="698"/>
      <c r="G3" s="698"/>
      <c r="H3" s="698"/>
      <c r="I3" s="698"/>
      <c r="J3" s="698"/>
      <c r="K3" s="698"/>
    </row>
    <row r="4" spans="1:34" x14ac:dyDescent="0.25">
      <c r="D4" s="698"/>
      <c r="E4" s="698"/>
      <c r="F4" s="698"/>
      <c r="G4" s="698"/>
      <c r="H4" s="698"/>
      <c r="I4" s="698"/>
      <c r="J4" s="698"/>
      <c r="K4" s="698"/>
    </row>
    <row r="5" spans="1:34" ht="15" customHeight="1" x14ac:dyDescent="0.25">
      <c r="C5" s="699" t="s">
        <v>62</v>
      </c>
      <c r="D5" s="699"/>
      <c r="E5" s="699"/>
      <c r="F5" s="699"/>
      <c r="G5" s="699"/>
      <c r="H5" s="699"/>
      <c r="I5" s="699"/>
      <c r="J5" s="699"/>
      <c r="K5" s="699"/>
      <c r="L5" s="699"/>
      <c r="M5" s="699"/>
      <c r="N5" s="699"/>
      <c r="O5" s="699"/>
    </row>
    <row r="6" spans="1:34" ht="15.75" thickBot="1" x14ac:dyDescent="0.3">
      <c r="C6" s="700"/>
      <c r="D6" s="700"/>
      <c r="E6" s="700"/>
      <c r="F6" s="700"/>
      <c r="G6" s="700"/>
      <c r="H6" s="700"/>
      <c r="I6" s="700"/>
      <c r="J6" s="700"/>
      <c r="K6" s="700"/>
      <c r="L6" s="700"/>
      <c r="M6" s="700"/>
      <c r="N6" s="700"/>
      <c r="O6" s="700"/>
    </row>
    <row r="7" spans="1:34" ht="15.75" thickTop="1" x14ac:dyDescent="0.25">
      <c r="C7" s="3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2"/>
    </row>
    <row r="8" spans="1:34" x14ac:dyDescent="0.25">
      <c r="C8" s="33"/>
      <c r="D8" s="36" t="s">
        <v>13</v>
      </c>
      <c r="E8" s="37" t="s">
        <v>14</v>
      </c>
      <c r="F8" s="37" t="s">
        <v>15</v>
      </c>
      <c r="G8" s="36" t="s">
        <v>16</v>
      </c>
      <c r="H8" s="37" t="s">
        <v>17</v>
      </c>
      <c r="I8" s="37" t="s">
        <v>18</v>
      </c>
      <c r="J8" s="36" t="s">
        <v>19</v>
      </c>
      <c r="K8" s="37" t="s">
        <v>20</v>
      </c>
      <c r="L8" s="37" t="s">
        <v>21</v>
      </c>
      <c r="M8" s="36" t="s">
        <v>22</v>
      </c>
      <c r="N8" s="37" t="s">
        <v>23</v>
      </c>
      <c r="O8" s="223" t="s">
        <v>24</v>
      </c>
    </row>
    <row r="9" spans="1:34" x14ac:dyDescent="0.25">
      <c r="C9" s="80" t="s">
        <v>31</v>
      </c>
      <c r="D9" s="133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222"/>
    </row>
    <row r="10" spans="1:34" s="51" customFormat="1" x14ac:dyDescent="0.25">
      <c r="A10"/>
      <c r="B10"/>
      <c r="C10" s="40" t="s">
        <v>30</v>
      </c>
      <c r="D10" s="130">
        <v>4.2</v>
      </c>
      <c r="E10" s="131">
        <v>3.5</v>
      </c>
      <c r="F10" s="131">
        <v>5.17</v>
      </c>
      <c r="G10" s="131">
        <v>12.93</v>
      </c>
      <c r="H10" s="131">
        <v>24.04</v>
      </c>
      <c r="I10" s="131">
        <v>31.96</v>
      </c>
      <c r="J10" s="131">
        <v>30.35</v>
      </c>
      <c r="K10" s="131">
        <v>22.3</v>
      </c>
      <c r="L10" s="131">
        <v>20.41</v>
      </c>
      <c r="M10" s="131">
        <v>12.52</v>
      </c>
      <c r="N10" s="131">
        <v>7.13</v>
      </c>
      <c r="O10" s="132">
        <v>4.6900000000000004</v>
      </c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51" customFormat="1" x14ac:dyDescent="0.25">
      <c r="A11"/>
      <c r="B11"/>
      <c r="C11" s="82" t="s">
        <v>34</v>
      </c>
      <c r="D11" s="148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50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51" customFormat="1" x14ac:dyDescent="0.25">
      <c r="A12"/>
      <c r="B12"/>
      <c r="C12" s="40" t="s">
        <v>30</v>
      </c>
      <c r="D12" s="130">
        <v>24.45</v>
      </c>
      <c r="E12" s="131">
        <v>21.6</v>
      </c>
      <c r="F12" s="131">
        <v>32.049999999999997</v>
      </c>
      <c r="G12" s="131">
        <v>59.39</v>
      </c>
      <c r="H12" s="131">
        <v>89.84</v>
      </c>
      <c r="I12" s="131">
        <v>127</v>
      </c>
      <c r="J12" s="131">
        <v>127.65</v>
      </c>
      <c r="K12" s="131">
        <v>93.93</v>
      </c>
      <c r="L12" s="131">
        <v>78.319999999999993</v>
      </c>
      <c r="M12" s="131">
        <v>48.24</v>
      </c>
      <c r="N12" s="131">
        <v>31.22</v>
      </c>
      <c r="O12" s="132">
        <v>23.85</v>
      </c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x14ac:dyDescent="0.25">
      <c r="C13" s="80" t="s">
        <v>35</v>
      </c>
      <c r="D13" s="133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5"/>
    </row>
    <row r="14" spans="1:34" x14ac:dyDescent="0.25">
      <c r="C14" s="22" t="s">
        <v>30</v>
      </c>
      <c r="D14" s="159">
        <v>152.5</v>
      </c>
      <c r="E14" s="160">
        <v>161.43</v>
      </c>
      <c r="F14" s="160">
        <v>209.7</v>
      </c>
      <c r="G14" s="160">
        <v>357.27</v>
      </c>
      <c r="H14" s="160">
        <v>308.02999999999997</v>
      </c>
      <c r="I14" s="160">
        <v>430.43</v>
      </c>
      <c r="J14" s="160">
        <v>498.23</v>
      </c>
      <c r="K14" s="160">
        <v>423.12</v>
      </c>
      <c r="L14" s="160">
        <v>397.9</v>
      </c>
      <c r="M14" s="160">
        <v>289.11</v>
      </c>
      <c r="N14" s="160">
        <v>210.22</v>
      </c>
      <c r="O14" s="161">
        <v>189.53</v>
      </c>
    </row>
    <row r="15" spans="1:34" x14ac:dyDescent="0.25">
      <c r="C15" s="80" t="s">
        <v>46</v>
      </c>
      <c r="D15" s="133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5"/>
    </row>
    <row r="16" spans="1:34" x14ac:dyDescent="0.25">
      <c r="C16" s="31" t="s">
        <v>30</v>
      </c>
      <c r="D16" s="130">
        <v>574</v>
      </c>
      <c r="E16" s="131">
        <v>812.31</v>
      </c>
      <c r="F16" s="131">
        <v>761.38</v>
      </c>
      <c r="G16" s="131">
        <v>864.72</v>
      </c>
      <c r="H16" s="131">
        <v>1162.6199999999999</v>
      </c>
      <c r="I16" s="131">
        <v>1882.86</v>
      </c>
      <c r="J16" s="131">
        <v>2112.66</v>
      </c>
      <c r="K16" s="131">
        <v>1703.1</v>
      </c>
      <c r="L16" s="131">
        <v>2111.2199999999998</v>
      </c>
      <c r="M16" s="131">
        <v>1307.21</v>
      </c>
      <c r="N16" s="131">
        <v>797.62</v>
      </c>
      <c r="O16" s="132">
        <v>870.43</v>
      </c>
    </row>
    <row r="17" spans="3:15" x14ac:dyDescent="0.25">
      <c r="C17" s="80" t="s">
        <v>54</v>
      </c>
      <c r="D17" s="133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5"/>
    </row>
    <row r="18" spans="3:15" ht="15.75" thickBot="1" x14ac:dyDescent="0.3">
      <c r="C18" s="218" t="s">
        <v>53</v>
      </c>
      <c r="D18" s="219">
        <v>941.72</v>
      </c>
      <c r="E18" s="220">
        <v>1104.77</v>
      </c>
      <c r="F18" s="220">
        <v>866.54</v>
      </c>
      <c r="G18" s="220">
        <v>1124.56</v>
      </c>
      <c r="H18" s="220">
        <v>1588.5</v>
      </c>
      <c r="I18" s="220">
        <v>1825.11</v>
      </c>
      <c r="J18" s="220">
        <v>2353.02</v>
      </c>
      <c r="K18" s="220">
        <v>2365.04</v>
      </c>
      <c r="L18" s="220">
        <v>1936.49</v>
      </c>
      <c r="M18" s="220">
        <v>1927.27</v>
      </c>
      <c r="N18" s="220">
        <v>1389.07</v>
      </c>
      <c r="O18" s="221">
        <v>1154.77</v>
      </c>
    </row>
  </sheetData>
  <mergeCells count="2">
    <mergeCell ref="D2:K4"/>
    <mergeCell ref="C5:O6"/>
  </mergeCells>
  <pageMargins left="0.7" right="0.7" top="0.75" bottom="0.75" header="0.3" footer="0.3"/>
  <pageSetup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E177"/>
  <sheetViews>
    <sheetView workbookViewId="0">
      <selection sqref="A1:O1"/>
    </sheetView>
  </sheetViews>
  <sheetFormatPr defaultColWidth="9.140625" defaultRowHeight="15" x14ac:dyDescent="0.25"/>
  <cols>
    <col min="1" max="1" width="24.7109375" bestFit="1" customWidth="1"/>
    <col min="2" max="2" width="65.7109375" bestFit="1" customWidth="1"/>
    <col min="3" max="4" width="14" customWidth="1"/>
    <col min="5" max="6" width="14" bestFit="1" customWidth="1"/>
    <col min="7" max="15" width="14" customWidth="1"/>
    <col min="16" max="16" width="1.7109375" customWidth="1"/>
    <col min="17" max="17" width="13.28515625" bestFit="1" customWidth="1"/>
    <col min="18" max="18" width="1.7109375" customWidth="1"/>
    <col min="19" max="19" width="18.7109375" bestFit="1" customWidth="1"/>
    <col min="20" max="20" width="14.28515625" bestFit="1" customWidth="1"/>
    <col min="21" max="22" width="13.28515625" bestFit="1" customWidth="1"/>
    <col min="23" max="23" width="11.5703125" bestFit="1" customWidth="1"/>
    <col min="24" max="24" width="3.140625" customWidth="1"/>
    <col min="26" max="26" width="3.85546875" customWidth="1"/>
    <col min="27" max="27" width="9.7109375" bestFit="1" customWidth="1"/>
    <col min="29" max="29" width="18.7109375" bestFit="1" customWidth="1"/>
    <col min="30" max="30" width="13.28515625" bestFit="1" customWidth="1"/>
    <col min="31" max="31" width="10.5703125" bestFit="1" customWidth="1"/>
    <col min="32" max="32" width="7.5703125" bestFit="1" customWidth="1"/>
    <col min="33" max="33" width="10.5703125" bestFit="1" customWidth="1"/>
    <col min="35" max="35" width="8" bestFit="1" customWidth="1"/>
    <col min="37" max="37" width="9.7109375" bestFit="1" customWidth="1"/>
    <col min="39" max="39" width="18.7109375" bestFit="1" customWidth="1"/>
    <col min="40" max="40" width="13.28515625" bestFit="1" customWidth="1"/>
    <col min="41" max="41" width="10.5703125" bestFit="1" customWidth="1"/>
    <col min="42" max="42" width="7.5703125" bestFit="1" customWidth="1"/>
    <col min="43" max="43" width="10.5703125" bestFit="1" customWidth="1"/>
    <col min="45" max="45" width="8" bestFit="1" customWidth="1"/>
    <col min="47" max="47" width="9.7109375" bestFit="1" customWidth="1"/>
    <col min="49" max="49" width="18.7109375" bestFit="1" customWidth="1"/>
    <col min="50" max="50" width="13.28515625" bestFit="1" customWidth="1"/>
    <col min="51" max="51" width="10.5703125" bestFit="1" customWidth="1"/>
    <col min="52" max="52" width="7.5703125" bestFit="1" customWidth="1"/>
    <col min="53" max="53" width="10.5703125" bestFit="1" customWidth="1"/>
    <col min="55" max="55" width="8" bestFit="1" customWidth="1"/>
    <col min="57" max="57" width="9.7109375" bestFit="1" customWidth="1"/>
  </cols>
  <sheetData>
    <row r="1" spans="1:57" ht="18.75" x14ac:dyDescent="0.3">
      <c r="A1" s="676" t="s">
        <v>67</v>
      </c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676"/>
      <c r="N1" s="676"/>
      <c r="O1" s="676"/>
    </row>
    <row r="2" spans="1:57" ht="21" x14ac:dyDescent="0.35">
      <c r="A2" s="681" t="s">
        <v>69</v>
      </c>
      <c r="B2" s="681"/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</row>
    <row r="3" spans="1:57" ht="18" thickBot="1" x14ac:dyDescent="0.35">
      <c r="A3" s="693" t="s">
        <v>126</v>
      </c>
      <c r="B3" s="693"/>
      <c r="C3" s="693"/>
      <c r="D3" s="693"/>
      <c r="E3" s="693"/>
      <c r="F3" s="693"/>
      <c r="G3" s="693"/>
      <c r="H3" s="693"/>
      <c r="I3" s="693"/>
      <c r="J3" s="693"/>
      <c r="K3" s="693"/>
      <c r="L3" s="693"/>
      <c r="M3" s="693"/>
      <c r="N3" s="693"/>
      <c r="O3" s="693"/>
    </row>
    <row r="4" spans="1:57" ht="15.75" x14ac:dyDescent="0.25">
      <c r="A4" s="101" t="s">
        <v>66</v>
      </c>
      <c r="B4" s="102"/>
      <c r="C4" s="103">
        <v>42766</v>
      </c>
      <c r="D4" s="103">
        <v>42794</v>
      </c>
      <c r="E4" s="103">
        <v>42825</v>
      </c>
      <c r="F4" s="103">
        <v>42855</v>
      </c>
      <c r="G4" s="103">
        <v>42886</v>
      </c>
      <c r="H4" s="103">
        <v>42916</v>
      </c>
      <c r="I4" s="103">
        <v>42947</v>
      </c>
      <c r="J4" s="103">
        <v>42978</v>
      </c>
      <c r="K4" s="103">
        <v>43008</v>
      </c>
      <c r="L4" s="103">
        <v>43039</v>
      </c>
      <c r="M4" s="200" t="s">
        <v>147</v>
      </c>
      <c r="N4" s="103">
        <v>43069</v>
      </c>
      <c r="O4" s="177">
        <v>43100</v>
      </c>
      <c r="Q4" s="182" t="s">
        <v>135</v>
      </c>
    </row>
    <row r="5" spans="1:57" x14ac:dyDescent="0.25">
      <c r="A5" s="4"/>
      <c r="B5" s="89" t="s">
        <v>136</v>
      </c>
      <c r="C5" s="185">
        <v>3.5000000000000003E-2</v>
      </c>
      <c r="D5" s="185">
        <v>3.5000000000000003E-2</v>
      </c>
      <c r="E5" s="185">
        <v>3.5000000000000003E-2</v>
      </c>
      <c r="F5" s="185">
        <v>3.7100000000000001E-2</v>
      </c>
      <c r="G5" s="185">
        <v>3.7100000000000001E-2</v>
      </c>
      <c r="H5" s="185">
        <v>3.7100000000000001E-2</v>
      </c>
      <c r="I5" s="185">
        <v>3.9600000000000003E-2</v>
      </c>
      <c r="J5" s="185">
        <v>3.9600000000000003E-2</v>
      </c>
      <c r="K5" s="185">
        <v>3.9600000000000003E-2</v>
      </c>
      <c r="L5" s="185">
        <v>4.2099999999999999E-2</v>
      </c>
      <c r="M5" s="201"/>
      <c r="N5" s="185">
        <v>4.2099999999999999E-2</v>
      </c>
      <c r="O5" s="186">
        <v>4.2099999999999999E-2</v>
      </c>
      <c r="Q5" s="184"/>
    </row>
    <row r="6" spans="1:57" ht="15.75" x14ac:dyDescent="0.25">
      <c r="A6" s="183"/>
      <c r="B6" s="89" t="s">
        <v>140</v>
      </c>
      <c r="C6" s="192">
        <v>31</v>
      </c>
      <c r="D6" s="192">
        <v>28</v>
      </c>
      <c r="E6" s="192">
        <v>31</v>
      </c>
      <c r="F6" s="192">
        <v>30</v>
      </c>
      <c r="G6" s="192">
        <v>31</v>
      </c>
      <c r="H6" s="192">
        <v>30</v>
      </c>
      <c r="I6" s="192">
        <v>31</v>
      </c>
      <c r="J6" s="192">
        <v>31</v>
      </c>
      <c r="K6" s="192">
        <v>30</v>
      </c>
      <c r="L6" s="192">
        <v>31</v>
      </c>
      <c r="M6" s="202"/>
      <c r="N6" s="192">
        <v>30</v>
      </c>
      <c r="O6" s="193">
        <v>31</v>
      </c>
      <c r="Q6" s="184"/>
    </row>
    <row r="7" spans="1:57" x14ac:dyDescent="0.25">
      <c r="A7" s="86">
        <v>502</v>
      </c>
      <c r="B7" s="104" t="s">
        <v>84</v>
      </c>
      <c r="M7" s="203"/>
      <c r="O7" s="6"/>
      <c r="Q7" s="178"/>
      <c r="T7">
        <v>502</v>
      </c>
      <c r="Y7" t="s">
        <v>93</v>
      </c>
      <c r="AA7" t="s">
        <v>94</v>
      </c>
    </row>
    <row r="8" spans="1:57" x14ac:dyDescent="0.25">
      <c r="A8" s="87" t="s">
        <v>64</v>
      </c>
      <c r="B8" t="s">
        <v>65</v>
      </c>
      <c r="C8" s="105">
        <v>675</v>
      </c>
      <c r="D8" s="105">
        <v>673</v>
      </c>
      <c r="E8" s="105">
        <v>636</v>
      </c>
      <c r="F8" s="105">
        <v>632</v>
      </c>
      <c r="G8" s="105">
        <v>556</v>
      </c>
      <c r="H8" s="105">
        <v>509</v>
      </c>
      <c r="I8" s="105">
        <v>475</v>
      </c>
      <c r="J8" s="105">
        <v>487</v>
      </c>
      <c r="K8" s="105">
        <v>549</v>
      </c>
      <c r="L8" s="105">
        <v>651</v>
      </c>
      <c r="M8" s="204"/>
      <c r="N8" s="105">
        <v>716</v>
      </c>
      <c r="O8" s="106">
        <v>728</v>
      </c>
      <c r="Q8" s="178"/>
      <c r="U8" s="113">
        <v>72197</v>
      </c>
      <c r="V8" t="s">
        <v>92</v>
      </c>
      <c r="W8" s="113">
        <f>U8</f>
        <v>72197</v>
      </c>
      <c r="AE8" s="113"/>
      <c r="AG8" s="113"/>
      <c r="AO8" s="113"/>
      <c r="AQ8" s="113"/>
      <c r="AY8" s="113"/>
      <c r="BA8" s="113"/>
    </row>
    <row r="9" spans="1:57" x14ac:dyDescent="0.25">
      <c r="A9" s="87" t="s">
        <v>71</v>
      </c>
      <c r="B9" t="s">
        <v>70</v>
      </c>
      <c r="C9" s="95">
        <v>9957.16</v>
      </c>
      <c r="D9" s="95">
        <v>8104.14</v>
      </c>
      <c r="E9" s="95">
        <v>7868.96</v>
      </c>
      <c r="F9" s="95">
        <v>4345.26</v>
      </c>
      <c r="G9" s="95">
        <v>3263.7</v>
      </c>
      <c r="H9" s="95">
        <v>1706.88</v>
      </c>
      <c r="I9" s="95">
        <v>430.53</v>
      </c>
      <c r="J9" s="95">
        <v>244.96</v>
      </c>
      <c r="K9" s="95">
        <v>276.93</v>
      </c>
      <c r="L9" s="95">
        <v>1209.8599999999999</v>
      </c>
      <c r="M9" s="205"/>
      <c r="N9" s="95">
        <v>3556.83</v>
      </c>
      <c r="O9" s="107">
        <v>6629.68</v>
      </c>
      <c r="Q9" s="178"/>
      <c r="S9" s="122" t="s">
        <v>90</v>
      </c>
      <c r="T9" s="108">
        <v>6629.68</v>
      </c>
      <c r="U9" s="112">
        <f>T9/U8</f>
        <v>9.1827638267518039E-2</v>
      </c>
      <c r="W9" s="112">
        <f>T9/W8</f>
        <v>9.1827638267518039E-2</v>
      </c>
      <c r="Y9">
        <v>9.1829999999999995E-2</v>
      </c>
      <c r="AA9" s="112">
        <f>Y9-W9</f>
        <v>2.361732481956369E-6</v>
      </c>
      <c r="AC9" s="122"/>
      <c r="AD9" s="108"/>
      <c r="AE9" s="112"/>
      <c r="AG9" s="112"/>
      <c r="AK9" s="112"/>
      <c r="AM9" s="122"/>
      <c r="AN9" s="108"/>
      <c r="AO9" s="112"/>
      <c r="AQ9" s="112"/>
      <c r="AU9" s="112"/>
      <c r="AW9" s="122"/>
      <c r="AX9" s="108"/>
      <c r="AY9" s="112"/>
      <c r="BA9" s="112"/>
      <c r="BE9" s="112"/>
    </row>
    <row r="10" spans="1:57" x14ac:dyDescent="0.25">
      <c r="A10" s="87"/>
      <c r="B10" s="89" t="s">
        <v>74</v>
      </c>
      <c r="C10" s="108">
        <f t="shared" ref="C10:O10" si="0">C9</f>
        <v>9957.16</v>
      </c>
      <c r="D10" s="108">
        <f t="shared" si="0"/>
        <v>8104.14</v>
      </c>
      <c r="E10" s="108">
        <f t="shared" si="0"/>
        <v>7868.96</v>
      </c>
      <c r="F10" s="108">
        <f t="shared" si="0"/>
        <v>4345.26</v>
      </c>
      <c r="G10" s="108">
        <f t="shared" si="0"/>
        <v>3263.7</v>
      </c>
      <c r="H10" s="108">
        <f t="shared" si="0"/>
        <v>1706.88</v>
      </c>
      <c r="I10" s="108">
        <f t="shared" si="0"/>
        <v>430.53</v>
      </c>
      <c r="J10" s="108">
        <f t="shared" ref="J10:N10" si="1">J9</f>
        <v>244.96</v>
      </c>
      <c r="K10" s="108">
        <f t="shared" si="1"/>
        <v>276.93</v>
      </c>
      <c r="L10" s="108">
        <f t="shared" si="1"/>
        <v>1209.8599999999999</v>
      </c>
      <c r="M10" s="206">
        <f t="shared" ref="M10" si="2">M9</f>
        <v>0</v>
      </c>
      <c r="N10" s="108">
        <f t="shared" si="1"/>
        <v>3556.83</v>
      </c>
      <c r="O10" s="109">
        <f t="shared" si="0"/>
        <v>6629.68</v>
      </c>
      <c r="Q10" s="178"/>
      <c r="S10" s="122" t="s">
        <v>91</v>
      </c>
      <c r="T10" s="108">
        <v>33102.6</v>
      </c>
      <c r="U10" s="112">
        <f>T10/U8</f>
        <v>0.45850381594803108</v>
      </c>
      <c r="W10" s="112">
        <f>T10/W8</f>
        <v>0.45850381594803108</v>
      </c>
      <c r="Y10">
        <v>0.45772000000000002</v>
      </c>
      <c r="AA10" s="112">
        <f>Y10-W10</f>
        <v>-7.8381594803106358E-4</v>
      </c>
      <c r="AC10" s="122"/>
      <c r="AD10" s="108"/>
      <c r="AE10" s="112"/>
      <c r="AG10" s="112"/>
      <c r="AK10" s="112"/>
      <c r="AM10" s="122"/>
      <c r="AN10" s="108"/>
      <c r="AO10" s="112"/>
      <c r="AQ10" s="112"/>
      <c r="AU10" s="112"/>
      <c r="AW10" s="122"/>
      <c r="AX10" s="108"/>
      <c r="AY10" s="112"/>
      <c r="BA10" s="112"/>
      <c r="BE10" s="112"/>
    </row>
    <row r="11" spans="1:57" x14ac:dyDescent="0.25">
      <c r="A11" s="87"/>
      <c r="B11" s="89" t="s">
        <v>73</v>
      </c>
      <c r="C11" s="88">
        <f>ROUND(-'Authorized Margins'!J35*'WACAP 2017'!C8,2)</f>
        <v>-7006.5</v>
      </c>
      <c r="D11" s="88">
        <f>ROUND(-'Authorized Margins'!K35*'WACAP 2017'!D8,2)</f>
        <v>-5727.23</v>
      </c>
      <c r="E11" s="88">
        <f>ROUND(-'Authorized Margins'!L35*'WACAP 2017'!E8,2)</f>
        <v>-4725.4799999999996</v>
      </c>
      <c r="F11" s="88">
        <f>ROUND(-'Authorized Margins'!M35*'WACAP 2017'!F8,2)</f>
        <v>-3046.24</v>
      </c>
      <c r="G11" s="88">
        <f>ROUND(-'Authorized Margins'!N35*'WACAP 2017'!G8,2)</f>
        <v>-1590.16</v>
      </c>
      <c r="H11" s="88">
        <f>ROUND(-'Authorized Margins'!O35*'WACAP 2017'!H8,2)</f>
        <v>-748.23</v>
      </c>
      <c r="I11" s="88">
        <f>ROUND(-'Authorized Margins'!D35*'WACAP 2017'!I8,2)</f>
        <v>-427.5</v>
      </c>
      <c r="J11" s="88">
        <f>ROUND(-'Authorized Margins'!E35*'WACAP 2017'!J8,2)</f>
        <v>-365.25</v>
      </c>
      <c r="K11" s="88">
        <f>ROUND(-'Authorized Margins'!F35*'WACAP 2017'!K8,2)</f>
        <v>-422.73</v>
      </c>
      <c r="L11" s="88">
        <f>ROUND(-'Authorized Margins'!G35*'WACAP 2017'!L8,2)</f>
        <v>-872.34</v>
      </c>
      <c r="M11" s="205">
        <f>ROUND(-'Authorized Margins'!G35*'WACAP 2017'!M8,2)</f>
        <v>0</v>
      </c>
      <c r="N11" s="88">
        <f>ROUND(-'Authorized Margins'!H35*'WACAP 2017'!N8,2)</f>
        <v>-2914.12</v>
      </c>
      <c r="O11" s="110">
        <f>ROUND(-'Authorized Margins'!I35*'WACAP 2017'!O8,2)</f>
        <v>-7039.76</v>
      </c>
      <c r="Q11" s="178"/>
    </row>
    <row r="12" spans="1:57" x14ac:dyDescent="0.25">
      <c r="A12" s="87"/>
      <c r="B12" s="89" t="s">
        <v>75</v>
      </c>
      <c r="C12" s="90">
        <f t="shared" ref="C12:O12" si="3">SUM(C10:C11)</f>
        <v>2950.66</v>
      </c>
      <c r="D12" s="90">
        <f t="shared" si="3"/>
        <v>2376.9100000000008</v>
      </c>
      <c r="E12" s="90">
        <f t="shared" si="3"/>
        <v>3143.4800000000005</v>
      </c>
      <c r="F12" s="90">
        <f t="shared" si="3"/>
        <v>1299.0200000000004</v>
      </c>
      <c r="G12" s="90">
        <f t="shared" si="3"/>
        <v>1673.5399999999997</v>
      </c>
      <c r="H12" s="90">
        <f t="shared" si="3"/>
        <v>958.65000000000009</v>
      </c>
      <c r="I12" s="90">
        <f t="shared" si="3"/>
        <v>3.0299999999999727</v>
      </c>
      <c r="J12" s="90">
        <f t="shared" si="3"/>
        <v>-120.28999999999999</v>
      </c>
      <c r="K12" s="90">
        <f t="shared" si="3"/>
        <v>-145.80000000000001</v>
      </c>
      <c r="L12" s="90">
        <f t="shared" si="3"/>
        <v>337.51999999999987</v>
      </c>
      <c r="M12" s="215">
        <f>-'WACAP 2016'!H14</f>
        <v>-700.94999999999982</v>
      </c>
      <c r="N12" s="90">
        <f t="shared" si="3"/>
        <v>642.71</v>
      </c>
      <c r="O12" s="111">
        <f t="shared" si="3"/>
        <v>-410.07999999999993</v>
      </c>
      <c r="Q12" s="180">
        <f>SUM(C12:P12)-M12</f>
        <v>12709.349999999999</v>
      </c>
    </row>
    <row r="13" spans="1:57" x14ac:dyDescent="0.25">
      <c r="A13" s="87"/>
      <c r="B13" s="89" t="s">
        <v>137</v>
      </c>
      <c r="C13" s="187">
        <f>ROUND(ROUND('WACAP 2016'!F15*C$5,2)/365*C$6,2)</f>
        <v>2.08</v>
      </c>
      <c r="D13" s="187">
        <f>ROUND(ROUND(C15*D$5,2)/365*D$6,2)</f>
        <v>9.81</v>
      </c>
      <c r="E13" s="187">
        <f t="shared" ref="E13:O13" si="4">ROUND(ROUND(D15*E$5,2)/365*E$6,2)</f>
        <v>17.96</v>
      </c>
      <c r="F13" s="187">
        <f t="shared" si="4"/>
        <v>28.06</v>
      </c>
      <c r="G13" s="187">
        <f t="shared" si="4"/>
        <v>33.18</v>
      </c>
      <c r="H13" s="187">
        <f t="shared" si="4"/>
        <v>37.31</v>
      </c>
      <c r="I13" s="187">
        <f t="shared" si="4"/>
        <v>44.5</v>
      </c>
      <c r="J13" s="187">
        <f t="shared" si="4"/>
        <v>44.66</v>
      </c>
      <c r="K13" s="187">
        <f t="shared" si="4"/>
        <v>42.97</v>
      </c>
      <c r="L13" s="187">
        <f t="shared" si="4"/>
        <v>46.84</v>
      </c>
      <c r="M13" s="208">
        <f>'Ammort Split 2017'!N13</f>
        <v>-22.36</v>
      </c>
      <c r="N13" s="187">
        <f>ROUND(ROUND(M15*N$5,2)/365*N$6,2)</f>
        <v>44.16</v>
      </c>
      <c r="O13" s="188">
        <f t="shared" si="4"/>
        <v>48.09</v>
      </c>
      <c r="Q13" s="196">
        <f>SUM(C13:P13)</f>
        <v>377.26</v>
      </c>
    </row>
    <row r="14" spans="1:57" x14ac:dyDescent="0.25">
      <c r="A14" s="87"/>
      <c r="B14" s="89" t="s">
        <v>138</v>
      </c>
      <c r="C14" s="189">
        <f t="shared" ref="C14:O14" si="5">SUM(C12:C13)</f>
        <v>2952.74</v>
      </c>
      <c r="D14" s="189">
        <f t="shared" si="5"/>
        <v>2386.7200000000007</v>
      </c>
      <c r="E14" s="189">
        <f t="shared" si="5"/>
        <v>3161.4400000000005</v>
      </c>
      <c r="F14" s="189">
        <f t="shared" si="5"/>
        <v>1327.0800000000004</v>
      </c>
      <c r="G14" s="189">
        <f t="shared" si="5"/>
        <v>1706.7199999999998</v>
      </c>
      <c r="H14" s="189">
        <f t="shared" si="5"/>
        <v>995.96</v>
      </c>
      <c r="I14" s="189">
        <f t="shared" si="5"/>
        <v>47.529999999999973</v>
      </c>
      <c r="J14" s="189">
        <f t="shared" si="5"/>
        <v>-75.63</v>
      </c>
      <c r="K14" s="189">
        <f t="shared" si="5"/>
        <v>-102.83000000000001</v>
      </c>
      <c r="L14" s="189">
        <f t="shared" si="5"/>
        <v>384.3599999999999</v>
      </c>
      <c r="M14" s="209">
        <f t="shared" ref="M14" si="6">SUM(M12:M13)</f>
        <v>-723.30999999999983</v>
      </c>
      <c r="N14" s="189">
        <f t="shared" si="5"/>
        <v>686.87</v>
      </c>
      <c r="O14" s="190">
        <f t="shared" si="5"/>
        <v>-361.9899999999999</v>
      </c>
      <c r="Q14" s="198">
        <f>SUM(Q12:Q13)</f>
        <v>13086.609999999999</v>
      </c>
    </row>
    <row r="15" spans="1:57" x14ac:dyDescent="0.25">
      <c r="A15" s="87"/>
      <c r="B15" s="89" t="s">
        <v>139</v>
      </c>
      <c r="C15" s="90">
        <f>'WACAP 2016'!F15+'WACAP 2017'!C14</f>
        <v>3653.6899999999996</v>
      </c>
      <c r="D15" s="90">
        <f t="shared" ref="D15:O15" si="7">C15+D14</f>
        <v>6040.41</v>
      </c>
      <c r="E15" s="90">
        <f t="shared" si="7"/>
        <v>9201.85</v>
      </c>
      <c r="F15" s="90">
        <f t="shared" si="7"/>
        <v>10528.93</v>
      </c>
      <c r="G15" s="90">
        <f t="shared" si="7"/>
        <v>12235.65</v>
      </c>
      <c r="H15" s="90">
        <f t="shared" si="7"/>
        <v>13231.61</v>
      </c>
      <c r="I15" s="90">
        <f t="shared" si="7"/>
        <v>13279.140000000001</v>
      </c>
      <c r="J15" s="90">
        <f t="shared" si="7"/>
        <v>13203.510000000002</v>
      </c>
      <c r="K15" s="90">
        <f t="shared" si="7"/>
        <v>13100.680000000002</v>
      </c>
      <c r="L15" s="90">
        <f t="shared" si="7"/>
        <v>13485.040000000003</v>
      </c>
      <c r="M15" s="207">
        <f t="shared" si="7"/>
        <v>12761.730000000003</v>
      </c>
      <c r="N15" s="90">
        <f t="shared" si="7"/>
        <v>13448.600000000004</v>
      </c>
      <c r="O15" s="191">
        <f t="shared" si="7"/>
        <v>13086.610000000004</v>
      </c>
      <c r="Q15" s="178"/>
    </row>
    <row r="16" spans="1:57" x14ac:dyDescent="0.25">
      <c r="A16" s="86"/>
      <c r="C16" s="113"/>
      <c r="D16" s="113"/>
      <c r="E16" s="108"/>
      <c r="F16" s="112"/>
      <c r="G16" s="112"/>
      <c r="H16" s="112"/>
      <c r="I16" s="112"/>
      <c r="J16" s="112"/>
      <c r="K16" s="112"/>
      <c r="L16" s="112"/>
      <c r="M16" s="210"/>
      <c r="N16" s="112"/>
      <c r="O16" s="114"/>
      <c r="P16" s="113"/>
      <c r="Q16" s="179"/>
      <c r="T16">
        <v>503</v>
      </c>
      <c r="AF16" s="104"/>
      <c r="AP16" s="104"/>
      <c r="AZ16" s="104"/>
    </row>
    <row r="17" spans="1:57" x14ac:dyDescent="0.25">
      <c r="A17" s="86">
        <v>503</v>
      </c>
      <c r="B17" s="104" t="s">
        <v>84</v>
      </c>
      <c r="C17" s="113"/>
      <c r="D17" s="113"/>
      <c r="E17" s="108"/>
      <c r="F17" s="108"/>
      <c r="G17" s="113"/>
      <c r="H17" s="113"/>
      <c r="I17" s="113"/>
      <c r="J17" s="113"/>
      <c r="K17" s="113"/>
      <c r="L17" s="113"/>
      <c r="M17" s="204"/>
      <c r="N17" s="113"/>
      <c r="O17" s="115"/>
      <c r="P17" s="113"/>
      <c r="Q17" s="179"/>
      <c r="U17" s="113">
        <v>16092030</v>
      </c>
      <c r="V17" t="s">
        <v>92</v>
      </c>
      <c r="W17" s="113">
        <f>U17</f>
        <v>16092030</v>
      </c>
      <c r="AE17" s="113"/>
      <c r="AG17" s="113"/>
      <c r="AO17" s="113"/>
      <c r="AQ17" s="113"/>
      <c r="AY17" s="113"/>
      <c r="BA17" s="113"/>
    </row>
    <row r="18" spans="1:57" x14ac:dyDescent="0.25">
      <c r="A18" s="87" t="s">
        <v>64</v>
      </c>
      <c r="B18" t="s">
        <v>65</v>
      </c>
      <c r="C18" s="105">
        <v>183464</v>
      </c>
      <c r="D18" s="105">
        <v>183641</v>
      </c>
      <c r="E18" s="105">
        <v>183786</v>
      </c>
      <c r="F18" s="105">
        <v>183817</v>
      </c>
      <c r="G18" s="105">
        <v>183543</v>
      </c>
      <c r="H18" s="105">
        <v>183189</v>
      </c>
      <c r="I18" s="105">
        <v>183032</v>
      </c>
      <c r="J18" s="105">
        <v>182924</v>
      </c>
      <c r="K18" s="105">
        <v>183583</v>
      </c>
      <c r="L18" s="105">
        <v>184813</v>
      </c>
      <c r="M18" s="204"/>
      <c r="N18" s="105">
        <v>185688</v>
      </c>
      <c r="O18" s="106">
        <v>186285</v>
      </c>
      <c r="P18" s="108"/>
      <c r="Q18" s="180"/>
      <c r="S18" s="122" t="s">
        <v>90</v>
      </c>
      <c r="T18" s="108">
        <v>4744541.33</v>
      </c>
      <c r="U18" s="112">
        <f>T18/U17</f>
        <v>0.29483796202219359</v>
      </c>
      <c r="W18" s="112">
        <f>T18/W17</f>
        <v>0.29483796202219359</v>
      </c>
      <c r="Y18">
        <v>0.29483999999999999</v>
      </c>
      <c r="AA18" s="112">
        <f>Y18-W18</f>
        <v>2.0379778064016918E-6</v>
      </c>
      <c r="AC18" s="122"/>
      <c r="AD18" s="108"/>
      <c r="AE18" s="112"/>
      <c r="AG18" s="112"/>
      <c r="AK18" s="112"/>
      <c r="AM18" s="122"/>
      <c r="AN18" s="108"/>
      <c r="AO18" s="112"/>
      <c r="AQ18" s="112"/>
      <c r="AU18" s="112"/>
      <c r="AW18" s="122"/>
      <c r="AX18" s="108"/>
      <c r="AY18" s="112"/>
      <c r="BA18" s="112"/>
      <c r="BE18" s="112"/>
    </row>
    <row r="19" spans="1:57" x14ac:dyDescent="0.25">
      <c r="A19" s="87" t="s">
        <v>71</v>
      </c>
      <c r="B19" t="s">
        <v>70</v>
      </c>
      <c r="C19" s="116">
        <v>7984860.96</v>
      </c>
      <c r="D19" s="116">
        <v>6131634.6799999997</v>
      </c>
      <c r="E19" s="116">
        <v>5636411.3300000001</v>
      </c>
      <c r="F19" s="116">
        <v>3349783.45</v>
      </c>
      <c r="G19" s="116">
        <v>2414393.7400000002</v>
      </c>
      <c r="H19" s="116">
        <v>1408779.55</v>
      </c>
      <c r="I19" s="116">
        <v>874550.73</v>
      </c>
      <c r="J19" s="116">
        <v>801920.24</v>
      </c>
      <c r="K19" s="116">
        <v>758743.86</v>
      </c>
      <c r="L19" s="116">
        <v>1499772.68</v>
      </c>
      <c r="M19" s="206"/>
      <c r="N19" s="116">
        <v>3083864.33</v>
      </c>
      <c r="O19" s="117">
        <v>4744541.33</v>
      </c>
      <c r="P19" s="108"/>
      <c r="Q19" s="180"/>
      <c r="S19" s="122" t="s">
        <v>91</v>
      </c>
      <c r="T19" s="108">
        <v>7420626</v>
      </c>
      <c r="U19" s="112">
        <f>T19/U17</f>
        <v>0.46113672420446644</v>
      </c>
      <c r="W19" s="112">
        <f>T19/W17</f>
        <v>0.46113672420446644</v>
      </c>
      <c r="Y19">
        <v>0.46034999999999998</v>
      </c>
      <c r="AA19" s="112">
        <f>Y19-W19</f>
        <v>-7.8672420446646019E-4</v>
      </c>
      <c r="AC19" s="122"/>
      <c r="AD19" s="108"/>
      <c r="AE19" s="112"/>
      <c r="AG19" s="112"/>
      <c r="AK19" s="112"/>
      <c r="AM19" s="122"/>
      <c r="AN19" s="108"/>
      <c r="AO19" s="112"/>
      <c r="AQ19" s="112"/>
      <c r="AU19" s="112"/>
      <c r="AW19" s="122"/>
      <c r="AX19" s="108"/>
      <c r="AY19" s="112"/>
      <c r="BA19" s="112"/>
      <c r="BE19" s="112"/>
    </row>
    <row r="20" spans="1:57" x14ac:dyDescent="0.25">
      <c r="A20" s="87" t="s">
        <v>72</v>
      </c>
      <c r="B20" t="s">
        <v>114</v>
      </c>
      <c r="C20" s="124">
        <f>ROUND(16471058*0.29484,2)</f>
        <v>4856326.74</v>
      </c>
      <c r="D20" s="124">
        <f>ROUND(13514836*0.29484,2)</f>
        <v>3984714.25</v>
      </c>
      <c r="E20" s="124">
        <f>ROUND(8811624*0.29484,2)</f>
        <v>2598019.2200000002</v>
      </c>
      <c r="F20" s="124">
        <f>ROUND(7418070*0.29484,2)</f>
        <v>2187143.7599999998</v>
      </c>
      <c r="G20" s="124">
        <f>ROUND(5190960*0.29484,2)</f>
        <v>1530502.65</v>
      </c>
      <c r="H20" s="124">
        <f>ROUND(2121893*0.29484,2)</f>
        <v>625618.93000000005</v>
      </c>
      <c r="I20" s="124">
        <f>ROUND(1851515*0.29484,2)</f>
        <v>545900.68000000005</v>
      </c>
      <c r="J20" s="124">
        <f>ROUND(1305827*0.29484,2)</f>
        <v>385010.03</v>
      </c>
      <c r="K20" s="124">
        <f>ROUND(2294706*0.29484,2)</f>
        <v>676571.12</v>
      </c>
      <c r="L20" s="124">
        <f>ROUND(5294231*0.29484,2)</f>
        <v>1560951.07</v>
      </c>
      <c r="M20" s="206"/>
      <c r="N20" s="124">
        <f>ROUND(10427569*0.29484,2)</f>
        <v>3074464.44</v>
      </c>
      <c r="O20" s="125">
        <f>ROUND(16210590*0.29484,2)</f>
        <v>4779530.3600000003</v>
      </c>
      <c r="P20" s="108"/>
      <c r="Q20" s="180"/>
      <c r="S20" s="122"/>
      <c r="T20" s="108"/>
      <c r="U20" s="112"/>
      <c r="W20" s="112"/>
      <c r="AA20" s="112"/>
    </row>
    <row r="21" spans="1:57" x14ac:dyDescent="0.25">
      <c r="A21" s="87" t="s">
        <v>72</v>
      </c>
      <c r="B21" t="s">
        <v>115</v>
      </c>
      <c r="C21" s="95">
        <f>-'WACAP 2016'!F20</f>
        <v>-5424695.71</v>
      </c>
      <c r="D21" s="95">
        <f t="shared" ref="D21:E21" si="8">-C20</f>
        <v>-4856326.74</v>
      </c>
      <c r="E21" s="95">
        <f t="shared" si="8"/>
        <v>-3984714.25</v>
      </c>
      <c r="F21" s="95">
        <f>-E20</f>
        <v>-2598019.2200000002</v>
      </c>
      <c r="G21" s="95">
        <f>-F20</f>
        <v>-2187143.7599999998</v>
      </c>
      <c r="H21" s="95">
        <f>-G20</f>
        <v>-1530502.65</v>
      </c>
      <c r="I21" s="95">
        <f>-H20</f>
        <v>-625618.93000000005</v>
      </c>
      <c r="J21" s="95">
        <f t="shared" ref="J21:L21" si="9">-I20</f>
        <v>-545900.68000000005</v>
      </c>
      <c r="K21" s="95">
        <f t="shared" si="9"/>
        <v>-385010.03</v>
      </c>
      <c r="L21" s="95">
        <f t="shared" si="9"/>
        <v>-676571.12</v>
      </c>
      <c r="M21" s="205"/>
      <c r="N21" s="95">
        <f>-L20</f>
        <v>-1560951.07</v>
      </c>
      <c r="O21" s="107">
        <f>-N20</f>
        <v>-3074464.44</v>
      </c>
      <c r="P21" s="108"/>
      <c r="Q21" s="180"/>
      <c r="U21" s="113"/>
      <c r="W21" s="113"/>
    </row>
    <row r="22" spans="1:57" x14ac:dyDescent="0.25">
      <c r="A22" s="87"/>
      <c r="B22" s="89" t="s">
        <v>74</v>
      </c>
      <c r="C22" s="108">
        <f t="shared" ref="C22:O22" si="10">SUM(C19:C21)</f>
        <v>7416491.9899999993</v>
      </c>
      <c r="D22" s="108">
        <f t="shared" si="10"/>
        <v>5260022.1899999995</v>
      </c>
      <c r="E22" s="108">
        <f t="shared" si="10"/>
        <v>4249716.3000000007</v>
      </c>
      <c r="F22" s="108">
        <f t="shared" si="10"/>
        <v>2938907.9899999998</v>
      </c>
      <c r="G22" s="108">
        <f t="shared" si="10"/>
        <v>1757752.6300000004</v>
      </c>
      <c r="H22" s="108">
        <f t="shared" si="10"/>
        <v>503895.83000000007</v>
      </c>
      <c r="I22" s="108">
        <f t="shared" si="10"/>
        <v>794832.4800000001</v>
      </c>
      <c r="J22" s="108">
        <f t="shared" ref="J22:N22" si="11">SUM(J19:J21)</f>
        <v>641029.59</v>
      </c>
      <c r="K22" s="108">
        <f t="shared" si="11"/>
        <v>1050304.95</v>
      </c>
      <c r="L22" s="108">
        <f t="shared" si="11"/>
        <v>2384152.63</v>
      </c>
      <c r="M22" s="206">
        <f t="shared" ref="M22" si="12">SUM(M19:M21)</f>
        <v>0</v>
      </c>
      <c r="N22" s="108">
        <f t="shared" si="11"/>
        <v>4597377.6999999993</v>
      </c>
      <c r="O22" s="109">
        <f t="shared" si="10"/>
        <v>6449607.2500000019</v>
      </c>
      <c r="Q22" s="178"/>
      <c r="S22" s="122"/>
      <c r="T22" s="108"/>
      <c r="U22" s="112"/>
      <c r="W22" s="112"/>
      <c r="AA22" s="112"/>
    </row>
    <row r="23" spans="1:57" x14ac:dyDescent="0.25">
      <c r="A23" s="87"/>
      <c r="B23" s="89" t="s">
        <v>73</v>
      </c>
      <c r="C23" s="88">
        <f>ROUND(-'Authorized Margins'!J41*'WACAP 2017'!C18,2)</f>
        <v>-5667202.96</v>
      </c>
      <c r="D23" s="88">
        <f>ROUND(-'Authorized Margins'!K41*'WACAP 2017'!D18,2)</f>
        <v>-4647953.71</v>
      </c>
      <c r="E23" s="88">
        <f>ROUND(-'Authorized Margins'!L41*'WACAP 2017'!E18,2)</f>
        <v>-3892587.48</v>
      </c>
      <c r="F23" s="88">
        <f>ROUND(-'Authorized Margins'!M41*'WACAP 2017'!F18,2)</f>
        <v>-2442927.9300000002</v>
      </c>
      <c r="G23" s="88">
        <f>ROUND(-'Authorized Margins'!N41*'WACAP 2017'!G18,2)</f>
        <v>-1585811.52</v>
      </c>
      <c r="H23" s="88">
        <f>ROUND(-'Authorized Margins'!O41*'WACAP 2017'!H18,2)</f>
        <v>-1062496.2</v>
      </c>
      <c r="I23" s="88">
        <f>ROUND(-'Authorized Margins'!D41*'WACAP 2017'!I18,2)</f>
        <v>-874892.96</v>
      </c>
      <c r="J23" s="88">
        <f>ROUND(-'Authorized Margins'!E41*'WACAP 2017'!J18,2)</f>
        <v>-982301.88</v>
      </c>
      <c r="K23" s="88">
        <f>ROUND(-'Authorized Margins'!F41*'WACAP 2017'!K18,2)</f>
        <v>-1066617.23</v>
      </c>
      <c r="L23" s="88">
        <f>ROUND(-'Authorized Margins'!G41*'WACAP 2017'!L18,2)</f>
        <v>-2312010.63</v>
      </c>
      <c r="M23" s="205">
        <f>ROUND(-'Authorized Margins'!G41*'WACAP 2017'!M18,2)</f>
        <v>0</v>
      </c>
      <c r="N23" s="88">
        <f>ROUND(-'Authorized Margins'!H41*'WACAP 2017'!N18,2)</f>
        <v>-4571638.5599999996</v>
      </c>
      <c r="O23" s="110">
        <f>ROUND(-'Authorized Margins'!I41*'WACAP 2017'!O18,2)</f>
        <v>-6216330.4500000002</v>
      </c>
      <c r="Q23" s="178"/>
      <c r="AY23" s="113"/>
      <c r="BA23" s="113"/>
    </row>
    <row r="24" spans="1:57" x14ac:dyDescent="0.25">
      <c r="A24" s="87"/>
      <c r="B24" s="89" t="s">
        <v>75</v>
      </c>
      <c r="C24" s="90">
        <f t="shared" ref="C24:O24" si="13">SUM(C22:C23)</f>
        <v>1749289.0299999993</v>
      </c>
      <c r="D24" s="90">
        <f t="shared" si="13"/>
        <v>612068.47999999952</v>
      </c>
      <c r="E24" s="90">
        <f t="shared" si="13"/>
        <v>357128.82000000076</v>
      </c>
      <c r="F24" s="90">
        <f t="shared" si="13"/>
        <v>495980.05999999959</v>
      </c>
      <c r="G24" s="90">
        <f t="shared" si="13"/>
        <v>171941.11000000034</v>
      </c>
      <c r="H24" s="90">
        <f t="shared" si="13"/>
        <v>-558600.36999999988</v>
      </c>
      <c r="I24" s="90">
        <f t="shared" si="13"/>
        <v>-80060.479999999865</v>
      </c>
      <c r="J24" s="90">
        <f t="shared" si="13"/>
        <v>-341272.29000000004</v>
      </c>
      <c r="K24" s="90">
        <f t="shared" si="13"/>
        <v>-16312.280000000028</v>
      </c>
      <c r="L24" s="90">
        <f t="shared" si="13"/>
        <v>72142</v>
      </c>
      <c r="M24" s="215">
        <f>-'WACAP 2016'!H26</f>
        <v>-159460.70999999833</v>
      </c>
      <c r="N24" s="90">
        <f t="shared" si="13"/>
        <v>25739.139999999665</v>
      </c>
      <c r="O24" s="111">
        <f t="shared" si="13"/>
        <v>233276.80000000168</v>
      </c>
      <c r="Q24" s="180">
        <f>SUM(C24:P24)-M24</f>
        <v>2721320.0200000014</v>
      </c>
      <c r="AW24" s="122"/>
      <c r="AX24" s="108"/>
      <c r="AY24" s="112"/>
      <c r="BA24" s="112"/>
      <c r="BE24" s="112"/>
    </row>
    <row r="25" spans="1:57" x14ac:dyDescent="0.25">
      <c r="A25" s="87"/>
      <c r="B25" s="89" t="s">
        <v>137</v>
      </c>
      <c r="C25" s="187">
        <f>ROUND(ROUND('WACAP 2016'!F27*C$5,2)/365*C$6,2)</f>
        <v>474.01</v>
      </c>
      <c r="D25" s="187">
        <f>ROUND(ROUND(C27*D$5,2)/365*D$6,2)</f>
        <v>5126.13</v>
      </c>
      <c r="E25" s="187">
        <f t="shared" ref="E25:O25" si="14">ROUND(ROUND(D27*E$5,2)/365*E$6,2)</f>
        <v>7510.04</v>
      </c>
      <c r="F25" s="187">
        <f t="shared" si="14"/>
        <v>8815.74</v>
      </c>
      <c r="G25" s="187">
        <f t="shared" si="14"/>
        <v>10700.19</v>
      </c>
      <c r="H25" s="187">
        <f t="shared" si="14"/>
        <v>10911.96</v>
      </c>
      <c r="I25" s="187">
        <f t="shared" si="14"/>
        <v>10193.469999999999</v>
      </c>
      <c r="J25" s="187">
        <f t="shared" si="14"/>
        <v>9958.49</v>
      </c>
      <c r="K25" s="187">
        <f t="shared" si="14"/>
        <v>8558.89</v>
      </c>
      <c r="L25" s="187">
        <f t="shared" si="14"/>
        <v>9374.81</v>
      </c>
      <c r="M25" s="208">
        <f>'Ammort Split 2017'!N25</f>
        <v>-5084.38</v>
      </c>
      <c r="N25" s="187">
        <f>ROUND(ROUND(M27*N$5,2)/365*N$6,2)</f>
        <v>8785.09</v>
      </c>
      <c r="O25" s="188">
        <f t="shared" si="14"/>
        <v>9201.3799999999992</v>
      </c>
      <c r="Q25" s="196">
        <f>SUM(C25:P25)</f>
        <v>94525.819999999992</v>
      </c>
    </row>
    <row r="26" spans="1:57" x14ac:dyDescent="0.25">
      <c r="A26" s="87"/>
      <c r="B26" s="89" t="s">
        <v>138</v>
      </c>
      <c r="C26" s="189">
        <f t="shared" ref="C26:O26" si="15">SUM(C24:C25)</f>
        <v>1749763.0399999993</v>
      </c>
      <c r="D26" s="189">
        <f t="shared" si="15"/>
        <v>617194.60999999952</v>
      </c>
      <c r="E26" s="189">
        <f t="shared" si="15"/>
        <v>364638.86000000074</v>
      </c>
      <c r="F26" s="189">
        <f t="shared" si="15"/>
        <v>504795.79999999958</v>
      </c>
      <c r="G26" s="189">
        <f t="shared" si="15"/>
        <v>182641.30000000034</v>
      </c>
      <c r="H26" s="189">
        <f t="shared" si="15"/>
        <v>-547688.40999999992</v>
      </c>
      <c r="I26" s="189">
        <f t="shared" si="15"/>
        <v>-69867.009999999864</v>
      </c>
      <c r="J26" s="189">
        <f t="shared" si="15"/>
        <v>-331313.80000000005</v>
      </c>
      <c r="K26" s="189">
        <f t="shared" si="15"/>
        <v>-7753.3900000000285</v>
      </c>
      <c r="L26" s="189">
        <f t="shared" si="15"/>
        <v>81516.81</v>
      </c>
      <c r="M26" s="209">
        <f t="shared" ref="M26" si="16">SUM(M24:M25)</f>
        <v>-164545.08999999834</v>
      </c>
      <c r="N26" s="189">
        <f t="shared" si="15"/>
        <v>34524.229999999661</v>
      </c>
      <c r="O26" s="190">
        <f t="shared" si="15"/>
        <v>242478.18000000168</v>
      </c>
      <c r="Q26" s="198">
        <f>SUM(Q24:Q25)</f>
        <v>2815845.8400000012</v>
      </c>
    </row>
    <row r="27" spans="1:57" x14ac:dyDescent="0.25">
      <c r="A27" s="87"/>
      <c r="B27" s="89" t="s">
        <v>139</v>
      </c>
      <c r="C27" s="90">
        <f>'WACAP 2016'!F27+'WACAP 2017'!C26</f>
        <v>1909223.7499999977</v>
      </c>
      <c r="D27" s="90">
        <f t="shared" ref="D27:O27" si="17">C27+D26</f>
        <v>2526418.3599999971</v>
      </c>
      <c r="E27" s="90">
        <f t="shared" si="17"/>
        <v>2891057.2199999979</v>
      </c>
      <c r="F27" s="90">
        <f t="shared" si="17"/>
        <v>3395853.0199999977</v>
      </c>
      <c r="G27" s="90">
        <f t="shared" si="17"/>
        <v>3578494.319999998</v>
      </c>
      <c r="H27" s="90">
        <f t="shared" si="17"/>
        <v>3030805.9099999983</v>
      </c>
      <c r="I27" s="90">
        <f t="shared" si="17"/>
        <v>2960938.8999999985</v>
      </c>
      <c r="J27" s="90">
        <f t="shared" si="17"/>
        <v>2629625.0999999987</v>
      </c>
      <c r="K27" s="90">
        <f t="shared" si="17"/>
        <v>2621871.7099999986</v>
      </c>
      <c r="L27" s="90">
        <f t="shared" si="17"/>
        <v>2703388.5199999986</v>
      </c>
      <c r="M27" s="207">
        <f t="shared" si="17"/>
        <v>2538843.4300000002</v>
      </c>
      <c r="N27" s="90">
        <f t="shared" si="17"/>
        <v>2573367.6599999997</v>
      </c>
      <c r="O27" s="191">
        <f t="shared" si="17"/>
        <v>2815845.8400000012</v>
      </c>
      <c r="Q27" s="178"/>
      <c r="U27" s="108">
        <f>ROUND(T32/Y32,0)</f>
        <v>175392</v>
      </c>
    </row>
    <row r="28" spans="1:57" x14ac:dyDescent="0.25">
      <c r="A28" s="87"/>
      <c r="B28" s="8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207"/>
      <c r="N28" s="90"/>
      <c r="O28" s="111"/>
      <c r="Q28" s="178"/>
      <c r="S28" s="122"/>
      <c r="T28" s="108"/>
      <c r="U28" s="108">
        <f>ROUND(T33/Y33,0)</f>
        <v>610972</v>
      </c>
      <c r="AW28" s="122"/>
      <c r="AX28" s="108"/>
      <c r="AY28" s="112"/>
      <c r="BA28" s="112"/>
      <c r="BE28" s="112"/>
    </row>
    <row r="29" spans="1:57" x14ac:dyDescent="0.25">
      <c r="A29" s="86">
        <v>505</v>
      </c>
      <c r="B29" s="104" t="s">
        <v>85</v>
      </c>
      <c r="C29" s="113"/>
      <c r="D29" s="113"/>
      <c r="E29" s="108"/>
      <c r="F29" s="113"/>
      <c r="G29" s="113"/>
      <c r="H29" s="113"/>
      <c r="I29" s="113"/>
      <c r="J29" s="113"/>
      <c r="K29" s="113"/>
      <c r="L29" s="113"/>
      <c r="M29" s="204"/>
      <c r="N29" s="113"/>
      <c r="O29" s="115"/>
      <c r="Q29" s="178"/>
      <c r="T29">
        <v>505</v>
      </c>
      <c r="U29" s="108">
        <f>ROUND(T34/Y34,0)</f>
        <v>612836</v>
      </c>
      <c r="V29" s="108">
        <f>SUM(U25:U29)</f>
        <v>1399200</v>
      </c>
    </row>
    <row r="30" spans="1:57" x14ac:dyDescent="0.25">
      <c r="A30" s="87" t="s">
        <v>64</v>
      </c>
      <c r="B30" t="s">
        <v>65</v>
      </c>
      <c r="C30" s="105">
        <v>454</v>
      </c>
      <c r="D30" s="105">
        <v>457</v>
      </c>
      <c r="E30" s="105">
        <v>459</v>
      </c>
      <c r="F30" s="105">
        <v>459</v>
      </c>
      <c r="G30" s="105">
        <v>459</v>
      </c>
      <c r="H30" s="105">
        <v>456</v>
      </c>
      <c r="I30" s="105">
        <v>455</v>
      </c>
      <c r="J30" s="105">
        <v>460</v>
      </c>
      <c r="K30" s="105">
        <v>462</v>
      </c>
      <c r="L30" s="105">
        <v>462</v>
      </c>
      <c r="M30" s="204"/>
      <c r="N30" s="105">
        <v>459</v>
      </c>
      <c r="O30" s="106">
        <v>460</v>
      </c>
      <c r="P30" s="108"/>
      <c r="Q30" s="180"/>
      <c r="U30" s="113">
        <v>1399191</v>
      </c>
      <c r="V30" t="s">
        <v>92</v>
      </c>
      <c r="W30" s="113">
        <f>U30</f>
        <v>1399191</v>
      </c>
    </row>
    <row r="31" spans="1:57" x14ac:dyDescent="0.25">
      <c r="A31" s="87" t="s">
        <v>71</v>
      </c>
      <c r="B31" t="s">
        <v>117</v>
      </c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206"/>
      <c r="N31" s="116"/>
      <c r="O31" s="117"/>
      <c r="P31" s="108"/>
      <c r="Q31" s="180"/>
      <c r="S31" s="122" t="s">
        <v>90</v>
      </c>
      <c r="T31" s="108"/>
      <c r="U31" s="112"/>
      <c r="W31" s="112"/>
      <c r="AA31" s="112">
        <f>Y31-W31</f>
        <v>0</v>
      </c>
    </row>
    <row r="32" spans="1:57" x14ac:dyDescent="0.25">
      <c r="A32" s="87" t="s">
        <v>71</v>
      </c>
      <c r="B32" t="s">
        <v>95</v>
      </c>
      <c r="C32" s="116">
        <v>36138.68</v>
      </c>
      <c r="D32" s="116">
        <v>34957.230000000003</v>
      </c>
      <c r="E32" s="116">
        <v>34683.93</v>
      </c>
      <c r="F32" s="116">
        <v>30650.73</v>
      </c>
      <c r="G32" s="116">
        <v>26274.799999999999</v>
      </c>
      <c r="H32" s="116">
        <v>19574.28</v>
      </c>
      <c r="I32" s="116">
        <v>15600.58</v>
      </c>
      <c r="J32" s="116">
        <v>14758.58</v>
      </c>
      <c r="K32" s="116">
        <v>16115.64</v>
      </c>
      <c r="L32" s="116">
        <v>21937.16</v>
      </c>
      <c r="M32" s="206"/>
      <c r="N32" s="116">
        <v>29135.31</v>
      </c>
      <c r="O32" s="117">
        <v>33049.1</v>
      </c>
      <c r="P32" s="108"/>
      <c r="Q32" s="180"/>
      <c r="S32" s="122" t="s">
        <v>90</v>
      </c>
      <c r="T32" s="108">
        <v>33049.1</v>
      </c>
      <c r="U32" s="112">
        <f>T32/U27</f>
        <v>0.18842991698595146</v>
      </c>
      <c r="W32" s="112">
        <f>T32/U27</f>
        <v>0.18842991698595146</v>
      </c>
      <c r="Y32">
        <v>0.18842999999999999</v>
      </c>
      <c r="AA32" s="112">
        <f>Y32-W32</f>
        <v>8.3014048524177042E-8</v>
      </c>
    </row>
    <row r="33" spans="1:27" x14ac:dyDescent="0.25">
      <c r="A33" s="87" t="s">
        <v>71</v>
      </c>
      <c r="B33" t="s">
        <v>97</v>
      </c>
      <c r="C33" s="116">
        <v>117532.94</v>
      </c>
      <c r="D33" s="116">
        <v>105597.31</v>
      </c>
      <c r="E33" s="116">
        <v>100762.46</v>
      </c>
      <c r="F33" s="116">
        <v>73585.03</v>
      </c>
      <c r="G33" s="116">
        <v>63637.99</v>
      </c>
      <c r="H33" s="116">
        <v>48013.19</v>
      </c>
      <c r="I33" s="116">
        <v>35450.92</v>
      </c>
      <c r="J33" s="116">
        <v>38336.94</v>
      </c>
      <c r="K33" s="116">
        <v>39198.42</v>
      </c>
      <c r="L33" s="116">
        <v>54170.5</v>
      </c>
      <c r="M33" s="206"/>
      <c r="N33" s="116">
        <v>70924.259999999995</v>
      </c>
      <c r="O33" s="117">
        <v>92714.93</v>
      </c>
      <c r="P33" s="108"/>
      <c r="Q33" s="180"/>
      <c r="S33" s="122" t="s">
        <v>90</v>
      </c>
      <c r="T33" s="108">
        <v>92714.93</v>
      </c>
      <c r="U33" s="112">
        <f>T33/U28</f>
        <v>0.15174988379172857</v>
      </c>
      <c r="W33" s="112">
        <f>T33/U28</f>
        <v>0.15174988379172857</v>
      </c>
      <c r="Y33">
        <v>0.15175</v>
      </c>
      <c r="AA33" s="112">
        <f>Y33-W33</f>
        <v>1.1620827142233559E-7</v>
      </c>
    </row>
    <row r="34" spans="1:27" x14ac:dyDescent="0.25">
      <c r="A34" s="87" t="s">
        <v>71</v>
      </c>
      <c r="B34" t="s">
        <v>96</v>
      </c>
      <c r="C34" s="95">
        <v>114690.19</v>
      </c>
      <c r="D34" s="95">
        <v>85937.69</v>
      </c>
      <c r="E34" s="95">
        <v>92975.8</v>
      </c>
      <c r="F34" s="95">
        <v>44469.96</v>
      </c>
      <c r="G34" s="95">
        <v>40879.449999999997</v>
      </c>
      <c r="H34" s="95">
        <v>30811.94</v>
      </c>
      <c r="I34" s="95">
        <v>19493.29</v>
      </c>
      <c r="J34" s="95">
        <v>29792.93</v>
      </c>
      <c r="K34" s="95">
        <v>31727.02</v>
      </c>
      <c r="L34" s="95">
        <v>106541.8</v>
      </c>
      <c r="M34" s="205"/>
      <c r="N34" s="95">
        <v>53274</v>
      </c>
      <c r="O34" s="107">
        <v>89596.65</v>
      </c>
      <c r="P34" s="108"/>
      <c r="Q34" s="180"/>
      <c r="S34" s="122" t="s">
        <v>90</v>
      </c>
      <c r="T34" s="108">
        <v>89596.65</v>
      </c>
      <c r="U34" s="112">
        <f>T34/U29</f>
        <v>0.14620004373111239</v>
      </c>
      <c r="W34" s="112">
        <f>T34/U29</f>
        <v>0.14620004373111239</v>
      </c>
      <c r="Y34">
        <v>0.1462</v>
      </c>
      <c r="AA34" s="112">
        <f>Y34-W34</f>
        <v>-4.3731112397971117E-8</v>
      </c>
    </row>
    <row r="35" spans="1:27" x14ac:dyDescent="0.25">
      <c r="A35" s="86"/>
      <c r="B35" s="89" t="s">
        <v>74</v>
      </c>
      <c r="C35" s="108">
        <f t="shared" ref="C35:O35" si="18">SUM(C31:C34)</f>
        <v>268361.81</v>
      </c>
      <c r="D35" s="108">
        <f t="shared" si="18"/>
        <v>226492.23</v>
      </c>
      <c r="E35" s="108">
        <f t="shared" si="18"/>
        <v>228422.19</v>
      </c>
      <c r="F35" s="108">
        <f t="shared" si="18"/>
        <v>148705.72</v>
      </c>
      <c r="G35" s="108">
        <f t="shared" si="18"/>
        <v>130792.23999999999</v>
      </c>
      <c r="H35" s="108">
        <f t="shared" si="18"/>
        <v>98399.41</v>
      </c>
      <c r="I35" s="108">
        <f t="shared" si="18"/>
        <v>70544.790000000008</v>
      </c>
      <c r="J35" s="108">
        <f t="shared" ref="J35:N35" si="19">SUM(J31:J34)</f>
        <v>82888.450000000012</v>
      </c>
      <c r="K35" s="108">
        <f t="shared" si="19"/>
        <v>87041.08</v>
      </c>
      <c r="L35" s="108">
        <f t="shared" si="19"/>
        <v>182649.46000000002</v>
      </c>
      <c r="M35" s="206">
        <f t="shared" si="19"/>
        <v>0</v>
      </c>
      <c r="N35" s="108">
        <f t="shared" si="19"/>
        <v>153333.57</v>
      </c>
      <c r="O35" s="126">
        <f t="shared" si="18"/>
        <v>215360.68</v>
      </c>
      <c r="Q35" s="178"/>
      <c r="S35" s="122" t="s">
        <v>91</v>
      </c>
      <c r="T35" s="108">
        <v>626282.41</v>
      </c>
      <c r="U35" s="112">
        <f>T35/U30</f>
        <v>0.44760322929464241</v>
      </c>
      <c r="W35" s="112">
        <f>T35/W30</f>
        <v>0.44760322929464241</v>
      </c>
      <c r="Y35">
        <v>0.44467000000000001</v>
      </c>
      <c r="AA35" s="112">
        <f>Y35-W35</f>
        <v>-2.9332292946424032E-3</v>
      </c>
    </row>
    <row r="36" spans="1:27" x14ac:dyDescent="0.25">
      <c r="A36" s="86"/>
      <c r="B36" s="89" t="s">
        <v>73</v>
      </c>
      <c r="C36" s="88">
        <f>ROUND(-'Authorized Margins'!J60*'WACAP 2017'!C30,2)</f>
        <v>-210642.38</v>
      </c>
      <c r="D36" s="88">
        <f>ROUND(-'Authorized Margins'!K60*'WACAP 2017'!D30,2)</f>
        <v>-239161.81</v>
      </c>
      <c r="E36" s="88">
        <f>ROUND(-'Authorized Margins'!L60*'WACAP 2017'!E30,2)</f>
        <v>-191145.96</v>
      </c>
      <c r="F36" s="88">
        <f>ROUND(-'Authorized Margins'!M60*'WACAP 2017'!F30,2)</f>
        <v>-139829.76000000001</v>
      </c>
      <c r="G36" s="88">
        <f>ROUND(-'Authorized Margins'!N60*'WACAP 2017'!G30,2)</f>
        <v>-119743.92</v>
      </c>
      <c r="H36" s="88">
        <f>ROUND(-'Authorized Margins'!O60*'WACAP 2017'!H30,2)</f>
        <v>-96102</v>
      </c>
      <c r="I36" s="88">
        <f>ROUND(-'Authorized Margins'!D60*'WACAP 2017'!I30,2)</f>
        <v>-90772.5</v>
      </c>
      <c r="J36" s="88">
        <f>ROUND(-'Authorized Margins'!E60*'WACAP 2017'!J30,2)</f>
        <v>-74386.600000000006</v>
      </c>
      <c r="K36" s="88">
        <f>ROUND(-'Authorized Margins'!F60*'WACAP 2017'!K30,2)</f>
        <v>-101265.78</v>
      </c>
      <c r="L36" s="88">
        <f>ROUND(-'Authorized Margins'!G60*'WACAP 2017'!L30,2)</f>
        <v>-222439.14</v>
      </c>
      <c r="M36" s="205">
        <f>ROUND(-'Authorized Margins'!G60*'WACAP 2017'!M30,2)</f>
        <v>0</v>
      </c>
      <c r="N36" s="88">
        <f>ROUND(-'Authorized Margins'!H60*'WACAP 2017'!N30,2)</f>
        <v>-151584.75</v>
      </c>
      <c r="O36" s="110">
        <f>ROUND(-'Authorized Margins'!I60*'WACAP 2017'!O30,2)</f>
        <v>-229544.6</v>
      </c>
      <c r="Q36" s="178"/>
    </row>
    <row r="37" spans="1:27" x14ac:dyDescent="0.25">
      <c r="A37" s="86"/>
      <c r="B37" s="89" t="s">
        <v>75</v>
      </c>
      <c r="C37" s="90">
        <f t="shared" ref="C37:O37" si="20">SUM(C35:C36)</f>
        <v>57719.429999999993</v>
      </c>
      <c r="D37" s="90">
        <f t="shared" si="20"/>
        <v>-12669.579999999987</v>
      </c>
      <c r="E37" s="90">
        <f t="shared" si="20"/>
        <v>37276.23000000001</v>
      </c>
      <c r="F37" s="90">
        <f t="shared" si="20"/>
        <v>8875.9599999999919</v>
      </c>
      <c r="G37" s="90">
        <f t="shared" si="20"/>
        <v>11048.319999999992</v>
      </c>
      <c r="H37" s="90">
        <f t="shared" si="20"/>
        <v>2297.4100000000035</v>
      </c>
      <c r="I37" s="90">
        <f t="shared" si="20"/>
        <v>-20227.709999999992</v>
      </c>
      <c r="J37" s="90">
        <f t="shared" si="20"/>
        <v>8501.8500000000058</v>
      </c>
      <c r="K37" s="90">
        <f t="shared" si="20"/>
        <v>-14224.699999999997</v>
      </c>
      <c r="L37" s="90">
        <f t="shared" si="20"/>
        <v>-39789.679999999993</v>
      </c>
      <c r="M37" s="207">
        <f>-'WACAP 2016'!H39</f>
        <v>90934.11</v>
      </c>
      <c r="N37" s="90">
        <f t="shared" si="20"/>
        <v>1748.820000000007</v>
      </c>
      <c r="O37" s="111">
        <f t="shared" si="20"/>
        <v>-14183.920000000013</v>
      </c>
      <c r="Q37" s="180">
        <f>SUM(C37:P37)-M37</f>
        <v>26372.430000000008</v>
      </c>
    </row>
    <row r="38" spans="1:27" x14ac:dyDescent="0.25">
      <c r="A38" s="87"/>
      <c r="B38" s="89" t="s">
        <v>137</v>
      </c>
      <c r="C38" s="187">
        <f>ROUND(ROUND('WACAP 2016'!F40*C$5,2)/365*C$6,2)</f>
        <v>-270.31</v>
      </c>
      <c r="D38" s="187">
        <f>ROUND(ROUND(C40*D$5,2)/365*D$6,2)</f>
        <v>-89.9</v>
      </c>
      <c r="E38" s="187">
        <f t="shared" ref="E38:O38" si="21">ROUND(ROUND(D40*E$5,2)/365*E$6,2)</f>
        <v>-137.47</v>
      </c>
      <c r="F38" s="187">
        <f t="shared" si="21"/>
        <v>-27.77</v>
      </c>
      <c r="G38" s="187">
        <f t="shared" si="21"/>
        <v>-0.81</v>
      </c>
      <c r="H38" s="187">
        <f t="shared" si="21"/>
        <v>32.9</v>
      </c>
      <c r="I38" s="187">
        <f t="shared" si="21"/>
        <v>44.13</v>
      </c>
      <c r="J38" s="187">
        <f t="shared" si="21"/>
        <v>-23.76</v>
      </c>
      <c r="K38" s="187">
        <f t="shared" si="21"/>
        <v>4.6100000000000003</v>
      </c>
      <c r="L38" s="187">
        <f t="shared" si="21"/>
        <v>-45.79</v>
      </c>
      <c r="M38" s="208">
        <f>'Ammort Split 2017'!N38</f>
        <v>2899.42</v>
      </c>
      <c r="N38" s="187">
        <f>ROUND(ROUND(M40*N$5,2)/365*N$6,2)</f>
        <v>142.54</v>
      </c>
      <c r="O38" s="188">
        <f t="shared" si="21"/>
        <v>154.05000000000001</v>
      </c>
      <c r="Q38" s="196">
        <f>SUM(C38:P38)</f>
        <v>2681.84</v>
      </c>
    </row>
    <row r="39" spans="1:27" x14ac:dyDescent="0.25">
      <c r="A39" s="87"/>
      <c r="B39" s="89" t="s">
        <v>138</v>
      </c>
      <c r="C39" s="189">
        <f t="shared" ref="C39:O39" si="22">SUM(C37:C38)</f>
        <v>57449.119999999995</v>
      </c>
      <c r="D39" s="189">
        <f t="shared" si="22"/>
        <v>-12759.479999999987</v>
      </c>
      <c r="E39" s="189">
        <f t="shared" si="22"/>
        <v>37138.760000000009</v>
      </c>
      <c r="F39" s="189">
        <f t="shared" si="22"/>
        <v>8848.1899999999914</v>
      </c>
      <c r="G39" s="189">
        <f t="shared" si="22"/>
        <v>11047.509999999993</v>
      </c>
      <c r="H39" s="189">
        <f t="shared" si="22"/>
        <v>2330.3100000000036</v>
      </c>
      <c r="I39" s="189">
        <f t="shared" si="22"/>
        <v>-20183.579999999991</v>
      </c>
      <c r="J39" s="189">
        <f t="shared" si="22"/>
        <v>8478.0900000000056</v>
      </c>
      <c r="K39" s="189">
        <f t="shared" si="22"/>
        <v>-14220.089999999997</v>
      </c>
      <c r="L39" s="189">
        <f t="shared" si="22"/>
        <v>-39835.469999999994</v>
      </c>
      <c r="M39" s="209">
        <f t="shared" ref="M39" si="23">SUM(M37:M38)</f>
        <v>93833.53</v>
      </c>
      <c r="N39" s="189">
        <f t="shared" si="22"/>
        <v>1891.3600000000069</v>
      </c>
      <c r="O39" s="190">
        <f t="shared" si="22"/>
        <v>-14029.870000000014</v>
      </c>
      <c r="Q39" s="198">
        <f>SUM(Q37:Q38)</f>
        <v>29054.270000000008</v>
      </c>
    </row>
    <row r="40" spans="1:27" x14ac:dyDescent="0.25">
      <c r="A40" s="87"/>
      <c r="B40" s="89" t="s">
        <v>139</v>
      </c>
      <c r="C40" s="90">
        <f>'WACAP 2016'!F40+'WACAP 2017'!C39</f>
        <v>-33484.990000000005</v>
      </c>
      <c r="D40" s="90">
        <f t="shared" ref="D40:O40" si="24">C40+D39</f>
        <v>-46244.469999999994</v>
      </c>
      <c r="E40" s="90">
        <f t="shared" si="24"/>
        <v>-9105.7099999999846</v>
      </c>
      <c r="F40" s="90">
        <f t="shared" si="24"/>
        <v>-257.51999999999316</v>
      </c>
      <c r="G40" s="90">
        <f t="shared" si="24"/>
        <v>10789.99</v>
      </c>
      <c r="H40" s="90">
        <f t="shared" si="24"/>
        <v>13120.300000000003</v>
      </c>
      <c r="I40" s="90">
        <f t="shared" si="24"/>
        <v>-7063.2799999999879</v>
      </c>
      <c r="J40" s="90">
        <f t="shared" si="24"/>
        <v>1414.8100000000177</v>
      </c>
      <c r="K40" s="90">
        <f t="shared" si="24"/>
        <v>-12805.279999999979</v>
      </c>
      <c r="L40" s="90">
        <f t="shared" si="24"/>
        <v>-52640.749999999971</v>
      </c>
      <c r="M40" s="207">
        <f t="shared" si="24"/>
        <v>41192.780000000028</v>
      </c>
      <c r="N40" s="90">
        <f t="shared" si="24"/>
        <v>43084.140000000036</v>
      </c>
      <c r="O40" s="191">
        <f t="shared" si="24"/>
        <v>29054.270000000022</v>
      </c>
      <c r="Q40" s="178"/>
      <c r="U40" s="108">
        <f>ROUND(T45/Y45,0)</f>
        <v>139143</v>
      </c>
    </row>
    <row r="41" spans="1:27" x14ac:dyDescent="0.25">
      <c r="A41" s="86"/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207"/>
      <c r="N41" s="90"/>
      <c r="O41" s="111"/>
      <c r="Q41" s="178"/>
      <c r="S41" s="122"/>
      <c r="T41" s="108"/>
      <c r="U41" s="108">
        <f>ROUND(T46/Y46,0)</f>
        <v>71612</v>
      </c>
    </row>
    <row r="42" spans="1:27" x14ac:dyDescent="0.25">
      <c r="A42" s="86">
        <v>511</v>
      </c>
      <c r="B42" s="104" t="s">
        <v>85</v>
      </c>
      <c r="C42" s="113"/>
      <c r="D42" s="113"/>
      <c r="E42" s="108"/>
      <c r="F42" s="113"/>
      <c r="G42" s="113"/>
      <c r="H42" s="113"/>
      <c r="I42" s="113"/>
      <c r="J42" s="113"/>
      <c r="K42" s="113"/>
      <c r="L42" s="113"/>
      <c r="M42" s="204"/>
      <c r="N42" s="113"/>
      <c r="O42" s="115"/>
      <c r="Q42" s="178"/>
      <c r="T42">
        <v>511</v>
      </c>
      <c r="U42" s="108">
        <f>ROUND(T47/Y47,0)</f>
        <v>0</v>
      </c>
      <c r="V42" s="108">
        <f>SUM(U38:U42)</f>
        <v>210755</v>
      </c>
    </row>
    <row r="43" spans="1:27" x14ac:dyDescent="0.25">
      <c r="A43" s="87" t="s">
        <v>64</v>
      </c>
      <c r="B43" t="s">
        <v>65</v>
      </c>
      <c r="C43" s="105">
        <v>13</v>
      </c>
      <c r="D43" s="105">
        <v>14</v>
      </c>
      <c r="E43" s="105">
        <v>14</v>
      </c>
      <c r="F43" s="105">
        <v>14</v>
      </c>
      <c r="G43" s="105">
        <v>14</v>
      </c>
      <c r="H43" s="105">
        <v>14</v>
      </c>
      <c r="I43" s="105">
        <v>15</v>
      </c>
      <c r="J43" s="105">
        <v>14</v>
      </c>
      <c r="K43" s="105">
        <v>14</v>
      </c>
      <c r="L43" s="105">
        <v>14</v>
      </c>
      <c r="M43" s="204"/>
      <c r="N43" s="105">
        <v>14</v>
      </c>
      <c r="O43" s="106">
        <v>14</v>
      </c>
      <c r="P43" s="108"/>
      <c r="Q43" s="180"/>
      <c r="U43" s="113">
        <v>210755</v>
      </c>
      <c r="V43" t="s">
        <v>92</v>
      </c>
      <c r="W43" s="113">
        <f>U43</f>
        <v>210755</v>
      </c>
    </row>
    <row r="44" spans="1:27" x14ac:dyDescent="0.25">
      <c r="A44" s="87" t="s">
        <v>71</v>
      </c>
      <c r="B44" t="s">
        <v>117</v>
      </c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206"/>
      <c r="N44" s="116"/>
      <c r="O44" s="117"/>
      <c r="P44" s="108"/>
      <c r="Q44" s="180"/>
      <c r="S44" s="122" t="s">
        <v>90</v>
      </c>
      <c r="T44" s="108"/>
      <c r="U44" s="112"/>
      <c r="W44" s="112"/>
      <c r="AA44" s="112">
        <f>Y44-W44</f>
        <v>0</v>
      </c>
    </row>
    <row r="45" spans="1:27" x14ac:dyDescent="0.25">
      <c r="A45" s="87" t="s">
        <v>71</v>
      </c>
      <c r="B45" t="s">
        <v>98</v>
      </c>
      <c r="C45" s="116">
        <v>27019.11</v>
      </c>
      <c r="D45" s="116">
        <v>21828.080000000002</v>
      </c>
      <c r="E45" s="116">
        <v>26238.98</v>
      </c>
      <c r="F45" s="116">
        <v>20589.29</v>
      </c>
      <c r="G45" s="116">
        <v>16900.810000000001</v>
      </c>
      <c r="H45" s="116">
        <v>20052.59</v>
      </c>
      <c r="I45" s="116">
        <v>13837.9</v>
      </c>
      <c r="J45" s="116">
        <v>18944.349999999999</v>
      </c>
      <c r="K45" s="116">
        <v>14268.37</v>
      </c>
      <c r="L45" s="116">
        <v>18149.05</v>
      </c>
      <c r="M45" s="206"/>
      <c r="N45" s="116">
        <v>24514.68</v>
      </c>
      <c r="O45" s="117">
        <v>20640.48</v>
      </c>
      <c r="P45" s="108"/>
      <c r="Q45" s="180"/>
      <c r="S45" s="122" t="s">
        <v>90</v>
      </c>
      <c r="T45" s="108">
        <v>20640.48</v>
      </c>
      <c r="U45" s="112">
        <f>T45/U40</f>
        <v>0.14834005303895992</v>
      </c>
      <c r="W45" s="112">
        <f>T45/U40</f>
        <v>0.14834005303895992</v>
      </c>
      <c r="Y45">
        <v>0.14834</v>
      </c>
      <c r="AA45" s="112">
        <f>Y45-W45</f>
        <v>-5.3038959918483286E-8</v>
      </c>
    </row>
    <row r="46" spans="1:27" x14ac:dyDescent="0.25">
      <c r="A46" s="87" t="s">
        <v>71</v>
      </c>
      <c r="B46" t="s">
        <v>99</v>
      </c>
      <c r="C46" s="116">
        <v>16381.59</v>
      </c>
      <c r="D46" s="116">
        <v>10477.01</v>
      </c>
      <c r="E46" s="116">
        <v>24090.080000000002</v>
      </c>
      <c r="F46" s="116">
        <v>10925.31</v>
      </c>
      <c r="G46" s="116">
        <v>7327.63</v>
      </c>
      <c r="H46" s="116">
        <v>20443.72</v>
      </c>
      <c r="I46" s="116">
        <v>9474.58</v>
      </c>
      <c r="J46" s="116">
        <v>22162.26</v>
      </c>
      <c r="K46" s="116">
        <v>15715.3</v>
      </c>
      <c r="L46" s="116">
        <v>21151.35</v>
      </c>
      <c r="M46" s="206"/>
      <c r="N46" s="116">
        <v>14371.98</v>
      </c>
      <c r="O46" s="117">
        <v>8088.58</v>
      </c>
      <c r="P46" s="108"/>
      <c r="Q46" s="180"/>
      <c r="S46" s="122" t="s">
        <v>90</v>
      </c>
      <c r="T46" s="108">
        <v>8088.58</v>
      </c>
      <c r="U46" s="112">
        <f>T46/U41</f>
        <v>0.1129500642350444</v>
      </c>
      <c r="W46" s="112">
        <f>T46/U41</f>
        <v>0.1129500642350444</v>
      </c>
      <c r="Y46">
        <v>0.11294999999999999</v>
      </c>
      <c r="AA46" s="112">
        <f>Y46-W46</f>
        <v>-6.4235044408555986E-8</v>
      </c>
    </row>
    <row r="47" spans="1:27" x14ac:dyDescent="0.25">
      <c r="A47" s="87" t="s">
        <v>71</v>
      </c>
      <c r="B47" t="s">
        <v>100</v>
      </c>
      <c r="C47" s="95">
        <v>0</v>
      </c>
      <c r="D47" s="95">
        <v>0</v>
      </c>
      <c r="E47" s="95">
        <v>788.32</v>
      </c>
      <c r="F47" s="95">
        <v>0</v>
      </c>
      <c r="G47" s="95"/>
      <c r="H47" s="95">
        <v>574.24</v>
      </c>
      <c r="I47" s="95">
        <v>1076.8800000000001</v>
      </c>
      <c r="J47" s="95">
        <v>1248.7</v>
      </c>
      <c r="K47" s="95">
        <v>922.23</v>
      </c>
      <c r="L47" s="95">
        <v>475.32</v>
      </c>
      <c r="M47" s="205"/>
      <c r="N47" s="95">
        <v>0</v>
      </c>
      <c r="O47" s="107"/>
      <c r="P47" s="108"/>
      <c r="Q47" s="180"/>
      <c r="S47" s="122" t="s">
        <v>90</v>
      </c>
      <c r="T47" s="108">
        <v>0</v>
      </c>
      <c r="U47" s="112" t="e">
        <f>T47/U42</f>
        <v>#DIV/0!</v>
      </c>
      <c r="W47" s="112" t="e">
        <f>T47/U42</f>
        <v>#DIV/0!</v>
      </c>
      <c r="Y47">
        <v>2.5409999999999999E-2</v>
      </c>
      <c r="AA47" s="112" t="e">
        <f>Y47-W47</f>
        <v>#DIV/0!</v>
      </c>
    </row>
    <row r="48" spans="1:27" x14ac:dyDescent="0.25">
      <c r="A48" s="87"/>
      <c r="B48" s="89" t="s">
        <v>74</v>
      </c>
      <c r="C48" s="108">
        <f t="shared" ref="C48:O48" si="25">SUM(C44:C47)</f>
        <v>43400.7</v>
      </c>
      <c r="D48" s="108">
        <f t="shared" si="25"/>
        <v>32305.090000000004</v>
      </c>
      <c r="E48" s="108">
        <f t="shared" si="25"/>
        <v>51117.38</v>
      </c>
      <c r="F48" s="108">
        <f t="shared" si="25"/>
        <v>31514.6</v>
      </c>
      <c r="G48" s="108">
        <f t="shared" si="25"/>
        <v>24228.440000000002</v>
      </c>
      <c r="H48" s="108">
        <f t="shared" si="25"/>
        <v>41070.549999999996</v>
      </c>
      <c r="I48" s="108">
        <f t="shared" si="25"/>
        <v>24389.360000000001</v>
      </c>
      <c r="J48" s="108">
        <f t="shared" ref="J48:N48" si="26">SUM(J44:J47)</f>
        <v>42355.31</v>
      </c>
      <c r="K48" s="108">
        <f t="shared" si="26"/>
        <v>30905.899999999998</v>
      </c>
      <c r="L48" s="108">
        <f t="shared" si="26"/>
        <v>39775.719999999994</v>
      </c>
      <c r="M48" s="206">
        <f t="shared" ref="M48" si="27">SUM(M44:M47)</f>
        <v>0</v>
      </c>
      <c r="N48" s="108">
        <f t="shared" si="26"/>
        <v>38886.660000000003</v>
      </c>
      <c r="O48" s="126">
        <f t="shared" si="25"/>
        <v>28729.059999999998</v>
      </c>
      <c r="Q48" s="178"/>
      <c r="S48" s="122" t="s">
        <v>91</v>
      </c>
      <c r="T48" s="108">
        <v>93803.67</v>
      </c>
      <c r="U48" s="112">
        <f>T48/U43</f>
        <v>0.4450839600483974</v>
      </c>
      <c r="W48" s="112">
        <f>T48/W43</f>
        <v>0.4450839600483974</v>
      </c>
      <c r="Y48">
        <v>0.44467000000000001</v>
      </c>
      <c r="AA48" s="112">
        <f>Y48-W48</f>
        <v>-4.139600483973882E-4</v>
      </c>
    </row>
    <row r="49" spans="1:27" x14ac:dyDescent="0.25">
      <c r="A49" s="87"/>
      <c r="B49" s="89" t="s">
        <v>73</v>
      </c>
      <c r="C49" s="88">
        <f>ROUND(-'Authorized Margins'!J73*'WACAP 2017'!C43,2)</f>
        <v>-26539.63</v>
      </c>
      <c r="D49" s="88">
        <f>ROUND(-'Authorized Margins'!K73*'WACAP 2017'!D43,2)</f>
        <v>-26089.56</v>
      </c>
      <c r="E49" s="88">
        <f>ROUND(-'Authorized Margins'!L73*'WACAP 2017'!E43,2)</f>
        <v>-31713.64</v>
      </c>
      <c r="F49" s="88">
        <f>ROUND(-'Authorized Margins'!M73*'WACAP 2017'!F43,2)</f>
        <v>-18903.919999999998</v>
      </c>
      <c r="G49" s="88">
        <f>ROUND(-'Authorized Margins'!N73*'WACAP 2017'!G43,2)</f>
        <v>-15139.74</v>
      </c>
      <c r="H49" s="88">
        <f>ROUND(-'Authorized Margins'!O73*'WACAP 2017'!H43,2)</f>
        <v>-10762.22</v>
      </c>
      <c r="I49" s="88">
        <f>ROUND(-'Authorized Margins'!D73*'WACAP 2017'!I43,2)</f>
        <v>-8409.2999999999993</v>
      </c>
      <c r="J49" s="88">
        <f>ROUND(-'Authorized Margins'!E73*'WACAP 2017'!J43,2)</f>
        <v>-8187.62</v>
      </c>
      <c r="K49" s="88">
        <f>ROUND(-'Authorized Margins'!F73*'WACAP 2017'!K43,2)</f>
        <v>-6386.66</v>
      </c>
      <c r="L49" s="88">
        <f>ROUND(-'Authorized Margins'!G73*'WACAP 2017'!L43,2)</f>
        <v>-9758.56</v>
      </c>
      <c r="M49" s="205">
        <f>ROUND(-'Authorized Margins'!G73*'WACAP 2017'!M43,2)</f>
        <v>0</v>
      </c>
      <c r="N49" s="88">
        <f>ROUND(-'Authorized Margins'!H73*'WACAP 2017'!N43,2)</f>
        <v>-12344.5</v>
      </c>
      <c r="O49" s="110">
        <f>ROUND(-'Authorized Margins'!I73*'WACAP 2017'!O43,2)</f>
        <v>-27981.66</v>
      </c>
      <c r="Q49" s="178"/>
    </row>
    <row r="50" spans="1:27" x14ac:dyDescent="0.25">
      <c r="A50" s="87"/>
      <c r="B50" s="89" t="s">
        <v>75</v>
      </c>
      <c r="C50" s="90">
        <f t="shared" ref="C50:O50" si="28">SUM(C48:C49)</f>
        <v>16861.069999999996</v>
      </c>
      <c r="D50" s="90">
        <f t="shared" si="28"/>
        <v>6215.5300000000025</v>
      </c>
      <c r="E50" s="90">
        <f t="shared" si="28"/>
        <v>19403.739999999998</v>
      </c>
      <c r="F50" s="90">
        <f t="shared" si="28"/>
        <v>12610.68</v>
      </c>
      <c r="G50" s="90">
        <f t="shared" si="28"/>
        <v>9088.7000000000025</v>
      </c>
      <c r="H50" s="90">
        <f t="shared" si="28"/>
        <v>30308.329999999994</v>
      </c>
      <c r="I50" s="90">
        <f t="shared" si="28"/>
        <v>15980.060000000001</v>
      </c>
      <c r="J50" s="90">
        <f t="shared" si="28"/>
        <v>34167.689999999995</v>
      </c>
      <c r="K50" s="90">
        <f t="shared" si="28"/>
        <v>24519.239999999998</v>
      </c>
      <c r="L50" s="90">
        <f t="shared" si="28"/>
        <v>30017.159999999996</v>
      </c>
      <c r="M50" s="207">
        <f>-'WACAP 2016'!H52</f>
        <v>-81664.570000000007</v>
      </c>
      <c r="N50" s="90">
        <f t="shared" si="28"/>
        <v>26542.160000000003</v>
      </c>
      <c r="O50" s="111">
        <f t="shared" si="28"/>
        <v>747.39999999999782</v>
      </c>
      <c r="Q50" s="180">
        <f>SUM(C50:P50)-M50</f>
        <v>226461.75999999998</v>
      </c>
    </row>
    <row r="51" spans="1:27" x14ac:dyDescent="0.25">
      <c r="A51" s="87"/>
      <c r="B51" s="89" t="s">
        <v>137</v>
      </c>
      <c r="C51" s="187">
        <f>ROUND(ROUND('WACAP 2016'!F53*C$5,2)/365*C$6,2)</f>
        <v>242.76</v>
      </c>
      <c r="D51" s="187">
        <f>ROUND(ROUND(C53*D$5,2)/365*D$6,2)</f>
        <v>265.19</v>
      </c>
      <c r="E51" s="187">
        <f t="shared" ref="E51:O51" si="29">ROUND(ROUND(D53*E$5,2)/365*E$6,2)</f>
        <v>312.86</v>
      </c>
      <c r="F51" s="187">
        <f t="shared" si="29"/>
        <v>381.06</v>
      </c>
      <c r="G51" s="187">
        <f t="shared" si="29"/>
        <v>434.7</v>
      </c>
      <c r="H51" s="187">
        <f t="shared" si="29"/>
        <v>449.72</v>
      </c>
      <c r="I51" s="187">
        <f t="shared" si="29"/>
        <v>599.47</v>
      </c>
      <c r="J51" s="187">
        <f t="shared" si="29"/>
        <v>655.23</v>
      </c>
      <c r="K51" s="187">
        <f t="shared" si="29"/>
        <v>747.44</v>
      </c>
      <c r="L51" s="187">
        <f t="shared" si="29"/>
        <v>911.45</v>
      </c>
      <c r="M51" s="208">
        <f>'Ammort Split 2017'!N51</f>
        <v>-2603.88</v>
      </c>
      <c r="N51" s="187">
        <f>ROUND(ROUND(M53*N$5,2)/365*N$6,2)</f>
        <v>697.48</v>
      </c>
      <c r="O51" s="188">
        <f t="shared" si="29"/>
        <v>818.13</v>
      </c>
      <c r="Q51" s="196">
        <f>SUM(C51:P51)</f>
        <v>3911.61</v>
      </c>
    </row>
    <row r="52" spans="1:27" x14ac:dyDescent="0.25">
      <c r="A52" s="87"/>
      <c r="B52" s="89" t="s">
        <v>138</v>
      </c>
      <c r="C52" s="189">
        <f t="shared" ref="C52:O52" si="30">SUM(C50:C51)</f>
        <v>17103.829999999994</v>
      </c>
      <c r="D52" s="189">
        <f t="shared" si="30"/>
        <v>6480.7200000000021</v>
      </c>
      <c r="E52" s="189">
        <f t="shared" si="30"/>
        <v>19716.599999999999</v>
      </c>
      <c r="F52" s="189">
        <f t="shared" si="30"/>
        <v>12991.74</v>
      </c>
      <c r="G52" s="189">
        <f t="shared" si="30"/>
        <v>9523.4000000000033</v>
      </c>
      <c r="H52" s="189">
        <f t="shared" si="30"/>
        <v>30758.049999999996</v>
      </c>
      <c r="I52" s="189">
        <f t="shared" si="30"/>
        <v>16579.530000000002</v>
      </c>
      <c r="J52" s="189">
        <f t="shared" si="30"/>
        <v>34822.92</v>
      </c>
      <c r="K52" s="189">
        <f t="shared" si="30"/>
        <v>25266.679999999997</v>
      </c>
      <c r="L52" s="189">
        <f t="shared" si="30"/>
        <v>30928.609999999997</v>
      </c>
      <c r="M52" s="209">
        <f t="shared" ref="M52" si="31">SUM(M50:M51)</f>
        <v>-84268.450000000012</v>
      </c>
      <c r="N52" s="189">
        <f t="shared" si="30"/>
        <v>27239.640000000003</v>
      </c>
      <c r="O52" s="190">
        <f t="shared" si="30"/>
        <v>1565.5299999999979</v>
      </c>
      <c r="Q52" s="198">
        <f>SUM(Q50:Q51)</f>
        <v>230373.36999999997</v>
      </c>
    </row>
    <row r="53" spans="1:27" x14ac:dyDescent="0.25">
      <c r="A53" s="87"/>
      <c r="B53" s="89" t="s">
        <v>139</v>
      </c>
      <c r="C53" s="90">
        <f>'WACAP 2016'!F53+'WACAP 2017'!C52</f>
        <v>98768.4</v>
      </c>
      <c r="D53" s="90">
        <f t="shared" ref="D53:O53" si="32">C53+D52</f>
        <v>105249.12</v>
      </c>
      <c r="E53" s="90">
        <f t="shared" si="32"/>
        <v>124965.72</v>
      </c>
      <c r="F53" s="90">
        <f t="shared" si="32"/>
        <v>137957.46</v>
      </c>
      <c r="G53" s="90">
        <f t="shared" si="32"/>
        <v>147480.85999999999</v>
      </c>
      <c r="H53" s="90">
        <f t="shared" si="32"/>
        <v>178238.90999999997</v>
      </c>
      <c r="I53" s="90">
        <f t="shared" si="32"/>
        <v>194818.43999999997</v>
      </c>
      <c r="J53" s="90">
        <f t="shared" si="32"/>
        <v>229641.36</v>
      </c>
      <c r="K53" s="90">
        <f t="shared" si="32"/>
        <v>254908.03999999998</v>
      </c>
      <c r="L53" s="90">
        <f t="shared" si="32"/>
        <v>285836.64999999997</v>
      </c>
      <c r="M53" s="207">
        <f t="shared" si="32"/>
        <v>201568.19999999995</v>
      </c>
      <c r="N53" s="90">
        <f t="shared" si="32"/>
        <v>228807.83999999997</v>
      </c>
      <c r="O53" s="191">
        <f t="shared" si="32"/>
        <v>230373.36999999997</v>
      </c>
      <c r="Q53" s="178"/>
    </row>
    <row r="54" spans="1:27" x14ac:dyDescent="0.25">
      <c r="A54" s="86"/>
      <c r="C54" s="113"/>
      <c r="D54" s="113"/>
      <c r="E54" s="108"/>
      <c r="F54" s="113"/>
      <c r="G54" s="113"/>
      <c r="H54" s="113"/>
      <c r="I54" s="113"/>
      <c r="J54" s="113"/>
      <c r="K54" s="113"/>
      <c r="L54" s="113"/>
      <c r="M54" s="204"/>
      <c r="N54" s="113"/>
      <c r="O54" s="115"/>
      <c r="Q54" s="178"/>
    </row>
    <row r="55" spans="1:27" x14ac:dyDescent="0.25">
      <c r="A55" s="86" t="s">
        <v>142</v>
      </c>
      <c r="B55" s="104" t="s">
        <v>86</v>
      </c>
      <c r="C55" s="113"/>
      <c r="D55" s="113"/>
      <c r="E55" s="108"/>
      <c r="F55" s="113"/>
      <c r="G55" s="113"/>
      <c r="H55" s="113"/>
      <c r="I55" s="113"/>
      <c r="J55" s="113"/>
      <c r="K55" s="113"/>
      <c r="L55" s="113"/>
      <c r="M55" s="204"/>
      <c r="N55" s="113"/>
      <c r="O55" s="115"/>
      <c r="Q55" s="178"/>
      <c r="T55">
        <v>504</v>
      </c>
    </row>
    <row r="56" spans="1:27" x14ac:dyDescent="0.25">
      <c r="A56" s="87" t="s">
        <v>64</v>
      </c>
      <c r="B56" t="s">
        <v>65</v>
      </c>
      <c r="C56" s="105">
        <v>0</v>
      </c>
      <c r="D56" s="105">
        <v>0</v>
      </c>
      <c r="E56" s="105">
        <v>0</v>
      </c>
      <c r="F56" s="105">
        <v>0</v>
      </c>
      <c r="G56" s="105">
        <v>0</v>
      </c>
      <c r="H56" s="105">
        <v>0</v>
      </c>
      <c r="I56" s="105">
        <v>0</v>
      </c>
      <c r="J56" s="105">
        <v>0</v>
      </c>
      <c r="K56" s="105">
        <v>0</v>
      </c>
      <c r="L56" s="105">
        <v>1</v>
      </c>
      <c r="M56" s="204"/>
      <c r="N56" s="105">
        <v>1</v>
      </c>
      <c r="O56" s="106">
        <v>1</v>
      </c>
      <c r="P56" s="113"/>
      <c r="Q56" s="179"/>
      <c r="U56" s="113">
        <v>1372</v>
      </c>
      <c r="V56" t="s">
        <v>92</v>
      </c>
      <c r="W56" s="113">
        <f>U56</f>
        <v>1372</v>
      </c>
    </row>
    <row r="57" spans="1:27" x14ac:dyDescent="0.25">
      <c r="A57" s="87" t="s">
        <v>71</v>
      </c>
      <c r="B57" t="s">
        <v>70</v>
      </c>
      <c r="C57" s="116">
        <v>0</v>
      </c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206"/>
      <c r="N57" s="116">
        <v>110.49</v>
      </c>
      <c r="O57" s="117">
        <v>337.62</v>
      </c>
      <c r="P57" s="108"/>
      <c r="Q57" s="180"/>
      <c r="S57" s="122" t="s">
        <v>90</v>
      </c>
      <c r="T57" s="108">
        <v>337.62</v>
      </c>
      <c r="U57" s="112">
        <f>T57/U56</f>
        <v>0.2460787172011662</v>
      </c>
      <c r="W57" s="112">
        <f>T57/W56</f>
        <v>0.2460787172011662</v>
      </c>
      <c r="Y57">
        <v>0.24607999999999999</v>
      </c>
      <c r="AA57" s="112">
        <f t="shared" ref="AA57" si="33">Y57-W57</f>
        <v>1.2827988337960061E-6</v>
      </c>
    </row>
    <row r="58" spans="1:27" x14ac:dyDescent="0.25">
      <c r="A58" s="87" t="s">
        <v>72</v>
      </c>
      <c r="B58" t="s">
        <v>143</v>
      </c>
      <c r="C58" s="116">
        <v>0</v>
      </c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</v>
      </c>
      <c r="K58" s="116">
        <v>0</v>
      </c>
      <c r="L58" s="116">
        <v>110.49</v>
      </c>
      <c r="M58" s="206"/>
      <c r="N58" s="116">
        <v>337.62</v>
      </c>
      <c r="O58" s="117">
        <v>680.9</v>
      </c>
      <c r="P58" s="108"/>
      <c r="Q58" s="180"/>
      <c r="S58" s="122" t="s">
        <v>91</v>
      </c>
      <c r="T58" s="108">
        <v>627.99</v>
      </c>
      <c r="U58" s="112">
        <f>T58/U56</f>
        <v>0.45771865889212826</v>
      </c>
      <c r="W58" s="112">
        <f>T58/W56</f>
        <v>0.45771865889212826</v>
      </c>
      <c r="Y58">
        <v>0.45772000000000002</v>
      </c>
      <c r="AA58" s="112">
        <f>Y58-W58</f>
        <v>1.3411078717551206E-6</v>
      </c>
    </row>
    <row r="59" spans="1:27" x14ac:dyDescent="0.25">
      <c r="A59" s="87" t="s">
        <v>72</v>
      </c>
      <c r="B59" t="s">
        <v>144</v>
      </c>
      <c r="C59" s="95">
        <v>0</v>
      </c>
      <c r="D59" s="95">
        <v>0</v>
      </c>
      <c r="E59" s="95">
        <v>0</v>
      </c>
      <c r="F59" s="95">
        <v>0</v>
      </c>
      <c r="G59" s="95">
        <v>0</v>
      </c>
      <c r="H59" s="95">
        <v>0</v>
      </c>
      <c r="I59" s="95">
        <v>0</v>
      </c>
      <c r="J59" s="95">
        <v>0</v>
      </c>
      <c r="K59" s="95">
        <v>0</v>
      </c>
      <c r="L59" s="95">
        <v>0</v>
      </c>
      <c r="M59" s="205"/>
      <c r="N59" s="95">
        <f t="shared" ref="N59" si="34">-L58</f>
        <v>-110.49</v>
      </c>
      <c r="O59" s="107">
        <f>-N58</f>
        <v>-337.62</v>
      </c>
      <c r="P59" s="108"/>
      <c r="Q59" s="180"/>
      <c r="S59" s="122"/>
      <c r="T59" s="108"/>
      <c r="U59" s="112"/>
      <c r="W59" s="112"/>
      <c r="AA59" s="112"/>
    </row>
    <row r="60" spans="1:27" x14ac:dyDescent="0.25">
      <c r="A60" s="87"/>
      <c r="B60" s="89" t="s">
        <v>74</v>
      </c>
      <c r="C60" s="108">
        <f t="shared" ref="C60:E60" si="35">SUM(C57:C59)</f>
        <v>0</v>
      </c>
      <c r="D60" s="108">
        <f t="shared" si="35"/>
        <v>0</v>
      </c>
      <c r="E60" s="108">
        <f t="shared" si="35"/>
        <v>0</v>
      </c>
      <c r="F60" s="108">
        <f>SUM(F57:F59)</f>
        <v>0</v>
      </c>
      <c r="G60" s="108">
        <f t="shared" ref="G60:I60" si="36">SUM(G57:G59)</f>
        <v>0</v>
      </c>
      <c r="H60" s="108">
        <f t="shared" si="36"/>
        <v>0</v>
      </c>
      <c r="I60" s="108">
        <f t="shared" si="36"/>
        <v>0</v>
      </c>
      <c r="J60" s="108">
        <f t="shared" ref="J60:N60" si="37">SUM(J57:J59)</f>
        <v>0</v>
      </c>
      <c r="K60" s="108">
        <f t="shared" si="37"/>
        <v>0</v>
      </c>
      <c r="L60" s="108">
        <f t="shared" si="37"/>
        <v>110.49</v>
      </c>
      <c r="M60" s="206">
        <f t="shared" ref="M60" si="38">SUM(M57:M59)</f>
        <v>0</v>
      </c>
      <c r="N60" s="108">
        <f t="shared" si="37"/>
        <v>337.62</v>
      </c>
      <c r="O60" s="109">
        <f t="shared" ref="O60" si="39">SUM(O57:O59)</f>
        <v>680.9</v>
      </c>
      <c r="Q60" s="178"/>
    </row>
    <row r="61" spans="1:27" x14ac:dyDescent="0.25">
      <c r="A61" s="87"/>
      <c r="B61" s="89" t="s">
        <v>73</v>
      </c>
      <c r="C61" s="88">
        <f>ROUND(-'Authorized Margins'!J47*'WACAP 2017'!C56,2)</f>
        <v>0</v>
      </c>
      <c r="D61" s="88">
        <f>ROUND(-'Authorized Margins'!K47*'WACAP 2017'!D56,2)</f>
        <v>0</v>
      </c>
      <c r="E61" s="88">
        <f>ROUND(-'Authorized Margins'!L47*'WACAP 2017'!E56,2)</f>
        <v>0</v>
      </c>
      <c r="F61" s="88">
        <f>ROUND(-'Authorized Margins'!M47*'WACAP 2017'!F56,2)</f>
        <v>0</v>
      </c>
      <c r="G61" s="88">
        <f>ROUND(-'Authorized Margins'!N47*'WACAP 2017'!G56,2)</f>
        <v>0</v>
      </c>
      <c r="H61" s="88">
        <f>ROUND(-'Authorized Margins'!O47*'WACAP 2017'!H56,2)</f>
        <v>0</v>
      </c>
      <c r="I61" s="88">
        <f>ROUND(-'Authorized Margins'!D47*'WACAP 2017'!I56,2)</f>
        <v>0</v>
      </c>
      <c r="J61" s="88">
        <f>ROUND(-'Authorized Margins'!E47*'WACAP 2017'!J56,2)</f>
        <v>0</v>
      </c>
      <c r="K61" s="88">
        <f>ROUND(-'Authorized Margins'!F47*'WACAP 2017'!K56,2)</f>
        <v>0</v>
      </c>
      <c r="L61" s="88">
        <f>ROUND(-'Authorized Margins'!G47*'WACAP 2017'!L56,2)</f>
        <v>-57.37</v>
      </c>
      <c r="M61" s="205">
        <f>ROUND(-'Authorized Margins'!G47*'WACAP 2017'!M56,2)</f>
        <v>0</v>
      </c>
      <c r="N61" s="88">
        <f>ROUND(-'Authorized Margins'!H47*'WACAP 2017'!N56,2)</f>
        <v>-93.26</v>
      </c>
      <c r="O61" s="110">
        <f>ROUND(-'Authorized Margins'!I47*'WACAP 2017'!O56,2)</f>
        <v>-123.58</v>
      </c>
      <c r="Q61" s="178"/>
    </row>
    <row r="62" spans="1:27" x14ac:dyDescent="0.25">
      <c r="A62" s="87"/>
      <c r="B62" s="89" t="s">
        <v>75</v>
      </c>
      <c r="C62" s="90">
        <f t="shared" ref="C62:O62" si="40">SUM(C60:C61)</f>
        <v>0</v>
      </c>
      <c r="D62" s="90">
        <f t="shared" si="40"/>
        <v>0</v>
      </c>
      <c r="E62" s="90">
        <f t="shared" si="40"/>
        <v>0</v>
      </c>
      <c r="F62" s="90">
        <f t="shared" si="40"/>
        <v>0</v>
      </c>
      <c r="G62" s="90">
        <f t="shared" si="40"/>
        <v>0</v>
      </c>
      <c r="H62" s="90">
        <f t="shared" si="40"/>
        <v>0</v>
      </c>
      <c r="I62" s="90">
        <f t="shared" si="40"/>
        <v>0</v>
      </c>
      <c r="J62" s="90">
        <f t="shared" si="40"/>
        <v>0</v>
      </c>
      <c r="K62" s="90">
        <f t="shared" si="40"/>
        <v>0</v>
      </c>
      <c r="L62" s="90">
        <f t="shared" si="40"/>
        <v>53.12</v>
      </c>
      <c r="M62" s="207">
        <f t="shared" ref="M62" si="41">SUM(M60:M61)</f>
        <v>0</v>
      </c>
      <c r="N62" s="90">
        <f t="shared" si="40"/>
        <v>244.36</v>
      </c>
      <c r="O62" s="111">
        <f t="shared" si="40"/>
        <v>557.31999999999994</v>
      </c>
      <c r="Q62" s="180">
        <f>SUM(C62:P62)-M62</f>
        <v>854.8</v>
      </c>
      <c r="T62">
        <v>-123.58</v>
      </c>
    </row>
    <row r="63" spans="1:27" x14ac:dyDescent="0.25">
      <c r="A63" s="87"/>
      <c r="B63" s="89" t="s">
        <v>137</v>
      </c>
      <c r="C63" s="187">
        <v>0</v>
      </c>
      <c r="D63" s="187">
        <f>ROUND(ROUND(C65*D$5,2)/365*D$6,2)</f>
        <v>0</v>
      </c>
      <c r="E63" s="187">
        <f t="shared" ref="E63" si="42">ROUND(ROUND(D65*E$5,2)/365*E$6,2)</f>
        <v>0</v>
      </c>
      <c r="F63" s="187">
        <f t="shared" ref="F63" si="43">ROUND(ROUND(E65*F$5,2)/365*F$6,2)</f>
        <v>0</v>
      </c>
      <c r="G63" s="187">
        <f t="shared" ref="G63" si="44">ROUND(ROUND(F65*G$5,2)/365*G$6,2)</f>
        <v>0</v>
      </c>
      <c r="H63" s="187">
        <f t="shared" ref="H63" si="45">ROUND(ROUND(G65*H$5,2)/365*H$6,2)</f>
        <v>0</v>
      </c>
      <c r="I63" s="187">
        <f t="shared" ref="I63" si="46">ROUND(ROUND(H65*I$5,2)/365*I$6,2)</f>
        <v>0</v>
      </c>
      <c r="J63" s="187">
        <f t="shared" ref="J63" si="47">ROUND(ROUND(I65*J$5,2)/365*J$6,2)</f>
        <v>0</v>
      </c>
      <c r="K63" s="187">
        <f t="shared" ref="K63" si="48">ROUND(ROUND(J65*K$5,2)/365*K$6,2)</f>
        <v>0</v>
      </c>
      <c r="L63" s="187">
        <f t="shared" ref="L63" si="49">ROUND(ROUND(K65*L$5,2)/365*L$6,2)</f>
        <v>0</v>
      </c>
      <c r="M63" s="208">
        <f t="shared" ref="M63" si="50">ROUND(ROUND(K65*M$5,2)/365*M$6,2)</f>
        <v>0</v>
      </c>
      <c r="N63" s="187">
        <f>ROUND(ROUND(M65*N$5,2)/365*N$6,2)</f>
        <v>0.18</v>
      </c>
      <c r="O63" s="188">
        <f t="shared" ref="O63" si="51">ROUND(ROUND(N65*O$5,2)/365*O$6,2)</f>
        <v>1.06</v>
      </c>
      <c r="Q63" s="196">
        <f>SUM(C63:P63)</f>
        <v>1.24</v>
      </c>
      <c r="T63">
        <v>1.06</v>
      </c>
    </row>
    <row r="64" spans="1:27" x14ac:dyDescent="0.25">
      <c r="A64" s="87"/>
      <c r="B64" s="89" t="s">
        <v>138</v>
      </c>
      <c r="C64" s="189">
        <f t="shared" ref="C64:O64" si="52">SUM(C62:C63)</f>
        <v>0</v>
      </c>
      <c r="D64" s="189">
        <f t="shared" si="52"/>
        <v>0</v>
      </c>
      <c r="E64" s="189">
        <f t="shared" si="52"/>
        <v>0</v>
      </c>
      <c r="F64" s="189">
        <f t="shared" si="52"/>
        <v>0</v>
      </c>
      <c r="G64" s="189">
        <f t="shared" si="52"/>
        <v>0</v>
      </c>
      <c r="H64" s="189">
        <f t="shared" si="52"/>
        <v>0</v>
      </c>
      <c r="I64" s="189">
        <f t="shared" si="52"/>
        <v>0</v>
      </c>
      <c r="J64" s="189">
        <f t="shared" si="52"/>
        <v>0</v>
      </c>
      <c r="K64" s="189">
        <f t="shared" si="52"/>
        <v>0</v>
      </c>
      <c r="L64" s="189">
        <f t="shared" si="52"/>
        <v>53.12</v>
      </c>
      <c r="M64" s="209">
        <f t="shared" ref="M64" si="53">SUM(M62:M63)</f>
        <v>0</v>
      </c>
      <c r="N64" s="189">
        <f t="shared" si="52"/>
        <v>244.54000000000002</v>
      </c>
      <c r="O64" s="190">
        <f t="shared" si="52"/>
        <v>558.37999999999988</v>
      </c>
      <c r="Q64" s="198">
        <f>SUM(Q62:Q63)</f>
        <v>856.04</v>
      </c>
      <c r="T64">
        <v>-122.52</v>
      </c>
    </row>
    <row r="65" spans="1:27" x14ac:dyDescent="0.25">
      <c r="A65" s="87"/>
      <c r="B65" s="89" t="s">
        <v>139</v>
      </c>
      <c r="C65" s="90">
        <v>0</v>
      </c>
      <c r="D65" s="90">
        <f t="shared" ref="D65" si="54">C65+D64</f>
        <v>0</v>
      </c>
      <c r="E65" s="90">
        <f t="shared" ref="E65" si="55">D65+E64</f>
        <v>0</v>
      </c>
      <c r="F65" s="90">
        <f t="shared" ref="F65" si="56">E65+F64</f>
        <v>0</v>
      </c>
      <c r="G65" s="90">
        <f t="shared" ref="G65" si="57">F65+G64</f>
        <v>0</v>
      </c>
      <c r="H65" s="90">
        <f t="shared" ref="H65" si="58">G65+H64</f>
        <v>0</v>
      </c>
      <c r="I65" s="90">
        <f t="shared" ref="I65" si="59">H65+I64</f>
        <v>0</v>
      </c>
      <c r="J65" s="90">
        <f t="shared" ref="J65" si="60">I65+J64</f>
        <v>0</v>
      </c>
      <c r="K65" s="90">
        <f t="shared" ref="K65" si="61">J65+K64</f>
        <v>0</v>
      </c>
      <c r="L65" s="90">
        <f t="shared" ref="L65:N65" si="62">K65+L64</f>
        <v>53.12</v>
      </c>
      <c r="M65" s="207">
        <f t="shared" si="62"/>
        <v>53.12</v>
      </c>
      <c r="N65" s="90">
        <f t="shared" si="62"/>
        <v>297.66000000000003</v>
      </c>
      <c r="O65" s="191">
        <f t="shared" ref="O65" si="63">N65+O64</f>
        <v>856.04</v>
      </c>
      <c r="Q65" s="178"/>
      <c r="T65">
        <v>175.14000000000004</v>
      </c>
      <c r="U65" s="108"/>
    </row>
    <row r="66" spans="1:27" x14ac:dyDescent="0.25">
      <c r="A66" s="87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207"/>
      <c r="N66" s="90"/>
      <c r="O66" s="111"/>
      <c r="Q66" s="178"/>
      <c r="S66" s="122"/>
      <c r="T66" s="108"/>
      <c r="U66" s="108"/>
    </row>
    <row r="67" spans="1:27" x14ac:dyDescent="0.25">
      <c r="A67" s="86">
        <v>504</v>
      </c>
      <c r="B67" s="104" t="s">
        <v>86</v>
      </c>
      <c r="C67" s="113"/>
      <c r="D67" s="113"/>
      <c r="E67" s="108"/>
      <c r="F67" s="113"/>
      <c r="G67" s="113"/>
      <c r="H67" s="113"/>
      <c r="I67" s="113"/>
      <c r="J67" s="113"/>
      <c r="K67" s="113"/>
      <c r="L67" s="113"/>
      <c r="M67" s="204"/>
      <c r="N67" s="113"/>
      <c r="O67" s="115"/>
      <c r="Q67" s="178"/>
      <c r="T67">
        <v>504</v>
      </c>
    </row>
    <row r="68" spans="1:27" x14ac:dyDescent="0.25">
      <c r="A68" s="87" t="s">
        <v>64</v>
      </c>
      <c r="B68" t="s">
        <v>65</v>
      </c>
      <c r="C68" s="105">
        <v>25898</v>
      </c>
      <c r="D68" s="105">
        <v>25906</v>
      </c>
      <c r="E68" s="105">
        <v>25878</v>
      </c>
      <c r="F68" s="105">
        <v>25826</v>
      </c>
      <c r="G68" s="105">
        <v>25772</v>
      </c>
      <c r="H68" s="105">
        <v>25650</v>
      </c>
      <c r="I68" s="105">
        <v>25603</v>
      </c>
      <c r="J68" s="105">
        <v>25573</v>
      </c>
      <c r="K68" s="105">
        <v>25638</v>
      </c>
      <c r="L68" s="105">
        <v>25813</v>
      </c>
      <c r="M68" s="204"/>
      <c r="N68" s="105">
        <v>26032</v>
      </c>
      <c r="O68" s="106">
        <v>26173</v>
      </c>
      <c r="P68" s="113"/>
      <c r="Q68" s="179"/>
      <c r="U68" s="113">
        <v>10752186</v>
      </c>
      <c r="V68" t="s">
        <v>92</v>
      </c>
      <c r="W68" s="113">
        <f>U68</f>
        <v>10752186</v>
      </c>
    </row>
    <row r="69" spans="1:27" x14ac:dyDescent="0.25">
      <c r="A69" s="87" t="s">
        <v>71</v>
      </c>
      <c r="B69" t="s">
        <v>70</v>
      </c>
      <c r="C69" s="116">
        <v>4565371.1900000004</v>
      </c>
      <c r="D69" s="116">
        <v>3677447.61</v>
      </c>
      <c r="E69" s="116">
        <v>3258828.64</v>
      </c>
      <c r="F69" s="116">
        <v>1890763.86</v>
      </c>
      <c r="G69" s="116">
        <v>1415457.7</v>
      </c>
      <c r="H69" s="116">
        <v>990662.74</v>
      </c>
      <c r="I69" s="116">
        <v>664264.97</v>
      </c>
      <c r="J69" s="116">
        <v>663735.74</v>
      </c>
      <c r="K69" s="116">
        <v>631755.85</v>
      </c>
      <c r="L69" s="116">
        <v>987589.63</v>
      </c>
      <c r="M69" s="206"/>
      <c r="N69" s="116">
        <v>1697219.83</v>
      </c>
      <c r="O69" s="117">
        <v>2645898.88</v>
      </c>
      <c r="P69" s="108"/>
      <c r="Q69" s="180"/>
      <c r="S69" s="122" t="s">
        <v>90</v>
      </c>
      <c r="T69" s="108">
        <v>2645898.88</v>
      </c>
      <c r="U69" s="112">
        <f>T69/U68</f>
        <v>0.24608008827228248</v>
      </c>
      <c r="W69" s="112">
        <f>T69/W68</f>
        <v>0.24608008827228248</v>
      </c>
      <c r="Y69">
        <v>0.24607999999999999</v>
      </c>
      <c r="AA69" s="112">
        <f t="shared" ref="AA69" si="64">Y69-W69</f>
        <v>-8.8272282483536912E-8</v>
      </c>
    </row>
    <row r="70" spans="1:27" x14ac:dyDescent="0.25">
      <c r="A70" s="87" t="s">
        <v>72</v>
      </c>
      <c r="B70" t="s">
        <v>114</v>
      </c>
      <c r="C70" s="124">
        <f>ROUND(ROUND(12120732*0.917,0)*0.24608,2)</f>
        <v>2735108.08</v>
      </c>
      <c r="D70" s="124">
        <f>ROUND(ROUND(10477675*0.9154,0)*0.24608,2)</f>
        <v>2360218.25</v>
      </c>
      <c r="E70" s="124">
        <f>ROUND(ROUND(6630674*0.9104,0)*0.24608,2)</f>
        <v>1485478.16</v>
      </c>
      <c r="F70" s="124">
        <f>ROUND(ROUND(5535476*0.8941,0)*0.24608,2)</f>
        <v>1217916.1200000001</v>
      </c>
      <c r="G70" s="124">
        <f>ROUND(ROUND(4104668*0.8791,0)*0.24608,2)</f>
        <v>887958.52</v>
      </c>
      <c r="H70" s="124">
        <f>ROUND(ROUND(1992841*0.8811,0)*0.24608,2)</f>
        <v>432089.9</v>
      </c>
      <c r="I70" s="124">
        <f>ROUND(ROUND(1872336*0.8826,0)*0.24608,2)</f>
        <v>406653.11</v>
      </c>
      <c r="J70" s="124">
        <f>ROUND(ROUND(1443416*0.8818,0)*0.24608,2)</f>
        <v>313211.61</v>
      </c>
      <c r="K70" s="124">
        <f>ROUND(ROUND(2562215*0.8815,0)*0.24608,2)</f>
        <v>555794.56999999995</v>
      </c>
      <c r="L70" s="124">
        <f>ROUND(ROUND(4730311*0.8772,0)*0.24608,2)</f>
        <v>1021091.49</v>
      </c>
      <c r="M70" s="206"/>
      <c r="N70" s="124">
        <f>ROUND(ROUND(7706796*0.8805,0)*0.24608,2)</f>
        <v>1669858.03</v>
      </c>
      <c r="O70" s="125">
        <f>ROUND(ROUND(11843174*0.8996,0)*0.24608,2)</f>
        <v>2621765.6</v>
      </c>
      <c r="P70" s="108"/>
      <c r="Q70" s="180"/>
      <c r="S70" s="122" t="s">
        <v>91</v>
      </c>
      <c r="T70" s="108">
        <v>4934198.99</v>
      </c>
      <c r="U70" s="112">
        <f>T70/U68</f>
        <v>0.45890193770829485</v>
      </c>
      <c r="W70" s="112">
        <f>T70/W68</f>
        <v>0.45890193770829485</v>
      </c>
      <c r="Y70">
        <v>0.45772000000000002</v>
      </c>
      <c r="AA70" s="112">
        <f>Y70-W70</f>
        <v>-1.1819377082948335E-3</v>
      </c>
    </row>
    <row r="71" spans="1:27" x14ac:dyDescent="0.25">
      <c r="A71" s="87" t="s">
        <v>72</v>
      </c>
      <c r="B71" t="s">
        <v>115</v>
      </c>
      <c r="C71" s="95">
        <f>-'WACAP 2016'!F58</f>
        <v>-2818768.15</v>
      </c>
      <c r="D71" s="95">
        <f t="shared" ref="D71:E71" si="65">-C70</f>
        <v>-2735108.08</v>
      </c>
      <c r="E71" s="95">
        <f t="shared" si="65"/>
        <v>-2360218.25</v>
      </c>
      <c r="F71" s="95">
        <f>-E70</f>
        <v>-1485478.16</v>
      </c>
      <c r="G71" s="95">
        <f>-F70</f>
        <v>-1217916.1200000001</v>
      </c>
      <c r="H71" s="95">
        <f>-G70</f>
        <v>-887958.52</v>
      </c>
      <c r="I71" s="95">
        <f>-H70</f>
        <v>-432089.9</v>
      </c>
      <c r="J71" s="95">
        <f t="shared" ref="J71:L71" si="66">-I70</f>
        <v>-406653.11</v>
      </c>
      <c r="K71" s="95">
        <f t="shared" si="66"/>
        <v>-313211.61</v>
      </c>
      <c r="L71" s="95">
        <f t="shared" si="66"/>
        <v>-555794.56999999995</v>
      </c>
      <c r="M71" s="205"/>
      <c r="N71" s="95">
        <f>-L70</f>
        <v>-1021091.49</v>
      </c>
      <c r="O71" s="107">
        <f>-N70</f>
        <v>-1669858.03</v>
      </c>
      <c r="P71" s="108"/>
      <c r="Q71" s="180"/>
      <c r="S71" s="122"/>
      <c r="T71" s="108"/>
      <c r="U71" s="112"/>
      <c r="W71" s="112"/>
      <c r="AA71" s="112"/>
    </row>
    <row r="72" spans="1:27" x14ac:dyDescent="0.25">
      <c r="A72" s="87"/>
      <c r="B72" s="89" t="s">
        <v>74</v>
      </c>
      <c r="C72" s="108">
        <f t="shared" ref="C72:O72" si="67">SUM(C69:C71)</f>
        <v>4481711.120000001</v>
      </c>
      <c r="D72" s="108">
        <f t="shared" si="67"/>
        <v>3302557.7799999993</v>
      </c>
      <c r="E72" s="108">
        <f t="shared" si="67"/>
        <v>2384088.5499999998</v>
      </c>
      <c r="F72" s="108">
        <f>SUM(F69:F71)</f>
        <v>1623201.8200000005</v>
      </c>
      <c r="G72" s="108">
        <f t="shared" si="67"/>
        <v>1085500.0999999996</v>
      </c>
      <c r="H72" s="108">
        <f t="shared" si="67"/>
        <v>534794.12000000011</v>
      </c>
      <c r="I72" s="108">
        <f t="shared" si="67"/>
        <v>638828.18000000005</v>
      </c>
      <c r="J72" s="108">
        <f t="shared" ref="J72:N72" si="68">SUM(J69:J71)</f>
        <v>570294.24</v>
      </c>
      <c r="K72" s="108">
        <f t="shared" si="68"/>
        <v>874338.80999999994</v>
      </c>
      <c r="L72" s="108">
        <f t="shared" si="68"/>
        <v>1452886.5500000003</v>
      </c>
      <c r="M72" s="206">
        <f t="shared" ref="M72" si="69">SUM(M69:M71)</f>
        <v>0</v>
      </c>
      <c r="N72" s="108">
        <f t="shared" si="68"/>
        <v>2345986.37</v>
      </c>
      <c r="O72" s="109">
        <f t="shared" si="67"/>
        <v>3597806.45</v>
      </c>
      <c r="Q72" s="178"/>
    </row>
    <row r="73" spans="1:27" x14ac:dyDescent="0.25">
      <c r="A73" s="87"/>
      <c r="B73" s="89" t="s">
        <v>73</v>
      </c>
      <c r="C73" s="88">
        <f>ROUND(-'Authorized Margins'!J47*'WACAP 2017'!C68,2)</f>
        <v>-3186230.94</v>
      </c>
      <c r="D73" s="88">
        <f>ROUND(-'Authorized Margins'!K47*'WACAP 2017'!D68,2)</f>
        <v>-2642152.94</v>
      </c>
      <c r="E73" s="88">
        <f>ROUND(-'Authorized Margins'!L47*'WACAP 2017'!E68,2)</f>
        <v>-2124325.02</v>
      </c>
      <c r="F73" s="88">
        <f>ROUND(-'Authorized Margins'!M47*'WACAP 2017'!F68,2)</f>
        <v>-1357414.56</v>
      </c>
      <c r="G73" s="88">
        <f>ROUND(-'Authorized Margins'!N47*'WACAP 2017'!G68,2)</f>
        <v>-932688.68</v>
      </c>
      <c r="H73" s="88">
        <f>ROUND(-'Authorized Margins'!O47*'WACAP 2017'!H68,2)</f>
        <v>-730768.5</v>
      </c>
      <c r="I73" s="88">
        <f>ROUND(-'Authorized Margins'!D47*'WACAP 2017'!I68,2)</f>
        <v>-690256.88</v>
      </c>
      <c r="J73" s="88">
        <f>ROUND(-'Authorized Margins'!E47*'WACAP 2017'!J68,2)</f>
        <v>-760285.29</v>
      </c>
      <c r="K73" s="88">
        <f>ROUND(-'Authorized Margins'!F47*'WACAP 2017'!K68,2)</f>
        <v>-860667.66</v>
      </c>
      <c r="L73" s="88">
        <f>ROUND(-'Authorized Margins'!G47*'WACAP 2017'!L68,2)</f>
        <v>-1480891.81</v>
      </c>
      <c r="M73" s="205">
        <f>ROUND(-'Authorized Margins'!G47*'WACAP 2017'!M68,2)</f>
        <v>0</v>
      </c>
      <c r="N73" s="88">
        <f>ROUND(-'Authorized Margins'!H47*'WACAP 2017'!N68,2)</f>
        <v>-2427744.3199999998</v>
      </c>
      <c r="O73" s="110">
        <f>ROUND(-'Authorized Margins'!I47*'WACAP 2017'!O68,2)</f>
        <v>-3234459.34</v>
      </c>
      <c r="Q73" s="178"/>
    </row>
    <row r="74" spans="1:27" x14ac:dyDescent="0.25">
      <c r="A74" s="87"/>
      <c r="B74" s="89" t="s">
        <v>75</v>
      </c>
      <c r="C74" s="90">
        <f t="shared" ref="C74:O74" si="70">SUM(C72:C73)</f>
        <v>1295480.1800000011</v>
      </c>
      <c r="D74" s="90">
        <f t="shared" si="70"/>
        <v>660404.83999999939</v>
      </c>
      <c r="E74" s="90">
        <f t="shared" si="70"/>
        <v>259763.5299999998</v>
      </c>
      <c r="F74" s="90">
        <f t="shared" si="70"/>
        <v>265787.26000000047</v>
      </c>
      <c r="G74" s="90">
        <f t="shared" si="70"/>
        <v>152811.41999999958</v>
      </c>
      <c r="H74" s="90">
        <f t="shared" si="70"/>
        <v>-195974.37999999989</v>
      </c>
      <c r="I74" s="90">
        <f t="shared" si="70"/>
        <v>-51428.699999999953</v>
      </c>
      <c r="J74" s="90">
        <f t="shared" si="70"/>
        <v>-189991.05000000005</v>
      </c>
      <c r="K74" s="90">
        <f t="shared" si="70"/>
        <v>13671.149999999907</v>
      </c>
      <c r="L74" s="90">
        <f t="shared" si="70"/>
        <v>-28005.259999999776</v>
      </c>
      <c r="M74" s="207">
        <f>-'WACAP 2016'!H64</f>
        <v>100987.33000000042</v>
      </c>
      <c r="N74" s="90">
        <f t="shared" si="70"/>
        <v>-81757.949999999721</v>
      </c>
      <c r="O74" s="111">
        <f t="shared" si="70"/>
        <v>363347.11000000034</v>
      </c>
      <c r="Q74" s="180">
        <f>SUM(C74:P74)-M74</f>
        <v>2464108.1500000013</v>
      </c>
    </row>
    <row r="75" spans="1:27" x14ac:dyDescent="0.25">
      <c r="A75" s="87"/>
      <c r="B75" s="89" t="s">
        <v>137</v>
      </c>
      <c r="C75" s="187">
        <f>ROUND(ROUND('WACAP 2016'!F65*C$5,2)/365*C$6,2)</f>
        <v>-300.2</v>
      </c>
      <c r="D75" s="187">
        <f>ROUND(ROUND(C77*D$5,2)/365*D$6,2)</f>
        <v>3206.33</v>
      </c>
      <c r="E75" s="187">
        <f t="shared" ref="E75:O75" si="71">ROUND(ROUND(D77*E$5,2)/365*E$6,2)</f>
        <v>5522.51</v>
      </c>
      <c r="F75" s="187">
        <f t="shared" si="71"/>
        <v>6473.97</v>
      </c>
      <c r="G75" s="187">
        <f t="shared" si="71"/>
        <v>7547.65</v>
      </c>
      <c r="H75" s="187">
        <f t="shared" si="71"/>
        <v>7793.17</v>
      </c>
      <c r="I75" s="187">
        <f t="shared" si="71"/>
        <v>7962.68</v>
      </c>
      <c r="J75" s="187">
        <f t="shared" si="71"/>
        <v>7816.49</v>
      </c>
      <c r="K75" s="187">
        <f t="shared" si="71"/>
        <v>6971.41</v>
      </c>
      <c r="L75" s="187">
        <f t="shared" si="71"/>
        <v>7732.38</v>
      </c>
      <c r="M75" s="208">
        <f>'Ammort Split 2017'!N75</f>
        <v>3219.9799999999996</v>
      </c>
      <c r="N75" s="187">
        <f>ROUND(ROUND(M77*N$5,2)/365*N$6,2)</f>
        <v>7773.39</v>
      </c>
      <c r="O75" s="188">
        <f t="shared" si="71"/>
        <v>7767.96</v>
      </c>
      <c r="Q75" s="196">
        <f>SUM(C75:P75)</f>
        <v>79487.72</v>
      </c>
    </row>
    <row r="76" spans="1:27" x14ac:dyDescent="0.25">
      <c r="A76" s="87"/>
      <c r="B76" s="89" t="s">
        <v>138</v>
      </c>
      <c r="C76" s="189">
        <f t="shared" ref="C76:O76" si="72">SUM(C74:C75)</f>
        <v>1295179.9800000011</v>
      </c>
      <c r="D76" s="189">
        <f t="shared" si="72"/>
        <v>663611.16999999934</v>
      </c>
      <c r="E76" s="189">
        <f t="shared" si="72"/>
        <v>265286.0399999998</v>
      </c>
      <c r="F76" s="189">
        <f t="shared" si="72"/>
        <v>272261.23000000045</v>
      </c>
      <c r="G76" s="189">
        <f t="shared" si="72"/>
        <v>160359.06999999957</v>
      </c>
      <c r="H76" s="189">
        <f t="shared" si="72"/>
        <v>-188181.20999999988</v>
      </c>
      <c r="I76" s="189">
        <f t="shared" si="72"/>
        <v>-43466.019999999953</v>
      </c>
      <c r="J76" s="189">
        <f t="shared" si="72"/>
        <v>-182174.56000000006</v>
      </c>
      <c r="K76" s="189">
        <f t="shared" si="72"/>
        <v>20642.559999999907</v>
      </c>
      <c r="L76" s="189">
        <f t="shared" si="72"/>
        <v>-20272.879999999775</v>
      </c>
      <c r="M76" s="209">
        <f t="shared" ref="M76" si="73">SUM(M74:M75)</f>
        <v>104207.31000000042</v>
      </c>
      <c r="N76" s="189">
        <f t="shared" si="72"/>
        <v>-73984.559999999721</v>
      </c>
      <c r="O76" s="190">
        <f t="shared" si="72"/>
        <v>371115.07000000036</v>
      </c>
      <c r="Q76" s="198">
        <f>SUM(Q74:Q75)</f>
        <v>2543595.8700000015</v>
      </c>
    </row>
    <row r="77" spans="1:27" x14ac:dyDescent="0.25">
      <c r="A77" s="87"/>
      <c r="B77" s="89" t="s">
        <v>139</v>
      </c>
      <c r="C77" s="90">
        <f>'WACAP 2016'!F65+'WACAP 2017'!C76</f>
        <v>1194192.6500000008</v>
      </c>
      <c r="D77" s="90">
        <f t="shared" ref="D77:O77" si="74">C77+D76</f>
        <v>1857803.8200000003</v>
      </c>
      <c r="E77" s="90">
        <f t="shared" si="74"/>
        <v>2123089.8600000003</v>
      </c>
      <c r="F77" s="90">
        <f t="shared" si="74"/>
        <v>2395351.0900000008</v>
      </c>
      <c r="G77" s="90">
        <f t="shared" si="74"/>
        <v>2555710.16</v>
      </c>
      <c r="H77" s="90">
        <f t="shared" si="74"/>
        <v>2367528.9500000002</v>
      </c>
      <c r="I77" s="90">
        <f t="shared" si="74"/>
        <v>2324062.9300000002</v>
      </c>
      <c r="J77" s="90">
        <f t="shared" si="74"/>
        <v>2141888.37</v>
      </c>
      <c r="K77" s="90">
        <f t="shared" si="74"/>
        <v>2162530.9300000002</v>
      </c>
      <c r="L77" s="90">
        <f t="shared" si="74"/>
        <v>2142258.0500000003</v>
      </c>
      <c r="M77" s="207">
        <f t="shared" si="74"/>
        <v>2246465.3600000008</v>
      </c>
      <c r="N77" s="90">
        <f t="shared" si="74"/>
        <v>2172480.8000000012</v>
      </c>
      <c r="O77" s="191">
        <f t="shared" si="74"/>
        <v>2543595.8700000015</v>
      </c>
      <c r="Q77" s="178"/>
      <c r="U77" s="108">
        <f>ROUND(T82/Y82,0)</f>
        <v>822569</v>
      </c>
    </row>
    <row r="78" spans="1:27" x14ac:dyDescent="0.25">
      <c r="A78" s="87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207"/>
      <c r="N78" s="90"/>
      <c r="O78" s="111"/>
      <c r="Q78" s="178"/>
      <c r="S78" s="122"/>
      <c r="T78" s="108"/>
      <c r="U78" s="108">
        <f>ROUND(T83/Y83,0)</f>
        <v>297020</v>
      </c>
    </row>
    <row r="79" spans="1:27" x14ac:dyDescent="0.25">
      <c r="A79" s="86">
        <v>511</v>
      </c>
      <c r="B79" s="104" t="s">
        <v>86</v>
      </c>
      <c r="C79" s="113"/>
      <c r="D79" s="113"/>
      <c r="E79" s="108"/>
      <c r="F79" s="113"/>
      <c r="G79" s="113"/>
      <c r="H79" s="113"/>
      <c r="I79" s="113"/>
      <c r="J79" s="113"/>
      <c r="K79" s="113"/>
      <c r="L79" s="113"/>
      <c r="M79" s="204"/>
      <c r="N79" s="113"/>
      <c r="O79" s="115"/>
      <c r="Q79" s="178"/>
      <c r="T79">
        <v>511</v>
      </c>
      <c r="U79" s="108">
        <f>ROUND(T84/Y84,0)</f>
        <v>78156</v>
      </c>
      <c r="V79" s="108">
        <f>SUM(U75:U79)</f>
        <v>1197745</v>
      </c>
    </row>
    <row r="80" spans="1:27" x14ac:dyDescent="0.25">
      <c r="A80" s="87" t="s">
        <v>64</v>
      </c>
      <c r="B80" t="s">
        <v>65</v>
      </c>
      <c r="C80" s="105">
        <v>74</v>
      </c>
      <c r="D80" s="105">
        <v>74</v>
      </c>
      <c r="E80" s="105">
        <v>75</v>
      </c>
      <c r="F80" s="105">
        <v>75</v>
      </c>
      <c r="G80" s="105">
        <v>75</v>
      </c>
      <c r="H80" s="105">
        <v>76</v>
      </c>
      <c r="I80" s="105">
        <v>75</v>
      </c>
      <c r="J80" s="105">
        <v>76</v>
      </c>
      <c r="K80" s="105">
        <v>76</v>
      </c>
      <c r="L80" s="105">
        <v>75</v>
      </c>
      <c r="M80" s="204"/>
      <c r="N80" s="105">
        <v>74</v>
      </c>
      <c r="O80" s="106">
        <v>74</v>
      </c>
      <c r="P80" s="113"/>
      <c r="Q80" s="179"/>
      <c r="U80" s="113">
        <v>1197745</v>
      </c>
      <c r="V80" t="s">
        <v>92</v>
      </c>
      <c r="W80" s="113">
        <f>U80</f>
        <v>1197745</v>
      </c>
    </row>
    <row r="81" spans="1:27" x14ac:dyDescent="0.25">
      <c r="A81" s="87" t="s">
        <v>71</v>
      </c>
      <c r="B81" t="s">
        <v>117</v>
      </c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206"/>
      <c r="N81" s="116"/>
      <c r="O81" s="117"/>
      <c r="P81" s="108"/>
      <c r="Q81" s="180"/>
      <c r="S81" s="122" t="s">
        <v>90</v>
      </c>
      <c r="T81" s="108"/>
      <c r="U81" s="112"/>
      <c r="W81" s="112"/>
      <c r="AA81" s="112">
        <f>Y81-W81</f>
        <v>0</v>
      </c>
    </row>
    <row r="82" spans="1:27" x14ac:dyDescent="0.25">
      <c r="A82" s="87" t="s">
        <v>71</v>
      </c>
      <c r="B82" t="s">
        <v>98</v>
      </c>
      <c r="C82" s="116">
        <v>166476.44</v>
      </c>
      <c r="D82" s="116">
        <v>148929.24</v>
      </c>
      <c r="E82" s="116">
        <v>138601.49</v>
      </c>
      <c r="F82" s="116">
        <v>97083.8</v>
      </c>
      <c r="G82" s="116">
        <v>84155.79</v>
      </c>
      <c r="H82" s="116">
        <v>60656.41</v>
      </c>
      <c r="I82" s="116">
        <v>40746.160000000003</v>
      </c>
      <c r="J82" s="116">
        <v>36645.75</v>
      </c>
      <c r="K82" s="116">
        <v>37822.25</v>
      </c>
      <c r="L82" s="116">
        <v>58450.25</v>
      </c>
      <c r="M82" s="206"/>
      <c r="N82" s="116">
        <v>89382.27</v>
      </c>
      <c r="O82" s="117">
        <v>122019.85</v>
      </c>
      <c r="P82" s="108"/>
      <c r="Q82" s="180"/>
      <c r="S82" s="122" t="s">
        <v>90</v>
      </c>
      <c r="T82" s="108">
        <v>122019.85</v>
      </c>
      <c r="U82" s="112">
        <f>T82/U77</f>
        <v>0.14833995689115442</v>
      </c>
      <c r="W82" s="112">
        <f>T82/U77</f>
        <v>0.14833995689115442</v>
      </c>
      <c r="Y82">
        <v>0.14834</v>
      </c>
      <c r="AA82" s="112">
        <f>Y82-W82</f>
        <v>4.3108845576567134E-8</v>
      </c>
    </row>
    <row r="83" spans="1:27" x14ac:dyDescent="0.25">
      <c r="A83" s="87" t="s">
        <v>71</v>
      </c>
      <c r="B83" t="s">
        <v>99</v>
      </c>
      <c r="C83" s="116">
        <v>46724.14</v>
      </c>
      <c r="D83" s="116">
        <v>30019.39</v>
      </c>
      <c r="E83" s="116">
        <v>33194.32</v>
      </c>
      <c r="F83" s="116">
        <v>23427.63</v>
      </c>
      <c r="G83" s="116">
        <v>21645.74</v>
      </c>
      <c r="H83" s="116">
        <v>14998.51</v>
      </c>
      <c r="I83" s="116">
        <v>9458.65</v>
      </c>
      <c r="J83" s="116">
        <v>12814.64</v>
      </c>
      <c r="K83" s="116">
        <v>10050.959999999999</v>
      </c>
      <c r="L83" s="116">
        <v>16818.939999999999</v>
      </c>
      <c r="M83" s="206"/>
      <c r="N83" s="116">
        <v>28262.12</v>
      </c>
      <c r="O83" s="117">
        <v>33548.410000000003</v>
      </c>
      <c r="P83" s="108"/>
      <c r="Q83" s="180"/>
      <c r="S83" s="122" t="s">
        <v>90</v>
      </c>
      <c r="T83" s="108">
        <v>33548.410000000003</v>
      </c>
      <c r="U83" s="112">
        <f>T83/U78</f>
        <v>0.11295000336677666</v>
      </c>
      <c r="W83" s="112">
        <f>T83/U78</f>
        <v>0.11295000336677666</v>
      </c>
      <c r="Y83">
        <v>0.11294999999999999</v>
      </c>
      <c r="AA83" s="112">
        <f>Y83-W83</f>
        <v>-3.3667766630163243E-9</v>
      </c>
    </row>
    <row r="84" spans="1:27" x14ac:dyDescent="0.25">
      <c r="A84" s="87" t="s">
        <v>71</v>
      </c>
      <c r="B84" t="s">
        <v>100</v>
      </c>
      <c r="C84" s="116">
        <v>3578.79</v>
      </c>
      <c r="D84" s="116">
        <v>2780.82</v>
      </c>
      <c r="E84" s="116">
        <v>1822.1</v>
      </c>
      <c r="F84" s="116">
        <v>1143.98</v>
      </c>
      <c r="G84" s="116">
        <v>883.51</v>
      </c>
      <c r="H84" s="116">
        <v>0</v>
      </c>
      <c r="I84" s="116">
        <v>0</v>
      </c>
      <c r="J84" s="116"/>
      <c r="K84" s="116"/>
      <c r="L84" s="116">
        <v>461.27</v>
      </c>
      <c r="M84" s="206"/>
      <c r="N84" s="116">
        <v>2079.3000000000002</v>
      </c>
      <c r="O84" s="117">
        <v>1985.94</v>
      </c>
      <c r="P84" s="108"/>
      <c r="Q84" s="180"/>
      <c r="S84" s="122" t="s">
        <v>90</v>
      </c>
      <c r="T84" s="108">
        <v>1985.94</v>
      </c>
      <c r="U84" s="112">
        <f>T84/U79</f>
        <v>2.5409949332105022E-2</v>
      </c>
      <c r="W84" s="112">
        <f>T84/U79</f>
        <v>2.5409949332105022E-2</v>
      </c>
      <c r="Y84">
        <v>2.5409999999999999E-2</v>
      </c>
      <c r="AA84" s="112">
        <f t="shared" ref="AA84" si="75">Y84-W84</f>
        <v>5.0667894976874628E-8</v>
      </c>
    </row>
    <row r="85" spans="1:27" x14ac:dyDescent="0.25">
      <c r="A85" s="87" t="s">
        <v>72</v>
      </c>
      <c r="B85" t="s">
        <v>114</v>
      </c>
      <c r="C85" s="124">
        <f>ROUND(ROUND(12120732*0.083,0)*0.11295,2)</f>
        <v>113630.07</v>
      </c>
      <c r="D85" s="124">
        <f>ROUND(ROUND(10477675*0.0846,0)*0.11295,2)</f>
        <v>100120.12</v>
      </c>
      <c r="E85" s="124">
        <f>ROUND(ROUND(6630674*0.0896,0)*0.11295,2)</f>
        <v>67104.5</v>
      </c>
      <c r="F85" s="124">
        <f>ROUND(ROUND(5535476*0.1059,0)*0.11295,2)</f>
        <v>66212.08</v>
      </c>
      <c r="G85" s="124">
        <f>ROUND(ROUND(4104668*0.1209,0)*0.11295,2)</f>
        <v>56051.89</v>
      </c>
      <c r="H85" s="124">
        <f>ROUND(ROUND(1992841*0.1189,0)*0.11295,2)</f>
        <v>26763.39</v>
      </c>
      <c r="I85" s="124">
        <f>ROUND(ROUND(1872336*0.1174,0)*0.11295,2)</f>
        <v>24827.77</v>
      </c>
      <c r="J85" s="124">
        <f>ROUND(ROUND(1443416*0.1182,0)*0.11295,2)</f>
        <v>19270.63</v>
      </c>
      <c r="K85" s="124">
        <f>ROUND(ROUND(2562215*0.1185,0)*0.11295,2)</f>
        <v>34294.1</v>
      </c>
      <c r="L85" s="124">
        <f>ROUND(ROUND(4730311*0.1228,0)*0.11295,2)</f>
        <v>65610.62</v>
      </c>
      <c r="M85" s="206"/>
      <c r="N85" s="124">
        <f>ROUND(ROUND(7706796*0.1195,0)*0.11295,2)</f>
        <v>104022.66</v>
      </c>
      <c r="O85" s="125">
        <f>ROUND(ROUND(11843174*0.1004,0)*0.11295,2)</f>
        <v>134303.76</v>
      </c>
      <c r="P85" s="108"/>
      <c r="Q85" s="180"/>
      <c r="S85" s="122" t="s">
        <v>91</v>
      </c>
      <c r="T85" s="108">
        <v>533739.26</v>
      </c>
      <c r="U85" s="112">
        <f>T85/U80</f>
        <v>0.44562011112548999</v>
      </c>
      <c r="W85" s="112">
        <f>T85/W80</f>
        <v>0.44562011112548999</v>
      </c>
      <c r="Y85">
        <v>0.44467000000000001</v>
      </c>
      <c r="AA85" s="112">
        <f>Y85-W85</f>
        <v>-9.50111125489983E-4</v>
      </c>
    </row>
    <row r="86" spans="1:27" x14ac:dyDescent="0.25">
      <c r="A86" s="87" t="s">
        <v>72</v>
      </c>
      <c r="B86" t="s">
        <v>115</v>
      </c>
      <c r="C86" s="95">
        <f>-'WACAP 2016'!F73</f>
        <v>-131875.56</v>
      </c>
      <c r="D86" s="95">
        <f t="shared" ref="D86:E86" si="76">-C85</f>
        <v>-113630.07</v>
      </c>
      <c r="E86" s="95">
        <f t="shared" si="76"/>
        <v>-100120.12</v>
      </c>
      <c r="F86" s="95">
        <f>-E85</f>
        <v>-67104.5</v>
      </c>
      <c r="G86" s="95">
        <f>-F85</f>
        <v>-66212.08</v>
      </c>
      <c r="H86" s="95">
        <f>-G85</f>
        <v>-56051.89</v>
      </c>
      <c r="I86" s="95">
        <f>-H85</f>
        <v>-26763.39</v>
      </c>
      <c r="J86" s="95">
        <f t="shared" ref="J86:L86" si="77">-I85</f>
        <v>-24827.77</v>
      </c>
      <c r="K86" s="95">
        <f t="shared" si="77"/>
        <v>-19270.63</v>
      </c>
      <c r="L86" s="95">
        <f t="shared" si="77"/>
        <v>-34294.1</v>
      </c>
      <c r="M86" s="205"/>
      <c r="N86" s="95">
        <f>-L85</f>
        <v>-65610.62</v>
      </c>
      <c r="O86" s="107">
        <f>-N85</f>
        <v>-104022.66</v>
      </c>
      <c r="P86" s="108"/>
      <c r="Q86" s="180"/>
      <c r="S86" s="122"/>
      <c r="T86" s="108"/>
      <c r="U86" s="112"/>
      <c r="W86" s="112"/>
      <c r="AA86" s="112"/>
    </row>
    <row r="87" spans="1:27" x14ac:dyDescent="0.25">
      <c r="A87" s="87"/>
      <c r="B87" s="89" t="s">
        <v>74</v>
      </c>
      <c r="C87" s="108">
        <f t="shared" ref="C87:O87" si="78">SUM(C81:C86)</f>
        <v>198533.88000000006</v>
      </c>
      <c r="D87" s="108">
        <f t="shared" si="78"/>
        <v>168219.5</v>
      </c>
      <c r="E87" s="108">
        <f t="shared" si="78"/>
        <v>140602.29</v>
      </c>
      <c r="F87" s="108">
        <f t="shared" si="78"/>
        <v>120762.98999999999</v>
      </c>
      <c r="G87" s="108">
        <f t="shared" si="78"/>
        <v>96524.849999999991</v>
      </c>
      <c r="H87" s="108">
        <f t="shared" si="78"/>
        <v>46366.42</v>
      </c>
      <c r="I87" s="108">
        <f t="shared" si="78"/>
        <v>48269.19</v>
      </c>
      <c r="J87" s="108">
        <f t="shared" ref="J87:N87" si="79">SUM(J81:J86)</f>
        <v>43903.25</v>
      </c>
      <c r="K87" s="108">
        <f t="shared" si="79"/>
        <v>62896.679999999993</v>
      </c>
      <c r="L87" s="108">
        <f t="shared" si="79"/>
        <v>107046.98000000001</v>
      </c>
      <c r="M87" s="206">
        <f t="shared" si="79"/>
        <v>0</v>
      </c>
      <c r="N87" s="108">
        <f t="shared" si="79"/>
        <v>158135.73000000001</v>
      </c>
      <c r="O87" s="126">
        <f t="shared" si="78"/>
        <v>187835.30000000002</v>
      </c>
      <c r="Q87" s="178"/>
    </row>
    <row r="88" spans="1:27" x14ac:dyDescent="0.25">
      <c r="A88" s="87"/>
      <c r="B88" s="89" t="s">
        <v>73</v>
      </c>
      <c r="C88" s="88">
        <f>ROUND(-'Authorized Margins'!J73*'WACAP 2017'!C80,2)</f>
        <v>-151071.74</v>
      </c>
      <c r="D88" s="88">
        <f>ROUND(-'Authorized Margins'!K73*'WACAP 2017'!D80,2)</f>
        <v>-137901.96</v>
      </c>
      <c r="E88" s="88">
        <f>ROUND(-'Authorized Margins'!L73*'WACAP 2017'!E80,2)</f>
        <v>-169894.5</v>
      </c>
      <c r="F88" s="88">
        <f>ROUND(-'Authorized Margins'!M73*'WACAP 2017'!F80,2)</f>
        <v>-101271</v>
      </c>
      <c r="G88" s="88">
        <f>ROUND(-'Authorized Margins'!N73*'WACAP 2017'!G80,2)</f>
        <v>-81105.75</v>
      </c>
      <c r="H88" s="88">
        <f>ROUND(-'Authorized Margins'!O73*'WACAP 2017'!H80,2)</f>
        <v>-58423.48</v>
      </c>
      <c r="I88" s="88">
        <f>ROUND(-'Authorized Margins'!D73*'WACAP 2017'!I80,2)</f>
        <v>-42046.5</v>
      </c>
      <c r="J88" s="88">
        <f>ROUND(-'Authorized Margins'!E73*'WACAP 2017'!J80,2)</f>
        <v>-44447.08</v>
      </c>
      <c r="K88" s="88">
        <f>ROUND(-'Authorized Margins'!F73*'WACAP 2017'!K80,2)</f>
        <v>-34670.44</v>
      </c>
      <c r="L88" s="88">
        <f>ROUND(-'Authorized Margins'!G73*'WACAP 2017'!L80,2)</f>
        <v>-52278</v>
      </c>
      <c r="M88" s="205">
        <f>ROUND(-'Authorized Margins'!G73*'WACAP 2017'!M80,2)</f>
        <v>0</v>
      </c>
      <c r="N88" s="88">
        <f>ROUND(-'Authorized Margins'!H73*'WACAP 2017'!N80,2)</f>
        <v>-65249.5</v>
      </c>
      <c r="O88" s="110">
        <f>ROUND(-'Authorized Margins'!I73*'WACAP 2017'!O80,2)</f>
        <v>-147903.06</v>
      </c>
      <c r="Q88" s="178"/>
    </row>
    <row r="89" spans="1:27" x14ac:dyDescent="0.25">
      <c r="A89" s="87"/>
      <c r="B89" s="89" t="s">
        <v>75</v>
      </c>
      <c r="C89" s="90">
        <f t="shared" ref="C89:O89" si="80">SUM(C87:C88)</f>
        <v>47462.140000000072</v>
      </c>
      <c r="D89" s="90">
        <f t="shared" si="80"/>
        <v>30317.540000000008</v>
      </c>
      <c r="E89" s="90">
        <f t="shared" si="80"/>
        <v>-29292.209999999992</v>
      </c>
      <c r="F89" s="90">
        <f t="shared" si="80"/>
        <v>19491.989999999991</v>
      </c>
      <c r="G89" s="90">
        <f t="shared" si="80"/>
        <v>15419.099999999991</v>
      </c>
      <c r="H89" s="90">
        <f t="shared" si="80"/>
        <v>-12057.060000000005</v>
      </c>
      <c r="I89" s="90">
        <f t="shared" si="80"/>
        <v>6222.6900000000023</v>
      </c>
      <c r="J89" s="90">
        <f t="shared" si="80"/>
        <v>-543.83000000000175</v>
      </c>
      <c r="K89" s="90">
        <f t="shared" si="80"/>
        <v>28226.239999999991</v>
      </c>
      <c r="L89" s="90">
        <f t="shared" si="80"/>
        <v>54768.98000000001</v>
      </c>
      <c r="M89" s="207">
        <f>-'WACAP 2016'!H79</f>
        <v>-127320.78000000004</v>
      </c>
      <c r="N89" s="90">
        <f t="shared" si="80"/>
        <v>92886.23000000001</v>
      </c>
      <c r="O89" s="111">
        <f t="shared" si="80"/>
        <v>39932.24000000002</v>
      </c>
      <c r="Q89" s="180">
        <f>SUM(C89:P89)-M89</f>
        <v>292834.0500000001</v>
      </c>
    </row>
    <row r="90" spans="1:27" x14ac:dyDescent="0.25">
      <c r="A90" s="87"/>
      <c r="B90" s="89" t="s">
        <v>137</v>
      </c>
      <c r="C90" s="187">
        <f>ROUND(ROUND('WACAP 2016'!F80*C$5,2)/365*C$6,2)</f>
        <v>378.47</v>
      </c>
      <c r="D90" s="187">
        <f>ROUND(ROUND(C92*D$5,2)/365*D$6,2)</f>
        <v>470.3</v>
      </c>
      <c r="E90" s="187">
        <f t="shared" ref="E90:O90" si="81">ROUND(ROUND(D92*E$5,2)/365*E$6,2)</f>
        <v>612.20000000000005</v>
      </c>
      <c r="F90" s="187">
        <f t="shared" si="81"/>
        <v>540.54999999999995</v>
      </c>
      <c r="G90" s="187">
        <f t="shared" si="81"/>
        <v>621.69000000000005</v>
      </c>
      <c r="H90" s="187">
        <f t="shared" si="81"/>
        <v>650.54999999999995</v>
      </c>
      <c r="I90" s="187">
        <f t="shared" si="81"/>
        <v>679.17</v>
      </c>
      <c r="J90" s="187">
        <f t="shared" si="81"/>
        <v>702.38</v>
      </c>
      <c r="K90" s="187">
        <f t="shared" si="81"/>
        <v>680.24</v>
      </c>
      <c r="L90" s="187">
        <f t="shared" si="81"/>
        <v>850.65</v>
      </c>
      <c r="M90" s="208">
        <f>'Ammort Split 2017'!N90</f>
        <v>-4059.6000000000004</v>
      </c>
      <c r="N90" s="187">
        <f>ROUND(ROUND(M92*N$5,2)/365*N$6,2)</f>
        <v>561.05999999999995</v>
      </c>
      <c r="O90" s="188">
        <f t="shared" si="81"/>
        <v>913.89</v>
      </c>
      <c r="Q90" s="196">
        <f>SUM(C90:P90)</f>
        <v>3601.5499999999993</v>
      </c>
    </row>
    <row r="91" spans="1:27" x14ac:dyDescent="0.25">
      <c r="A91" s="87"/>
      <c r="B91" s="89" t="s">
        <v>138</v>
      </c>
      <c r="C91" s="189">
        <f t="shared" ref="C91:O91" si="82">SUM(C89:C90)</f>
        <v>47840.610000000073</v>
      </c>
      <c r="D91" s="189">
        <f t="shared" si="82"/>
        <v>30787.840000000007</v>
      </c>
      <c r="E91" s="189">
        <f t="shared" si="82"/>
        <v>-28680.009999999991</v>
      </c>
      <c r="F91" s="189">
        <f t="shared" si="82"/>
        <v>20032.53999999999</v>
      </c>
      <c r="G91" s="189">
        <f t="shared" si="82"/>
        <v>16040.789999999992</v>
      </c>
      <c r="H91" s="189">
        <f t="shared" si="82"/>
        <v>-11406.510000000006</v>
      </c>
      <c r="I91" s="189">
        <f t="shared" si="82"/>
        <v>6901.8600000000024</v>
      </c>
      <c r="J91" s="189">
        <f t="shared" si="82"/>
        <v>158.54999999999825</v>
      </c>
      <c r="K91" s="189">
        <f t="shared" si="82"/>
        <v>28906.479999999992</v>
      </c>
      <c r="L91" s="189">
        <f t="shared" si="82"/>
        <v>55619.630000000012</v>
      </c>
      <c r="M91" s="209">
        <f t="shared" ref="M91" si="83">SUM(M89:M90)</f>
        <v>-131380.38000000003</v>
      </c>
      <c r="N91" s="189">
        <f t="shared" si="82"/>
        <v>93447.290000000008</v>
      </c>
      <c r="O91" s="190">
        <f t="shared" si="82"/>
        <v>40846.130000000019</v>
      </c>
      <c r="Q91" s="198">
        <f>SUM(Q89:Q90)</f>
        <v>296435.60000000009</v>
      </c>
    </row>
    <row r="92" spans="1:27" x14ac:dyDescent="0.25">
      <c r="A92" s="87"/>
      <c r="B92" s="89" t="s">
        <v>139</v>
      </c>
      <c r="C92" s="90">
        <f>'WACAP 2016'!F80+'WACAP 2017'!C91</f>
        <v>175161.39000000013</v>
      </c>
      <c r="D92" s="90">
        <f t="shared" ref="D92:O92" si="84">C92+D91</f>
        <v>205949.23000000013</v>
      </c>
      <c r="E92" s="90">
        <f t="shared" si="84"/>
        <v>177269.22000000015</v>
      </c>
      <c r="F92" s="90">
        <f t="shared" si="84"/>
        <v>197301.76000000013</v>
      </c>
      <c r="G92" s="90">
        <f t="shared" si="84"/>
        <v>213342.5500000001</v>
      </c>
      <c r="H92" s="90">
        <f t="shared" si="84"/>
        <v>201936.0400000001</v>
      </c>
      <c r="I92" s="90">
        <f t="shared" si="84"/>
        <v>208837.90000000011</v>
      </c>
      <c r="J92" s="90">
        <f t="shared" si="84"/>
        <v>208996.4500000001</v>
      </c>
      <c r="K92" s="90">
        <f t="shared" si="84"/>
        <v>237902.93000000008</v>
      </c>
      <c r="L92" s="90">
        <f t="shared" si="84"/>
        <v>293522.56000000011</v>
      </c>
      <c r="M92" s="207">
        <f t="shared" si="84"/>
        <v>162142.18000000008</v>
      </c>
      <c r="N92" s="90">
        <f t="shared" si="84"/>
        <v>255589.47000000009</v>
      </c>
      <c r="O92" s="191">
        <f t="shared" si="84"/>
        <v>296435.60000000009</v>
      </c>
      <c r="Q92" s="178"/>
    </row>
    <row r="93" spans="1:27" x14ac:dyDescent="0.25">
      <c r="A93" s="86"/>
      <c r="C93" s="113"/>
      <c r="D93" s="113"/>
      <c r="E93" s="108"/>
      <c r="F93" s="113"/>
      <c r="G93" s="113"/>
      <c r="H93" s="113"/>
      <c r="I93" s="113"/>
      <c r="J93" s="113"/>
      <c r="K93" s="113"/>
      <c r="L93" s="113"/>
      <c r="M93" s="204"/>
      <c r="N93" s="113"/>
      <c r="O93" s="115"/>
      <c r="Q93" s="178"/>
    </row>
    <row r="94" spans="1:27" x14ac:dyDescent="0.25">
      <c r="A94" s="86">
        <v>512</v>
      </c>
      <c r="B94" s="104" t="s">
        <v>86</v>
      </c>
      <c r="C94" s="113"/>
      <c r="D94" s="113"/>
      <c r="E94" s="108"/>
      <c r="F94" s="113"/>
      <c r="G94" s="113"/>
      <c r="H94" s="113"/>
      <c r="I94" s="113"/>
      <c r="J94" s="113"/>
      <c r="K94" s="113"/>
      <c r="L94" s="113"/>
      <c r="M94" s="204"/>
      <c r="N94" s="113"/>
      <c r="O94" s="115"/>
      <c r="Q94" s="178"/>
      <c r="T94">
        <v>512</v>
      </c>
    </row>
    <row r="95" spans="1:27" x14ac:dyDescent="0.25">
      <c r="A95" s="87" t="s">
        <v>64</v>
      </c>
      <c r="B95" t="s">
        <v>65</v>
      </c>
      <c r="C95" s="105">
        <v>1</v>
      </c>
      <c r="D95" s="105">
        <v>1</v>
      </c>
      <c r="E95" s="105">
        <v>1</v>
      </c>
      <c r="F95" s="105">
        <v>1</v>
      </c>
      <c r="G95" s="105">
        <v>1</v>
      </c>
      <c r="H95" s="105">
        <v>1</v>
      </c>
      <c r="I95" s="105">
        <v>1</v>
      </c>
      <c r="J95" s="105">
        <v>1</v>
      </c>
      <c r="K95" s="105">
        <v>1</v>
      </c>
      <c r="L95" s="105">
        <v>1</v>
      </c>
      <c r="M95" s="204"/>
      <c r="N95" s="105">
        <v>1</v>
      </c>
      <c r="O95" s="106">
        <v>1</v>
      </c>
      <c r="P95" s="113"/>
      <c r="Q95" s="179"/>
      <c r="U95" s="113">
        <v>3666</v>
      </c>
      <c r="V95" t="s">
        <v>92</v>
      </c>
      <c r="W95" s="113">
        <f>U95</f>
        <v>3666</v>
      </c>
    </row>
    <row r="96" spans="1:27" x14ac:dyDescent="0.25">
      <c r="A96" s="87" t="s">
        <v>71</v>
      </c>
      <c r="B96" t="s">
        <v>70</v>
      </c>
      <c r="C96" s="95">
        <v>862.38</v>
      </c>
      <c r="D96" s="95">
        <v>672.51</v>
      </c>
      <c r="E96" s="95">
        <v>816.42</v>
      </c>
      <c r="F96" s="95">
        <v>786.35</v>
      </c>
      <c r="G96" s="95">
        <v>977.08</v>
      </c>
      <c r="H96" s="95">
        <v>869.04</v>
      </c>
      <c r="I96" s="95">
        <v>886.01</v>
      </c>
      <c r="J96" s="95">
        <v>989.54</v>
      </c>
      <c r="K96" s="95">
        <v>901.26</v>
      </c>
      <c r="L96" s="95">
        <v>970.42</v>
      </c>
      <c r="M96" s="205"/>
      <c r="N96" s="95">
        <v>874.2</v>
      </c>
      <c r="O96" s="107">
        <v>787.42</v>
      </c>
      <c r="P96" s="108"/>
      <c r="Q96" s="180"/>
      <c r="S96" s="122" t="s">
        <v>90</v>
      </c>
      <c r="T96" s="108">
        <v>787.42</v>
      </c>
      <c r="U96" s="112">
        <f>T96/U95</f>
        <v>0.21478996181123838</v>
      </c>
      <c r="W96" s="112">
        <f>T96/W95</f>
        <v>0.21478996181123838</v>
      </c>
      <c r="Y96">
        <v>0.21479000000000001</v>
      </c>
      <c r="AA96" s="112">
        <f>Y96-W96</f>
        <v>3.8188761625201906E-8</v>
      </c>
    </row>
    <row r="97" spans="1:27" x14ac:dyDescent="0.25">
      <c r="A97" s="87"/>
      <c r="B97" s="89" t="s">
        <v>74</v>
      </c>
      <c r="C97" s="108">
        <f t="shared" ref="C97:O97" si="85">C96</f>
        <v>862.38</v>
      </c>
      <c r="D97" s="108">
        <f t="shared" si="85"/>
        <v>672.51</v>
      </c>
      <c r="E97" s="108">
        <f t="shared" si="85"/>
        <v>816.42</v>
      </c>
      <c r="F97" s="108">
        <f t="shared" si="85"/>
        <v>786.35</v>
      </c>
      <c r="G97" s="108">
        <f t="shared" si="85"/>
        <v>977.08</v>
      </c>
      <c r="H97" s="108">
        <f t="shared" si="85"/>
        <v>869.04</v>
      </c>
      <c r="I97" s="108">
        <f t="shared" si="85"/>
        <v>886.01</v>
      </c>
      <c r="J97" s="108">
        <f t="shared" ref="J97:N97" si="86">J96</f>
        <v>989.54</v>
      </c>
      <c r="K97" s="108">
        <f t="shared" si="86"/>
        <v>901.26</v>
      </c>
      <c r="L97" s="108">
        <f t="shared" si="86"/>
        <v>970.42</v>
      </c>
      <c r="M97" s="206">
        <f t="shared" ref="M97" si="87">M96</f>
        <v>0</v>
      </c>
      <c r="N97" s="108">
        <f t="shared" si="86"/>
        <v>874.2</v>
      </c>
      <c r="O97" s="109">
        <f t="shared" si="85"/>
        <v>787.42</v>
      </c>
      <c r="Q97" s="178"/>
      <c r="S97" s="122" t="s">
        <v>91</v>
      </c>
      <c r="T97" s="108">
        <v>1678</v>
      </c>
      <c r="U97" s="112">
        <f>T97/U95</f>
        <v>0.45771958537915985</v>
      </c>
      <c r="W97" s="112">
        <f>T97/W95</f>
        <v>0.45771958537915985</v>
      </c>
      <c r="Y97">
        <v>0.45772000000000002</v>
      </c>
      <c r="AA97" s="112">
        <f>Y97-W97</f>
        <v>4.1462084016119505E-7</v>
      </c>
    </row>
    <row r="98" spans="1:27" x14ac:dyDescent="0.25">
      <c r="A98" s="87"/>
      <c r="B98" s="89" t="s">
        <v>73</v>
      </c>
      <c r="C98" s="88">
        <f>-'Authorized Margins'!J79*'WACAP 2017'!C95</f>
        <v>-744.68</v>
      </c>
      <c r="D98" s="88">
        <f>-'Authorized Margins'!K79*'WACAP 2017'!D95</f>
        <v>-817.71</v>
      </c>
      <c r="E98" s="88">
        <f>-'Authorized Margins'!L79*'WACAP 2017'!E95</f>
        <v>-890.73</v>
      </c>
      <c r="F98" s="88">
        <f>-'Authorized Margins'!M79*'WACAP 2017'!F95</f>
        <v>-779.9</v>
      </c>
      <c r="G98" s="88">
        <f>-'Authorized Margins'!N79*'WACAP 2017'!G95</f>
        <v>-862.38</v>
      </c>
      <c r="H98" s="88">
        <f>-'Authorized Margins'!O79*'WACAP 2017'!H95</f>
        <v>-863.67</v>
      </c>
      <c r="I98" s="88">
        <f>-'Authorized Margins'!D79*'WACAP 2017'!I95</f>
        <v>-848.85</v>
      </c>
      <c r="J98" s="88">
        <f>-'Authorized Margins'!E79*'WACAP 2017'!J95</f>
        <v>-829.3</v>
      </c>
      <c r="K98" s="88">
        <f>-'Authorized Margins'!F79*'WACAP 2017'!K95</f>
        <v>-932.83</v>
      </c>
      <c r="L98" s="88">
        <f>-'Authorized Margins'!G79*'WACAP 2017'!L95</f>
        <v>-893.31</v>
      </c>
      <c r="M98" s="205">
        <f>-'Authorized Margins'!G79*'WACAP 2017'!M95</f>
        <v>0</v>
      </c>
      <c r="N98" s="88">
        <f>-'Authorized Margins'!H79*'WACAP 2017'!N95</f>
        <v>-725.35</v>
      </c>
      <c r="O98" s="110">
        <f>-'Authorized Margins'!I79*'WACAP 2017'!O95</f>
        <v>-810.19</v>
      </c>
      <c r="Q98" s="178"/>
    </row>
    <row r="99" spans="1:27" x14ac:dyDescent="0.25">
      <c r="A99" s="87"/>
      <c r="B99" s="89" t="s">
        <v>75</v>
      </c>
      <c r="C99" s="90">
        <f t="shared" ref="C99:O99" si="88">SUM(C97:C98)</f>
        <v>117.70000000000005</v>
      </c>
      <c r="D99" s="90">
        <f t="shared" si="88"/>
        <v>-145.20000000000005</v>
      </c>
      <c r="E99" s="90">
        <f t="shared" si="88"/>
        <v>-74.310000000000059</v>
      </c>
      <c r="F99" s="90">
        <f t="shared" si="88"/>
        <v>6.4500000000000455</v>
      </c>
      <c r="G99" s="90">
        <f t="shared" si="88"/>
        <v>114.70000000000005</v>
      </c>
      <c r="H99" s="90">
        <f t="shared" si="88"/>
        <v>5.3700000000000045</v>
      </c>
      <c r="I99" s="90">
        <f t="shared" si="88"/>
        <v>37.159999999999968</v>
      </c>
      <c r="J99" s="90">
        <f t="shared" si="88"/>
        <v>160.24</v>
      </c>
      <c r="K99" s="90">
        <f t="shared" si="88"/>
        <v>-31.57000000000005</v>
      </c>
      <c r="L99" s="90">
        <f t="shared" si="88"/>
        <v>77.110000000000014</v>
      </c>
      <c r="M99" s="207">
        <f>-'WACAP 2016'!H89</f>
        <v>18.430000000000113</v>
      </c>
      <c r="N99" s="90">
        <f t="shared" si="88"/>
        <v>148.85000000000002</v>
      </c>
      <c r="O99" s="111">
        <f t="shared" si="88"/>
        <v>-22.770000000000095</v>
      </c>
      <c r="Q99" s="180">
        <f>SUM(C99:P99)-M99</f>
        <v>393.7299999999999</v>
      </c>
    </row>
    <row r="100" spans="1:27" x14ac:dyDescent="0.25">
      <c r="A100" s="87"/>
      <c r="B100" s="89" t="s">
        <v>137</v>
      </c>
      <c r="C100" s="187">
        <f>ROUND(ROUND('WACAP 2016'!F90*C$5,2)/365*C$6,2)</f>
        <v>-0.06</v>
      </c>
      <c r="D100" s="187">
        <f>ROUND(ROUND(C102*D$5,2)/365*D$6,2)</f>
        <v>0.27</v>
      </c>
      <c r="E100" s="187">
        <f t="shared" ref="E100:O100" si="89">ROUND(ROUND(D102*E$5,2)/365*E$6,2)</f>
        <v>-0.14000000000000001</v>
      </c>
      <c r="F100" s="187">
        <f t="shared" si="89"/>
        <v>-0.37</v>
      </c>
      <c r="G100" s="187">
        <f t="shared" si="89"/>
        <v>-0.36</v>
      </c>
      <c r="H100" s="187">
        <f t="shared" si="89"/>
        <v>0</v>
      </c>
      <c r="I100" s="187">
        <f t="shared" si="89"/>
        <v>0.02</v>
      </c>
      <c r="J100" s="187">
        <f t="shared" si="89"/>
        <v>0.14000000000000001</v>
      </c>
      <c r="K100" s="187">
        <f t="shared" si="89"/>
        <v>0.66</v>
      </c>
      <c r="L100" s="187">
        <f t="shared" si="89"/>
        <v>0.62</v>
      </c>
      <c r="M100" s="208">
        <f>'Ammort Split 2017'!N100</f>
        <v>0.60000000000000009</v>
      </c>
      <c r="N100" s="187">
        <f>ROUND(ROUND(M102*N$5,2)/365*N$6,2)</f>
        <v>0.93</v>
      </c>
      <c r="O100" s="188">
        <f t="shared" si="89"/>
        <v>1.5</v>
      </c>
      <c r="Q100" s="196">
        <f>SUM(C100:P100)</f>
        <v>3.8100000000000005</v>
      </c>
    </row>
    <row r="101" spans="1:27" x14ac:dyDescent="0.25">
      <c r="A101" s="87"/>
      <c r="B101" s="89" t="s">
        <v>138</v>
      </c>
      <c r="C101" s="189">
        <f t="shared" ref="C101:O101" si="90">SUM(C99:C100)</f>
        <v>117.64000000000004</v>
      </c>
      <c r="D101" s="189">
        <f t="shared" si="90"/>
        <v>-144.93000000000004</v>
      </c>
      <c r="E101" s="189">
        <f t="shared" si="90"/>
        <v>-74.45000000000006</v>
      </c>
      <c r="F101" s="189">
        <f t="shared" si="90"/>
        <v>6.0800000000000454</v>
      </c>
      <c r="G101" s="189">
        <f t="shared" si="90"/>
        <v>114.34000000000005</v>
      </c>
      <c r="H101" s="189">
        <f t="shared" si="90"/>
        <v>5.3700000000000045</v>
      </c>
      <c r="I101" s="189">
        <f t="shared" si="90"/>
        <v>37.179999999999971</v>
      </c>
      <c r="J101" s="189">
        <f t="shared" si="90"/>
        <v>160.38</v>
      </c>
      <c r="K101" s="189">
        <f t="shared" si="90"/>
        <v>-30.91000000000005</v>
      </c>
      <c r="L101" s="189">
        <f t="shared" si="90"/>
        <v>77.730000000000018</v>
      </c>
      <c r="M101" s="209">
        <f t="shared" ref="M101" si="91">SUM(M99:M100)</f>
        <v>19.030000000000115</v>
      </c>
      <c r="N101" s="189">
        <f t="shared" si="90"/>
        <v>149.78000000000003</v>
      </c>
      <c r="O101" s="190">
        <f t="shared" si="90"/>
        <v>-21.270000000000095</v>
      </c>
      <c r="Q101" s="198">
        <f>SUM(Q99:Q100)</f>
        <v>397.53999999999991</v>
      </c>
    </row>
    <row r="102" spans="1:27" x14ac:dyDescent="0.25">
      <c r="A102" s="87"/>
      <c r="B102" s="89" t="s">
        <v>139</v>
      </c>
      <c r="C102" s="90">
        <f>'WACAP 2016'!F90+'WACAP 2017'!C101</f>
        <v>99.209999999999923</v>
      </c>
      <c r="D102" s="90">
        <f t="shared" ref="D102:O102" si="92">C102+D101</f>
        <v>-45.720000000000113</v>
      </c>
      <c r="E102" s="90">
        <f t="shared" si="92"/>
        <v>-120.17000000000017</v>
      </c>
      <c r="F102" s="90">
        <f t="shared" si="92"/>
        <v>-114.09000000000013</v>
      </c>
      <c r="G102" s="90">
        <f t="shared" si="92"/>
        <v>0.24999999999991473</v>
      </c>
      <c r="H102" s="90">
        <f t="shared" si="92"/>
        <v>5.6199999999999193</v>
      </c>
      <c r="I102" s="90">
        <f t="shared" si="92"/>
        <v>42.799999999999891</v>
      </c>
      <c r="J102" s="90">
        <f t="shared" si="92"/>
        <v>203.17999999999989</v>
      </c>
      <c r="K102" s="90">
        <f t="shared" si="92"/>
        <v>172.26999999999984</v>
      </c>
      <c r="L102" s="90">
        <f t="shared" si="92"/>
        <v>249.99999999999986</v>
      </c>
      <c r="M102" s="207">
        <f t="shared" si="92"/>
        <v>269.02999999999997</v>
      </c>
      <c r="N102" s="90">
        <f t="shared" si="92"/>
        <v>418.81</v>
      </c>
      <c r="O102" s="191">
        <f t="shared" si="92"/>
        <v>397.53999999999991</v>
      </c>
      <c r="Q102" s="178"/>
      <c r="U102" s="108">
        <f>ROUND(T107/Y107,0)</f>
        <v>417</v>
      </c>
    </row>
    <row r="103" spans="1:27" x14ac:dyDescent="0.25">
      <c r="A103" s="86"/>
      <c r="C103" s="113"/>
      <c r="D103" s="113"/>
      <c r="E103" s="108"/>
      <c r="F103" s="113"/>
      <c r="G103" s="113"/>
      <c r="H103" s="113"/>
      <c r="I103" s="113"/>
      <c r="J103" s="113"/>
      <c r="K103" s="113"/>
      <c r="L103" s="113"/>
      <c r="M103" s="204"/>
      <c r="N103" s="113"/>
      <c r="O103" s="115"/>
      <c r="Q103" s="178"/>
      <c r="S103" s="122"/>
      <c r="T103" s="108"/>
      <c r="U103" s="108">
        <f>ROUND(T108/Y108,0)</f>
        <v>0</v>
      </c>
    </row>
    <row r="104" spans="1:27" x14ac:dyDescent="0.25">
      <c r="A104" s="86" t="s">
        <v>83</v>
      </c>
      <c r="B104" s="104" t="s">
        <v>87</v>
      </c>
      <c r="C104" s="113"/>
      <c r="D104" s="113"/>
      <c r="E104" s="108"/>
      <c r="F104" s="113"/>
      <c r="G104" s="113"/>
      <c r="H104" s="113"/>
      <c r="I104" s="113"/>
      <c r="J104" s="113"/>
      <c r="K104" s="113"/>
      <c r="L104" s="113"/>
      <c r="M104" s="204"/>
      <c r="N104" s="113"/>
      <c r="O104" s="115"/>
      <c r="Q104" s="178"/>
      <c r="T104">
        <v>505</v>
      </c>
      <c r="U104" s="108">
        <f>ROUND(T109/Y109,0)</f>
        <v>0</v>
      </c>
      <c r="V104" s="108">
        <f>SUM(U100:U104)</f>
        <v>417</v>
      </c>
    </row>
    <row r="105" spans="1:27" x14ac:dyDescent="0.25">
      <c r="A105" s="87" t="s">
        <v>64</v>
      </c>
      <c r="B105" t="s">
        <v>65</v>
      </c>
      <c r="C105" s="105">
        <v>1</v>
      </c>
      <c r="D105" s="105">
        <v>1</v>
      </c>
      <c r="E105" s="105">
        <v>1</v>
      </c>
      <c r="F105" s="105">
        <v>1</v>
      </c>
      <c r="G105" s="105">
        <v>1</v>
      </c>
      <c r="H105" s="105">
        <v>1</v>
      </c>
      <c r="I105" s="105">
        <v>1</v>
      </c>
      <c r="J105" s="105">
        <v>1</v>
      </c>
      <c r="K105" s="105">
        <v>1</v>
      </c>
      <c r="L105" s="105">
        <v>1</v>
      </c>
      <c r="M105" s="204"/>
      <c r="N105" s="105">
        <v>1</v>
      </c>
      <c r="O105" s="106">
        <v>1</v>
      </c>
      <c r="P105" s="113"/>
      <c r="Q105" s="179"/>
      <c r="U105" s="113">
        <v>417</v>
      </c>
      <c r="V105" t="s">
        <v>92</v>
      </c>
      <c r="W105" s="113">
        <f>U105</f>
        <v>417</v>
      </c>
    </row>
    <row r="106" spans="1:27" x14ac:dyDescent="0.25">
      <c r="A106" s="87" t="s">
        <v>71</v>
      </c>
      <c r="B106" t="s">
        <v>95</v>
      </c>
      <c r="C106" s="116">
        <v>56.91</v>
      </c>
      <c r="D106" s="116">
        <v>57.66</v>
      </c>
      <c r="E106" s="116">
        <v>0</v>
      </c>
      <c r="F106" s="116">
        <v>0</v>
      </c>
      <c r="G106" s="116">
        <v>0</v>
      </c>
      <c r="H106" s="116">
        <v>0</v>
      </c>
      <c r="I106" s="116">
        <v>0</v>
      </c>
      <c r="J106" s="116">
        <v>0</v>
      </c>
      <c r="K106" s="116">
        <v>0</v>
      </c>
      <c r="L106" s="116">
        <v>0</v>
      </c>
      <c r="M106" s="206"/>
      <c r="N106" s="116">
        <v>94.22</v>
      </c>
      <c r="O106" s="117">
        <v>70.099999999999994</v>
      </c>
      <c r="P106" s="108"/>
      <c r="Q106" s="180"/>
      <c r="S106" s="122" t="s">
        <v>90</v>
      </c>
      <c r="T106" s="108"/>
      <c r="U106" s="112"/>
      <c r="W106" s="112"/>
      <c r="AA106" s="112">
        <f>Y106-W106</f>
        <v>0</v>
      </c>
    </row>
    <row r="107" spans="1:27" x14ac:dyDescent="0.25">
      <c r="A107" s="87" t="s">
        <v>71</v>
      </c>
      <c r="B107" t="s">
        <v>97</v>
      </c>
      <c r="C107" s="116">
        <v>0</v>
      </c>
      <c r="D107" s="116">
        <v>0</v>
      </c>
      <c r="E107" s="116">
        <v>0</v>
      </c>
      <c r="F107" s="116">
        <v>0</v>
      </c>
      <c r="G107" s="116">
        <v>0</v>
      </c>
      <c r="H107" s="116">
        <v>0</v>
      </c>
      <c r="I107" s="116">
        <v>0</v>
      </c>
      <c r="J107" s="116">
        <v>0</v>
      </c>
      <c r="K107" s="116">
        <v>0</v>
      </c>
      <c r="L107" s="116">
        <v>0</v>
      </c>
      <c r="M107" s="206"/>
      <c r="N107" s="116">
        <v>8.35</v>
      </c>
      <c r="O107" s="117"/>
      <c r="P107" s="108"/>
      <c r="Q107" s="180"/>
      <c r="S107" s="122" t="s">
        <v>90</v>
      </c>
      <c r="T107" s="108">
        <v>78.58</v>
      </c>
      <c r="U107" s="112">
        <f>T107/U102</f>
        <v>0.18844124700239809</v>
      </c>
      <c r="W107" s="112">
        <f>T107/U102</f>
        <v>0.18844124700239809</v>
      </c>
      <c r="Y107">
        <v>0.18842999999999999</v>
      </c>
      <c r="AA107" s="112">
        <f>Y107-W107</f>
        <v>-1.1247002398101502E-5</v>
      </c>
    </row>
    <row r="108" spans="1:27" x14ac:dyDescent="0.25">
      <c r="A108" s="87" t="s">
        <v>72</v>
      </c>
      <c r="B108" t="s">
        <v>101</v>
      </c>
      <c r="C108" s="116">
        <v>57.66</v>
      </c>
      <c r="D108" s="116">
        <v>0</v>
      </c>
      <c r="E108" s="116">
        <v>0</v>
      </c>
      <c r="F108" s="116">
        <v>0</v>
      </c>
      <c r="G108" s="116">
        <v>0</v>
      </c>
      <c r="H108" s="116">
        <v>0</v>
      </c>
      <c r="I108" s="116">
        <v>0</v>
      </c>
      <c r="J108" s="116">
        <v>0</v>
      </c>
      <c r="K108" s="116">
        <v>0</v>
      </c>
      <c r="L108" s="116">
        <v>94.22</v>
      </c>
      <c r="M108" s="206"/>
      <c r="N108" s="116">
        <v>70.099999999999994</v>
      </c>
      <c r="O108" s="117">
        <v>78.58</v>
      </c>
      <c r="P108" s="108"/>
      <c r="Q108" s="180"/>
      <c r="S108" s="122" t="s">
        <v>90</v>
      </c>
      <c r="T108" s="108">
        <v>0</v>
      </c>
      <c r="U108" s="112" t="e">
        <f>T108/U103</f>
        <v>#DIV/0!</v>
      </c>
      <c r="W108" s="112" t="e">
        <f>T108/U103</f>
        <v>#DIV/0!</v>
      </c>
      <c r="Y108">
        <v>0.15175</v>
      </c>
      <c r="AA108" s="112" t="e">
        <f>Y108-W108</f>
        <v>#DIV/0!</v>
      </c>
    </row>
    <row r="109" spans="1:27" x14ac:dyDescent="0.25">
      <c r="A109" s="87" t="s">
        <v>72</v>
      </c>
      <c r="B109" t="s">
        <v>145</v>
      </c>
      <c r="C109" s="116">
        <v>0</v>
      </c>
      <c r="D109" s="116">
        <v>0</v>
      </c>
      <c r="E109" s="116">
        <v>0</v>
      </c>
      <c r="F109" s="116">
        <v>0</v>
      </c>
      <c r="G109" s="116">
        <v>0</v>
      </c>
      <c r="H109" s="116">
        <v>0</v>
      </c>
      <c r="I109" s="116">
        <v>0</v>
      </c>
      <c r="J109" s="116">
        <v>0</v>
      </c>
      <c r="K109" s="116">
        <v>0</v>
      </c>
      <c r="L109" s="116">
        <v>8.35</v>
      </c>
      <c r="M109" s="206"/>
      <c r="N109" s="116">
        <v>0</v>
      </c>
      <c r="O109" s="117"/>
      <c r="P109" s="108"/>
      <c r="Q109" s="180"/>
      <c r="S109" s="122" t="s">
        <v>90</v>
      </c>
      <c r="T109" s="108">
        <v>0</v>
      </c>
      <c r="U109" s="112" t="e">
        <f>T109/U104</f>
        <v>#DIV/0!</v>
      </c>
      <c r="W109" s="112" t="e">
        <f>T109/U104</f>
        <v>#DIV/0!</v>
      </c>
      <c r="Y109">
        <v>0.1462</v>
      </c>
      <c r="AA109" s="112" t="e">
        <f>Y109-W109</f>
        <v>#DIV/0!</v>
      </c>
    </row>
    <row r="110" spans="1:27" x14ac:dyDescent="0.25">
      <c r="A110" s="87" t="s">
        <v>72</v>
      </c>
      <c r="B110" t="s">
        <v>102</v>
      </c>
      <c r="C110" s="116">
        <f>-'WACAP 2016'!F95</f>
        <v>-56.91</v>
      </c>
      <c r="D110" s="116">
        <f t="shared" ref="D110:O110" si="93">-C108</f>
        <v>-57.66</v>
      </c>
      <c r="E110" s="116">
        <f t="shared" si="93"/>
        <v>0</v>
      </c>
      <c r="F110" s="116">
        <f t="shared" si="93"/>
        <v>0</v>
      </c>
      <c r="G110" s="116">
        <f t="shared" si="93"/>
        <v>0</v>
      </c>
      <c r="H110" s="116">
        <f t="shared" si="93"/>
        <v>0</v>
      </c>
      <c r="I110" s="116">
        <f t="shared" si="93"/>
        <v>0</v>
      </c>
      <c r="J110" s="116">
        <f t="shared" si="93"/>
        <v>0</v>
      </c>
      <c r="K110" s="116">
        <f t="shared" si="93"/>
        <v>0</v>
      </c>
      <c r="L110" s="116">
        <f t="shared" si="93"/>
        <v>0</v>
      </c>
      <c r="M110" s="206"/>
      <c r="N110" s="116">
        <f>-L108</f>
        <v>-94.22</v>
      </c>
      <c r="O110" s="117">
        <f t="shared" si="93"/>
        <v>-70.099999999999994</v>
      </c>
      <c r="P110" s="108"/>
      <c r="Q110" s="180"/>
      <c r="S110" s="122" t="s">
        <v>91</v>
      </c>
      <c r="T110" s="108">
        <v>185.43</v>
      </c>
      <c r="U110" s="112">
        <f>T110/U105</f>
        <v>0.44467625899280577</v>
      </c>
      <c r="W110" s="112">
        <f>T110/W105</f>
        <v>0.44467625899280577</v>
      </c>
      <c r="Y110">
        <v>0.44467000000000001</v>
      </c>
      <c r="AA110" s="112">
        <f>Y110-W110</f>
        <v>-6.2589928057632527E-6</v>
      </c>
    </row>
    <row r="111" spans="1:27" x14ac:dyDescent="0.25">
      <c r="A111" s="87" t="s">
        <v>72</v>
      </c>
      <c r="B111" t="s">
        <v>146</v>
      </c>
      <c r="C111" s="95">
        <v>0</v>
      </c>
      <c r="D111" s="95">
        <f t="shared" ref="D111:O111" si="94">-C109</f>
        <v>0</v>
      </c>
      <c r="E111" s="95">
        <f t="shared" si="94"/>
        <v>0</v>
      </c>
      <c r="F111" s="95">
        <f t="shared" si="94"/>
        <v>0</v>
      </c>
      <c r="G111" s="95">
        <f t="shared" si="94"/>
        <v>0</v>
      </c>
      <c r="H111" s="95">
        <f t="shared" si="94"/>
        <v>0</v>
      </c>
      <c r="I111" s="95">
        <f t="shared" si="94"/>
        <v>0</v>
      </c>
      <c r="J111" s="95">
        <f t="shared" si="94"/>
        <v>0</v>
      </c>
      <c r="K111" s="95">
        <f t="shared" si="94"/>
        <v>0</v>
      </c>
      <c r="L111" s="95">
        <f t="shared" si="94"/>
        <v>0</v>
      </c>
      <c r="M111" s="205"/>
      <c r="N111" s="95">
        <f>-L109</f>
        <v>-8.35</v>
      </c>
      <c r="O111" s="107">
        <f t="shared" si="94"/>
        <v>0</v>
      </c>
      <c r="P111" s="108"/>
      <c r="Q111" s="180"/>
    </row>
    <row r="112" spans="1:27" x14ac:dyDescent="0.25">
      <c r="A112" s="86"/>
      <c r="B112" s="89" t="s">
        <v>74</v>
      </c>
      <c r="C112" s="108">
        <f t="shared" ref="C112:O112" si="95">SUM(C106:C111)</f>
        <v>57.66</v>
      </c>
      <c r="D112" s="108">
        <f t="shared" si="95"/>
        <v>0</v>
      </c>
      <c r="E112" s="108">
        <f t="shared" si="95"/>
        <v>0</v>
      </c>
      <c r="F112" s="108">
        <f t="shared" si="95"/>
        <v>0</v>
      </c>
      <c r="G112" s="108">
        <f t="shared" si="95"/>
        <v>0</v>
      </c>
      <c r="H112" s="108">
        <f t="shared" si="95"/>
        <v>0</v>
      </c>
      <c r="I112" s="108">
        <f t="shared" si="95"/>
        <v>0</v>
      </c>
      <c r="J112" s="108">
        <f t="shared" ref="J112:N112" si="96">SUM(J106:J111)</f>
        <v>0</v>
      </c>
      <c r="K112" s="108">
        <f t="shared" si="96"/>
        <v>0</v>
      </c>
      <c r="L112" s="108">
        <f t="shared" si="96"/>
        <v>102.57</v>
      </c>
      <c r="M112" s="206">
        <f t="shared" ref="M112" si="97">SUM(M106:M111)</f>
        <v>0</v>
      </c>
      <c r="N112" s="108">
        <f t="shared" si="96"/>
        <v>70.099999999999994</v>
      </c>
      <c r="O112" s="109">
        <f t="shared" si="95"/>
        <v>78.580000000000013</v>
      </c>
      <c r="Q112" s="178"/>
    </row>
    <row r="113" spans="1:27" x14ac:dyDescent="0.25">
      <c r="A113" s="86"/>
      <c r="B113" s="89" t="s">
        <v>73</v>
      </c>
      <c r="C113" s="88">
        <f>ROUND(-'Authorized Margins'!J60*'WACAP 2017'!C105,2)</f>
        <v>-463.97</v>
      </c>
      <c r="D113" s="88">
        <f>ROUND(-'Authorized Margins'!K60*'WACAP 2017'!D105,2)</f>
        <v>-523.33000000000004</v>
      </c>
      <c r="E113" s="88">
        <f>ROUND(-'Authorized Margins'!L60*'WACAP 2017'!E105,2)</f>
        <v>-416.44</v>
      </c>
      <c r="F113" s="88">
        <f>ROUND(-'Authorized Margins'!M60*'WACAP 2017'!F105,2)</f>
        <v>-304.64</v>
      </c>
      <c r="G113" s="88">
        <f>ROUND(-'Authorized Margins'!N60*'WACAP 2017'!G105,2)</f>
        <v>-260.88</v>
      </c>
      <c r="H113" s="88">
        <f>ROUND(-'Authorized Margins'!O60*'WACAP 2017'!H105,2)</f>
        <v>-210.75</v>
      </c>
      <c r="I113" s="88">
        <f>ROUND(-'Authorized Margins'!D60*'WACAP 2017'!I105,2)</f>
        <v>-199.5</v>
      </c>
      <c r="J113" s="88">
        <f>ROUND(-'Authorized Margins'!E60*'WACAP 2017'!J105,2)</f>
        <v>-161.71</v>
      </c>
      <c r="K113" s="88">
        <f>ROUND(-'Authorized Margins'!F60*'WACAP 2017'!K105,2)</f>
        <v>-219.19</v>
      </c>
      <c r="L113" s="88">
        <f>ROUND(-'Authorized Margins'!G60*'WACAP 2017'!L105,2)</f>
        <v>-481.47</v>
      </c>
      <c r="M113" s="205">
        <f>ROUND(-'Authorized Margins'!G60*'WACAP 2017'!M105,2)</f>
        <v>0</v>
      </c>
      <c r="N113" s="88">
        <f>ROUND(-'Authorized Margins'!H60*'WACAP 2017'!N105,2)</f>
        <v>-330.25</v>
      </c>
      <c r="O113" s="110">
        <f>ROUND(-'Authorized Margins'!I60*'WACAP 2017'!O105,2)</f>
        <v>-499.01</v>
      </c>
      <c r="Q113" s="178"/>
    </row>
    <row r="114" spans="1:27" x14ac:dyDescent="0.25">
      <c r="A114" s="86"/>
      <c r="B114" s="89" t="s">
        <v>75</v>
      </c>
      <c r="C114" s="90">
        <f t="shared" ref="C114:O114" si="98">SUM(C112:C113)</f>
        <v>-406.31000000000006</v>
      </c>
      <c r="D114" s="90">
        <f t="shared" si="98"/>
        <v>-523.33000000000004</v>
      </c>
      <c r="E114" s="90">
        <f t="shared" si="98"/>
        <v>-416.44</v>
      </c>
      <c r="F114" s="90">
        <f t="shared" si="98"/>
        <v>-304.64</v>
      </c>
      <c r="G114" s="90">
        <f t="shared" si="98"/>
        <v>-260.88</v>
      </c>
      <c r="H114" s="90">
        <f t="shared" si="98"/>
        <v>-210.75</v>
      </c>
      <c r="I114" s="90">
        <f t="shared" si="98"/>
        <v>-199.5</v>
      </c>
      <c r="J114" s="90">
        <f t="shared" si="98"/>
        <v>-161.71</v>
      </c>
      <c r="K114" s="90">
        <f t="shared" si="98"/>
        <v>-219.19</v>
      </c>
      <c r="L114" s="90">
        <f t="shared" si="98"/>
        <v>-378.90000000000003</v>
      </c>
      <c r="M114" s="207">
        <f>-'WACAP 2016'!H101</f>
        <v>1393.45</v>
      </c>
      <c r="N114" s="90">
        <f t="shared" si="98"/>
        <v>-260.14999999999998</v>
      </c>
      <c r="O114" s="111">
        <f t="shared" si="98"/>
        <v>-420.42999999999995</v>
      </c>
      <c r="Q114" s="180">
        <f>SUM(C114:P114)-M114</f>
        <v>-3762.2300000000005</v>
      </c>
    </row>
    <row r="115" spans="1:27" x14ac:dyDescent="0.25">
      <c r="A115" s="87"/>
      <c r="B115" s="89" t="s">
        <v>137</v>
      </c>
      <c r="C115" s="187">
        <f>ROUND(ROUND('WACAP 2016'!F102*C$5,2)/365*C$6,2)</f>
        <v>-4.1399999999999997</v>
      </c>
      <c r="D115" s="187">
        <f>ROUND(ROUND(C117*D$5,2)/365*D$6,2)</f>
        <v>-4.84</v>
      </c>
      <c r="E115" s="187">
        <f t="shared" ref="E115:O115" si="99">ROUND(ROUND(D117*E$5,2)/365*E$6,2)</f>
        <v>-6.93</v>
      </c>
      <c r="F115" s="187">
        <f t="shared" si="99"/>
        <v>-8.4</v>
      </c>
      <c r="G115" s="187">
        <f t="shared" si="99"/>
        <v>-9.67</v>
      </c>
      <c r="H115" s="187">
        <f t="shared" si="99"/>
        <v>-10.18</v>
      </c>
      <c r="I115" s="187">
        <f t="shared" si="99"/>
        <v>-11.97</v>
      </c>
      <c r="J115" s="187">
        <f t="shared" si="99"/>
        <v>-12.68</v>
      </c>
      <c r="K115" s="187">
        <f t="shared" si="99"/>
        <v>-12.84</v>
      </c>
      <c r="L115" s="187">
        <f t="shared" si="99"/>
        <v>-14.94</v>
      </c>
      <c r="M115" s="208">
        <f>'Ammort Split 2017'!N115</f>
        <v>44.429999999999993</v>
      </c>
      <c r="N115" s="187">
        <f>ROUND(ROUND(M117*N$5,2)/365*N$6,2)</f>
        <v>-10.84</v>
      </c>
      <c r="O115" s="188">
        <f t="shared" si="99"/>
        <v>-12.17</v>
      </c>
      <c r="Q115" s="196">
        <f>SUM(C115:P115)</f>
        <v>-75.170000000000016</v>
      </c>
    </row>
    <row r="116" spans="1:27" x14ac:dyDescent="0.25">
      <c r="A116" s="87"/>
      <c r="B116" s="89" t="s">
        <v>138</v>
      </c>
      <c r="C116" s="189">
        <f t="shared" ref="C116:O116" si="100">SUM(C114:C115)</f>
        <v>-410.45000000000005</v>
      </c>
      <c r="D116" s="189">
        <f t="shared" si="100"/>
        <v>-528.17000000000007</v>
      </c>
      <c r="E116" s="189">
        <f t="shared" si="100"/>
        <v>-423.37</v>
      </c>
      <c r="F116" s="189">
        <f t="shared" si="100"/>
        <v>-313.03999999999996</v>
      </c>
      <c r="G116" s="189">
        <f t="shared" si="100"/>
        <v>-270.55</v>
      </c>
      <c r="H116" s="189">
        <f t="shared" si="100"/>
        <v>-220.93</v>
      </c>
      <c r="I116" s="189">
        <f t="shared" si="100"/>
        <v>-211.47</v>
      </c>
      <c r="J116" s="189">
        <f t="shared" si="100"/>
        <v>-174.39000000000001</v>
      </c>
      <c r="K116" s="189">
        <f t="shared" si="100"/>
        <v>-232.03</v>
      </c>
      <c r="L116" s="189">
        <f t="shared" si="100"/>
        <v>-393.84000000000003</v>
      </c>
      <c r="M116" s="209">
        <f t="shared" ref="M116" si="101">SUM(M114:M115)</f>
        <v>1437.88</v>
      </c>
      <c r="N116" s="189">
        <f t="shared" si="100"/>
        <v>-270.98999999999995</v>
      </c>
      <c r="O116" s="190">
        <f t="shared" si="100"/>
        <v>-432.59999999999997</v>
      </c>
      <c r="Q116" s="198">
        <f>SUM(Q114:Q115)</f>
        <v>-3837.4000000000005</v>
      </c>
    </row>
    <row r="117" spans="1:27" x14ac:dyDescent="0.25">
      <c r="A117" s="87"/>
      <c r="B117" s="89" t="s">
        <v>139</v>
      </c>
      <c r="C117" s="90">
        <f>'WACAP 2016'!F102+'WACAP 2017'!C116</f>
        <v>-1803.9</v>
      </c>
      <c r="D117" s="90">
        <f t="shared" ref="D117:O117" si="102">C117+D116</f>
        <v>-2332.0700000000002</v>
      </c>
      <c r="E117" s="90">
        <f t="shared" si="102"/>
        <v>-2755.44</v>
      </c>
      <c r="F117" s="90">
        <f t="shared" si="102"/>
        <v>-3068.48</v>
      </c>
      <c r="G117" s="90">
        <f t="shared" si="102"/>
        <v>-3339.03</v>
      </c>
      <c r="H117" s="90">
        <f t="shared" si="102"/>
        <v>-3559.96</v>
      </c>
      <c r="I117" s="90">
        <f t="shared" si="102"/>
        <v>-3771.43</v>
      </c>
      <c r="J117" s="90">
        <f t="shared" si="102"/>
        <v>-3945.8199999999997</v>
      </c>
      <c r="K117" s="90">
        <f t="shared" si="102"/>
        <v>-4177.8499999999995</v>
      </c>
      <c r="L117" s="90">
        <f t="shared" si="102"/>
        <v>-4571.6899999999996</v>
      </c>
      <c r="M117" s="207">
        <f t="shared" si="102"/>
        <v>-3133.8099999999995</v>
      </c>
      <c r="N117" s="90">
        <f t="shared" si="102"/>
        <v>-3404.7999999999993</v>
      </c>
      <c r="O117" s="191">
        <f t="shared" si="102"/>
        <v>-3837.3999999999992</v>
      </c>
      <c r="Q117" s="178"/>
    </row>
    <row r="118" spans="1:27" x14ac:dyDescent="0.25">
      <c r="A118" s="86"/>
      <c r="B118" s="89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207"/>
      <c r="N118" s="90"/>
      <c r="O118" s="111"/>
      <c r="Q118" s="178"/>
      <c r="S118" s="122"/>
      <c r="T118" s="108"/>
      <c r="U118" s="108">
        <f>ROUND(T121/Y121,0)</f>
        <v>111756</v>
      </c>
    </row>
    <row r="119" spans="1:27" x14ac:dyDescent="0.25">
      <c r="A119" s="86">
        <v>570</v>
      </c>
      <c r="B119" s="104" t="s">
        <v>88</v>
      </c>
      <c r="C119" s="113"/>
      <c r="D119" s="113"/>
      <c r="E119" s="108"/>
      <c r="F119" s="113"/>
      <c r="G119" s="113"/>
      <c r="H119" s="113"/>
      <c r="I119" s="113"/>
      <c r="J119" s="113"/>
      <c r="K119" s="113"/>
      <c r="L119" s="113"/>
      <c r="M119" s="204"/>
      <c r="N119" s="113"/>
      <c r="O119" s="115"/>
      <c r="Q119" s="178"/>
      <c r="T119">
        <v>570</v>
      </c>
      <c r="U119" s="108">
        <f>ROUND(T122/Y122,0)</f>
        <v>127293</v>
      </c>
      <c r="V119" s="108">
        <f>SUM(U118:U119)</f>
        <v>239049</v>
      </c>
    </row>
    <row r="120" spans="1:27" x14ac:dyDescent="0.25">
      <c r="A120" s="87" t="s">
        <v>64</v>
      </c>
      <c r="B120" t="s">
        <v>65</v>
      </c>
      <c r="C120" s="105">
        <v>8</v>
      </c>
      <c r="D120" s="105">
        <v>8</v>
      </c>
      <c r="E120" s="105">
        <v>7</v>
      </c>
      <c r="F120" s="105">
        <v>7</v>
      </c>
      <c r="G120" s="105">
        <v>6</v>
      </c>
      <c r="H120" s="105">
        <v>6</v>
      </c>
      <c r="I120" s="105">
        <v>7</v>
      </c>
      <c r="J120" s="105">
        <v>7</v>
      </c>
      <c r="K120" s="105">
        <v>7</v>
      </c>
      <c r="L120" s="105">
        <v>7</v>
      </c>
      <c r="M120" s="204"/>
      <c r="N120" s="105">
        <v>7</v>
      </c>
      <c r="O120" s="106">
        <v>7</v>
      </c>
      <c r="P120" s="113"/>
      <c r="Q120" s="179"/>
      <c r="U120" s="113">
        <v>239049</v>
      </c>
      <c r="V120" t="s">
        <v>92</v>
      </c>
      <c r="W120" s="113">
        <f>U120</f>
        <v>239049</v>
      </c>
    </row>
    <row r="121" spans="1:27" x14ac:dyDescent="0.25">
      <c r="A121" s="87" t="s">
        <v>71</v>
      </c>
      <c r="B121" t="s">
        <v>103</v>
      </c>
      <c r="C121" s="116">
        <v>13760.72</v>
      </c>
      <c r="D121" s="116">
        <v>13056.56</v>
      </c>
      <c r="E121" s="116">
        <v>11615.36</v>
      </c>
      <c r="F121" s="116">
        <v>8683.34</v>
      </c>
      <c r="G121" s="116">
        <v>7844.56</v>
      </c>
      <c r="H121" s="116">
        <v>7136.53</v>
      </c>
      <c r="I121" s="116">
        <v>5916.41</v>
      </c>
      <c r="J121" s="116">
        <v>6245.47</v>
      </c>
      <c r="K121" s="116">
        <v>5983</v>
      </c>
      <c r="L121" s="116">
        <v>5997.57</v>
      </c>
      <c r="M121" s="206"/>
      <c r="N121" s="116">
        <v>9489.19</v>
      </c>
      <c r="O121" s="117">
        <v>8512.51</v>
      </c>
      <c r="P121" s="108"/>
      <c r="Q121" s="180"/>
      <c r="S121" s="122" t="s">
        <v>90</v>
      </c>
      <c r="T121" s="108">
        <v>9200.8700000000008</v>
      </c>
      <c r="U121" s="112">
        <f>T121/U118</f>
        <v>8.2329986756863177E-2</v>
      </c>
      <c r="W121" s="112">
        <f>T121/U118</f>
        <v>8.2329986756863177E-2</v>
      </c>
      <c r="Y121">
        <v>8.233E-2</v>
      </c>
      <c r="AA121" s="112">
        <f>Y121-W121</f>
        <v>1.3243136823271051E-8</v>
      </c>
    </row>
    <row r="122" spans="1:27" x14ac:dyDescent="0.25">
      <c r="A122" s="87" t="s">
        <v>71</v>
      </c>
      <c r="B122" t="s">
        <v>104</v>
      </c>
      <c r="C122" s="116">
        <v>8228.82</v>
      </c>
      <c r="D122" s="116">
        <v>9070.6299999999992</v>
      </c>
      <c r="E122" s="116">
        <v>6742.78</v>
      </c>
      <c r="F122" s="116">
        <v>2920.72</v>
      </c>
      <c r="G122" s="116">
        <v>2323.4299999999998</v>
      </c>
      <c r="H122" s="116">
        <v>1440.21</v>
      </c>
      <c r="I122" s="116">
        <v>769.82</v>
      </c>
      <c r="J122" s="116">
        <v>560.86</v>
      </c>
      <c r="K122" s="116">
        <v>513.04999999999995</v>
      </c>
      <c r="L122" s="116">
        <v>686.53</v>
      </c>
      <c r="M122" s="206"/>
      <c r="N122" s="116">
        <v>1786.73</v>
      </c>
      <c r="O122" s="117">
        <v>2458.84</v>
      </c>
      <c r="P122" s="108"/>
      <c r="Q122" s="180"/>
      <c r="S122" s="122" t="s">
        <v>90</v>
      </c>
      <c r="T122" s="108">
        <v>2865.37</v>
      </c>
      <c r="U122" s="112">
        <f>T122/U119</f>
        <v>2.2510035901424273E-2</v>
      </c>
      <c r="W122" s="112">
        <f>T122/U119</f>
        <v>2.2510035901424273E-2</v>
      </c>
      <c r="Y122">
        <v>2.2509999999999999E-2</v>
      </c>
      <c r="AA122" s="112">
        <f>Y122-W122</f>
        <v>-3.5901424274425997E-8</v>
      </c>
    </row>
    <row r="123" spans="1:27" x14ac:dyDescent="0.25">
      <c r="A123" s="87" t="s">
        <v>72</v>
      </c>
      <c r="B123" t="s">
        <v>105</v>
      </c>
      <c r="C123" s="116">
        <v>13056.56</v>
      </c>
      <c r="D123" s="116">
        <v>11615.36</v>
      </c>
      <c r="E123" s="116">
        <v>8683.34</v>
      </c>
      <c r="F123" s="116">
        <v>7844.56</v>
      </c>
      <c r="G123" s="116">
        <v>7136.53</v>
      </c>
      <c r="H123" s="116">
        <v>5916.41</v>
      </c>
      <c r="I123" s="116">
        <v>6245.47</v>
      </c>
      <c r="J123" s="116">
        <v>5983</v>
      </c>
      <c r="K123" s="116">
        <v>5997.57</v>
      </c>
      <c r="L123" s="116">
        <v>9489.19</v>
      </c>
      <c r="M123" s="206"/>
      <c r="N123" s="116">
        <v>8512.51</v>
      </c>
      <c r="O123" s="117">
        <v>9200.8700000000008</v>
      </c>
      <c r="P123" s="108"/>
      <c r="Q123" s="180"/>
      <c r="S123" s="122" t="s">
        <v>91</v>
      </c>
      <c r="T123" s="108">
        <v>103190.28</v>
      </c>
      <c r="U123" s="112">
        <f>T123/U120</f>
        <v>0.43166999234466574</v>
      </c>
      <c r="W123" s="112">
        <f>T123/W120</f>
        <v>0.43166999234466574</v>
      </c>
      <c r="Y123">
        <v>0.43167</v>
      </c>
      <c r="AA123" s="112">
        <f>Y123-W123</f>
        <v>7.6553342553964399E-9</v>
      </c>
    </row>
    <row r="124" spans="1:27" x14ac:dyDescent="0.25">
      <c r="A124" s="87" t="s">
        <v>72</v>
      </c>
      <c r="B124" t="s">
        <v>106</v>
      </c>
      <c r="C124" s="116">
        <v>9070.6299999999992</v>
      </c>
      <c r="D124" s="116">
        <v>6742.78</v>
      </c>
      <c r="E124" s="116">
        <v>2920.72</v>
      </c>
      <c r="F124" s="116">
        <v>2323.4299999999998</v>
      </c>
      <c r="G124" s="116">
        <v>1440.21</v>
      </c>
      <c r="H124" s="116">
        <v>769.82</v>
      </c>
      <c r="I124" s="116">
        <v>560.86</v>
      </c>
      <c r="J124" s="116">
        <v>513.04999999999995</v>
      </c>
      <c r="K124" s="116">
        <v>686.53</v>
      </c>
      <c r="L124" s="116">
        <v>1786.73</v>
      </c>
      <c r="M124" s="206"/>
      <c r="N124" s="116">
        <v>2458.84</v>
      </c>
      <c r="O124" s="117">
        <v>2865.37</v>
      </c>
      <c r="P124" s="108"/>
      <c r="Q124" s="180"/>
      <c r="AA124" s="112"/>
    </row>
    <row r="125" spans="1:27" x14ac:dyDescent="0.25">
      <c r="A125" s="87" t="s">
        <v>72</v>
      </c>
      <c r="B125" t="s">
        <v>107</v>
      </c>
      <c r="C125" s="116">
        <f>-'WACAP 2016'!F108</f>
        <v>-13760.72</v>
      </c>
      <c r="D125" s="116">
        <f t="shared" ref="D125:I126" si="103">-C123</f>
        <v>-13056.56</v>
      </c>
      <c r="E125" s="116">
        <f t="shared" si="103"/>
        <v>-11615.36</v>
      </c>
      <c r="F125" s="116">
        <f t="shared" si="103"/>
        <v>-8683.34</v>
      </c>
      <c r="G125" s="116">
        <f t="shared" si="103"/>
        <v>-7844.56</v>
      </c>
      <c r="H125" s="116">
        <f t="shared" si="103"/>
        <v>-7136.53</v>
      </c>
      <c r="I125" s="116">
        <f t="shared" si="103"/>
        <v>-5916.41</v>
      </c>
      <c r="J125" s="116">
        <f t="shared" ref="J125:J126" si="104">-I123</f>
        <v>-6245.47</v>
      </c>
      <c r="K125" s="116">
        <f t="shared" ref="K125:K126" si="105">-J123</f>
        <v>-5983</v>
      </c>
      <c r="L125" s="116">
        <f t="shared" ref="L125:L126" si="106">-K123</f>
        <v>-5997.57</v>
      </c>
      <c r="M125" s="206"/>
      <c r="N125" s="116">
        <f t="shared" ref="N125:N126" si="107">-L123</f>
        <v>-9489.19</v>
      </c>
      <c r="O125" s="117">
        <f>-N123</f>
        <v>-8512.51</v>
      </c>
      <c r="P125" s="108"/>
      <c r="Q125" s="180"/>
    </row>
    <row r="126" spans="1:27" x14ac:dyDescent="0.25">
      <c r="A126" s="87" t="s">
        <v>72</v>
      </c>
      <c r="B126" t="s">
        <v>108</v>
      </c>
      <c r="C126" s="95">
        <f>-'WACAP 2016'!F109</f>
        <v>-8228.82</v>
      </c>
      <c r="D126" s="95">
        <f t="shared" si="103"/>
        <v>-9070.6299999999992</v>
      </c>
      <c r="E126" s="95">
        <f t="shared" si="103"/>
        <v>-6742.78</v>
      </c>
      <c r="F126" s="95">
        <f t="shared" si="103"/>
        <v>-2920.72</v>
      </c>
      <c r="G126" s="95">
        <f t="shared" si="103"/>
        <v>-2323.4299999999998</v>
      </c>
      <c r="H126" s="95">
        <f t="shared" si="103"/>
        <v>-1440.21</v>
      </c>
      <c r="I126" s="95">
        <f t="shared" si="103"/>
        <v>-769.82</v>
      </c>
      <c r="J126" s="95">
        <f t="shared" si="104"/>
        <v>-560.86</v>
      </c>
      <c r="K126" s="95">
        <f t="shared" si="105"/>
        <v>-513.04999999999995</v>
      </c>
      <c r="L126" s="95">
        <f t="shared" si="106"/>
        <v>-686.53</v>
      </c>
      <c r="M126" s="205"/>
      <c r="N126" s="95">
        <f t="shared" si="107"/>
        <v>-1786.73</v>
      </c>
      <c r="O126" s="107">
        <f>-N124</f>
        <v>-2458.84</v>
      </c>
      <c r="P126" s="108"/>
      <c r="Q126" s="180"/>
    </row>
    <row r="127" spans="1:27" x14ac:dyDescent="0.25">
      <c r="A127" s="87"/>
      <c r="B127" s="89" t="s">
        <v>74</v>
      </c>
      <c r="C127" s="108">
        <f t="shared" ref="C127:E127" si="108">SUM(C121:C126)</f>
        <v>22127.189999999995</v>
      </c>
      <c r="D127" s="108">
        <f t="shared" si="108"/>
        <v>18358.140000000007</v>
      </c>
      <c r="E127" s="108">
        <f t="shared" si="108"/>
        <v>11604.060000000001</v>
      </c>
      <c r="F127" s="108">
        <f>SUM(F121:F126)</f>
        <v>10167.99</v>
      </c>
      <c r="G127" s="108">
        <f t="shared" ref="G127:O127" si="109">SUM(G121:G126)</f>
        <v>8576.739999999998</v>
      </c>
      <c r="H127" s="108">
        <f t="shared" si="109"/>
        <v>6686.23</v>
      </c>
      <c r="I127" s="108">
        <f t="shared" si="109"/>
        <v>6806.3300000000017</v>
      </c>
      <c r="J127" s="108">
        <f t="shared" ref="J127:N127" si="110">SUM(J121:J126)</f>
        <v>6496.0499999999993</v>
      </c>
      <c r="K127" s="108">
        <f t="shared" si="110"/>
        <v>6684.0999999999995</v>
      </c>
      <c r="L127" s="108">
        <f t="shared" si="110"/>
        <v>11275.92</v>
      </c>
      <c r="M127" s="206">
        <f t="shared" ref="M127" si="111">SUM(M121:M126)</f>
        <v>0</v>
      </c>
      <c r="N127" s="108">
        <f t="shared" si="110"/>
        <v>10971.35</v>
      </c>
      <c r="O127" s="111">
        <f t="shared" si="109"/>
        <v>12066.24</v>
      </c>
      <c r="Q127" s="178"/>
    </row>
    <row r="128" spans="1:27" x14ac:dyDescent="0.25">
      <c r="A128" s="87"/>
      <c r="B128" s="89" t="s">
        <v>73</v>
      </c>
      <c r="C128" s="88">
        <f>ROUND(-'Authorized Margins'!J95*'WACAP 2017'!C120,2)</f>
        <v>-19141.2</v>
      </c>
      <c r="D128" s="88">
        <f>ROUND(-'Authorized Margins'!K95*'WACAP 2017'!D120,2)</f>
        <v>-19244.88</v>
      </c>
      <c r="E128" s="88">
        <f>ROUND(-'Authorized Margins'!L95*'WACAP 2017'!E120,2)</f>
        <v>-14322.07</v>
      </c>
      <c r="F128" s="88">
        <f>ROUND(-'Authorized Margins'!M95*'WACAP 2017'!F120,2)</f>
        <v>-13668.48</v>
      </c>
      <c r="G128" s="88">
        <f>ROUND(-'Authorized Margins'!N95*'WACAP 2017'!G120,2)</f>
        <v>-11255.94</v>
      </c>
      <c r="H128" s="88">
        <f>ROUND(-'Authorized Margins'!O95*'WACAP 2017'!H120,2)</f>
        <v>-9453.18</v>
      </c>
      <c r="I128" s="88">
        <f>ROUND(-'Authorized Margins'!D95*'WACAP 2017'!I120,2)</f>
        <v>-9885.68</v>
      </c>
      <c r="J128" s="88">
        <f>ROUND(-'Authorized Margins'!E95*'WACAP 2017'!J120,2)</f>
        <v>-10304.42</v>
      </c>
      <c r="K128" s="88">
        <f>ROUND(-'Authorized Margins'!F95*'WACAP 2017'!K120,2)</f>
        <v>-9169.44</v>
      </c>
      <c r="L128" s="88">
        <f>ROUND(-'Authorized Margins'!G95*'WACAP 2017'!L120,2)</f>
        <v>-11356.87</v>
      </c>
      <c r="M128" s="205">
        <f>ROUND(-'Authorized Margins'!G95*'WACAP 2017'!M120,2)</f>
        <v>0</v>
      </c>
      <c r="N128" s="88">
        <f>ROUND(-'Authorized Margins'!H95*'WACAP 2017'!N120,2)</f>
        <v>-12107.34</v>
      </c>
      <c r="O128" s="110">
        <f>ROUND(-'Authorized Margins'!I95*'WACAP 2017'!O120,2)</f>
        <v>-15354.5</v>
      </c>
      <c r="Q128" s="178"/>
    </row>
    <row r="129" spans="1:27" x14ac:dyDescent="0.25">
      <c r="A129" s="87"/>
      <c r="B129" s="89" t="s">
        <v>75</v>
      </c>
      <c r="C129" s="90">
        <f t="shared" ref="C129:O129" si="112">SUM(C127:C128)</f>
        <v>2985.9899999999943</v>
      </c>
      <c r="D129" s="90">
        <f t="shared" si="112"/>
        <v>-886.73999999999432</v>
      </c>
      <c r="E129" s="90">
        <f t="shared" si="112"/>
        <v>-2718.0099999999984</v>
      </c>
      <c r="F129" s="90">
        <f t="shared" si="112"/>
        <v>-3500.49</v>
      </c>
      <c r="G129" s="90">
        <f t="shared" si="112"/>
        <v>-2679.2000000000025</v>
      </c>
      <c r="H129" s="90">
        <f t="shared" si="112"/>
        <v>-2766.9500000000007</v>
      </c>
      <c r="I129" s="90">
        <f t="shared" si="112"/>
        <v>-3079.3499999999985</v>
      </c>
      <c r="J129" s="90">
        <f t="shared" si="112"/>
        <v>-3808.3700000000008</v>
      </c>
      <c r="K129" s="90">
        <f t="shared" si="112"/>
        <v>-2485.3400000000011</v>
      </c>
      <c r="L129" s="90">
        <f t="shared" si="112"/>
        <v>-80.950000000000728</v>
      </c>
      <c r="M129" s="215">
        <f>-'WACAP 2016'!H116</f>
        <v>-13004.140000000003</v>
      </c>
      <c r="N129" s="90">
        <f t="shared" si="112"/>
        <v>-1135.9899999999998</v>
      </c>
      <c r="O129" s="111">
        <f t="shared" si="112"/>
        <v>-3288.26</v>
      </c>
      <c r="Q129" s="180">
        <f>SUM(C129:P129)-M129</f>
        <v>-23443.660000000007</v>
      </c>
    </row>
    <row r="130" spans="1:27" x14ac:dyDescent="0.25">
      <c r="A130" s="87"/>
      <c r="B130" s="89" t="s">
        <v>137</v>
      </c>
      <c r="C130" s="187">
        <f>ROUND(ROUND('WACAP 2016'!F117*C$5,2)/365*C$6,2)</f>
        <v>38.659999999999997</v>
      </c>
      <c r="D130" s="187">
        <f>ROUND(ROUND(C132*D$5,2)/365*D$6,2)</f>
        <v>43.04</v>
      </c>
      <c r="E130" s="187">
        <f t="shared" ref="E130:O130" si="113">ROUND(ROUND(D132*E$5,2)/365*E$6,2)</f>
        <v>45.14</v>
      </c>
      <c r="F130" s="187">
        <f t="shared" si="113"/>
        <v>38.15</v>
      </c>
      <c r="G130" s="187">
        <f t="shared" si="113"/>
        <v>28.52</v>
      </c>
      <c r="H130" s="187">
        <f t="shared" si="113"/>
        <v>19.510000000000002</v>
      </c>
      <c r="I130" s="187">
        <f t="shared" si="113"/>
        <v>12.28</v>
      </c>
      <c r="J130" s="187">
        <f t="shared" si="113"/>
        <v>1.97</v>
      </c>
      <c r="K130" s="187">
        <f t="shared" si="113"/>
        <v>-10.49</v>
      </c>
      <c r="L130" s="187">
        <f t="shared" si="113"/>
        <v>-20.440000000000001</v>
      </c>
      <c r="M130" s="208">
        <f>'Ammort Split 2017'!N130</f>
        <v>-414.64000000000004</v>
      </c>
      <c r="N130" s="187">
        <f>ROUND(ROUND(M132*N$5,2)/365*N$6,2)</f>
        <v>-66.569999999999993</v>
      </c>
      <c r="O130" s="188">
        <f t="shared" si="113"/>
        <v>-73.09</v>
      </c>
      <c r="Q130" s="196">
        <f>SUM(C130:P130)</f>
        <v>-357.96000000000004</v>
      </c>
    </row>
    <row r="131" spans="1:27" x14ac:dyDescent="0.25">
      <c r="A131" s="87"/>
      <c r="B131" s="89" t="s">
        <v>138</v>
      </c>
      <c r="C131" s="189">
        <f t="shared" ref="C131:O131" si="114">SUM(C129:C130)</f>
        <v>3024.6499999999942</v>
      </c>
      <c r="D131" s="189">
        <f t="shared" si="114"/>
        <v>-843.69999999999436</v>
      </c>
      <c r="E131" s="189">
        <f t="shared" si="114"/>
        <v>-2672.8699999999985</v>
      </c>
      <c r="F131" s="189">
        <f t="shared" si="114"/>
        <v>-3462.3399999999997</v>
      </c>
      <c r="G131" s="189">
        <f t="shared" si="114"/>
        <v>-2650.6800000000026</v>
      </c>
      <c r="H131" s="189">
        <f t="shared" si="114"/>
        <v>-2747.4400000000005</v>
      </c>
      <c r="I131" s="189">
        <f t="shared" si="114"/>
        <v>-3067.0699999999983</v>
      </c>
      <c r="J131" s="189">
        <f t="shared" si="114"/>
        <v>-3806.400000000001</v>
      </c>
      <c r="K131" s="189">
        <f t="shared" si="114"/>
        <v>-2495.8300000000008</v>
      </c>
      <c r="L131" s="189">
        <f t="shared" si="114"/>
        <v>-101.39000000000073</v>
      </c>
      <c r="M131" s="209">
        <f>SUM(M129:M130)</f>
        <v>-13418.780000000002</v>
      </c>
      <c r="N131" s="189">
        <f t="shared" si="114"/>
        <v>-1202.5599999999997</v>
      </c>
      <c r="O131" s="190">
        <f t="shared" si="114"/>
        <v>-3361.3500000000004</v>
      </c>
      <c r="Q131" s="198">
        <f>SUM(Q129:Q130)</f>
        <v>-23801.620000000006</v>
      </c>
    </row>
    <row r="132" spans="1:27" x14ac:dyDescent="0.25">
      <c r="A132" s="87"/>
      <c r="B132" s="89" t="s">
        <v>139</v>
      </c>
      <c r="C132" s="90">
        <f>'WACAP 2016'!F117+'WACAP 2017'!C131</f>
        <v>16028.789999999997</v>
      </c>
      <c r="D132" s="90">
        <f t="shared" ref="D132:O132" si="115">C132+D131</f>
        <v>15185.090000000004</v>
      </c>
      <c r="E132" s="90">
        <f t="shared" si="115"/>
        <v>12512.220000000005</v>
      </c>
      <c r="F132" s="90">
        <f t="shared" si="115"/>
        <v>9049.8800000000047</v>
      </c>
      <c r="G132" s="90">
        <f t="shared" si="115"/>
        <v>6399.2000000000025</v>
      </c>
      <c r="H132" s="90">
        <f t="shared" si="115"/>
        <v>3651.760000000002</v>
      </c>
      <c r="I132" s="90">
        <f t="shared" si="115"/>
        <v>584.69000000000369</v>
      </c>
      <c r="J132" s="90">
        <f t="shared" si="115"/>
        <v>-3221.7099999999973</v>
      </c>
      <c r="K132" s="90">
        <f t="shared" si="115"/>
        <v>-5717.5399999999981</v>
      </c>
      <c r="L132" s="90">
        <f t="shared" si="115"/>
        <v>-5818.9299999999985</v>
      </c>
      <c r="M132" s="207">
        <f>L132+M131</f>
        <v>-19237.71</v>
      </c>
      <c r="N132" s="90">
        <f t="shared" si="115"/>
        <v>-20440.27</v>
      </c>
      <c r="O132" s="191">
        <f t="shared" si="115"/>
        <v>-23801.620000000003</v>
      </c>
      <c r="Q132" s="178"/>
    </row>
    <row r="133" spans="1:27" x14ac:dyDescent="0.25">
      <c r="A133" s="86"/>
      <c r="C133" s="113"/>
      <c r="D133" s="113"/>
      <c r="E133" s="108"/>
      <c r="F133" s="113"/>
      <c r="G133" s="113"/>
      <c r="H133" s="113"/>
      <c r="I133" s="113"/>
      <c r="J133" s="113"/>
      <c r="K133" s="113"/>
      <c r="L133" s="113"/>
      <c r="M133" s="204"/>
      <c r="N133" s="113"/>
      <c r="O133" s="115"/>
      <c r="Q133" s="178"/>
      <c r="S133" s="122"/>
      <c r="T133" s="108"/>
      <c r="U133" s="108">
        <f>ROUND(T136/Y136,0)</f>
        <v>8000</v>
      </c>
    </row>
    <row r="134" spans="1:27" x14ac:dyDescent="0.25">
      <c r="A134" s="86">
        <v>577</v>
      </c>
      <c r="B134" s="104" t="s">
        <v>88</v>
      </c>
      <c r="C134" s="113"/>
      <c r="D134" s="113"/>
      <c r="E134" s="108"/>
      <c r="F134" s="113"/>
      <c r="G134" s="113"/>
      <c r="H134" s="113"/>
      <c r="I134" s="113"/>
      <c r="J134" s="113"/>
      <c r="K134" s="113"/>
      <c r="L134" s="113"/>
      <c r="M134" s="204"/>
      <c r="N134" s="113"/>
      <c r="O134" s="115"/>
      <c r="Q134" s="178"/>
      <c r="T134">
        <v>577</v>
      </c>
      <c r="U134" s="108">
        <f>ROUND(T137/Y137,0)</f>
        <v>11015</v>
      </c>
      <c r="V134" s="108">
        <f>SUM(U133:U134)</f>
        <v>19015</v>
      </c>
    </row>
    <row r="135" spans="1:27" x14ac:dyDescent="0.25">
      <c r="A135" s="87" t="s">
        <v>64</v>
      </c>
      <c r="B135" t="s">
        <v>65</v>
      </c>
      <c r="C135" s="105">
        <v>2</v>
      </c>
      <c r="D135" s="105">
        <v>2</v>
      </c>
      <c r="E135" s="105">
        <v>2</v>
      </c>
      <c r="F135" s="105">
        <v>2</v>
      </c>
      <c r="G135" s="105">
        <v>2</v>
      </c>
      <c r="H135" s="105">
        <v>2</v>
      </c>
      <c r="I135" s="105">
        <v>2</v>
      </c>
      <c r="J135" s="105">
        <v>2</v>
      </c>
      <c r="K135" s="105">
        <v>2</v>
      </c>
      <c r="L135" s="105">
        <v>2</v>
      </c>
      <c r="M135" s="204"/>
      <c r="N135" s="105">
        <v>2</v>
      </c>
      <c r="O135" s="106">
        <v>2</v>
      </c>
      <c r="P135" s="113"/>
      <c r="Q135" s="179"/>
      <c r="U135" s="113">
        <v>19015</v>
      </c>
      <c r="V135" t="s">
        <v>92</v>
      </c>
      <c r="W135" s="113">
        <f>U135</f>
        <v>19015</v>
      </c>
    </row>
    <row r="136" spans="1:27" x14ac:dyDescent="0.25">
      <c r="A136" s="87" t="s">
        <v>71</v>
      </c>
      <c r="B136" t="s">
        <v>109</v>
      </c>
      <c r="C136" s="116">
        <v>832.08</v>
      </c>
      <c r="D136" s="116">
        <v>832.08</v>
      </c>
      <c r="E136" s="116">
        <v>832.08</v>
      </c>
      <c r="F136" s="116">
        <v>832.08</v>
      </c>
      <c r="G136" s="116">
        <v>832.08</v>
      </c>
      <c r="H136" s="116">
        <v>832.08</v>
      </c>
      <c r="I136" s="116">
        <v>832.08</v>
      </c>
      <c r="J136" s="116">
        <v>832.08</v>
      </c>
      <c r="K136" s="116">
        <v>799</v>
      </c>
      <c r="L136" s="116">
        <v>794.22</v>
      </c>
      <c r="M136" s="206"/>
      <c r="N136" s="116">
        <v>832.08</v>
      </c>
      <c r="O136" s="117">
        <v>832.08</v>
      </c>
      <c r="P136" s="108"/>
      <c r="Q136" s="180"/>
      <c r="S136" s="122" t="s">
        <v>90</v>
      </c>
      <c r="T136" s="108">
        <v>832.08</v>
      </c>
      <c r="U136" s="112">
        <f>T136/U133</f>
        <v>0.10401000000000001</v>
      </c>
      <c r="W136" s="112">
        <f>T136/U133</f>
        <v>0.10401000000000001</v>
      </c>
      <c r="Y136">
        <v>0.10401000000000001</v>
      </c>
      <c r="AA136" s="112">
        <f>Y136-W136</f>
        <v>0</v>
      </c>
    </row>
    <row r="137" spans="1:27" x14ac:dyDescent="0.25">
      <c r="A137" s="87" t="s">
        <v>71</v>
      </c>
      <c r="B137" t="s">
        <v>96</v>
      </c>
      <c r="C137" s="116">
        <v>1364.28</v>
      </c>
      <c r="D137" s="116">
        <v>1548.66</v>
      </c>
      <c r="E137" s="116">
        <v>1115.47</v>
      </c>
      <c r="F137" s="116">
        <v>957.35</v>
      </c>
      <c r="G137" s="116">
        <v>734.38</v>
      </c>
      <c r="H137" s="116">
        <v>434.89</v>
      </c>
      <c r="I137" s="116">
        <v>236.48</v>
      </c>
      <c r="J137" s="116">
        <v>118.16</v>
      </c>
      <c r="K137" s="116">
        <v>41.81</v>
      </c>
      <c r="L137" s="116">
        <v>129.05000000000001</v>
      </c>
      <c r="M137" s="206"/>
      <c r="N137" s="116">
        <v>549.66</v>
      </c>
      <c r="O137" s="117">
        <v>762.42</v>
      </c>
      <c r="P137" s="108"/>
      <c r="Q137" s="180"/>
      <c r="S137" s="122" t="s">
        <v>90</v>
      </c>
      <c r="T137" s="108">
        <v>930.33</v>
      </c>
      <c r="U137" s="112">
        <f>T137/U134</f>
        <v>8.4460281434407633E-2</v>
      </c>
      <c r="W137" s="112">
        <f>T137/U134</f>
        <v>8.4460281434407633E-2</v>
      </c>
      <c r="Y137">
        <v>8.4459999999999993E-2</v>
      </c>
      <c r="AA137" s="112">
        <f>Y137-W137</f>
        <v>-2.8143440763961358E-7</v>
      </c>
    </row>
    <row r="138" spans="1:27" x14ac:dyDescent="0.25">
      <c r="A138" s="87" t="s">
        <v>72</v>
      </c>
      <c r="B138" t="s">
        <v>110</v>
      </c>
      <c r="C138" s="116">
        <v>832.08</v>
      </c>
      <c r="D138" s="116">
        <v>832.08</v>
      </c>
      <c r="E138" s="116">
        <v>832.08</v>
      </c>
      <c r="F138" s="116">
        <v>832.08</v>
      </c>
      <c r="G138" s="116">
        <v>832.08</v>
      </c>
      <c r="H138" s="116">
        <v>832.08</v>
      </c>
      <c r="I138" s="116">
        <v>832.08</v>
      </c>
      <c r="J138" s="116">
        <v>799</v>
      </c>
      <c r="K138" s="116">
        <v>794.22</v>
      </c>
      <c r="L138" s="116">
        <v>832.08</v>
      </c>
      <c r="M138" s="206"/>
      <c r="N138" s="116">
        <v>832.08</v>
      </c>
      <c r="O138" s="117">
        <v>832.08</v>
      </c>
      <c r="P138" s="108"/>
      <c r="Q138" s="180"/>
      <c r="S138" s="122" t="s">
        <v>91</v>
      </c>
      <c r="T138" s="108">
        <v>8208.2000000000007</v>
      </c>
      <c r="U138" s="112">
        <f>T138/U135</f>
        <v>0.43166973442019463</v>
      </c>
      <c r="W138" s="112">
        <f>T138/W135</f>
        <v>0.43166973442019463</v>
      </c>
      <c r="Y138">
        <v>0.43167</v>
      </c>
      <c r="AA138" s="112">
        <f>Y138-W138</f>
        <v>2.6557980536967563E-7</v>
      </c>
    </row>
    <row r="139" spans="1:27" x14ac:dyDescent="0.25">
      <c r="A139" s="87" t="s">
        <v>72</v>
      </c>
      <c r="B139" t="s">
        <v>111</v>
      </c>
      <c r="C139" s="116">
        <v>1548.66</v>
      </c>
      <c r="D139" s="116">
        <v>1115.47</v>
      </c>
      <c r="E139" s="116">
        <v>957.35</v>
      </c>
      <c r="F139" s="116">
        <v>734.38</v>
      </c>
      <c r="G139" s="116">
        <v>434.89</v>
      </c>
      <c r="H139" s="116">
        <v>236.48</v>
      </c>
      <c r="I139" s="116">
        <v>118.16</v>
      </c>
      <c r="J139" s="116">
        <v>41.81</v>
      </c>
      <c r="K139" s="116">
        <v>129.05000000000001</v>
      </c>
      <c r="L139" s="116">
        <v>549.66</v>
      </c>
      <c r="M139" s="206"/>
      <c r="N139" s="116">
        <v>762.42</v>
      </c>
      <c r="O139" s="117">
        <v>930.33</v>
      </c>
      <c r="P139" s="108"/>
      <c r="Q139" s="180"/>
      <c r="AA139" s="112"/>
    </row>
    <row r="140" spans="1:27" x14ac:dyDescent="0.25">
      <c r="A140" s="87" t="s">
        <v>72</v>
      </c>
      <c r="B140" t="s">
        <v>112</v>
      </c>
      <c r="C140" s="116">
        <f>-'WACAP 2016'!F123</f>
        <v>-832.08</v>
      </c>
      <c r="D140" s="116">
        <f>-C138</f>
        <v>-832.08</v>
      </c>
      <c r="E140" s="116">
        <f>-D138</f>
        <v>-832.08</v>
      </c>
      <c r="F140" s="116">
        <f>-E138</f>
        <v>-832.08</v>
      </c>
      <c r="G140" s="116">
        <f t="shared" ref="D140:I141" si="116">-F138</f>
        <v>-832.08</v>
      </c>
      <c r="H140" s="116">
        <f t="shared" si="116"/>
        <v>-832.08</v>
      </c>
      <c r="I140" s="116">
        <f t="shared" si="116"/>
        <v>-832.08</v>
      </c>
      <c r="J140" s="116">
        <f t="shared" ref="J140:J141" si="117">-I138</f>
        <v>-832.08</v>
      </c>
      <c r="K140" s="116">
        <f t="shared" ref="K140:K141" si="118">-J138</f>
        <v>-799</v>
      </c>
      <c r="L140" s="116">
        <f t="shared" ref="L140:L141" si="119">-K138</f>
        <v>-794.22</v>
      </c>
      <c r="M140" s="206"/>
      <c r="N140" s="116">
        <f t="shared" ref="N140:N141" si="120">-L138</f>
        <v>-832.08</v>
      </c>
      <c r="O140" s="117">
        <f>-N138</f>
        <v>-832.08</v>
      </c>
      <c r="P140" s="108"/>
      <c r="Q140" s="180"/>
    </row>
    <row r="141" spans="1:27" x14ac:dyDescent="0.25">
      <c r="A141" s="87" t="s">
        <v>72</v>
      </c>
      <c r="B141" t="s">
        <v>113</v>
      </c>
      <c r="C141" s="95">
        <f>-'WACAP 2016'!F124</f>
        <v>-1364.28</v>
      </c>
      <c r="D141" s="95">
        <f t="shared" si="116"/>
        <v>-1548.66</v>
      </c>
      <c r="E141" s="95">
        <f t="shared" si="116"/>
        <v>-1115.47</v>
      </c>
      <c r="F141" s="95">
        <f t="shared" si="116"/>
        <v>-957.35</v>
      </c>
      <c r="G141" s="95">
        <f t="shared" si="116"/>
        <v>-734.38</v>
      </c>
      <c r="H141" s="95">
        <f t="shared" si="116"/>
        <v>-434.89</v>
      </c>
      <c r="I141" s="95">
        <f t="shared" si="116"/>
        <v>-236.48</v>
      </c>
      <c r="J141" s="95">
        <f t="shared" si="117"/>
        <v>-118.16</v>
      </c>
      <c r="K141" s="95">
        <f t="shared" si="118"/>
        <v>-41.81</v>
      </c>
      <c r="L141" s="95">
        <f t="shared" si="119"/>
        <v>-129.05000000000001</v>
      </c>
      <c r="M141" s="205"/>
      <c r="N141" s="95">
        <f t="shared" si="120"/>
        <v>-549.66</v>
      </c>
      <c r="O141" s="107">
        <f>-N139</f>
        <v>-762.42</v>
      </c>
      <c r="P141" s="108"/>
      <c r="Q141" s="180"/>
    </row>
    <row r="142" spans="1:27" x14ac:dyDescent="0.25">
      <c r="A142" s="4"/>
      <c r="B142" s="89" t="s">
        <v>74</v>
      </c>
      <c r="C142" s="108">
        <f t="shared" ref="C142:E142" si="121">SUM(C136:C141)</f>
        <v>2380.7400000000007</v>
      </c>
      <c r="D142" s="108">
        <f t="shared" si="121"/>
        <v>1947.55</v>
      </c>
      <c r="E142" s="108">
        <f t="shared" si="121"/>
        <v>1789.43</v>
      </c>
      <c r="F142" s="108">
        <f>SUM(F136:F141)</f>
        <v>1566.4600000000005</v>
      </c>
      <c r="G142" s="108">
        <f t="shared" ref="G142:O142" si="122">SUM(G136:G141)</f>
        <v>1266.9699999999998</v>
      </c>
      <c r="H142" s="108">
        <f t="shared" si="122"/>
        <v>1068.5600000000004</v>
      </c>
      <c r="I142" s="108">
        <f t="shared" si="122"/>
        <v>950.23999999999978</v>
      </c>
      <c r="J142" s="108">
        <f t="shared" ref="J142:N142" si="123">SUM(J136:J141)</f>
        <v>840.81</v>
      </c>
      <c r="K142" s="108">
        <f t="shared" si="123"/>
        <v>923.27</v>
      </c>
      <c r="L142" s="108">
        <f t="shared" si="123"/>
        <v>1381.7399999999998</v>
      </c>
      <c r="M142" s="206">
        <f t="shared" ref="M142" si="124">SUM(M136:M141)</f>
        <v>0</v>
      </c>
      <c r="N142" s="108">
        <f t="shared" si="123"/>
        <v>1594.5000000000005</v>
      </c>
      <c r="O142" s="111">
        <f t="shared" si="122"/>
        <v>1762.4099999999999</v>
      </c>
      <c r="Q142" s="178"/>
    </row>
    <row r="143" spans="1:27" x14ac:dyDescent="0.25">
      <c r="A143" s="4"/>
      <c r="B143" s="89" t="s">
        <v>73</v>
      </c>
      <c r="C143" s="88">
        <f>ROUND(-'Authorized Margins'!J105*'WACAP 2017'!C135,2)</f>
        <v>-2343.46</v>
      </c>
      <c r="D143" s="88">
        <f>ROUND(-'Authorized Margins'!K105*'WACAP 2017'!D135,2)</f>
        <v>-2320.3200000000002</v>
      </c>
      <c r="E143" s="88">
        <f>ROUND(-'Authorized Margins'!L105*'WACAP 2017'!E135,2)</f>
        <v>-1840.36</v>
      </c>
      <c r="F143" s="88">
        <f>ROUND(-'Authorized Margins'!M105*'WACAP 2017'!F135,2)</f>
        <v>-1772.62</v>
      </c>
      <c r="G143" s="88">
        <f>ROUND(-'Authorized Margins'!N105*'WACAP 2017'!G135,2)</f>
        <v>-1589.68</v>
      </c>
      <c r="H143" s="88">
        <f>ROUND(-'Authorized Margins'!O105*'WACAP 2017'!H135,2)</f>
        <v>-1271.5</v>
      </c>
      <c r="I143" s="88">
        <f>ROUND(-'Authorized Margins'!D105*'WACAP 2017'!I135,2)</f>
        <v>-1373.4</v>
      </c>
      <c r="J143" s="88">
        <f>ROUND(-'Authorized Margins'!E105*'WACAP 2017'!J135,2)</f>
        <v>-1098.78</v>
      </c>
      <c r="K143" s="88">
        <f>ROUND(-'Authorized Margins'!F105*'WACAP 2017'!K135,2)</f>
        <v>-1082.82</v>
      </c>
      <c r="L143" s="88">
        <f>ROUND(-'Authorized Margins'!G105*'WACAP 2017'!L135,2)</f>
        <v>-1240.3</v>
      </c>
      <c r="M143" s="205">
        <f>ROUND(-'Authorized Margins'!G105*'WACAP 2017'!M135,2)</f>
        <v>0</v>
      </c>
      <c r="N143" s="88">
        <f>ROUND(-'Authorized Margins'!H105*'WACAP 2017'!N135,2)</f>
        <v>-1500.44</v>
      </c>
      <c r="O143" s="110">
        <f>ROUND(-'Authorized Margins'!I105*'WACAP 2017'!O135,2)</f>
        <v>-2059.96</v>
      </c>
      <c r="Q143" s="178"/>
    </row>
    <row r="144" spans="1:27" x14ac:dyDescent="0.25">
      <c r="A144" s="4"/>
      <c r="B144" s="89" t="s">
        <v>75</v>
      </c>
      <c r="C144" s="90">
        <f t="shared" ref="C144:O144" si="125">SUM(C142:C143)</f>
        <v>37.280000000000655</v>
      </c>
      <c r="D144" s="90">
        <f t="shared" si="125"/>
        <v>-372.77000000000021</v>
      </c>
      <c r="E144" s="90">
        <f t="shared" si="125"/>
        <v>-50.929999999999836</v>
      </c>
      <c r="F144" s="90">
        <f t="shared" si="125"/>
        <v>-206.1599999999994</v>
      </c>
      <c r="G144" s="90">
        <f t="shared" si="125"/>
        <v>-322.71000000000026</v>
      </c>
      <c r="H144" s="90">
        <f t="shared" si="125"/>
        <v>-202.9399999999996</v>
      </c>
      <c r="I144" s="90">
        <f t="shared" si="125"/>
        <v>-423.16000000000031</v>
      </c>
      <c r="J144" s="90">
        <f t="shared" si="125"/>
        <v>-257.97000000000003</v>
      </c>
      <c r="K144" s="90">
        <f t="shared" si="125"/>
        <v>-159.54999999999995</v>
      </c>
      <c r="L144" s="90">
        <f t="shared" si="125"/>
        <v>141.43999999999983</v>
      </c>
      <c r="M144" s="207">
        <f>-'WACAP 2016'!H131</f>
        <v>-193.0599999999998</v>
      </c>
      <c r="N144" s="90">
        <f t="shared" si="125"/>
        <v>94.0600000000004</v>
      </c>
      <c r="O144" s="111">
        <f t="shared" si="125"/>
        <v>-297.55000000000018</v>
      </c>
      <c r="Q144" s="180">
        <f>SUM(C144:P144)-M144</f>
        <v>-2020.9599999999989</v>
      </c>
    </row>
    <row r="145" spans="1:19" x14ac:dyDescent="0.25">
      <c r="A145" s="87"/>
      <c r="B145" s="89" t="s">
        <v>137</v>
      </c>
      <c r="C145" s="187">
        <f>ROUND(ROUND('WACAP 2016'!F132*C$5,2)/365*C$6,2)</f>
        <v>0.56999999999999995</v>
      </c>
      <c r="D145" s="187">
        <f>ROUND(ROUND(C147*D$5,2)/365*D$6,2)</f>
        <v>0.62</v>
      </c>
      <c r="E145" s="187">
        <f t="shared" ref="E145:O145" si="126">ROUND(ROUND(D147*E$5,2)/365*E$6,2)</f>
        <v>-0.42</v>
      </c>
      <c r="F145" s="187">
        <f t="shared" si="126"/>
        <v>-0.59</v>
      </c>
      <c r="G145" s="187">
        <f t="shared" si="126"/>
        <v>-1.26</v>
      </c>
      <c r="H145" s="187">
        <f t="shared" si="126"/>
        <v>-2.21</v>
      </c>
      <c r="I145" s="187">
        <f t="shared" si="126"/>
        <v>-3.12</v>
      </c>
      <c r="J145" s="187">
        <f t="shared" si="126"/>
        <v>-4.5599999999999996</v>
      </c>
      <c r="K145" s="187">
        <f t="shared" si="126"/>
        <v>-5.26</v>
      </c>
      <c r="L145" s="187">
        <f>ROUND(ROUND(K147*L$5,2)/365*L$6,2)</f>
        <v>-6.37</v>
      </c>
      <c r="M145" s="208">
        <f>'Ammort Split 2017'!N145</f>
        <v>-6.1499999999999995</v>
      </c>
      <c r="N145" s="187">
        <f>ROUND(ROUND(M147*N$5,2)/365*N$6,2)</f>
        <v>-6.39</v>
      </c>
      <c r="O145" s="188">
        <f t="shared" si="126"/>
        <v>-6.29</v>
      </c>
      <c r="Q145" s="196">
        <f>SUM(C145:P145)</f>
        <v>-41.429999999999993</v>
      </c>
    </row>
    <row r="146" spans="1:19" x14ac:dyDescent="0.25">
      <c r="A146" s="87"/>
      <c r="B146" s="89" t="s">
        <v>138</v>
      </c>
      <c r="C146" s="189">
        <f t="shared" ref="C146:O146" si="127">SUM(C144:C145)</f>
        <v>37.850000000000655</v>
      </c>
      <c r="D146" s="189">
        <f t="shared" si="127"/>
        <v>-372.1500000000002</v>
      </c>
      <c r="E146" s="189">
        <f t="shared" si="127"/>
        <v>-51.349999999999838</v>
      </c>
      <c r="F146" s="189">
        <f t="shared" si="127"/>
        <v>-206.7499999999994</v>
      </c>
      <c r="G146" s="189">
        <f t="shared" si="127"/>
        <v>-323.97000000000025</v>
      </c>
      <c r="H146" s="189">
        <f t="shared" si="127"/>
        <v>-205.14999999999961</v>
      </c>
      <c r="I146" s="189">
        <f t="shared" si="127"/>
        <v>-426.28000000000031</v>
      </c>
      <c r="J146" s="189">
        <f t="shared" si="127"/>
        <v>-262.53000000000003</v>
      </c>
      <c r="K146" s="189">
        <f t="shared" si="127"/>
        <v>-164.80999999999995</v>
      </c>
      <c r="L146" s="189">
        <f t="shared" si="127"/>
        <v>135.06999999999982</v>
      </c>
      <c r="M146" s="209">
        <f t="shared" ref="M146" si="128">SUM(M144:M145)</f>
        <v>-199.20999999999981</v>
      </c>
      <c r="N146" s="189">
        <f t="shared" si="127"/>
        <v>87.6700000000004</v>
      </c>
      <c r="O146" s="190">
        <f t="shared" si="127"/>
        <v>-303.8400000000002</v>
      </c>
      <c r="Q146" s="198">
        <f>SUM(Q144:Q145)</f>
        <v>-2062.389999999999</v>
      </c>
    </row>
    <row r="147" spans="1:19" x14ac:dyDescent="0.25">
      <c r="A147" s="87"/>
      <c r="B147" s="89" t="s">
        <v>139</v>
      </c>
      <c r="C147" s="90">
        <f>'WACAP 2016'!F132+'WACAP 2017'!C146</f>
        <v>230.91000000000045</v>
      </c>
      <c r="D147" s="90">
        <f t="shared" ref="D147:O147" si="129">C147+D146</f>
        <v>-141.23999999999975</v>
      </c>
      <c r="E147" s="90">
        <f t="shared" si="129"/>
        <v>-192.58999999999958</v>
      </c>
      <c r="F147" s="90">
        <f t="shared" si="129"/>
        <v>-399.33999999999901</v>
      </c>
      <c r="G147" s="90">
        <f t="shared" si="129"/>
        <v>-723.30999999999926</v>
      </c>
      <c r="H147" s="90">
        <f t="shared" si="129"/>
        <v>-928.4599999999989</v>
      </c>
      <c r="I147" s="90">
        <f t="shared" si="129"/>
        <v>-1354.7399999999993</v>
      </c>
      <c r="J147" s="90">
        <f t="shared" si="129"/>
        <v>-1617.2699999999993</v>
      </c>
      <c r="K147" s="90">
        <f t="shared" si="129"/>
        <v>-1782.0799999999992</v>
      </c>
      <c r="L147" s="90">
        <f t="shared" si="129"/>
        <v>-1647.0099999999993</v>
      </c>
      <c r="M147" s="207">
        <f t="shared" si="129"/>
        <v>-1846.2199999999991</v>
      </c>
      <c r="N147" s="90">
        <f t="shared" si="129"/>
        <v>-1758.5499999999988</v>
      </c>
      <c r="O147" s="191">
        <f t="shared" si="129"/>
        <v>-2062.389999999999</v>
      </c>
      <c r="Q147" s="178"/>
    </row>
    <row r="148" spans="1:19" ht="15.75" thickBot="1" x14ac:dyDescent="0.3">
      <c r="A148" s="118"/>
      <c r="B148" s="119"/>
      <c r="C148" s="119"/>
      <c r="D148" s="119"/>
      <c r="E148" s="176"/>
      <c r="F148" s="119"/>
      <c r="G148" s="119"/>
      <c r="H148" s="119"/>
      <c r="I148" s="119"/>
      <c r="J148" s="119"/>
      <c r="K148" s="119"/>
      <c r="L148" s="119"/>
      <c r="M148" s="211"/>
      <c r="N148" s="119"/>
      <c r="O148" s="120"/>
      <c r="Q148" s="181"/>
    </row>
    <row r="149" spans="1:19" x14ac:dyDescent="0.25">
      <c r="E149" s="108"/>
      <c r="M149" s="203"/>
    </row>
    <row r="150" spans="1:19" x14ac:dyDescent="0.25">
      <c r="B150" s="89" t="s">
        <v>89</v>
      </c>
      <c r="C150" s="90">
        <f t="shared" ref="C150:N150" si="130">C12+C24+C62+C74+C37+C114+C50+C89+C99+C129+C144</f>
        <v>3172497.1700000004</v>
      </c>
      <c r="D150" s="90">
        <f t="shared" si="130"/>
        <v>1296785.679999999</v>
      </c>
      <c r="E150" s="90">
        <f t="shared" si="130"/>
        <v>644163.90000000049</v>
      </c>
      <c r="F150" s="90">
        <f t="shared" si="130"/>
        <v>800040.13</v>
      </c>
      <c r="G150" s="90">
        <f t="shared" si="130"/>
        <v>358834.09999999992</v>
      </c>
      <c r="H150" s="90">
        <f t="shared" si="130"/>
        <v>-736242.68999999971</v>
      </c>
      <c r="I150" s="90">
        <f t="shared" si="130"/>
        <v>-133175.95999999982</v>
      </c>
      <c r="J150" s="90">
        <f t="shared" si="130"/>
        <v>-493325.73000000016</v>
      </c>
      <c r="K150" s="90">
        <f t="shared" si="130"/>
        <v>32838.199999999866</v>
      </c>
      <c r="L150" s="90">
        <f t="shared" si="130"/>
        <v>89282.540000000241</v>
      </c>
      <c r="M150" s="207">
        <f t="shared" si="130"/>
        <v>-189010.88999999798</v>
      </c>
      <c r="N150" s="90">
        <f t="shared" si="130"/>
        <v>64892.239999999969</v>
      </c>
      <c r="O150" s="90">
        <f>O12+O24+O62+O74+O37+O114+O50+O89+O99+O129+O144</f>
        <v>619237.86000000185</v>
      </c>
      <c r="Q150" s="187">
        <f>Q12+Q24+Q74+Q37+Q114+Q50+Q89+Q99+Q129+Q144+Q62</f>
        <v>5715827.4400000023</v>
      </c>
      <c r="S150" s="108"/>
    </row>
    <row r="151" spans="1:19" x14ac:dyDescent="0.25">
      <c r="B151" s="89" t="s">
        <v>141</v>
      </c>
      <c r="C151" s="199">
        <f>C13+C25+C63+C75+C38+C115+C51+C90+C100+C130+C145+0.01</f>
        <v>561.85000000000014</v>
      </c>
      <c r="D151" s="199">
        <f>D13+D25+D63+D75+D38+D115+D51+D90+D100+D130+D145-0.02</f>
        <v>9026.9300000000021</v>
      </c>
      <c r="E151" s="199">
        <f>E13+E25+E63+E75+E38+E115+E51+E90+E100+E130+E145+0.01</f>
        <v>13875.760000000002</v>
      </c>
      <c r="F151" s="199">
        <f>F13+F25+F63+F75+F38+F115+F51+F90+F100+F130+F145+0.01</f>
        <v>16240.409999999998</v>
      </c>
      <c r="G151" s="187">
        <f>G13+G25+G63+G75+G38+G115+G51+G90+G100+G130+G145</f>
        <v>19353.830000000002</v>
      </c>
      <c r="H151" s="187">
        <f>H13+H25+H63+H75+H38+H115+H51+H90+H100+H130+H145</f>
        <v>19882.73</v>
      </c>
      <c r="I151" s="199">
        <f>I13+I25+I63+I75+I38+I115+I51+I90+I100+I130+I145-0.01</f>
        <v>19520.620000000003</v>
      </c>
      <c r="J151" s="199">
        <f>J13+J25+J63+J75+J38+J115+J51+J90+J100+J130+J145+0.01</f>
        <v>19138.37</v>
      </c>
      <c r="K151" s="199">
        <f>K13+K25+K63+K75+K38+K115+K51+K90+K100+K130+K145-0.01</f>
        <v>16977.620000000003</v>
      </c>
      <c r="L151" s="187">
        <f>L13+L25+L63+L75+L38+L115+L51+L90+L100+L130+L145</f>
        <v>18829.210000000003</v>
      </c>
      <c r="M151" s="208">
        <f>M13+M25+M63+M75+M38+M115+M51+M90+M100+M130+M145</f>
        <v>-6026.58</v>
      </c>
      <c r="N151" s="187">
        <f>N13+N25+N63+N75+N38+N115+N51+N90+N100+N130+N145</f>
        <v>17921.030000000002</v>
      </c>
      <c r="O151" s="187">
        <f>O13+O25+O63+O75+O38+O115+O51+O90+O100+O130+O145</f>
        <v>18814.509999999998</v>
      </c>
      <c r="Q151" s="189">
        <f>Q13+Q25+Q75+Q38+Q115+Q51+Q90+Q100+Q130+Q145+Q63</f>
        <v>184116.28999999995</v>
      </c>
      <c r="S151" s="108"/>
    </row>
    <row r="152" spans="1:19" x14ac:dyDescent="0.25">
      <c r="B152" s="89" t="s">
        <v>139</v>
      </c>
      <c r="C152" s="90">
        <f>SUM(C150:C151)+'WACAP 2016'!F137</f>
        <v>3362069.9099999983</v>
      </c>
      <c r="D152" s="90">
        <f t="shared" ref="D152:K152" si="131">SUM(D150:D151)+C152</f>
        <v>4667882.5199999977</v>
      </c>
      <c r="E152" s="90">
        <f t="shared" si="131"/>
        <v>5325922.1799999978</v>
      </c>
      <c r="F152" s="90">
        <f t="shared" si="131"/>
        <v>6142202.7199999979</v>
      </c>
      <c r="G152" s="90">
        <f t="shared" si="131"/>
        <v>6520390.6499999976</v>
      </c>
      <c r="H152" s="90">
        <f t="shared" si="131"/>
        <v>5804030.6899999976</v>
      </c>
      <c r="I152" s="90">
        <f t="shared" si="131"/>
        <v>5690375.3499999978</v>
      </c>
      <c r="J152" s="90">
        <f t="shared" si="131"/>
        <v>5216187.9899999974</v>
      </c>
      <c r="K152" s="90">
        <f t="shared" si="131"/>
        <v>5266003.8099999977</v>
      </c>
      <c r="L152" s="90">
        <f>SUM(L150:L151)+K152</f>
        <v>5374115.5599999977</v>
      </c>
      <c r="M152" s="207">
        <f>SUM(M150:M151)+L152</f>
        <v>5179078.09</v>
      </c>
      <c r="N152" s="90">
        <f>SUM(N150:N151)+M152</f>
        <v>5261891.3599999994</v>
      </c>
      <c r="O152" s="128">
        <f>SUM(O150:O151)+N152</f>
        <v>5899943.7300000014</v>
      </c>
      <c r="Q152" s="128">
        <f>SUM(Q150:Q151)</f>
        <v>5899943.7300000023</v>
      </c>
      <c r="S152" s="108"/>
    </row>
    <row r="153" spans="1:19" x14ac:dyDescent="0.25">
      <c r="B153" s="89"/>
      <c r="C153" s="187"/>
      <c r="D153" s="90"/>
      <c r="E153" s="90"/>
      <c r="F153" s="90"/>
      <c r="G153" s="90"/>
      <c r="H153" s="90"/>
      <c r="I153" s="90"/>
      <c r="J153" s="90"/>
      <c r="K153" s="90"/>
      <c r="L153" s="90"/>
      <c r="M153" s="207"/>
      <c r="N153" s="90"/>
      <c r="O153" s="90"/>
    </row>
    <row r="154" spans="1:19" x14ac:dyDescent="0.25">
      <c r="A154" s="696" t="s">
        <v>76</v>
      </c>
      <c r="E154" s="108"/>
      <c r="M154" s="217" t="s">
        <v>147</v>
      </c>
    </row>
    <row r="155" spans="1:19" ht="15.75" x14ac:dyDescent="0.25">
      <c r="A155" s="697"/>
      <c r="B155" s="93"/>
      <c r="C155" s="121">
        <v>42766</v>
      </c>
      <c r="D155" s="121">
        <v>42794</v>
      </c>
      <c r="E155" s="121">
        <v>42825</v>
      </c>
      <c r="F155" s="121">
        <v>42855</v>
      </c>
      <c r="G155" s="121">
        <v>42886</v>
      </c>
      <c r="H155" s="121">
        <v>42916</v>
      </c>
      <c r="I155" s="121">
        <v>42947</v>
      </c>
      <c r="J155" s="121">
        <v>42978</v>
      </c>
      <c r="K155" s="121">
        <v>43008</v>
      </c>
      <c r="L155" s="121">
        <v>43039</v>
      </c>
      <c r="M155" s="212">
        <v>43069</v>
      </c>
      <c r="N155" s="121">
        <v>43069</v>
      </c>
      <c r="O155" s="121">
        <v>43100</v>
      </c>
    </row>
    <row r="156" spans="1:19" ht="15.75" x14ac:dyDescent="0.25">
      <c r="A156" s="96" t="s">
        <v>127</v>
      </c>
      <c r="B156" s="97" t="s">
        <v>79</v>
      </c>
      <c r="C156" s="99">
        <f>-C150</f>
        <v>-3172497.1700000004</v>
      </c>
      <c r="D156" s="99">
        <f t="shared" ref="D156:O156" si="132">-D150</f>
        <v>-1296785.679999999</v>
      </c>
      <c r="E156" s="99">
        <f t="shared" si="132"/>
        <v>-644163.90000000049</v>
      </c>
      <c r="F156" s="99">
        <f t="shared" si="132"/>
        <v>-800040.13</v>
      </c>
      <c r="G156" s="99">
        <f t="shared" si="132"/>
        <v>-358834.09999999992</v>
      </c>
      <c r="H156" s="99">
        <f t="shared" si="132"/>
        <v>736242.68999999971</v>
      </c>
      <c r="I156" s="99">
        <f t="shared" si="132"/>
        <v>133175.95999999982</v>
      </c>
      <c r="J156" s="99">
        <f t="shared" ref="J156:N156" si="133">-J150</f>
        <v>493325.73000000016</v>
      </c>
      <c r="K156" s="99">
        <f t="shared" si="133"/>
        <v>-32838.199999999866</v>
      </c>
      <c r="L156" s="99">
        <f t="shared" si="133"/>
        <v>-89282.540000000241</v>
      </c>
      <c r="M156" s="213">
        <f t="shared" ref="M156" si="134">-M150</f>
        <v>189010.88999999798</v>
      </c>
      <c r="N156" s="99">
        <f t="shared" si="133"/>
        <v>-64892.239999999969</v>
      </c>
      <c r="O156" s="99">
        <f t="shared" si="132"/>
        <v>-619237.86000000185</v>
      </c>
      <c r="R156" s="108">
        <f t="shared" ref="R156:R161" si="135">SUM(C156:K156)</f>
        <v>-4942414.8</v>
      </c>
    </row>
    <row r="157" spans="1:19" ht="15.75" x14ac:dyDescent="0.25">
      <c r="A157" s="92" t="s">
        <v>128</v>
      </c>
      <c r="B157" s="94" t="s">
        <v>77</v>
      </c>
      <c r="C157" s="99">
        <f>C12+C24</f>
        <v>1752239.6899999992</v>
      </c>
      <c r="D157" s="99">
        <f t="shared" ref="D157:O157" si="136">D12+D24</f>
        <v>614445.38999999955</v>
      </c>
      <c r="E157" s="99">
        <f t="shared" si="136"/>
        <v>360272.30000000075</v>
      </c>
      <c r="F157" s="99">
        <f t="shared" si="136"/>
        <v>497279.07999999961</v>
      </c>
      <c r="G157" s="99">
        <f t="shared" si="136"/>
        <v>173614.65000000034</v>
      </c>
      <c r="H157" s="99">
        <f t="shared" si="136"/>
        <v>-557641.71999999986</v>
      </c>
      <c r="I157" s="99">
        <f t="shared" si="136"/>
        <v>-80057.449999999866</v>
      </c>
      <c r="J157" s="99">
        <f t="shared" si="136"/>
        <v>-341392.58</v>
      </c>
      <c r="K157" s="99">
        <f t="shared" si="136"/>
        <v>-16458.080000000027</v>
      </c>
      <c r="L157" s="99">
        <f t="shared" si="136"/>
        <v>72479.520000000004</v>
      </c>
      <c r="M157" s="213">
        <f t="shared" ref="M157" si="137">M12+M24</f>
        <v>-160161.65999999834</v>
      </c>
      <c r="N157" s="99">
        <f t="shared" si="136"/>
        <v>26381.849999999664</v>
      </c>
      <c r="O157" s="99">
        <f t="shared" si="136"/>
        <v>232866.72000000169</v>
      </c>
      <c r="R157" s="108">
        <f t="shared" si="135"/>
        <v>2402301.2799999998</v>
      </c>
    </row>
    <row r="158" spans="1:19" ht="15.75" x14ac:dyDescent="0.25">
      <c r="A158" s="92" t="s">
        <v>129</v>
      </c>
      <c r="B158" s="94" t="s">
        <v>80</v>
      </c>
      <c r="C158" s="99">
        <f>C37+C50</f>
        <v>74580.499999999985</v>
      </c>
      <c r="D158" s="99">
        <f t="shared" ref="D158:O158" si="138">D37+D50</f>
        <v>-6454.0499999999847</v>
      </c>
      <c r="E158" s="99">
        <f t="shared" si="138"/>
        <v>56679.970000000008</v>
      </c>
      <c r="F158" s="99">
        <f t="shared" si="138"/>
        <v>21486.639999999992</v>
      </c>
      <c r="G158" s="99">
        <f t="shared" si="138"/>
        <v>20137.019999999997</v>
      </c>
      <c r="H158" s="99">
        <f t="shared" si="138"/>
        <v>32605.739999999998</v>
      </c>
      <c r="I158" s="99">
        <f t="shared" si="138"/>
        <v>-4247.6499999999905</v>
      </c>
      <c r="J158" s="99">
        <f t="shared" si="138"/>
        <v>42669.54</v>
      </c>
      <c r="K158" s="99">
        <f t="shared" si="138"/>
        <v>10294.540000000001</v>
      </c>
      <c r="L158" s="99">
        <f t="shared" si="138"/>
        <v>-9772.5199999999968</v>
      </c>
      <c r="M158" s="213">
        <f t="shared" ref="M158" si="139">M37+M50</f>
        <v>9269.5399999999936</v>
      </c>
      <c r="N158" s="99">
        <f t="shared" si="138"/>
        <v>28290.98000000001</v>
      </c>
      <c r="O158" s="99">
        <f t="shared" si="138"/>
        <v>-13436.520000000015</v>
      </c>
      <c r="R158" s="108">
        <f t="shared" si="135"/>
        <v>247752.25</v>
      </c>
    </row>
    <row r="159" spans="1:19" ht="15.75" x14ac:dyDescent="0.25">
      <c r="A159" s="92" t="s">
        <v>130</v>
      </c>
      <c r="B159" s="94" t="s">
        <v>78</v>
      </c>
      <c r="C159" s="99">
        <f>C62+C74+C89+C99</f>
        <v>1343060.0200000012</v>
      </c>
      <c r="D159" s="99">
        <f t="shared" ref="D159:O159" si="140">D62+D74+D89+D99</f>
        <v>690577.17999999947</v>
      </c>
      <c r="E159" s="99">
        <f t="shared" si="140"/>
        <v>230397.00999999981</v>
      </c>
      <c r="F159" s="99">
        <f t="shared" si="140"/>
        <v>285285.70000000048</v>
      </c>
      <c r="G159" s="99">
        <f t="shared" si="140"/>
        <v>168345.21999999956</v>
      </c>
      <c r="H159" s="99">
        <f t="shared" si="140"/>
        <v>-208026.06999999989</v>
      </c>
      <c r="I159" s="99">
        <f t="shared" si="140"/>
        <v>-45168.849999999948</v>
      </c>
      <c r="J159" s="99">
        <f t="shared" si="140"/>
        <v>-190374.64000000007</v>
      </c>
      <c r="K159" s="99">
        <f t="shared" si="140"/>
        <v>41865.819999999898</v>
      </c>
      <c r="L159" s="99">
        <f t="shared" si="140"/>
        <v>26893.950000000234</v>
      </c>
      <c r="M159" s="213">
        <f t="shared" ref="M159" si="141">M62+M74+M89+M99</f>
        <v>-26315.019999999618</v>
      </c>
      <c r="N159" s="99">
        <f t="shared" si="140"/>
        <v>11521.490000000291</v>
      </c>
      <c r="O159" s="99">
        <f t="shared" si="140"/>
        <v>403813.90000000037</v>
      </c>
      <c r="R159" s="108">
        <f t="shared" si="135"/>
        <v>2315961.3900000006</v>
      </c>
    </row>
    <row r="160" spans="1:19" ht="15.75" x14ac:dyDescent="0.25">
      <c r="A160" s="92" t="s">
        <v>131</v>
      </c>
      <c r="B160" s="94" t="s">
        <v>81</v>
      </c>
      <c r="C160" s="99">
        <f t="shared" ref="C160:O160" si="142">C114</f>
        <v>-406.31000000000006</v>
      </c>
      <c r="D160" s="99">
        <f t="shared" si="142"/>
        <v>-523.33000000000004</v>
      </c>
      <c r="E160" s="99">
        <f t="shared" si="142"/>
        <v>-416.44</v>
      </c>
      <c r="F160" s="99">
        <f t="shared" si="142"/>
        <v>-304.64</v>
      </c>
      <c r="G160" s="99">
        <f t="shared" si="142"/>
        <v>-260.88</v>
      </c>
      <c r="H160" s="99">
        <f t="shared" si="142"/>
        <v>-210.75</v>
      </c>
      <c r="I160" s="99">
        <f t="shared" si="142"/>
        <v>-199.5</v>
      </c>
      <c r="J160" s="99">
        <f t="shared" si="142"/>
        <v>-161.71</v>
      </c>
      <c r="K160" s="99">
        <f t="shared" si="142"/>
        <v>-219.19</v>
      </c>
      <c r="L160" s="99">
        <f t="shared" si="142"/>
        <v>-378.90000000000003</v>
      </c>
      <c r="M160" s="213">
        <f t="shared" ref="M160" si="143">M114</f>
        <v>1393.45</v>
      </c>
      <c r="N160" s="99">
        <f t="shared" si="142"/>
        <v>-260.14999999999998</v>
      </c>
      <c r="O160" s="99">
        <f t="shared" si="142"/>
        <v>-420.42999999999995</v>
      </c>
      <c r="R160" s="108">
        <f t="shared" si="135"/>
        <v>-2702.7500000000005</v>
      </c>
    </row>
    <row r="161" spans="1:18" ht="15.75" x14ac:dyDescent="0.25">
      <c r="A161" s="98" t="s">
        <v>132</v>
      </c>
      <c r="B161" s="91" t="s">
        <v>82</v>
      </c>
      <c r="C161" s="100">
        <f t="shared" ref="C161:O161" si="144">C129+C144</f>
        <v>3023.269999999995</v>
      </c>
      <c r="D161" s="100">
        <f t="shared" si="144"/>
        <v>-1259.5099999999945</v>
      </c>
      <c r="E161" s="100">
        <f t="shared" si="144"/>
        <v>-2768.9399999999982</v>
      </c>
      <c r="F161" s="100">
        <f t="shared" si="144"/>
        <v>-3706.6499999999992</v>
      </c>
      <c r="G161" s="100">
        <f t="shared" si="144"/>
        <v>-3001.9100000000026</v>
      </c>
      <c r="H161" s="100">
        <f t="shared" si="144"/>
        <v>-2969.8900000000003</v>
      </c>
      <c r="I161" s="100">
        <f t="shared" si="144"/>
        <v>-3502.5099999999989</v>
      </c>
      <c r="J161" s="100">
        <f t="shared" si="144"/>
        <v>-4066.3400000000011</v>
      </c>
      <c r="K161" s="100">
        <f t="shared" si="144"/>
        <v>-2644.8900000000012</v>
      </c>
      <c r="L161" s="100">
        <f t="shared" si="144"/>
        <v>60.4899999999991</v>
      </c>
      <c r="M161" s="214">
        <f t="shared" ref="M161" si="145">M129+M144</f>
        <v>-13197.200000000003</v>
      </c>
      <c r="N161" s="100">
        <f t="shared" si="144"/>
        <v>-1041.9299999999994</v>
      </c>
      <c r="O161" s="100">
        <f t="shared" si="144"/>
        <v>-3585.8100000000004</v>
      </c>
      <c r="R161" s="108">
        <f t="shared" si="135"/>
        <v>-20897.370000000003</v>
      </c>
    </row>
    <row r="162" spans="1:18" ht="15.75" x14ac:dyDescent="0.25">
      <c r="A162" s="92"/>
      <c r="B162" s="94"/>
    </row>
    <row r="163" spans="1:18" x14ac:dyDescent="0.25">
      <c r="C163" s="701" t="s">
        <v>133</v>
      </c>
      <c r="D163" s="702"/>
      <c r="E163" s="702"/>
      <c r="F163" s="702"/>
      <c r="G163" s="702"/>
      <c r="H163" s="702"/>
      <c r="I163" s="702"/>
      <c r="J163" s="702"/>
      <c r="K163" s="703"/>
    </row>
    <row r="164" spans="1:18" x14ac:dyDescent="0.25">
      <c r="C164" s="99">
        <v>-3120606.1600000011</v>
      </c>
      <c r="D164" s="99">
        <v>-1259177.7999999991</v>
      </c>
      <c r="E164" s="99">
        <v>-614656.88000000024</v>
      </c>
      <c r="F164" s="99">
        <v>-779690.70000000065</v>
      </c>
      <c r="G164" s="99">
        <v>-345870.05999999988</v>
      </c>
      <c r="H164" s="99">
        <v>741392.04999999981</v>
      </c>
      <c r="I164" s="99">
        <v>139789.29999999996</v>
      </c>
      <c r="J164" s="99">
        <v>499118.0400000001</v>
      </c>
      <c r="K164" s="99">
        <v>-24021.68999999985</v>
      </c>
      <c r="R164" s="108">
        <f t="shared" ref="R164:R169" si="146">SUM(C164:K164)</f>
        <v>-4763723.9000000004</v>
      </c>
    </row>
    <row r="165" spans="1:18" x14ac:dyDescent="0.25">
      <c r="C165" s="99">
        <v>1721271.3999999997</v>
      </c>
      <c r="D165" s="99">
        <v>592477.30999999947</v>
      </c>
      <c r="E165" s="99">
        <v>342518.17000000045</v>
      </c>
      <c r="F165" s="99">
        <v>485005.71000000008</v>
      </c>
      <c r="G165" s="99">
        <v>166271.21000000025</v>
      </c>
      <c r="H165" s="99">
        <v>-559750.08999999985</v>
      </c>
      <c r="I165" s="99">
        <v>-83373.699999999939</v>
      </c>
      <c r="J165" s="99">
        <v>-344066.69</v>
      </c>
      <c r="K165" s="99">
        <v>-20839.000000000047</v>
      </c>
      <c r="M165" s="90"/>
      <c r="R165" s="108">
        <f t="shared" si="146"/>
        <v>2299514.3200000003</v>
      </c>
    </row>
    <row r="166" spans="1:18" x14ac:dyDescent="0.25">
      <c r="C166" s="99">
        <v>73280.449999999983</v>
      </c>
      <c r="D166" s="99">
        <v>-7533.2300000000105</v>
      </c>
      <c r="E166" s="99">
        <v>55514.290000000008</v>
      </c>
      <c r="F166" s="99">
        <v>20735.120000000017</v>
      </c>
      <c r="G166" s="99">
        <v>19490.59</v>
      </c>
      <c r="H166" s="99">
        <v>32024.149999999994</v>
      </c>
      <c r="I166" s="99">
        <v>-4643.5199999999895</v>
      </c>
      <c r="J166" s="99">
        <v>42147.28</v>
      </c>
      <c r="K166" s="99">
        <v>9802.6999999999935</v>
      </c>
      <c r="M166" s="187"/>
      <c r="R166" s="108">
        <f t="shared" si="146"/>
        <v>240817.83</v>
      </c>
    </row>
    <row r="167" spans="1:18" x14ac:dyDescent="0.25">
      <c r="C167" s="99">
        <v>1323539.790000001</v>
      </c>
      <c r="D167" s="99">
        <v>676101.22999999952</v>
      </c>
      <c r="E167" s="99">
        <v>219865.64999999988</v>
      </c>
      <c r="F167" s="99">
        <v>278010.09000000043</v>
      </c>
      <c r="G167" s="99">
        <v>163412.09999999966</v>
      </c>
      <c r="H167" s="99">
        <v>-210453.12999999986</v>
      </c>
      <c r="I167" s="99">
        <v>-48037.729999999981</v>
      </c>
      <c r="J167" s="99">
        <v>-192939.98000000007</v>
      </c>
      <c r="K167" s="99">
        <v>37953.789999999906</v>
      </c>
      <c r="R167" s="108">
        <f t="shared" si="146"/>
        <v>2247451.8100000005</v>
      </c>
    </row>
    <row r="168" spans="1:18" x14ac:dyDescent="0.25">
      <c r="C168" s="99">
        <v>-406.55</v>
      </c>
      <c r="D168" s="99">
        <v>-523.33000000000004</v>
      </c>
      <c r="E168" s="99">
        <v>-416.44</v>
      </c>
      <c r="F168" s="99">
        <v>-304.64</v>
      </c>
      <c r="G168" s="99">
        <v>-260.88</v>
      </c>
      <c r="H168" s="99">
        <v>-210.75</v>
      </c>
      <c r="I168" s="99">
        <v>-199.5</v>
      </c>
      <c r="J168" s="99">
        <v>-161.71</v>
      </c>
      <c r="K168" s="99">
        <v>-219.19</v>
      </c>
      <c r="R168" s="108">
        <f t="shared" si="146"/>
        <v>-2702.9900000000002</v>
      </c>
    </row>
    <row r="169" spans="1:18" x14ac:dyDescent="0.25">
      <c r="C169" s="100">
        <v>2921.0699999999947</v>
      </c>
      <c r="D169" s="100">
        <v>-1344.1799999999937</v>
      </c>
      <c r="E169" s="100">
        <v>-2824.7899999999977</v>
      </c>
      <c r="F169" s="100">
        <v>-3755.5800000000008</v>
      </c>
      <c r="G169" s="100">
        <v>-3042.9600000000032</v>
      </c>
      <c r="H169" s="100">
        <v>-3002.2300000000005</v>
      </c>
      <c r="I169" s="100">
        <v>-3534.849999999999</v>
      </c>
      <c r="J169" s="100">
        <v>-4096.9400000000005</v>
      </c>
      <c r="K169" s="100">
        <v>-2676.610000000001</v>
      </c>
      <c r="R169" s="108">
        <f t="shared" si="146"/>
        <v>-21357.07</v>
      </c>
    </row>
    <row r="171" spans="1:18" x14ac:dyDescent="0.25">
      <c r="C171" s="701" t="s">
        <v>134</v>
      </c>
      <c r="D171" s="702"/>
      <c r="E171" s="702"/>
      <c r="F171" s="702"/>
      <c r="G171" s="702"/>
      <c r="H171" s="702"/>
      <c r="I171" s="702"/>
      <c r="J171" s="702"/>
      <c r="K171" s="703"/>
    </row>
    <row r="172" spans="1:18" ht="15.75" x14ac:dyDescent="0.25">
      <c r="A172" s="96" t="s">
        <v>118</v>
      </c>
      <c r="B172" s="97" t="s">
        <v>79</v>
      </c>
      <c r="C172" s="99">
        <f>C156-C164</f>
        <v>-51891.009999999311</v>
      </c>
      <c r="D172" s="99">
        <f>D156-D164</f>
        <v>-37607.879999999888</v>
      </c>
      <c r="E172" s="99">
        <f>E156-E164</f>
        <v>-29507.020000000251</v>
      </c>
      <c r="F172" s="99">
        <f>F156-F164</f>
        <v>-20349.429999999353</v>
      </c>
      <c r="G172" s="99">
        <f t="shared" ref="G172:K172" si="147">G156-G164</f>
        <v>-12964.040000000037</v>
      </c>
      <c r="H172" s="99">
        <f t="shared" si="147"/>
        <v>-5149.3600000001024</v>
      </c>
      <c r="I172" s="99">
        <f t="shared" si="147"/>
        <v>-6613.340000000142</v>
      </c>
      <c r="J172" s="99">
        <f t="shared" si="147"/>
        <v>-5792.3099999999395</v>
      </c>
      <c r="K172" s="99">
        <f t="shared" si="147"/>
        <v>-8816.5100000000166</v>
      </c>
      <c r="R172" s="108">
        <f t="shared" ref="R172:R177" si="148">SUM(C172:K172)</f>
        <v>-178690.89999999903</v>
      </c>
    </row>
    <row r="173" spans="1:18" ht="15.75" x14ac:dyDescent="0.25">
      <c r="A173" s="92" t="s">
        <v>119</v>
      </c>
      <c r="B173" s="94" t="s">
        <v>77</v>
      </c>
      <c r="C173" s="99">
        <f t="shared" ref="C173:F177" si="149">C157-C165</f>
        <v>30968.289999999572</v>
      </c>
      <c r="D173" s="99">
        <f t="shared" si="149"/>
        <v>21968.080000000075</v>
      </c>
      <c r="E173" s="99">
        <f t="shared" si="149"/>
        <v>17754.130000000296</v>
      </c>
      <c r="F173" s="99">
        <f t="shared" si="149"/>
        <v>12273.36999999953</v>
      </c>
      <c r="G173" s="99">
        <f t="shared" ref="G173:K173" si="150">G157-G165</f>
        <v>7343.4400000000896</v>
      </c>
      <c r="H173" s="99">
        <f t="shared" si="150"/>
        <v>2108.3699999999953</v>
      </c>
      <c r="I173" s="99">
        <f t="shared" si="150"/>
        <v>3316.2500000000728</v>
      </c>
      <c r="J173" s="99">
        <f t="shared" si="150"/>
        <v>2674.109999999986</v>
      </c>
      <c r="K173" s="99">
        <f t="shared" si="150"/>
        <v>4380.9200000000201</v>
      </c>
      <c r="R173" s="108">
        <f t="shared" si="148"/>
        <v>102786.95999999964</v>
      </c>
    </row>
    <row r="174" spans="1:18" ht="15.75" x14ac:dyDescent="0.25">
      <c r="A174" s="92" t="s">
        <v>120</v>
      </c>
      <c r="B174" s="94" t="s">
        <v>80</v>
      </c>
      <c r="C174" s="99">
        <f t="shared" si="149"/>
        <v>1300.0500000000029</v>
      </c>
      <c r="D174" s="99">
        <f t="shared" si="149"/>
        <v>1079.1800000000258</v>
      </c>
      <c r="E174" s="99">
        <f t="shared" si="149"/>
        <v>1165.6800000000003</v>
      </c>
      <c r="F174" s="99">
        <f t="shared" si="149"/>
        <v>751.51999999997497</v>
      </c>
      <c r="G174" s="99">
        <f t="shared" ref="G174:K174" si="151">G158-G166</f>
        <v>646.42999999999665</v>
      </c>
      <c r="H174" s="99">
        <f t="shared" si="151"/>
        <v>581.59000000000378</v>
      </c>
      <c r="I174" s="99">
        <f t="shared" si="151"/>
        <v>395.86999999999898</v>
      </c>
      <c r="J174" s="99">
        <f t="shared" si="151"/>
        <v>522.26000000000204</v>
      </c>
      <c r="K174" s="99">
        <f t="shared" si="151"/>
        <v>491.84000000000742</v>
      </c>
      <c r="R174" s="108">
        <f t="shared" si="148"/>
        <v>6934.4200000000128</v>
      </c>
    </row>
    <row r="175" spans="1:18" ht="15.75" x14ac:dyDescent="0.25">
      <c r="A175" s="92" t="s">
        <v>121</v>
      </c>
      <c r="B175" s="94" t="s">
        <v>78</v>
      </c>
      <c r="C175" s="99">
        <f t="shared" si="149"/>
        <v>19520.230000000214</v>
      </c>
      <c r="D175" s="99">
        <f t="shared" si="149"/>
        <v>14475.949999999953</v>
      </c>
      <c r="E175" s="99">
        <f t="shared" si="149"/>
        <v>10531.359999999928</v>
      </c>
      <c r="F175" s="99">
        <f t="shared" si="149"/>
        <v>7275.6100000000442</v>
      </c>
      <c r="G175" s="99">
        <f t="shared" ref="G175:K175" si="152">G159-G167</f>
        <v>4933.119999999908</v>
      </c>
      <c r="H175" s="99">
        <f t="shared" si="152"/>
        <v>2427.0599999999686</v>
      </c>
      <c r="I175" s="99">
        <f t="shared" si="152"/>
        <v>2868.8800000000338</v>
      </c>
      <c r="J175" s="99">
        <f t="shared" si="152"/>
        <v>2565.3399999999965</v>
      </c>
      <c r="K175" s="99">
        <f t="shared" si="152"/>
        <v>3912.0299999999916</v>
      </c>
      <c r="R175" s="108">
        <f t="shared" si="148"/>
        <v>68509.580000000045</v>
      </c>
    </row>
    <row r="176" spans="1:18" ht="15.75" x14ac:dyDescent="0.25">
      <c r="A176" s="92" t="s">
        <v>122</v>
      </c>
      <c r="B176" s="94" t="s">
        <v>81</v>
      </c>
      <c r="C176" s="99">
        <f t="shared" si="149"/>
        <v>0.23999999999995225</v>
      </c>
      <c r="D176" s="99">
        <f t="shared" si="149"/>
        <v>0</v>
      </c>
      <c r="E176" s="99">
        <f t="shared" si="149"/>
        <v>0</v>
      </c>
      <c r="F176" s="99">
        <f t="shared" si="149"/>
        <v>0</v>
      </c>
      <c r="G176" s="99">
        <f t="shared" ref="G176:K176" si="153">G160-G168</f>
        <v>0</v>
      </c>
      <c r="H176" s="99">
        <f t="shared" si="153"/>
        <v>0</v>
      </c>
      <c r="I176" s="99">
        <f t="shared" si="153"/>
        <v>0</v>
      </c>
      <c r="J176" s="99">
        <f t="shared" si="153"/>
        <v>0</v>
      </c>
      <c r="K176" s="99">
        <f t="shared" si="153"/>
        <v>0</v>
      </c>
      <c r="R176" s="108">
        <f t="shared" si="148"/>
        <v>0.23999999999995225</v>
      </c>
    </row>
    <row r="177" spans="1:18" ht="15.75" x14ac:dyDescent="0.25">
      <c r="A177" s="98" t="s">
        <v>123</v>
      </c>
      <c r="B177" s="91" t="s">
        <v>82</v>
      </c>
      <c r="C177" s="100">
        <f t="shared" si="149"/>
        <v>102.20000000000027</v>
      </c>
      <c r="D177" s="100">
        <f t="shared" si="149"/>
        <v>84.669999999999163</v>
      </c>
      <c r="E177" s="100">
        <f t="shared" si="149"/>
        <v>55.849999999999454</v>
      </c>
      <c r="F177" s="100">
        <f t="shared" si="149"/>
        <v>48.930000000001655</v>
      </c>
      <c r="G177" s="100">
        <f t="shared" ref="G177:K177" si="154">G161-G169</f>
        <v>41.050000000000637</v>
      </c>
      <c r="H177" s="100">
        <f t="shared" si="154"/>
        <v>32.340000000000146</v>
      </c>
      <c r="I177" s="100">
        <f t="shared" si="154"/>
        <v>32.340000000000146</v>
      </c>
      <c r="J177" s="100">
        <f t="shared" si="154"/>
        <v>30.599999999999454</v>
      </c>
      <c r="K177" s="100">
        <f t="shared" si="154"/>
        <v>31.7199999999998</v>
      </c>
      <c r="R177" s="108">
        <f t="shared" si="148"/>
        <v>459.70000000000073</v>
      </c>
    </row>
  </sheetData>
  <mergeCells count="6">
    <mergeCell ref="C163:K163"/>
    <mergeCell ref="C171:K171"/>
    <mergeCell ref="A1:O1"/>
    <mergeCell ref="A2:O2"/>
    <mergeCell ref="A3:O3"/>
    <mergeCell ref="A154:A155"/>
  </mergeCells>
  <pageMargins left="0.7" right="0.7" top="0.75" bottom="0.75" header="0.3" footer="0.3"/>
  <pageSetup scale="41" fitToHeight="2" orientation="landscape" r:id="rId1"/>
  <rowBreaks count="1" manualBreakCount="1">
    <brk id="78" max="16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V196"/>
  <sheetViews>
    <sheetView workbookViewId="0">
      <selection sqref="A1:C1"/>
    </sheetView>
  </sheetViews>
  <sheetFormatPr defaultRowHeight="15" x14ac:dyDescent="0.25"/>
  <cols>
    <col min="1" max="1" width="9.140625" bestFit="1" customWidth="1"/>
    <col min="2" max="2" width="18.28515625" bestFit="1" customWidth="1"/>
    <col min="3" max="3" width="40.7109375" bestFit="1" customWidth="1"/>
    <col min="4" max="5" width="11.140625" bestFit="1" customWidth="1"/>
    <col min="6" max="15" width="12.7109375" bestFit="1" customWidth="1"/>
    <col min="18" max="18" width="11.140625" bestFit="1" customWidth="1"/>
  </cols>
  <sheetData>
    <row r="1" spans="1:3" ht="24" thickBot="1" x14ac:dyDescent="0.4">
      <c r="A1" s="704" t="s">
        <v>12</v>
      </c>
      <c r="B1" s="704"/>
      <c r="C1" s="704"/>
    </row>
    <row r="2" spans="1:3" x14ac:dyDescent="0.25">
      <c r="A2" s="1" t="s">
        <v>0</v>
      </c>
      <c r="B2" s="2" t="s">
        <v>1</v>
      </c>
      <c r="C2" s="3" t="s">
        <v>2</v>
      </c>
    </row>
    <row r="3" spans="1:3" x14ac:dyDescent="0.25">
      <c r="A3" s="4">
        <v>502</v>
      </c>
      <c r="B3" s="5">
        <v>9.1829999999999995E-2</v>
      </c>
      <c r="C3" s="6"/>
    </row>
    <row r="4" spans="1:3" x14ac:dyDescent="0.25">
      <c r="A4" s="4">
        <v>503</v>
      </c>
      <c r="B4" s="5">
        <v>0.29483999999999999</v>
      </c>
      <c r="C4" s="6"/>
    </row>
    <row r="5" spans="1:3" x14ac:dyDescent="0.25">
      <c r="A5" s="4">
        <v>504</v>
      </c>
      <c r="B5" s="5">
        <v>0.24607999999999999</v>
      </c>
      <c r="C5" s="6"/>
    </row>
    <row r="6" spans="1:3" x14ac:dyDescent="0.25">
      <c r="A6" s="4">
        <v>505</v>
      </c>
      <c r="B6" s="5"/>
      <c r="C6" s="6"/>
    </row>
    <row r="7" spans="1:3" x14ac:dyDescent="0.25">
      <c r="A7" s="4"/>
      <c r="B7" s="5">
        <v>0.18842999999999999</v>
      </c>
      <c r="C7" s="6" t="s">
        <v>4</v>
      </c>
    </row>
    <row r="8" spans="1:3" x14ac:dyDescent="0.25">
      <c r="A8" s="4"/>
      <c r="B8" s="5">
        <v>0.15175</v>
      </c>
      <c r="C8" s="6" t="s">
        <v>3</v>
      </c>
    </row>
    <row r="9" spans="1:3" x14ac:dyDescent="0.25">
      <c r="A9" s="4"/>
      <c r="B9" s="5">
        <v>0.1462</v>
      </c>
      <c r="C9" s="6" t="s">
        <v>5</v>
      </c>
    </row>
    <row r="10" spans="1:3" x14ac:dyDescent="0.25">
      <c r="A10" s="4">
        <v>511</v>
      </c>
      <c r="B10" s="5"/>
      <c r="C10" s="6"/>
    </row>
    <row r="11" spans="1:3" x14ac:dyDescent="0.25">
      <c r="A11" s="4"/>
      <c r="B11" s="5">
        <v>0.14834</v>
      </c>
      <c r="C11" s="6" t="s">
        <v>6</v>
      </c>
    </row>
    <row r="12" spans="1:3" x14ac:dyDescent="0.25">
      <c r="A12" s="4"/>
      <c r="B12" s="5">
        <v>0.11294999999999999</v>
      </c>
      <c r="C12" s="6" t="s">
        <v>7</v>
      </c>
    </row>
    <row r="13" spans="1:3" x14ac:dyDescent="0.25">
      <c r="A13" s="4"/>
      <c r="B13" s="5">
        <v>2.5409999999999999E-2</v>
      </c>
      <c r="C13" s="6" t="s">
        <v>8</v>
      </c>
    </row>
    <row r="14" spans="1:3" x14ac:dyDescent="0.25">
      <c r="A14" s="4">
        <v>512</v>
      </c>
      <c r="B14" s="5">
        <v>0.21479000000000001</v>
      </c>
      <c r="C14" s="6"/>
    </row>
    <row r="15" spans="1:3" x14ac:dyDescent="0.25">
      <c r="A15" s="4">
        <v>570</v>
      </c>
      <c r="B15" s="5"/>
      <c r="C15" s="6"/>
    </row>
    <row r="16" spans="1:3" x14ac:dyDescent="0.25">
      <c r="A16" s="4"/>
      <c r="B16" s="5">
        <v>8.233E-2</v>
      </c>
      <c r="C16" s="6" t="s">
        <v>9</v>
      </c>
    </row>
    <row r="17" spans="1:15" x14ac:dyDescent="0.25">
      <c r="A17" s="4"/>
      <c r="B17" s="5">
        <v>2.2509999999999999E-2</v>
      </c>
      <c r="C17" s="6" t="s">
        <v>10</v>
      </c>
    </row>
    <row r="18" spans="1:15" x14ac:dyDescent="0.25">
      <c r="A18" s="4">
        <v>577</v>
      </c>
      <c r="B18" s="5"/>
      <c r="C18" s="6"/>
    </row>
    <row r="19" spans="1:15" x14ac:dyDescent="0.25">
      <c r="A19" s="7"/>
      <c r="B19" s="5">
        <v>0.10401000000000001</v>
      </c>
      <c r="C19" s="6" t="s">
        <v>11</v>
      </c>
    </row>
    <row r="20" spans="1:15" x14ac:dyDescent="0.25">
      <c r="A20" s="7"/>
      <c r="B20" s="5">
        <v>8.4459999999999993E-2</v>
      </c>
      <c r="C20" s="6" t="s">
        <v>5</v>
      </c>
    </row>
    <row r="21" spans="1:15" ht="15.75" thickBot="1" x14ac:dyDescent="0.3">
      <c r="A21" s="8"/>
      <c r="B21" s="9"/>
      <c r="C21" s="10"/>
    </row>
    <row r="23" spans="1:15" x14ac:dyDescent="0.25">
      <c r="D23" s="698" t="s">
        <v>125</v>
      </c>
      <c r="E23" s="698"/>
      <c r="F23" s="698"/>
      <c r="G23" s="698"/>
      <c r="H23" s="698"/>
      <c r="I23" s="698"/>
      <c r="J23" s="698"/>
      <c r="K23" s="698"/>
    </row>
    <row r="24" spans="1:15" x14ac:dyDescent="0.25">
      <c r="D24" s="698"/>
      <c r="E24" s="698"/>
      <c r="F24" s="698"/>
      <c r="G24" s="698"/>
      <c r="H24" s="698"/>
      <c r="I24" s="698"/>
      <c r="J24" s="698"/>
      <c r="K24" s="698"/>
    </row>
    <row r="25" spans="1:15" x14ac:dyDescent="0.25">
      <c r="D25" s="698"/>
      <c r="E25" s="698"/>
      <c r="F25" s="698"/>
      <c r="G25" s="698"/>
      <c r="H25" s="698"/>
      <c r="I25" s="698"/>
      <c r="J25" s="698"/>
      <c r="K25" s="698"/>
    </row>
    <row r="26" spans="1:15" ht="15" customHeight="1" x14ac:dyDescent="0.25">
      <c r="C26" s="699" t="s">
        <v>62</v>
      </c>
      <c r="D26" s="699"/>
      <c r="E26" s="699"/>
      <c r="F26" s="699"/>
      <c r="G26" s="699"/>
      <c r="H26" s="699"/>
      <c r="I26" s="699"/>
      <c r="J26" s="699"/>
      <c r="K26" s="699"/>
      <c r="L26" s="699"/>
      <c r="M26" s="699"/>
      <c r="N26" s="699"/>
      <c r="O26" s="699"/>
    </row>
    <row r="27" spans="1:15" ht="15.75" thickBot="1" x14ac:dyDescent="0.3">
      <c r="C27" s="700"/>
      <c r="D27" s="700"/>
      <c r="E27" s="700"/>
      <c r="F27" s="700"/>
      <c r="G27" s="700"/>
      <c r="H27" s="700"/>
      <c r="I27" s="700"/>
      <c r="J27" s="700"/>
      <c r="K27" s="700"/>
      <c r="L27" s="700"/>
      <c r="M27" s="700"/>
      <c r="N27" s="700"/>
      <c r="O27" s="700"/>
    </row>
    <row r="28" spans="1:15" ht="15.75" thickTop="1" x14ac:dyDescent="0.25">
      <c r="C28" s="32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2"/>
    </row>
    <row r="29" spans="1:15" ht="15.75" thickBot="1" x14ac:dyDescent="0.3">
      <c r="C29" s="33"/>
      <c r="D29" s="36" t="s">
        <v>13</v>
      </c>
      <c r="E29" s="37" t="s">
        <v>14</v>
      </c>
      <c r="F29" s="37" t="s">
        <v>15</v>
      </c>
      <c r="G29" s="36" t="s">
        <v>16</v>
      </c>
      <c r="H29" s="37" t="s">
        <v>17</v>
      </c>
      <c r="I29" s="37" t="s">
        <v>18</v>
      </c>
      <c r="J29" s="36" t="s">
        <v>19</v>
      </c>
      <c r="K29" s="37" t="s">
        <v>20</v>
      </c>
      <c r="L29" s="37" t="s">
        <v>21</v>
      </c>
      <c r="M29" s="36" t="s">
        <v>22</v>
      </c>
      <c r="N29" s="37" t="s">
        <v>23</v>
      </c>
      <c r="O29" s="54" t="s">
        <v>24</v>
      </c>
    </row>
    <row r="30" spans="1:15" ht="15.75" thickTop="1" x14ac:dyDescent="0.25">
      <c r="C30" s="79" t="s">
        <v>25</v>
      </c>
      <c r="D30" s="55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7"/>
    </row>
    <row r="31" spans="1:15" hidden="1" x14ac:dyDescent="0.25">
      <c r="C31" s="23" t="s">
        <v>26</v>
      </c>
      <c r="D31" s="48">
        <v>465</v>
      </c>
      <c r="E31" s="49">
        <v>440</v>
      </c>
      <c r="F31" s="49">
        <v>455</v>
      </c>
      <c r="G31" s="49">
        <v>503</v>
      </c>
      <c r="H31" s="49">
        <v>519</v>
      </c>
      <c r="I31" s="49">
        <v>529</v>
      </c>
      <c r="J31" s="49">
        <v>482</v>
      </c>
      <c r="K31" s="49">
        <v>520</v>
      </c>
      <c r="L31" s="49">
        <v>524</v>
      </c>
      <c r="M31" s="49">
        <v>510</v>
      </c>
      <c r="N31" s="49">
        <v>495</v>
      </c>
      <c r="O31" s="50">
        <v>499</v>
      </c>
    </row>
    <row r="32" spans="1:15" hidden="1" x14ac:dyDescent="0.25">
      <c r="C32" s="23" t="s">
        <v>27</v>
      </c>
      <c r="D32" s="19">
        <v>4577</v>
      </c>
      <c r="E32" s="13">
        <v>3604</v>
      </c>
      <c r="F32" s="13">
        <v>3816</v>
      </c>
      <c r="G32" s="13">
        <v>7328</v>
      </c>
      <c r="H32" s="13">
        <v>22975</v>
      </c>
      <c r="I32" s="13">
        <v>55707</v>
      </c>
      <c r="J32" s="13">
        <v>54481</v>
      </c>
      <c r="K32" s="13">
        <v>48178</v>
      </c>
      <c r="L32" s="13">
        <v>42396</v>
      </c>
      <c r="M32" s="13">
        <v>26783</v>
      </c>
      <c r="N32" s="13">
        <v>15401</v>
      </c>
      <c r="O32" s="14">
        <v>8003</v>
      </c>
    </row>
    <row r="33" spans="1:48" hidden="1" x14ac:dyDescent="0.25">
      <c r="C33" s="23" t="s">
        <v>28</v>
      </c>
      <c r="D33" s="20">
        <v>9.1829999999999995E-2</v>
      </c>
      <c r="E33" s="16">
        <f>+D33</f>
        <v>9.1829999999999995E-2</v>
      </c>
      <c r="F33" s="16">
        <f t="shared" ref="F33:N33" si="0">+E33</f>
        <v>9.1829999999999995E-2</v>
      </c>
      <c r="G33" s="16">
        <f t="shared" si="0"/>
        <v>9.1829999999999995E-2</v>
      </c>
      <c r="H33" s="16">
        <f t="shared" si="0"/>
        <v>9.1829999999999995E-2</v>
      </c>
      <c r="I33" s="16">
        <f t="shared" si="0"/>
        <v>9.1829999999999995E-2</v>
      </c>
      <c r="J33" s="16">
        <f t="shared" si="0"/>
        <v>9.1829999999999995E-2</v>
      </c>
      <c r="K33" s="16">
        <f t="shared" si="0"/>
        <v>9.1829999999999995E-2</v>
      </c>
      <c r="L33" s="16">
        <f t="shared" si="0"/>
        <v>9.1829999999999995E-2</v>
      </c>
      <c r="M33" s="16">
        <f t="shared" si="0"/>
        <v>9.1829999999999995E-2</v>
      </c>
      <c r="N33" s="16">
        <f t="shared" si="0"/>
        <v>9.1829999999999995E-2</v>
      </c>
      <c r="O33" s="21">
        <f>+N33</f>
        <v>9.1829999999999995E-2</v>
      </c>
    </row>
    <row r="34" spans="1:48" hidden="1" x14ac:dyDescent="0.25">
      <c r="C34" s="35" t="s">
        <v>29</v>
      </c>
      <c r="D34" s="15">
        <f>D32*D33</f>
        <v>420.30590999999998</v>
      </c>
      <c r="E34" s="17">
        <f t="shared" ref="E34:O34" si="1">E32*E33</f>
        <v>330.95531999999997</v>
      </c>
      <c r="F34" s="17">
        <f t="shared" si="1"/>
        <v>350.42327999999998</v>
      </c>
      <c r="G34" s="17">
        <f t="shared" si="1"/>
        <v>672.93023999999991</v>
      </c>
      <c r="H34" s="17">
        <f t="shared" si="1"/>
        <v>2109.7942499999999</v>
      </c>
      <c r="I34" s="17">
        <f t="shared" si="1"/>
        <v>5115.5738099999999</v>
      </c>
      <c r="J34" s="17">
        <f t="shared" si="1"/>
        <v>5002.9902299999994</v>
      </c>
      <c r="K34" s="17">
        <f t="shared" si="1"/>
        <v>4424.1857399999999</v>
      </c>
      <c r="L34" s="17">
        <f t="shared" si="1"/>
        <v>3893.2246799999998</v>
      </c>
      <c r="M34" s="17">
        <f t="shared" si="1"/>
        <v>2459.4828899999998</v>
      </c>
      <c r="N34" s="17">
        <f t="shared" si="1"/>
        <v>1414.2738299999999</v>
      </c>
      <c r="O34" s="18">
        <f t="shared" si="1"/>
        <v>734.91548999999998</v>
      </c>
    </row>
    <row r="35" spans="1:48" x14ac:dyDescent="0.25">
      <c r="C35" s="35" t="s">
        <v>30</v>
      </c>
      <c r="D35" s="130">
        <f t="shared" ref="D35:O35" si="2">ROUND(D34/D31,2)</f>
        <v>0.9</v>
      </c>
      <c r="E35" s="131">
        <f t="shared" si="2"/>
        <v>0.75</v>
      </c>
      <c r="F35" s="131">
        <f t="shared" si="2"/>
        <v>0.77</v>
      </c>
      <c r="G35" s="131">
        <f t="shared" si="2"/>
        <v>1.34</v>
      </c>
      <c r="H35" s="131">
        <f t="shared" si="2"/>
        <v>4.07</v>
      </c>
      <c r="I35" s="131">
        <f t="shared" si="2"/>
        <v>9.67</v>
      </c>
      <c r="J35" s="131">
        <f t="shared" si="2"/>
        <v>10.38</v>
      </c>
      <c r="K35" s="131">
        <f t="shared" si="2"/>
        <v>8.51</v>
      </c>
      <c r="L35" s="131">
        <f t="shared" si="2"/>
        <v>7.43</v>
      </c>
      <c r="M35" s="131">
        <f t="shared" si="2"/>
        <v>4.82</v>
      </c>
      <c r="N35" s="131">
        <f t="shared" si="2"/>
        <v>2.86</v>
      </c>
      <c r="O35" s="132">
        <f t="shared" si="2"/>
        <v>1.47</v>
      </c>
    </row>
    <row r="36" spans="1:48" x14ac:dyDescent="0.25">
      <c r="C36" s="80" t="s">
        <v>31</v>
      </c>
      <c r="D36" s="133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5"/>
    </row>
    <row r="37" spans="1:48" s="51" customFormat="1" hidden="1" x14ac:dyDescent="0.25">
      <c r="A37"/>
      <c r="B37"/>
      <c r="C37" s="23" t="s">
        <v>26</v>
      </c>
      <c r="D37" s="136">
        <v>177980</v>
      </c>
      <c r="E37" s="137">
        <v>177669</v>
      </c>
      <c r="F37" s="137">
        <v>177304</v>
      </c>
      <c r="G37" s="137">
        <v>177720</v>
      </c>
      <c r="H37" s="137">
        <v>178898</v>
      </c>
      <c r="I37" s="137">
        <v>179874</v>
      </c>
      <c r="J37" s="137">
        <v>179603</v>
      </c>
      <c r="K37" s="137">
        <v>180164</v>
      </c>
      <c r="L37" s="137">
        <v>180684</v>
      </c>
      <c r="M37" s="137">
        <v>180798</v>
      </c>
      <c r="N37" s="137">
        <v>180268</v>
      </c>
      <c r="O37" s="138">
        <v>180774</v>
      </c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</row>
    <row r="38" spans="1:48" s="51" customFormat="1" hidden="1" x14ac:dyDescent="0.25">
      <c r="A38"/>
      <c r="B38"/>
      <c r="C38" s="81" t="s">
        <v>32</v>
      </c>
      <c r="D38" s="139">
        <v>2882445</v>
      </c>
      <c r="E38" s="140">
        <v>3234979</v>
      </c>
      <c r="F38" s="140">
        <v>3490963</v>
      </c>
      <c r="G38" s="140">
        <v>7539918</v>
      </c>
      <c r="H38" s="140">
        <v>14937625</v>
      </c>
      <c r="I38" s="140">
        <v>20359821</v>
      </c>
      <c r="J38" s="140">
        <v>18817062</v>
      </c>
      <c r="K38" s="140">
        <v>15463304</v>
      </c>
      <c r="L38" s="140">
        <v>12977294</v>
      </c>
      <c r="M38" s="140">
        <v>8149906</v>
      </c>
      <c r="N38" s="140">
        <v>5284390</v>
      </c>
      <c r="O38" s="141">
        <v>3553528</v>
      </c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1:48" s="51" customFormat="1" hidden="1" x14ac:dyDescent="0.25">
      <c r="A39"/>
      <c r="B39"/>
      <c r="C39" s="81" t="s">
        <v>33</v>
      </c>
      <c r="D39" s="142">
        <v>0.29483999999999999</v>
      </c>
      <c r="E39" s="143">
        <f>+D39</f>
        <v>0.29483999999999999</v>
      </c>
      <c r="F39" s="143">
        <f t="shared" ref="F39:N39" si="3">+E39</f>
        <v>0.29483999999999999</v>
      </c>
      <c r="G39" s="143">
        <f t="shared" si="3"/>
        <v>0.29483999999999999</v>
      </c>
      <c r="H39" s="143">
        <f t="shared" si="3"/>
        <v>0.29483999999999999</v>
      </c>
      <c r="I39" s="143">
        <f t="shared" si="3"/>
        <v>0.29483999999999999</v>
      </c>
      <c r="J39" s="143">
        <f t="shared" si="3"/>
        <v>0.29483999999999999</v>
      </c>
      <c r="K39" s="143">
        <f t="shared" si="3"/>
        <v>0.29483999999999999</v>
      </c>
      <c r="L39" s="143">
        <f t="shared" si="3"/>
        <v>0.29483999999999999</v>
      </c>
      <c r="M39" s="143">
        <f t="shared" si="3"/>
        <v>0.29483999999999999</v>
      </c>
      <c r="N39" s="143">
        <f t="shared" si="3"/>
        <v>0.29483999999999999</v>
      </c>
      <c r="O39" s="144">
        <f>+N39</f>
        <v>0.29483999999999999</v>
      </c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1:48" s="51" customFormat="1" hidden="1" x14ac:dyDescent="0.25">
      <c r="A40"/>
      <c r="B40"/>
      <c r="C40" s="40" t="s">
        <v>29</v>
      </c>
      <c r="D40" s="145">
        <f>D38*D39</f>
        <v>849860.08380000002</v>
      </c>
      <c r="E40" s="146">
        <f t="shared" ref="E40:O40" si="4">E38*E39</f>
        <v>953801.20835999993</v>
      </c>
      <c r="F40" s="146">
        <f t="shared" si="4"/>
        <v>1029275.5309199999</v>
      </c>
      <c r="G40" s="146">
        <f t="shared" si="4"/>
        <v>2223069.4231199999</v>
      </c>
      <c r="H40" s="146">
        <f t="shared" si="4"/>
        <v>4404209.3549999995</v>
      </c>
      <c r="I40" s="146">
        <f t="shared" si="4"/>
        <v>6002889.6236399999</v>
      </c>
      <c r="J40" s="146">
        <f t="shared" si="4"/>
        <v>5548022.5600800002</v>
      </c>
      <c r="K40" s="146">
        <f t="shared" si="4"/>
        <v>4559200.5513599999</v>
      </c>
      <c r="L40" s="146">
        <f t="shared" si="4"/>
        <v>3826225.3629600001</v>
      </c>
      <c r="M40" s="146">
        <f t="shared" si="4"/>
        <v>2402918.28504</v>
      </c>
      <c r="N40" s="146">
        <f t="shared" si="4"/>
        <v>1558049.5475999999</v>
      </c>
      <c r="O40" s="147">
        <f t="shared" si="4"/>
        <v>1047722.19552</v>
      </c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1:48" s="51" customFormat="1" x14ac:dyDescent="0.25">
      <c r="A41"/>
      <c r="B41"/>
      <c r="C41" s="40" t="s">
        <v>30</v>
      </c>
      <c r="D41" s="130">
        <f t="shared" ref="D41:O41" si="5">ROUND(D40/D37,2)</f>
        <v>4.78</v>
      </c>
      <c r="E41" s="131">
        <f t="shared" si="5"/>
        <v>5.37</v>
      </c>
      <c r="F41" s="131">
        <f t="shared" si="5"/>
        <v>5.81</v>
      </c>
      <c r="G41" s="131">
        <f t="shared" si="5"/>
        <v>12.51</v>
      </c>
      <c r="H41" s="131">
        <f t="shared" si="5"/>
        <v>24.62</v>
      </c>
      <c r="I41" s="131">
        <f t="shared" si="5"/>
        <v>33.369999999999997</v>
      </c>
      <c r="J41" s="131">
        <f t="shared" si="5"/>
        <v>30.89</v>
      </c>
      <c r="K41" s="131">
        <f t="shared" si="5"/>
        <v>25.31</v>
      </c>
      <c r="L41" s="131">
        <f t="shared" si="5"/>
        <v>21.18</v>
      </c>
      <c r="M41" s="131">
        <f t="shared" si="5"/>
        <v>13.29</v>
      </c>
      <c r="N41" s="131">
        <f t="shared" si="5"/>
        <v>8.64</v>
      </c>
      <c r="O41" s="132">
        <f t="shared" si="5"/>
        <v>5.8</v>
      </c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1:48" s="51" customFormat="1" x14ac:dyDescent="0.25">
      <c r="A42"/>
      <c r="B42"/>
      <c r="C42" s="82" t="s">
        <v>34</v>
      </c>
      <c r="D42" s="148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50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</row>
    <row r="43" spans="1:48" s="51" customFormat="1" hidden="1" x14ac:dyDescent="0.25">
      <c r="A43"/>
      <c r="B43"/>
      <c r="C43" s="23" t="s">
        <v>26</v>
      </c>
      <c r="D43" s="139">
        <v>24961</v>
      </c>
      <c r="E43" s="140">
        <v>24881</v>
      </c>
      <c r="F43" s="140">
        <v>24865</v>
      </c>
      <c r="G43" s="140">
        <v>24861</v>
      </c>
      <c r="H43" s="140">
        <v>25091</v>
      </c>
      <c r="I43" s="140">
        <v>25302</v>
      </c>
      <c r="J43" s="140">
        <v>25365</v>
      </c>
      <c r="K43" s="140">
        <v>25351</v>
      </c>
      <c r="L43" s="140">
        <v>25379</v>
      </c>
      <c r="M43" s="140">
        <v>25375</v>
      </c>
      <c r="N43" s="140">
        <v>25329</v>
      </c>
      <c r="O43" s="141">
        <v>25230</v>
      </c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</row>
    <row r="44" spans="1:48" s="51" customFormat="1" hidden="1" x14ac:dyDescent="0.25">
      <c r="A44"/>
      <c r="B44"/>
      <c r="C44" s="81" t="s">
        <v>27</v>
      </c>
      <c r="D44" s="139">
        <v>2734677</v>
      </c>
      <c r="E44" s="140">
        <v>3006233</v>
      </c>
      <c r="F44" s="140">
        <v>3391637</v>
      </c>
      <c r="G44" s="140">
        <v>5795829</v>
      </c>
      <c r="H44" s="140">
        <v>9509008</v>
      </c>
      <c r="I44" s="140">
        <v>12706385</v>
      </c>
      <c r="J44" s="140">
        <v>12681651</v>
      </c>
      <c r="K44" s="140">
        <v>10506902</v>
      </c>
      <c r="L44" s="140">
        <v>8465966</v>
      </c>
      <c r="M44" s="140">
        <v>5420320</v>
      </c>
      <c r="N44" s="140">
        <v>3724731</v>
      </c>
      <c r="O44" s="141">
        <v>2920643</v>
      </c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</row>
    <row r="45" spans="1:48" s="51" customFormat="1" hidden="1" x14ac:dyDescent="0.25">
      <c r="A45"/>
      <c r="B45"/>
      <c r="C45" s="81" t="s">
        <v>28</v>
      </c>
      <c r="D45" s="142">
        <v>0.24607999999999999</v>
      </c>
      <c r="E45" s="143">
        <f>+D45</f>
        <v>0.24607999999999999</v>
      </c>
      <c r="F45" s="143">
        <f t="shared" ref="F45:N45" si="6">+E45</f>
        <v>0.24607999999999999</v>
      </c>
      <c r="G45" s="143">
        <f t="shared" si="6"/>
        <v>0.24607999999999999</v>
      </c>
      <c r="H45" s="143">
        <f t="shared" si="6"/>
        <v>0.24607999999999999</v>
      </c>
      <c r="I45" s="143">
        <f t="shared" si="6"/>
        <v>0.24607999999999999</v>
      </c>
      <c r="J45" s="143">
        <f t="shared" si="6"/>
        <v>0.24607999999999999</v>
      </c>
      <c r="K45" s="143">
        <f t="shared" si="6"/>
        <v>0.24607999999999999</v>
      </c>
      <c r="L45" s="143">
        <f t="shared" si="6"/>
        <v>0.24607999999999999</v>
      </c>
      <c r="M45" s="143">
        <f t="shared" si="6"/>
        <v>0.24607999999999999</v>
      </c>
      <c r="N45" s="143">
        <f t="shared" si="6"/>
        <v>0.24607999999999999</v>
      </c>
      <c r="O45" s="144">
        <f>+N45</f>
        <v>0.24607999999999999</v>
      </c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</row>
    <row r="46" spans="1:48" s="51" customFormat="1" hidden="1" x14ac:dyDescent="0.25">
      <c r="A46"/>
      <c r="B46"/>
      <c r="C46" s="40" t="s">
        <v>29</v>
      </c>
      <c r="D46" s="145">
        <f>D44*D45</f>
        <v>672949.31615999993</v>
      </c>
      <c r="E46" s="146">
        <f t="shared" ref="E46:O46" si="7">E44*E45</f>
        <v>739773.81663999998</v>
      </c>
      <c r="F46" s="146">
        <f t="shared" si="7"/>
        <v>834614.03295999998</v>
      </c>
      <c r="G46" s="146">
        <f t="shared" si="7"/>
        <v>1426237.60032</v>
      </c>
      <c r="H46" s="146">
        <f t="shared" si="7"/>
        <v>2339976.6886399998</v>
      </c>
      <c r="I46" s="146">
        <f t="shared" si="7"/>
        <v>3126787.2207999998</v>
      </c>
      <c r="J46" s="146">
        <f t="shared" si="7"/>
        <v>3120700.67808</v>
      </c>
      <c r="K46" s="146">
        <f t="shared" si="7"/>
        <v>2585538.44416</v>
      </c>
      <c r="L46" s="146">
        <f t="shared" si="7"/>
        <v>2083304.91328</v>
      </c>
      <c r="M46" s="146">
        <f t="shared" si="7"/>
        <v>1333832.3455999999</v>
      </c>
      <c r="N46" s="146">
        <f t="shared" si="7"/>
        <v>916581.80447999993</v>
      </c>
      <c r="O46" s="147">
        <f t="shared" si="7"/>
        <v>718711.82944</v>
      </c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</row>
    <row r="47" spans="1:48" s="51" customFormat="1" x14ac:dyDescent="0.25">
      <c r="A47"/>
      <c r="B47"/>
      <c r="C47" s="40" t="s">
        <v>30</v>
      </c>
      <c r="D47" s="130">
        <f t="shared" ref="D47:O47" si="8">ROUND(D46/D43,2)</f>
        <v>26.96</v>
      </c>
      <c r="E47" s="131">
        <f t="shared" si="8"/>
        <v>29.73</v>
      </c>
      <c r="F47" s="131">
        <f t="shared" si="8"/>
        <v>33.57</v>
      </c>
      <c r="G47" s="131">
        <f t="shared" si="8"/>
        <v>57.37</v>
      </c>
      <c r="H47" s="131">
        <f t="shared" si="8"/>
        <v>93.26</v>
      </c>
      <c r="I47" s="131">
        <f t="shared" si="8"/>
        <v>123.58</v>
      </c>
      <c r="J47" s="131">
        <f t="shared" si="8"/>
        <v>123.03</v>
      </c>
      <c r="K47" s="131">
        <f t="shared" si="8"/>
        <v>101.99</v>
      </c>
      <c r="L47" s="131">
        <f t="shared" si="8"/>
        <v>82.09</v>
      </c>
      <c r="M47" s="131">
        <f t="shared" si="8"/>
        <v>52.56</v>
      </c>
      <c r="N47" s="131">
        <f t="shared" si="8"/>
        <v>36.19</v>
      </c>
      <c r="O47" s="132">
        <f t="shared" si="8"/>
        <v>28.49</v>
      </c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</row>
    <row r="48" spans="1:48" x14ac:dyDescent="0.25">
      <c r="C48" s="80" t="s">
        <v>35</v>
      </c>
      <c r="D48" s="133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5"/>
    </row>
    <row r="49" spans="3:15" hidden="1" x14ac:dyDescent="0.25">
      <c r="C49" s="23" t="s">
        <v>26</v>
      </c>
      <c r="D49" s="151">
        <v>405</v>
      </c>
      <c r="E49" s="152">
        <v>409</v>
      </c>
      <c r="F49" s="152">
        <v>413</v>
      </c>
      <c r="G49" s="152">
        <v>429</v>
      </c>
      <c r="H49" s="152">
        <v>432</v>
      </c>
      <c r="I49" s="152">
        <v>430</v>
      </c>
      <c r="J49" s="152">
        <v>429</v>
      </c>
      <c r="K49" s="152">
        <v>439</v>
      </c>
      <c r="L49" s="152">
        <v>440</v>
      </c>
      <c r="M49" s="152">
        <v>441</v>
      </c>
      <c r="N49" s="152">
        <v>445</v>
      </c>
      <c r="O49" s="153">
        <v>442</v>
      </c>
    </row>
    <row r="50" spans="3:15" hidden="1" x14ac:dyDescent="0.25">
      <c r="C50" s="83" t="s">
        <v>36</v>
      </c>
      <c r="D50" s="136">
        <v>78051</v>
      </c>
      <c r="E50" s="137">
        <v>75163</v>
      </c>
      <c r="F50" s="137">
        <v>83416</v>
      </c>
      <c r="G50" s="137">
        <v>102072</v>
      </c>
      <c r="H50" s="137">
        <v>119156</v>
      </c>
      <c r="I50" s="137">
        <v>166990</v>
      </c>
      <c r="J50" s="137">
        <v>166357</v>
      </c>
      <c r="K50" s="137">
        <v>163549</v>
      </c>
      <c r="L50" s="137">
        <v>153887</v>
      </c>
      <c r="M50" s="137">
        <v>138971</v>
      </c>
      <c r="N50" s="137">
        <v>121401</v>
      </c>
      <c r="O50" s="138">
        <v>96663</v>
      </c>
    </row>
    <row r="51" spans="3:15" hidden="1" x14ac:dyDescent="0.25">
      <c r="C51" s="83" t="s">
        <v>37</v>
      </c>
      <c r="D51" s="154">
        <v>243018</v>
      </c>
      <c r="E51" s="155">
        <v>218963</v>
      </c>
      <c r="F51" s="155">
        <v>274256</v>
      </c>
      <c r="G51" s="155">
        <v>360930</v>
      </c>
      <c r="H51" s="155">
        <v>397091</v>
      </c>
      <c r="I51" s="155">
        <v>602209</v>
      </c>
      <c r="J51" s="155">
        <v>605552</v>
      </c>
      <c r="K51" s="155">
        <v>596445</v>
      </c>
      <c r="L51" s="155">
        <v>537464</v>
      </c>
      <c r="M51" s="155">
        <v>443000</v>
      </c>
      <c r="N51" s="155">
        <v>368642</v>
      </c>
      <c r="O51" s="156">
        <v>300875</v>
      </c>
    </row>
    <row r="52" spans="3:15" hidden="1" x14ac:dyDescent="0.25">
      <c r="C52" s="84" t="s">
        <v>38</v>
      </c>
      <c r="D52" s="154">
        <v>199814</v>
      </c>
      <c r="E52" s="155">
        <v>128232</v>
      </c>
      <c r="F52" s="155">
        <v>227013</v>
      </c>
      <c r="G52" s="155">
        <v>906604</v>
      </c>
      <c r="H52" s="155">
        <v>410088</v>
      </c>
      <c r="I52" s="155">
        <v>627380</v>
      </c>
      <c r="J52" s="155">
        <v>518499</v>
      </c>
      <c r="K52" s="155">
        <v>741554</v>
      </c>
      <c r="L52" s="155">
        <v>497103</v>
      </c>
      <c r="M52" s="155">
        <v>279985</v>
      </c>
      <c r="N52" s="155">
        <v>254963</v>
      </c>
      <c r="O52" s="156">
        <v>200281</v>
      </c>
    </row>
    <row r="53" spans="3:15" hidden="1" x14ac:dyDescent="0.25">
      <c r="C53" s="85" t="s">
        <v>39</v>
      </c>
      <c r="D53" s="154">
        <f>+D50+D51+D52</f>
        <v>520883</v>
      </c>
      <c r="E53" s="155">
        <f>+E50+E51+E52</f>
        <v>422358</v>
      </c>
      <c r="F53" s="155">
        <f t="shared" ref="F53:O53" si="9">+F50+F51+F52</f>
        <v>584685</v>
      </c>
      <c r="G53" s="155">
        <f t="shared" si="9"/>
        <v>1369606</v>
      </c>
      <c r="H53" s="155">
        <f t="shared" si="9"/>
        <v>926335</v>
      </c>
      <c r="I53" s="155">
        <f t="shared" si="9"/>
        <v>1396579</v>
      </c>
      <c r="J53" s="155">
        <f t="shared" si="9"/>
        <v>1290408</v>
      </c>
      <c r="K53" s="155">
        <f t="shared" si="9"/>
        <v>1501548</v>
      </c>
      <c r="L53" s="155">
        <f t="shared" si="9"/>
        <v>1188454</v>
      </c>
      <c r="M53" s="155">
        <f t="shared" si="9"/>
        <v>861956</v>
      </c>
      <c r="N53" s="155">
        <f t="shared" si="9"/>
        <v>745006</v>
      </c>
      <c r="O53" s="156">
        <f t="shared" si="9"/>
        <v>597819</v>
      </c>
    </row>
    <row r="54" spans="3:15" hidden="1" x14ac:dyDescent="0.25">
      <c r="C54" s="23" t="s">
        <v>40</v>
      </c>
      <c r="D54" s="157">
        <v>0.18842999999999999</v>
      </c>
      <c r="E54" s="143">
        <f t="shared" ref="E54:N56" si="10">+D54</f>
        <v>0.18842999999999999</v>
      </c>
      <c r="F54" s="143">
        <f t="shared" si="10"/>
        <v>0.18842999999999999</v>
      </c>
      <c r="G54" s="143">
        <f t="shared" si="10"/>
        <v>0.18842999999999999</v>
      </c>
      <c r="H54" s="143">
        <f t="shared" si="10"/>
        <v>0.18842999999999999</v>
      </c>
      <c r="I54" s="143">
        <f t="shared" si="10"/>
        <v>0.18842999999999999</v>
      </c>
      <c r="J54" s="143">
        <f t="shared" si="10"/>
        <v>0.18842999999999999</v>
      </c>
      <c r="K54" s="143">
        <f t="shared" si="10"/>
        <v>0.18842999999999999</v>
      </c>
      <c r="L54" s="143">
        <f t="shared" si="10"/>
        <v>0.18842999999999999</v>
      </c>
      <c r="M54" s="143">
        <f t="shared" si="10"/>
        <v>0.18842999999999999</v>
      </c>
      <c r="N54" s="143">
        <f t="shared" si="10"/>
        <v>0.18842999999999999</v>
      </c>
      <c r="O54" s="158">
        <f>+N54</f>
        <v>0.18842999999999999</v>
      </c>
    </row>
    <row r="55" spans="3:15" hidden="1" x14ac:dyDescent="0.25">
      <c r="C55" s="35" t="s">
        <v>41</v>
      </c>
      <c r="D55" s="157">
        <v>0.15175</v>
      </c>
      <c r="E55" s="143">
        <f t="shared" si="10"/>
        <v>0.15175</v>
      </c>
      <c r="F55" s="143">
        <f t="shared" si="10"/>
        <v>0.15175</v>
      </c>
      <c r="G55" s="143">
        <f t="shared" si="10"/>
        <v>0.15175</v>
      </c>
      <c r="H55" s="143">
        <f t="shared" si="10"/>
        <v>0.15175</v>
      </c>
      <c r="I55" s="143">
        <f t="shared" si="10"/>
        <v>0.15175</v>
      </c>
      <c r="J55" s="143">
        <f t="shared" si="10"/>
        <v>0.15175</v>
      </c>
      <c r="K55" s="143">
        <f t="shared" si="10"/>
        <v>0.15175</v>
      </c>
      <c r="L55" s="143">
        <f t="shared" si="10"/>
        <v>0.15175</v>
      </c>
      <c r="M55" s="143">
        <f t="shared" si="10"/>
        <v>0.15175</v>
      </c>
      <c r="N55" s="143">
        <f t="shared" si="10"/>
        <v>0.15175</v>
      </c>
      <c r="O55" s="158">
        <f>+N55</f>
        <v>0.15175</v>
      </c>
    </row>
    <row r="56" spans="3:15" hidden="1" x14ac:dyDescent="0.25">
      <c r="C56" s="35" t="s">
        <v>42</v>
      </c>
      <c r="D56" s="157">
        <v>0.1462</v>
      </c>
      <c r="E56" s="143">
        <f t="shared" si="10"/>
        <v>0.1462</v>
      </c>
      <c r="F56" s="143">
        <f t="shared" si="10"/>
        <v>0.1462</v>
      </c>
      <c r="G56" s="143">
        <f t="shared" si="10"/>
        <v>0.1462</v>
      </c>
      <c r="H56" s="143">
        <f t="shared" si="10"/>
        <v>0.1462</v>
      </c>
      <c r="I56" s="143">
        <f t="shared" si="10"/>
        <v>0.1462</v>
      </c>
      <c r="J56" s="143">
        <f t="shared" si="10"/>
        <v>0.1462</v>
      </c>
      <c r="K56" s="143">
        <f t="shared" si="10"/>
        <v>0.1462</v>
      </c>
      <c r="L56" s="143">
        <f t="shared" si="10"/>
        <v>0.1462</v>
      </c>
      <c r="M56" s="143">
        <f t="shared" si="10"/>
        <v>0.1462</v>
      </c>
      <c r="N56" s="143">
        <f t="shared" si="10"/>
        <v>0.1462</v>
      </c>
      <c r="O56" s="158">
        <f>+N56</f>
        <v>0.1462</v>
      </c>
    </row>
    <row r="57" spans="3:15" hidden="1" x14ac:dyDescent="0.25">
      <c r="C57" s="22" t="s">
        <v>43</v>
      </c>
      <c r="D57" s="130">
        <f>D54*D50</f>
        <v>14707.14993</v>
      </c>
      <c r="E57" s="131">
        <f t="shared" ref="E57:O59" si="11">E54*E50</f>
        <v>14162.964089999999</v>
      </c>
      <c r="F57" s="131">
        <f t="shared" si="11"/>
        <v>15718.076879999999</v>
      </c>
      <c r="G57" s="131">
        <f t="shared" si="11"/>
        <v>19233.426959999997</v>
      </c>
      <c r="H57" s="131">
        <f t="shared" si="11"/>
        <v>22452.565079999997</v>
      </c>
      <c r="I57" s="131">
        <f t="shared" si="11"/>
        <v>31465.925699999996</v>
      </c>
      <c r="J57" s="131">
        <f t="shared" si="11"/>
        <v>31346.649509999999</v>
      </c>
      <c r="K57" s="131">
        <f t="shared" si="11"/>
        <v>30817.538069999999</v>
      </c>
      <c r="L57" s="131">
        <f t="shared" si="11"/>
        <v>28996.927409999997</v>
      </c>
      <c r="M57" s="131">
        <f t="shared" si="11"/>
        <v>26186.305529999998</v>
      </c>
      <c r="N57" s="131">
        <f t="shared" si="11"/>
        <v>22875.590429999997</v>
      </c>
      <c r="O57" s="132">
        <f t="shared" si="11"/>
        <v>18214.20909</v>
      </c>
    </row>
    <row r="58" spans="3:15" hidden="1" x14ac:dyDescent="0.25">
      <c r="C58" s="22" t="s">
        <v>44</v>
      </c>
      <c r="D58" s="130">
        <f>D55*D51</f>
        <v>36877.981500000002</v>
      </c>
      <c r="E58" s="131">
        <f t="shared" si="11"/>
        <v>33227.635249999999</v>
      </c>
      <c r="F58" s="131">
        <f t="shared" si="11"/>
        <v>41618.347999999998</v>
      </c>
      <c r="G58" s="131">
        <f t="shared" si="11"/>
        <v>54771.127499999995</v>
      </c>
      <c r="H58" s="131">
        <f t="shared" si="11"/>
        <v>60258.559249999998</v>
      </c>
      <c r="I58" s="131">
        <f t="shared" si="11"/>
        <v>91385.215750000003</v>
      </c>
      <c r="J58" s="131">
        <f t="shared" si="11"/>
        <v>91892.516000000003</v>
      </c>
      <c r="K58" s="131">
        <f t="shared" si="11"/>
        <v>90510.528749999998</v>
      </c>
      <c r="L58" s="131">
        <f t="shared" si="11"/>
        <v>81560.161999999997</v>
      </c>
      <c r="M58" s="131">
        <f t="shared" si="11"/>
        <v>67225.25</v>
      </c>
      <c r="N58" s="131">
        <f t="shared" si="11"/>
        <v>55941.423499999997</v>
      </c>
      <c r="O58" s="132">
        <f t="shared" si="11"/>
        <v>45657.78125</v>
      </c>
    </row>
    <row r="59" spans="3:15" hidden="1" x14ac:dyDescent="0.25">
      <c r="C59" s="22" t="s">
        <v>45</v>
      </c>
      <c r="D59" s="159">
        <f>D56*D52</f>
        <v>29212.806799999998</v>
      </c>
      <c r="E59" s="160">
        <f t="shared" si="11"/>
        <v>18747.518400000001</v>
      </c>
      <c r="F59" s="160">
        <f t="shared" si="11"/>
        <v>33189.300600000002</v>
      </c>
      <c r="G59" s="160">
        <f t="shared" si="11"/>
        <v>132545.5048</v>
      </c>
      <c r="H59" s="160">
        <f t="shared" si="11"/>
        <v>59954.865599999997</v>
      </c>
      <c r="I59" s="160">
        <f t="shared" si="11"/>
        <v>91722.955999999991</v>
      </c>
      <c r="J59" s="160">
        <f t="shared" si="11"/>
        <v>75804.553799999994</v>
      </c>
      <c r="K59" s="160">
        <f t="shared" si="11"/>
        <v>108415.1948</v>
      </c>
      <c r="L59" s="160">
        <f t="shared" si="11"/>
        <v>72676.458599999998</v>
      </c>
      <c r="M59" s="160">
        <f t="shared" si="11"/>
        <v>40933.807000000001</v>
      </c>
      <c r="N59" s="160">
        <f t="shared" si="11"/>
        <v>37275.590599999996</v>
      </c>
      <c r="O59" s="161">
        <f t="shared" si="11"/>
        <v>29281.082200000001</v>
      </c>
    </row>
    <row r="60" spans="3:15" x14ac:dyDescent="0.25">
      <c r="C60" s="22" t="s">
        <v>30</v>
      </c>
      <c r="D60" s="159">
        <f t="shared" ref="D60:O60" si="12">ROUND(SUM(D57+D58+D59)/D49,2)</f>
        <v>199.5</v>
      </c>
      <c r="E60" s="160">
        <f t="shared" si="12"/>
        <v>161.71</v>
      </c>
      <c r="F60" s="160">
        <f t="shared" si="12"/>
        <v>219.19</v>
      </c>
      <c r="G60" s="160">
        <f t="shared" si="12"/>
        <v>481.47</v>
      </c>
      <c r="H60" s="160">
        <f t="shared" si="12"/>
        <v>330.25</v>
      </c>
      <c r="I60" s="160">
        <f t="shared" si="12"/>
        <v>499.01</v>
      </c>
      <c r="J60" s="160">
        <f t="shared" si="12"/>
        <v>463.97</v>
      </c>
      <c r="K60" s="160">
        <f t="shared" si="12"/>
        <v>523.33000000000004</v>
      </c>
      <c r="L60" s="160">
        <f t="shared" si="12"/>
        <v>416.44</v>
      </c>
      <c r="M60" s="160">
        <f t="shared" si="12"/>
        <v>304.64</v>
      </c>
      <c r="N60" s="160">
        <f t="shared" si="12"/>
        <v>260.88</v>
      </c>
      <c r="O60" s="161">
        <f t="shared" si="12"/>
        <v>210.75</v>
      </c>
    </row>
    <row r="61" spans="3:15" x14ac:dyDescent="0.25">
      <c r="C61" s="80" t="s">
        <v>46</v>
      </c>
      <c r="D61" s="133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5"/>
    </row>
    <row r="62" spans="3:15" hidden="1" x14ac:dyDescent="0.25">
      <c r="C62" s="23" t="s">
        <v>26</v>
      </c>
      <c r="D62" s="162">
        <v>82</v>
      </c>
      <c r="E62" s="163">
        <v>80</v>
      </c>
      <c r="F62" s="163">
        <v>80</v>
      </c>
      <c r="G62" s="163">
        <v>81</v>
      </c>
      <c r="H62" s="163">
        <v>79</v>
      </c>
      <c r="I62" s="163">
        <v>79</v>
      </c>
      <c r="J62" s="163">
        <v>80</v>
      </c>
      <c r="K62" s="163">
        <v>80</v>
      </c>
      <c r="L62" s="163">
        <v>135</v>
      </c>
      <c r="M62" s="163">
        <v>83</v>
      </c>
      <c r="N62" s="163">
        <v>82</v>
      </c>
      <c r="O62" s="164">
        <v>85</v>
      </c>
    </row>
    <row r="63" spans="3:15" hidden="1" x14ac:dyDescent="0.25">
      <c r="C63" s="23" t="s">
        <v>36</v>
      </c>
      <c r="D63" s="162">
        <v>281057</v>
      </c>
      <c r="E63" s="163">
        <v>292438</v>
      </c>
      <c r="F63" s="163">
        <v>232767</v>
      </c>
      <c r="G63" s="163">
        <v>337889</v>
      </c>
      <c r="H63" s="163">
        <v>430436</v>
      </c>
      <c r="I63" s="163">
        <v>889995</v>
      </c>
      <c r="J63" s="163">
        <v>911639</v>
      </c>
      <c r="K63" s="163">
        <v>829158</v>
      </c>
      <c r="L63" s="163">
        <v>1617804</v>
      </c>
      <c r="M63" s="163">
        <v>612246</v>
      </c>
      <c r="N63" s="163">
        <v>485441</v>
      </c>
      <c r="O63" s="164">
        <v>387499</v>
      </c>
    </row>
    <row r="64" spans="3:15" hidden="1" x14ac:dyDescent="0.25">
      <c r="C64" s="23" t="s">
        <v>37</v>
      </c>
      <c r="D64" s="162">
        <v>37880</v>
      </c>
      <c r="E64" s="163">
        <v>30155</v>
      </c>
      <c r="F64" s="163">
        <v>17413</v>
      </c>
      <c r="G64" s="163">
        <v>56111</v>
      </c>
      <c r="H64" s="163">
        <v>51418</v>
      </c>
      <c r="I64" s="163">
        <v>215603</v>
      </c>
      <c r="J64" s="163">
        <v>235610</v>
      </c>
      <c r="K64" s="163">
        <v>215709</v>
      </c>
      <c r="L64" s="163">
        <v>573703</v>
      </c>
      <c r="M64" s="163">
        <v>188162</v>
      </c>
      <c r="N64" s="163">
        <v>147547</v>
      </c>
      <c r="O64" s="164">
        <v>69596</v>
      </c>
    </row>
    <row r="65" spans="2:15" hidden="1" x14ac:dyDescent="0.25">
      <c r="C65" s="35" t="s">
        <v>38</v>
      </c>
      <c r="D65" s="162"/>
      <c r="E65" s="163"/>
      <c r="F65" s="163"/>
      <c r="G65" s="163"/>
      <c r="H65" s="163"/>
      <c r="I65" s="163">
        <v>59914</v>
      </c>
      <c r="J65" s="163">
        <v>58081</v>
      </c>
      <c r="K65" s="163">
        <v>67742</v>
      </c>
      <c r="L65" s="163">
        <v>40376</v>
      </c>
      <c r="M65" s="163"/>
      <c r="N65" s="163"/>
      <c r="O65" s="164"/>
    </row>
    <row r="66" spans="2:15" hidden="1" x14ac:dyDescent="0.25">
      <c r="C66" s="52" t="s">
        <v>39</v>
      </c>
      <c r="D66" s="162">
        <f t="shared" ref="D66:O66" si="13">+D63+D64+D65</f>
        <v>318937</v>
      </c>
      <c r="E66" s="163">
        <f t="shared" si="13"/>
        <v>322593</v>
      </c>
      <c r="F66" s="163">
        <f t="shared" si="13"/>
        <v>250180</v>
      </c>
      <c r="G66" s="163">
        <f t="shared" si="13"/>
        <v>394000</v>
      </c>
      <c r="H66" s="163">
        <f t="shared" si="13"/>
        <v>481854</v>
      </c>
      <c r="I66" s="163">
        <f t="shared" si="13"/>
        <v>1165512</v>
      </c>
      <c r="J66" s="163">
        <f t="shared" si="13"/>
        <v>1205330</v>
      </c>
      <c r="K66" s="163">
        <f t="shared" si="13"/>
        <v>1112609</v>
      </c>
      <c r="L66" s="163">
        <f t="shared" si="13"/>
        <v>2231883</v>
      </c>
      <c r="M66" s="163">
        <f t="shared" si="13"/>
        <v>800408</v>
      </c>
      <c r="N66" s="163">
        <f t="shared" si="13"/>
        <v>632988</v>
      </c>
      <c r="O66" s="164">
        <f t="shared" si="13"/>
        <v>457095</v>
      </c>
    </row>
    <row r="67" spans="2:15" hidden="1" x14ac:dyDescent="0.25">
      <c r="C67" s="23" t="s">
        <v>40</v>
      </c>
      <c r="D67" s="157">
        <v>0.14834</v>
      </c>
      <c r="E67" s="143">
        <f t="shared" ref="E67:N69" si="14">+D67</f>
        <v>0.14834</v>
      </c>
      <c r="F67" s="143">
        <f t="shared" si="14"/>
        <v>0.14834</v>
      </c>
      <c r="G67" s="143">
        <f t="shared" si="14"/>
        <v>0.14834</v>
      </c>
      <c r="H67" s="143">
        <f t="shared" si="14"/>
        <v>0.14834</v>
      </c>
      <c r="I67" s="143">
        <f t="shared" si="14"/>
        <v>0.14834</v>
      </c>
      <c r="J67" s="143">
        <f t="shared" si="14"/>
        <v>0.14834</v>
      </c>
      <c r="K67" s="143">
        <f t="shared" si="14"/>
        <v>0.14834</v>
      </c>
      <c r="L67" s="143">
        <f t="shared" si="14"/>
        <v>0.14834</v>
      </c>
      <c r="M67" s="143">
        <f t="shared" si="14"/>
        <v>0.14834</v>
      </c>
      <c r="N67" s="143">
        <f t="shared" si="14"/>
        <v>0.14834</v>
      </c>
      <c r="O67" s="158">
        <f>+N67</f>
        <v>0.14834</v>
      </c>
    </row>
    <row r="68" spans="2:15" hidden="1" x14ac:dyDescent="0.25">
      <c r="C68" s="35" t="s">
        <v>41</v>
      </c>
      <c r="D68" s="157">
        <v>0.11294999999999999</v>
      </c>
      <c r="E68" s="143">
        <f t="shared" si="14"/>
        <v>0.11294999999999999</v>
      </c>
      <c r="F68" s="143">
        <f t="shared" si="14"/>
        <v>0.11294999999999999</v>
      </c>
      <c r="G68" s="143">
        <f t="shared" si="14"/>
        <v>0.11294999999999999</v>
      </c>
      <c r="H68" s="143">
        <f t="shared" si="14"/>
        <v>0.11294999999999999</v>
      </c>
      <c r="I68" s="143">
        <f t="shared" si="14"/>
        <v>0.11294999999999999</v>
      </c>
      <c r="J68" s="143">
        <f t="shared" si="14"/>
        <v>0.11294999999999999</v>
      </c>
      <c r="K68" s="143">
        <f t="shared" si="14"/>
        <v>0.11294999999999999</v>
      </c>
      <c r="L68" s="143">
        <f t="shared" si="14"/>
        <v>0.11294999999999999</v>
      </c>
      <c r="M68" s="143">
        <f t="shared" si="14"/>
        <v>0.11294999999999999</v>
      </c>
      <c r="N68" s="143">
        <f t="shared" si="14"/>
        <v>0.11294999999999999</v>
      </c>
      <c r="O68" s="158">
        <f>+N68</f>
        <v>0.11294999999999999</v>
      </c>
    </row>
    <row r="69" spans="2:15" hidden="1" x14ac:dyDescent="0.25">
      <c r="C69" s="35" t="s">
        <v>42</v>
      </c>
      <c r="D69" s="157">
        <v>2.5409999999999999E-2</v>
      </c>
      <c r="E69" s="143">
        <f t="shared" si="14"/>
        <v>2.5409999999999999E-2</v>
      </c>
      <c r="F69" s="143">
        <f t="shared" si="14"/>
        <v>2.5409999999999999E-2</v>
      </c>
      <c r="G69" s="143">
        <f t="shared" si="14"/>
        <v>2.5409999999999999E-2</v>
      </c>
      <c r="H69" s="143">
        <f t="shared" si="14"/>
        <v>2.5409999999999999E-2</v>
      </c>
      <c r="I69" s="143">
        <f t="shared" si="14"/>
        <v>2.5409999999999999E-2</v>
      </c>
      <c r="J69" s="143">
        <f t="shared" si="14"/>
        <v>2.5409999999999999E-2</v>
      </c>
      <c r="K69" s="143">
        <f t="shared" si="14"/>
        <v>2.5409999999999999E-2</v>
      </c>
      <c r="L69" s="143">
        <f t="shared" si="14"/>
        <v>2.5409999999999999E-2</v>
      </c>
      <c r="M69" s="143">
        <f t="shared" si="14"/>
        <v>2.5409999999999999E-2</v>
      </c>
      <c r="N69" s="143">
        <f t="shared" si="14"/>
        <v>2.5409999999999999E-2</v>
      </c>
      <c r="O69" s="158">
        <f>+N69</f>
        <v>2.5409999999999999E-2</v>
      </c>
    </row>
    <row r="70" spans="2:15" hidden="1" x14ac:dyDescent="0.25">
      <c r="C70" s="31" t="s">
        <v>43</v>
      </c>
      <c r="D70" s="130">
        <f>D67*D63</f>
        <v>41691.99538</v>
      </c>
      <c r="E70" s="131">
        <f t="shared" ref="E70:O72" si="15">E67*E63</f>
        <v>43380.252919999999</v>
      </c>
      <c r="F70" s="131">
        <f t="shared" si="15"/>
        <v>34528.656779999998</v>
      </c>
      <c r="G70" s="131">
        <f t="shared" si="15"/>
        <v>50122.454259999999</v>
      </c>
      <c r="H70" s="131">
        <f t="shared" si="15"/>
        <v>63850.876239999998</v>
      </c>
      <c r="I70" s="131">
        <f t="shared" si="15"/>
        <v>132021.85829999999</v>
      </c>
      <c r="J70" s="131">
        <f t="shared" si="15"/>
        <v>135232.52926000001</v>
      </c>
      <c r="K70" s="131">
        <f t="shared" si="15"/>
        <v>122997.29772</v>
      </c>
      <c r="L70" s="131">
        <f t="shared" si="15"/>
        <v>239985.04535999999</v>
      </c>
      <c r="M70" s="131">
        <f t="shared" si="15"/>
        <v>90820.571639999995</v>
      </c>
      <c r="N70" s="131">
        <f t="shared" si="15"/>
        <v>72010.317939999994</v>
      </c>
      <c r="O70" s="132">
        <f t="shared" si="15"/>
        <v>57481.60166</v>
      </c>
    </row>
    <row r="71" spans="2:15" hidden="1" x14ac:dyDescent="0.25">
      <c r="C71" s="31" t="s">
        <v>44</v>
      </c>
      <c r="D71" s="130">
        <f>D68*D64</f>
        <v>4278.5459999999994</v>
      </c>
      <c r="E71" s="131">
        <f t="shared" si="15"/>
        <v>3406.0072499999997</v>
      </c>
      <c r="F71" s="131">
        <f t="shared" si="15"/>
        <v>1966.7983499999998</v>
      </c>
      <c r="G71" s="131">
        <f t="shared" si="15"/>
        <v>6337.7374499999996</v>
      </c>
      <c r="H71" s="131">
        <f t="shared" si="15"/>
        <v>5807.6630999999998</v>
      </c>
      <c r="I71" s="131">
        <f t="shared" si="15"/>
        <v>24352.358850000001</v>
      </c>
      <c r="J71" s="131">
        <f t="shared" si="15"/>
        <v>26612.1495</v>
      </c>
      <c r="K71" s="131">
        <f t="shared" si="15"/>
        <v>24364.331549999999</v>
      </c>
      <c r="L71" s="131">
        <f t="shared" si="15"/>
        <v>64799.753849999994</v>
      </c>
      <c r="M71" s="131">
        <f t="shared" si="15"/>
        <v>21252.8979</v>
      </c>
      <c r="N71" s="131">
        <f t="shared" si="15"/>
        <v>16665.433649999999</v>
      </c>
      <c r="O71" s="132">
        <f t="shared" si="15"/>
        <v>7860.8681999999999</v>
      </c>
    </row>
    <row r="72" spans="2:15" hidden="1" x14ac:dyDescent="0.25">
      <c r="C72" s="31" t="s">
        <v>45</v>
      </c>
      <c r="D72" s="130">
        <f>D69*D65</f>
        <v>0</v>
      </c>
      <c r="E72" s="131">
        <f t="shared" si="15"/>
        <v>0</v>
      </c>
      <c r="F72" s="131">
        <f t="shared" si="15"/>
        <v>0</v>
      </c>
      <c r="G72" s="131">
        <f t="shared" si="15"/>
        <v>0</v>
      </c>
      <c r="H72" s="131">
        <f t="shared" si="15"/>
        <v>0</v>
      </c>
      <c r="I72" s="131">
        <f t="shared" si="15"/>
        <v>1522.4147399999999</v>
      </c>
      <c r="J72" s="131">
        <f t="shared" si="15"/>
        <v>1475.8382099999999</v>
      </c>
      <c r="K72" s="131">
        <f t="shared" si="15"/>
        <v>1721.32422</v>
      </c>
      <c r="L72" s="131">
        <f t="shared" si="15"/>
        <v>1025.95416</v>
      </c>
      <c r="M72" s="131">
        <f t="shared" si="15"/>
        <v>0</v>
      </c>
      <c r="N72" s="131">
        <f t="shared" si="15"/>
        <v>0</v>
      </c>
      <c r="O72" s="132">
        <f t="shared" si="15"/>
        <v>0</v>
      </c>
    </row>
    <row r="73" spans="2:15" x14ac:dyDescent="0.25">
      <c r="C73" s="31" t="s">
        <v>30</v>
      </c>
      <c r="D73" s="130">
        <f t="shared" ref="D73:O73" si="16">ROUND(SUM(D70:D72)/D62,2)</f>
        <v>560.62</v>
      </c>
      <c r="E73" s="131">
        <f t="shared" si="16"/>
        <v>584.83000000000004</v>
      </c>
      <c r="F73" s="131">
        <f t="shared" si="16"/>
        <v>456.19</v>
      </c>
      <c r="G73" s="131">
        <f t="shared" si="16"/>
        <v>697.04</v>
      </c>
      <c r="H73" s="131">
        <f t="shared" si="16"/>
        <v>881.75</v>
      </c>
      <c r="I73" s="131">
        <f t="shared" si="16"/>
        <v>1998.69</v>
      </c>
      <c r="J73" s="131">
        <f t="shared" si="16"/>
        <v>2041.51</v>
      </c>
      <c r="K73" s="131">
        <f t="shared" si="16"/>
        <v>1863.54</v>
      </c>
      <c r="L73" s="131">
        <f t="shared" si="16"/>
        <v>2265.2600000000002</v>
      </c>
      <c r="M73" s="131">
        <f t="shared" si="16"/>
        <v>1350.28</v>
      </c>
      <c r="N73" s="131">
        <f t="shared" si="16"/>
        <v>1081.4100000000001</v>
      </c>
      <c r="O73" s="132">
        <f t="shared" si="16"/>
        <v>768.73</v>
      </c>
    </row>
    <row r="74" spans="2:15" x14ac:dyDescent="0.25">
      <c r="C74" s="80" t="s">
        <v>47</v>
      </c>
      <c r="D74" s="133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5"/>
    </row>
    <row r="75" spans="2:15" hidden="1" x14ac:dyDescent="0.25">
      <c r="C75" s="23" t="s">
        <v>26</v>
      </c>
      <c r="D75" s="151">
        <v>1</v>
      </c>
      <c r="E75" s="152">
        <v>1</v>
      </c>
      <c r="F75" s="152">
        <v>1</v>
      </c>
      <c r="G75" s="152">
        <v>1</v>
      </c>
      <c r="H75" s="152">
        <v>1</v>
      </c>
      <c r="I75" s="152">
        <v>1</v>
      </c>
      <c r="J75" s="152">
        <v>1</v>
      </c>
      <c r="K75" s="152">
        <v>1</v>
      </c>
      <c r="L75" s="152">
        <v>1</v>
      </c>
      <c r="M75" s="152">
        <v>1</v>
      </c>
      <c r="N75" s="152">
        <v>1</v>
      </c>
      <c r="O75" s="153">
        <v>1</v>
      </c>
    </row>
    <row r="76" spans="2:15" hidden="1" x14ac:dyDescent="0.25">
      <c r="C76" s="23" t="s">
        <v>27</v>
      </c>
      <c r="D76" s="162">
        <v>3952</v>
      </c>
      <c r="E76" s="163">
        <v>3861</v>
      </c>
      <c r="F76" s="163">
        <v>4343</v>
      </c>
      <c r="G76" s="163">
        <v>4159</v>
      </c>
      <c r="H76" s="163">
        <v>3377</v>
      </c>
      <c r="I76" s="163">
        <v>3772</v>
      </c>
      <c r="J76" s="163">
        <v>3467</v>
      </c>
      <c r="K76" s="163">
        <v>3807</v>
      </c>
      <c r="L76" s="163">
        <v>4147</v>
      </c>
      <c r="M76" s="163">
        <v>3631</v>
      </c>
      <c r="N76" s="163">
        <v>4015</v>
      </c>
      <c r="O76" s="164">
        <v>4021</v>
      </c>
    </row>
    <row r="77" spans="2:15" hidden="1" x14ac:dyDescent="0.25">
      <c r="C77" s="23" t="s">
        <v>28</v>
      </c>
      <c r="D77" s="151">
        <v>0.21479000000000001</v>
      </c>
      <c r="E77" s="152">
        <f>+D77</f>
        <v>0.21479000000000001</v>
      </c>
      <c r="F77" s="143">
        <f>+E77</f>
        <v>0.21479000000000001</v>
      </c>
      <c r="G77" s="165">
        <f>+F77</f>
        <v>0.21479000000000001</v>
      </c>
      <c r="H77" s="165">
        <f t="shared" ref="H77:N77" si="17">+G77</f>
        <v>0.21479000000000001</v>
      </c>
      <c r="I77" s="165">
        <f t="shared" si="17"/>
        <v>0.21479000000000001</v>
      </c>
      <c r="J77" s="165">
        <f t="shared" si="17"/>
        <v>0.21479000000000001</v>
      </c>
      <c r="K77" s="165">
        <f t="shared" si="17"/>
        <v>0.21479000000000001</v>
      </c>
      <c r="L77" s="165">
        <f t="shared" si="17"/>
        <v>0.21479000000000001</v>
      </c>
      <c r="M77" s="165">
        <f t="shared" si="17"/>
        <v>0.21479000000000001</v>
      </c>
      <c r="N77" s="165">
        <f t="shared" si="17"/>
        <v>0.21479000000000001</v>
      </c>
      <c r="O77" s="153">
        <f>+N77</f>
        <v>0.21479000000000001</v>
      </c>
    </row>
    <row r="78" spans="2:15" hidden="1" x14ac:dyDescent="0.25">
      <c r="C78" s="35" t="s">
        <v>29</v>
      </c>
      <c r="D78" s="162">
        <f>D77*D76</f>
        <v>848.85008000000005</v>
      </c>
      <c r="E78" s="163">
        <f t="shared" ref="E78:O78" si="18">E77*E76</f>
        <v>829.30419000000006</v>
      </c>
      <c r="F78" s="163">
        <f t="shared" si="18"/>
        <v>932.83297000000005</v>
      </c>
      <c r="G78" s="163">
        <f t="shared" si="18"/>
        <v>893.31161000000009</v>
      </c>
      <c r="H78" s="163">
        <f t="shared" si="18"/>
        <v>725.34582999999998</v>
      </c>
      <c r="I78" s="163">
        <f t="shared" si="18"/>
        <v>810.18788000000006</v>
      </c>
      <c r="J78" s="163">
        <f t="shared" si="18"/>
        <v>744.67693000000008</v>
      </c>
      <c r="K78" s="163">
        <f t="shared" si="18"/>
        <v>817.70553000000007</v>
      </c>
      <c r="L78" s="163">
        <f t="shared" si="18"/>
        <v>890.73413000000005</v>
      </c>
      <c r="M78" s="163">
        <f t="shared" si="18"/>
        <v>779.90249000000006</v>
      </c>
      <c r="N78" s="163">
        <f t="shared" si="18"/>
        <v>862.38184999999999</v>
      </c>
      <c r="O78" s="164">
        <f t="shared" si="18"/>
        <v>863.67059000000006</v>
      </c>
    </row>
    <row r="79" spans="2:15" x14ac:dyDescent="0.25">
      <c r="C79" s="35" t="s">
        <v>30</v>
      </c>
      <c r="D79" s="159">
        <f t="shared" ref="D79:O79" si="19">ROUND(D78/D75,2)</f>
        <v>848.85</v>
      </c>
      <c r="E79" s="160">
        <f t="shared" si="19"/>
        <v>829.3</v>
      </c>
      <c r="F79" s="160">
        <f t="shared" si="19"/>
        <v>932.83</v>
      </c>
      <c r="G79" s="160">
        <f t="shared" si="19"/>
        <v>893.31</v>
      </c>
      <c r="H79" s="160">
        <f t="shared" si="19"/>
        <v>725.35</v>
      </c>
      <c r="I79" s="160">
        <f t="shared" si="19"/>
        <v>810.19</v>
      </c>
      <c r="J79" s="160">
        <f t="shared" si="19"/>
        <v>744.68</v>
      </c>
      <c r="K79" s="160">
        <f t="shared" si="19"/>
        <v>817.71</v>
      </c>
      <c r="L79" s="160">
        <f t="shared" si="19"/>
        <v>890.73</v>
      </c>
      <c r="M79" s="160">
        <f t="shared" si="19"/>
        <v>779.9</v>
      </c>
      <c r="N79" s="160">
        <f t="shared" si="19"/>
        <v>862.38</v>
      </c>
      <c r="O79" s="161">
        <f t="shared" si="19"/>
        <v>863.67</v>
      </c>
    </row>
    <row r="80" spans="2:15" hidden="1" x14ac:dyDescent="0.25">
      <c r="B80" t="s">
        <v>63</v>
      </c>
      <c r="C80" s="80" t="s">
        <v>48</v>
      </c>
      <c r="D80" s="133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5"/>
    </row>
    <row r="81" spans="3:15" hidden="1" x14ac:dyDescent="0.25">
      <c r="C81" s="23" t="s">
        <v>49</v>
      </c>
      <c r="D81" s="151">
        <v>1</v>
      </c>
      <c r="E81" s="152">
        <v>1</v>
      </c>
      <c r="F81" s="152">
        <v>1</v>
      </c>
      <c r="G81" s="152">
        <v>1</v>
      </c>
      <c r="H81" s="152">
        <v>1</v>
      </c>
      <c r="I81" s="152">
        <v>1</v>
      </c>
      <c r="J81" s="152">
        <v>1</v>
      </c>
      <c r="K81" s="152">
        <v>1</v>
      </c>
      <c r="L81" s="152">
        <v>1</v>
      </c>
      <c r="M81" s="152">
        <v>1</v>
      </c>
      <c r="N81" s="152">
        <v>1</v>
      </c>
      <c r="O81" s="153">
        <v>1</v>
      </c>
    </row>
    <row r="82" spans="3:15" hidden="1" x14ac:dyDescent="0.25">
      <c r="C82" s="31" t="s">
        <v>50</v>
      </c>
      <c r="D82" s="166">
        <v>1015.38</v>
      </c>
      <c r="E82" s="167">
        <v>788.38</v>
      </c>
      <c r="F82" s="167">
        <v>884.71</v>
      </c>
      <c r="G82" s="167">
        <v>1033.0999999999999</v>
      </c>
      <c r="H82" s="168">
        <v>1012.54</v>
      </c>
      <c r="I82" s="167">
        <v>993.42</v>
      </c>
      <c r="J82" s="167">
        <v>912.38</v>
      </c>
      <c r="K82" s="167">
        <v>1014.89</v>
      </c>
      <c r="L82" s="167">
        <v>1202.48</v>
      </c>
      <c r="M82" s="167">
        <v>753.32</v>
      </c>
      <c r="N82" s="167">
        <v>984.76</v>
      </c>
      <c r="O82" s="169">
        <v>1254.4000000000001</v>
      </c>
    </row>
    <row r="83" spans="3:15" hidden="1" x14ac:dyDescent="0.25">
      <c r="C83" s="31" t="s">
        <v>51</v>
      </c>
      <c r="D83" s="130">
        <v>2266.06</v>
      </c>
      <c r="E83" s="131">
        <v>1912.82</v>
      </c>
      <c r="F83" s="131">
        <v>1858.85</v>
      </c>
      <c r="G83" s="131">
        <v>2078.12</v>
      </c>
      <c r="H83" s="131">
        <v>3037.36</v>
      </c>
      <c r="I83" s="131">
        <v>6343.84</v>
      </c>
      <c r="J83" s="131">
        <v>7588.03</v>
      </c>
      <c r="K83" s="131">
        <v>7641.41</v>
      </c>
      <c r="L83" s="131">
        <v>5284.05</v>
      </c>
      <c r="M83" s="131">
        <v>5126.42</v>
      </c>
      <c r="N83" s="131">
        <v>4529.59</v>
      </c>
      <c r="O83" s="132">
        <v>2891.92</v>
      </c>
    </row>
    <row r="84" spans="3:15" hidden="1" x14ac:dyDescent="0.25">
      <c r="C84" s="31" t="s">
        <v>52</v>
      </c>
      <c r="D84" s="130">
        <f>D82/1</f>
        <v>1015.38</v>
      </c>
      <c r="E84" s="131">
        <f t="shared" ref="E84:O84" si="20">E82/1</f>
        <v>788.38</v>
      </c>
      <c r="F84" s="131">
        <f t="shared" si="20"/>
        <v>884.71</v>
      </c>
      <c r="G84" s="131">
        <f t="shared" si="20"/>
        <v>1033.0999999999999</v>
      </c>
      <c r="H84" s="131">
        <f t="shared" si="20"/>
        <v>1012.54</v>
      </c>
      <c r="I84" s="131">
        <f t="shared" si="20"/>
        <v>993.42</v>
      </c>
      <c r="J84" s="131">
        <f t="shared" si="20"/>
        <v>912.38</v>
      </c>
      <c r="K84" s="131">
        <f t="shared" si="20"/>
        <v>1014.89</v>
      </c>
      <c r="L84" s="131">
        <f t="shared" si="20"/>
        <v>1202.48</v>
      </c>
      <c r="M84" s="131">
        <f t="shared" si="20"/>
        <v>753.32</v>
      </c>
      <c r="N84" s="131">
        <f t="shared" si="20"/>
        <v>984.76</v>
      </c>
      <c r="O84" s="132">
        <f t="shared" si="20"/>
        <v>1254.4000000000001</v>
      </c>
    </row>
    <row r="85" spans="3:15" hidden="1" x14ac:dyDescent="0.25">
      <c r="C85" s="31" t="s">
        <v>53</v>
      </c>
      <c r="D85" s="130">
        <f t="shared" ref="D85:O85" si="21">D78/D75</f>
        <v>848.85008000000005</v>
      </c>
      <c r="E85" s="131">
        <f t="shared" si="21"/>
        <v>829.30419000000006</v>
      </c>
      <c r="F85" s="131">
        <f t="shared" si="21"/>
        <v>932.83297000000005</v>
      </c>
      <c r="G85" s="131">
        <f t="shared" si="21"/>
        <v>893.31161000000009</v>
      </c>
      <c r="H85" s="131">
        <f t="shared" si="21"/>
        <v>725.34582999999998</v>
      </c>
      <c r="I85" s="131">
        <f t="shared" si="21"/>
        <v>810.18788000000006</v>
      </c>
      <c r="J85" s="131">
        <f t="shared" si="21"/>
        <v>744.67693000000008</v>
      </c>
      <c r="K85" s="131">
        <f t="shared" si="21"/>
        <v>817.70553000000007</v>
      </c>
      <c r="L85" s="131">
        <f t="shared" si="21"/>
        <v>890.73413000000005</v>
      </c>
      <c r="M85" s="131">
        <f t="shared" si="21"/>
        <v>779.90249000000006</v>
      </c>
      <c r="N85" s="131">
        <f t="shared" si="21"/>
        <v>862.38184999999999</v>
      </c>
      <c r="O85" s="132">
        <f t="shared" si="21"/>
        <v>863.67059000000006</v>
      </c>
    </row>
    <row r="86" spans="3:15" x14ac:dyDescent="0.25">
      <c r="C86" s="80" t="s">
        <v>54</v>
      </c>
      <c r="D86" s="133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5"/>
    </row>
    <row r="87" spans="3:15" hidden="1" x14ac:dyDescent="0.25">
      <c r="C87" s="23" t="s">
        <v>26</v>
      </c>
      <c r="D87" s="151">
        <f>8+D81</f>
        <v>9</v>
      </c>
      <c r="E87" s="152">
        <f t="shared" ref="E87:O87" si="22">8+E81</f>
        <v>9</v>
      </c>
      <c r="F87" s="152">
        <f t="shared" si="22"/>
        <v>9</v>
      </c>
      <c r="G87" s="152">
        <f t="shared" si="22"/>
        <v>9</v>
      </c>
      <c r="H87" s="152">
        <f t="shared" si="22"/>
        <v>9</v>
      </c>
      <c r="I87" s="152">
        <f t="shared" si="22"/>
        <v>9</v>
      </c>
      <c r="J87" s="152">
        <f t="shared" si="22"/>
        <v>9</v>
      </c>
      <c r="K87" s="152">
        <f t="shared" si="22"/>
        <v>9</v>
      </c>
      <c r="L87" s="152">
        <f t="shared" si="22"/>
        <v>9</v>
      </c>
      <c r="M87" s="152">
        <f t="shared" si="22"/>
        <v>9</v>
      </c>
      <c r="N87" s="152">
        <f t="shared" si="22"/>
        <v>9</v>
      </c>
      <c r="O87" s="153">
        <f t="shared" si="22"/>
        <v>9</v>
      </c>
    </row>
    <row r="88" spans="3:15" hidden="1" x14ac:dyDescent="0.25">
      <c r="C88" s="35" t="s">
        <v>55</v>
      </c>
      <c r="D88" s="162">
        <v>126869</v>
      </c>
      <c r="E88" s="163">
        <v>137697</v>
      </c>
      <c r="F88" s="163">
        <v>120628</v>
      </c>
      <c r="G88" s="163">
        <v>152126</v>
      </c>
      <c r="H88" s="163">
        <v>153172</v>
      </c>
      <c r="I88" s="163">
        <v>164797</v>
      </c>
      <c r="J88" s="163">
        <v>171860</v>
      </c>
      <c r="K88" s="163">
        <v>172646</v>
      </c>
      <c r="L88" s="163">
        <v>161201</v>
      </c>
      <c r="M88" s="163">
        <v>152857</v>
      </c>
      <c r="N88" s="163">
        <v>151533</v>
      </c>
      <c r="O88" s="164">
        <v>138046</v>
      </c>
    </row>
    <row r="89" spans="3:15" hidden="1" x14ac:dyDescent="0.25">
      <c r="C89" s="35" t="s">
        <v>56</v>
      </c>
      <c r="D89" s="162">
        <v>100624</v>
      </c>
      <c r="E89" s="163">
        <v>84939</v>
      </c>
      <c r="F89" s="163">
        <v>82542</v>
      </c>
      <c r="G89" s="163">
        <v>92279</v>
      </c>
      <c r="H89" s="163">
        <v>131317</v>
      </c>
      <c r="I89" s="163">
        <v>274269</v>
      </c>
      <c r="J89" s="163">
        <v>328060</v>
      </c>
      <c r="K89" s="163">
        <v>330368</v>
      </c>
      <c r="L89" s="163">
        <v>228450</v>
      </c>
      <c r="M89" s="163">
        <v>221635</v>
      </c>
      <c r="N89" s="163">
        <v>195832</v>
      </c>
      <c r="O89" s="164">
        <v>125029</v>
      </c>
    </row>
    <row r="90" spans="3:15" hidden="1" x14ac:dyDescent="0.25">
      <c r="C90" s="52" t="s">
        <v>39</v>
      </c>
      <c r="D90" s="162">
        <f>+D88+D89</f>
        <v>227493</v>
      </c>
      <c r="E90" s="163">
        <f>+E88+E89</f>
        <v>222636</v>
      </c>
      <c r="F90" s="163">
        <f t="shared" ref="F90:N90" si="23">+F88+F89</f>
        <v>203170</v>
      </c>
      <c r="G90" s="163">
        <f t="shared" si="23"/>
        <v>244405</v>
      </c>
      <c r="H90" s="163">
        <f t="shared" si="23"/>
        <v>284489</v>
      </c>
      <c r="I90" s="163">
        <f t="shared" si="23"/>
        <v>439066</v>
      </c>
      <c r="J90" s="163">
        <f t="shared" si="23"/>
        <v>499920</v>
      </c>
      <c r="K90" s="163">
        <f t="shared" si="23"/>
        <v>503014</v>
      </c>
      <c r="L90" s="163">
        <f t="shared" si="23"/>
        <v>389651</v>
      </c>
      <c r="M90" s="163">
        <f t="shared" si="23"/>
        <v>374492</v>
      </c>
      <c r="N90" s="163">
        <f t="shared" si="23"/>
        <v>347365</v>
      </c>
      <c r="O90" s="164">
        <f>+O88+O89</f>
        <v>263075</v>
      </c>
    </row>
    <row r="91" spans="3:15" hidden="1" x14ac:dyDescent="0.25">
      <c r="C91" s="35" t="s">
        <v>57</v>
      </c>
      <c r="D91" s="157">
        <v>8.233E-2</v>
      </c>
      <c r="E91" s="143">
        <f t="shared" ref="E91:N92" si="24">+D91</f>
        <v>8.233E-2</v>
      </c>
      <c r="F91" s="143">
        <f t="shared" si="24"/>
        <v>8.233E-2</v>
      </c>
      <c r="G91" s="143">
        <f t="shared" si="24"/>
        <v>8.233E-2</v>
      </c>
      <c r="H91" s="143">
        <f t="shared" si="24"/>
        <v>8.233E-2</v>
      </c>
      <c r="I91" s="143">
        <f t="shared" si="24"/>
        <v>8.233E-2</v>
      </c>
      <c r="J91" s="143">
        <f t="shared" si="24"/>
        <v>8.233E-2</v>
      </c>
      <c r="K91" s="143">
        <f t="shared" si="24"/>
        <v>8.233E-2</v>
      </c>
      <c r="L91" s="143">
        <f t="shared" si="24"/>
        <v>8.233E-2</v>
      </c>
      <c r="M91" s="143">
        <f t="shared" si="24"/>
        <v>8.233E-2</v>
      </c>
      <c r="N91" s="143">
        <f t="shared" si="24"/>
        <v>8.233E-2</v>
      </c>
      <c r="O91" s="158">
        <f>+N91</f>
        <v>8.233E-2</v>
      </c>
    </row>
    <row r="92" spans="3:15" hidden="1" x14ac:dyDescent="0.25">
      <c r="C92" s="35" t="s">
        <v>58</v>
      </c>
      <c r="D92" s="157">
        <v>2.2509999999999999E-2</v>
      </c>
      <c r="E92" s="143">
        <f t="shared" si="24"/>
        <v>2.2509999999999999E-2</v>
      </c>
      <c r="F92" s="143">
        <f t="shared" si="24"/>
        <v>2.2509999999999999E-2</v>
      </c>
      <c r="G92" s="143">
        <f t="shared" si="24"/>
        <v>2.2509999999999999E-2</v>
      </c>
      <c r="H92" s="143">
        <f t="shared" si="24"/>
        <v>2.2509999999999999E-2</v>
      </c>
      <c r="I92" s="143">
        <f t="shared" si="24"/>
        <v>2.2509999999999999E-2</v>
      </c>
      <c r="J92" s="143">
        <f t="shared" si="24"/>
        <v>2.2509999999999999E-2</v>
      </c>
      <c r="K92" s="143">
        <f t="shared" si="24"/>
        <v>2.2509999999999999E-2</v>
      </c>
      <c r="L92" s="143">
        <f t="shared" si="24"/>
        <v>2.2509999999999999E-2</v>
      </c>
      <c r="M92" s="143">
        <f t="shared" si="24"/>
        <v>2.2509999999999999E-2</v>
      </c>
      <c r="N92" s="143">
        <f t="shared" si="24"/>
        <v>2.2509999999999999E-2</v>
      </c>
      <c r="O92" s="158">
        <f>+N92</f>
        <v>2.2509999999999999E-2</v>
      </c>
    </row>
    <row r="93" spans="3:15" hidden="1" x14ac:dyDescent="0.25">
      <c r="C93" s="22" t="s">
        <v>59</v>
      </c>
      <c r="D93" s="130">
        <f>D91*D88</f>
        <v>10445.12477</v>
      </c>
      <c r="E93" s="131">
        <f t="shared" ref="E93:O94" si="25">E91*E88</f>
        <v>11336.594010000001</v>
      </c>
      <c r="F93" s="131">
        <f t="shared" si="25"/>
        <v>9931.3032399999993</v>
      </c>
      <c r="G93" s="131">
        <f t="shared" si="25"/>
        <v>12524.533579999999</v>
      </c>
      <c r="H93" s="131">
        <f t="shared" si="25"/>
        <v>12610.65076</v>
      </c>
      <c r="I93" s="131">
        <f t="shared" si="25"/>
        <v>13567.737010000001</v>
      </c>
      <c r="J93" s="131">
        <f t="shared" si="25"/>
        <v>14149.2338</v>
      </c>
      <c r="K93" s="131">
        <f t="shared" si="25"/>
        <v>14213.945180000001</v>
      </c>
      <c r="L93" s="131">
        <f t="shared" si="25"/>
        <v>13271.678330000001</v>
      </c>
      <c r="M93" s="131">
        <f t="shared" si="25"/>
        <v>12584.71681</v>
      </c>
      <c r="N93" s="131">
        <f t="shared" si="25"/>
        <v>12475.71189</v>
      </c>
      <c r="O93" s="132">
        <f t="shared" si="25"/>
        <v>11365.32718</v>
      </c>
    </row>
    <row r="94" spans="3:15" hidden="1" x14ac:dyDescent="0.25">
      <c r="C94" s="22" t="s">
        <v>60</v>
      </c>
      <c r="D94" s="130">
        <f>D92*D89</f>
        <v>2265.0462399999997</v>
      </c>
      <c r="E94" s="131">
        <f t="shared" si="25"/>
        <v>1911.9768899999999</v>
      </c>
      <c r="F94" s="131">
        <f t="shared" si="25"/>
        <v>1858.0204199999998</v>
      </c>
      <c r="G94" s="131">
        <f t="shared" si="25"/>
        <v>2077.2002899999998</v>
      </c>
      <c r="H94" s="131">
        <f t="shared" si="25"/>
        <v>2955.9456700000001</v>
      </c>
      <c r="I94" s="131">
        <f t="shared" si="25"/>
        <v>6173.7951899999998</v>
      </c>
      <c r="J94" s="131">
        <f t="shared" si="25"/>
        <v>7384.6305999999995</v>
      </c>
      <c r="K94" s="131">
        <f t="shared" si="25"/>
        <v>7436.5836799999997</v>
      </c>
      <c r="L94" s="131">
        <f t="shared" si="25"/>
        <v>5142.4094999999998</v>
      </c>
      <c r="M94" s="131">
        <f t="shared" si="25"/>
        <v>4989.0038500000001</v>
      </c>
      <c r="N94" s="131">
        <f t="shared" si="25"/>
        <v>4408.17832</v>
      </c>
      <c r="O94" s="132">
        <f t="shared" si="25"/>
        <v>2814.4027899999996</v>
      </c>
    </row>
    <row r="95" spans="3:15" x14ac:dyDescent="0.25">
      <c r="C95" s="22" t="s">
        <v>53</v>
      </c>
      <c r="D95" s="130">
        <f t="shared" ref="D95:O95" si="26">ROUND(SUM(D93:D94)/D87,2)</f>
        <v>1412.24</v>
      </c>
      <c r="E95" s="131">
        <f t="shared" si="26"/>
        <v>1472.06</v>
      </c>
      <c r="F95" s="131">
        <f t="shared" si="26"/>
        <v>1309.92</v>
      </c>
      <c r="G95" s="131">
        <f t="shared" si="26"/>
        <v>1622.41</v>
      </c>
      <c r="H95" s="131">
        <f t="shared" si="26"/>
        <v>1729.62</v>
      </c>
      <c r="I95" s="131">
        <f t="shared" si="26"/>
        <v>2193.5</v>
      </c>
      <c r="J95" s="131">
        <f t="shared" si="26"/>
        <v>2392.65</v>
      </c>
      <c r="K95" s="131">
        <f t="shared" si="26"/>
        <v>2405.61</v>
      </c>
      <c r="L95" s="131">
        <f t="shared" si="26"/>
        <v>2046.01</v>
      </c>
      <c r="M95" s="131">
        <f t="shared" si="26"/>
        <v>1952.64</v>
      </c>
      <c r="N95" s="131">
        <f t="shared" si="26"/>
        <v>1875.99</v>
      </c>
      <c r="O95" s="132">
        <f t="shared" si="26"/>
        <v>1575.53</v>
      </c>
    </row>
    <row r="96" spans="3:15" x14ac:dyDescent="0.25">
      <c r="C96" s="80" t="s">
        <v>61</v>
      </c>
      <c r="D96" s="133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5"/>
    </row>
    <row r="97" spans="3:15" hidden="1" x14ac:dyDescent="0.25">
      <c r="C97" s="23" t="s">
        <v>26</v>
      </c>
      <c r="D97" s="151">
        <v>3</v>
      </c>
      <c r="E97" s="152">
        <v>3</v>
      </c>
      <c r="F97" s="152">
        <v>3</v>
      </c>
      <c r="G97" s="152">
        <v>3</v>
      </c>
      <c r="H97" s="152">
        <v>3</v>
      </c>
      <c r="I97" s="152">
        <v>3</v>
      </c>
      <c r="J97" s="152">
        <v>3</v>
      </c>
      <c r="K97" s="152">
        <v>3</v>
      </c>
      <c r="L97" s="152">
        <v>3</v>
      </c>
      <c r="M97" s="152">
        <v>3</v>
      </c>
      <c r="N97" s="152">
        <v>3</v>
      </c>
      <c r="O97" s="153">
        <v>3</v>
      </c>
    </row>
    <row r="98" spans="3:15" hidden="1" x14ac:dyDescent="0.25">
      <c r="C98" s="35" t="s">
        <v>55</v>
      </c>
      <c r="D98" s="170">
        <v>11878</v>
      </c>
      <c r="E98" s="171">
        <v>11315</v>
      </c>
      <c r="F98" s="171">
        <v>11210</v>
      </c>
      <c r="G98" s="171">
        <v>11675</v>
      </c>
      <c r="H98" s="171">
        <v>12000</v>
      </c>
      <c r="I98" s="171">
        <v>12000</v>
      </c>
      <c r="J98" s="171">
        <v>12000.000000000002</v>
      </c>
      <c r="K98" s="171">
        <v>12000.000000000002</v>
      </c>
      <c r="L98" s="171">
        <v>12000.000000000002</v>
      </c>
      <c r="M98" s="171">
        <v>12000.000000000002</v>
      </c>
      <c r="N98" s="171">
        <v>12000.000000000002</v>
      </c>
      <c r="O98" s="172">
        <v>11732</v>
      </c>
    </row>
    <row r="99" spans="3:15" hidden="1" x14ac:dyDescent="0.25">
      <c r="C99" s="35" t="s">
        <v>56</v>
      </c>
      <c r="D99" s="170">
        <v>9764</v>
      </c>
      <c r="E99" s="171">
        <v>5580</v>
      </c>
      <c r="F99" s="171">
        <v>5426</v>
      </c>
      <c r="G99" s="171">
        <v>7650</v>
      </c>
      <c r="H99" s="171">
        <v>11870</v>
      </c>
      <c r="I99" s="171">
        <v>21807</v>
      </c>
      <c r="J99" s="171">
        <v>26842</v>
      </c>
      <c r="K99" s="171">
        <v>26431</v>
      </c>
      <c r="L99" s="171">
        <v>17907</v>
      </c>
      <c r="M99" s="171">
        <v>16704</v>
      </c>
      <c r="N99" s="171">
        <v>13455</v>
      </c>
      <c r="O99" s="172">
        <v>8134</v>
      </c>
    </row>
    <row r="100" spans="3:15" hidden="1" x14ac:dyDescent="0.25">
      <c r="C100" s="52" t="s">
        <v>39</v>
      </c>
      <c r="D100" s="170">
        <f>+D98+D99</f>
        <v>21642</v>
      </c>
      <c r="E100" s="171">
        <f t="shared" ref="E100:O100" si="27">+E98+E99</f>
        <v>16895</v>
      </c>
      <c r="F100" s="171">
        <f t="shared" si="27"/>
        <v>16636</v>
      </c>
      <c r="G100" s="171">
        <f t="shared" si="27"/>
        <v>19325</v>
      </c>
      <c r="H100" s="171">
        <f t="shared" si="27"/>
        <v>23870</v>
      </c>
      <c r="I100" s="171">
        <f t="shared" si="27"/>
        <v>33807</v>
      </c>
      <c r="J100" s="171">
        <f t="shared" si="27"/>
        <v>38842</v>
      </c>
      <c r="K100" s="171">
        <f t="shared" si="27"/>
        <v>38431</v>
      </c>
      <c r="L100" s="171">
        <f t="shared" si="27"/>
        <v>29907</v>
      </c>
      <c r="M100" s="171">
        <f t="shared" si="27"/>
        <v>28704</v>
      </c>
      <c r="N100" s="171">
        <f t="shared" si="27"/>
        <v>25455</v>
      </c>
      <c r="O100" s="172">
        <f t="shared" si="27"/>
        <v>19866</v>
      </c>
    </row>
    <row r="101" spans="3:15" hidden="1" x14ac:dyDescent="0.25">
      <c r="C101" s="35" t="s">
        <v>57</v>
      </c>
      <c r="D101" s="157">
        <v>0.10401000000000001</v>
      </c>
      <c r="E101" s="143">
        <f t="shared" ref="E101:N102" si="28">+D101</f>
        <v>0.10401000000000001</v>
      </c>
      <c r="F101" s="143">
        <f t="shared" si="28"/>
        <v>0.10401000000000001</v>
      </c>
      <c r="G101" s="143">
        <f t="shared" si="28"/>
        <v>0.10401000000000001</v>
      </c>
      <c r="H101" s="143">
        <f t="shared" si="28"/>
        <v>0.10401000000000001</v>
      </c>
      <c r="I101" s="143">
        <f t="shared" si="28"/>
        <v>0.10401000000000001</v>
      </c>
      <c r="J101" s="143">
        <f t="shared" si="28"/>
        <v>0.10401000000000001</v>
      </c>
      <c r="K101" s="143">
        <f t="shared" si="28"/>
        <v>0.10401000000000001</v>
      </c>
      <c r="L101" s="143">
        <f t="shared" si="28"/>
        <v>0.10401000000000001</v>
      </c>
      <c r="M101" s="143">
        <f t="shared" si="28"/>
        <v>0.10401000000000001</v>
      </c>
      <c r="N101" s="143">
        <f t="shared" si="28"/>
        <v>0.10401000000000001</v>
      </c>
      <c r="O101" s="158">
        <f>+N101</f>
        <v>0.10401000000000001</v>
      </c>
    </row>
    <row r="102" spans="3:15" hidden="1" x14ac:dyDescent="0.25">
      <c r="C102" s="35" t="s">
        <v>58</v>
      </c>
      <c r="D102" s="157">
        <v>8.4459999999999993E-2</v>
      </c>
      <c r="E102" s="143">
        <f t="shared" si="28"/>
        <v>8.4459999999999993E-2</v>
      </c>
      <c r="F102" s="143">
        <f t="shared" si="28"/>
        <v>8.4459999999999993E-2</v>
      </c>
      <c r="G102" s="143">
        <f t="shared" si="28"/>
        <v>8.4459999999999993E-2</v>
      </c>
      <c r="H102" s="143">
        <f t="shared" si="28"/>
        <v>8.4459999999999993E-2</v>
      </c>
      <c r="I102" s="143">
        <f t="shared" si="28"/>
        <v>8.4459999999999993E-2</v>
      </c>
      <c r="J102" s="143">
        <f t="shared" si="28"/>
        <v>8.4459999999999993E-2</v>
      </c>
      <c r="K102" s="143">
        <f t="shared" si="28"/>
        <v>8.4459999999999993E-2</v>
      </c>
      <c r="L102" s="143">
        <f t="shared" si="28"/>
        <v>8.4459999999999993E-2</v>
      </c>
      <c r="M102" s="143">
        <f t="shared" si="28"/>
        <v>8.4459999999999993E-2</v>
      </c>
      <c r="N102" s="143">
        <f t="shared" si="28"/>
        <v>8.4459999999999993E-2</v>
      </c>
      <c r="O102" s="158">
        <f>+N102</f>
        <v>8.4459999999999993E-2</v>
      </c>
    </row>
    <row r="103" spans="3:15" hidden="1" x14ac:dyDescent="0.25">
      <c r="C103" s="22" t="s">
        <v>59</v>
      </c>
      <c r="D103" s="159">
        <f>D101*D98</f>
        <v>1235.4307800000001</v>
      </c>
      <c r="E103" s="160">
        <f t="shared" ref="E103:O104" si="29">E101*E98</f>
        <v>1176.8731500000001</v>
      </c>
      <c r="F103" s="160">
        <f t="shared" si="29"/>
        <v>1165.9521</v>
      </c>
      <c r="G103" s="160">
        <f t="shared" si="29"/>
        <v>1214.31675</v>
      </c>
      <c r="H103" s="160">
        <f t="shared" si="29"/>
        <v>1248.1200000000001</v>
      </c>
      <c r="I103" s="160">
        <f t="shared" si="29"/>
        <v>1248.1200000000001</v>
      </c>
      <c r="J103" s="160">
        <f t="shared" si="29"/>
        <v>1248.1200000000003</v>
      </c>
      <c r="K103" s="160">
        <f t="shared" si="29"/>
        <v>1248.1200000000003</v>
      </c>
      <c r="L103" s="160">
        <f t="shared" si="29"/>
        <v>1248.1200000000003</v>
      </c>
      <c r="M103" s="160">
        <f t="shared" si="29"/>
        <v>1248.1200000000003</v>
      </c>
      <c r="N103" s="160">
        <f t="shared" si="29"/>
        <v>1248.1200000000003</v>
      </c>
      <c r="O103" s="161">
        <f t="shared" si="29"/>
        <v>1220.24532</v>
      </c>
    </row>
    <row r="104" spans="3:15" hidden="1" x14ac:dyDescent="0.25">
      <c r="C104" s="22" t="s">
        <v>60</v>
      </c>
      <c r="D104" s="159">
        <f>D102*D99</f>
        <v>824.66743999999994</v>
      </c>
      <c r="E104" s="160">
        <f t="shared" si="29"/>
        <v>471.28679999999997</v>
      </c>
      <c r="F104" s="160">
        <f t="shared" si="29"/>
        <v>458.27995999999996</v>
      </c>
      <c r="G104" s="160">
        <f t="shared" si="29"/>
        <v>646.11899999999991</v>
      </c>
      <c r="H104" s="160">
        <f t="shared" si="29"/>
        <v>1002.5401999999999</v>
      </c>
      <c r="I104" s="160">
        <f t="shared" si="29"/>
        <v>1841.8192199999999</v>
      </c>
      <c r="J104" s="160">
        <f t="shared" si="29"/>
        <v>2267.0753199999999</v>
      </c>
      <c r="K104" s="160">
        <f t="shared" si="29"/>
        <v>2232.3622599999999</v>
      </c>
      <c r="L104" s="160">
        <f t="shared" si="29"/>
        <v>1512.4252199999999</v>
      </c>
      <c r="M104" s="160">
        <f t="shared" si="29"/>
        <v>1410.8198399999999</v>
      </c>
      <c r="N104" s="160">
        <f t="shared" si="29"/>
        <v>1136.4092999999998</v>
      </c>
      <c r="O104" s="161">
        <f t="shared" si="29"/>
        <v>686.99763999999993</v>
      </c>
    </row>
    <row r="105" spans="3:15" ht="15.75" thickBot="1" x14ac:dyDescent="0.3">
      <c r="C105" s="34" t="s">
        <v>53</v>
      </c>
      <c r="D105" s="173">
        <f t="shared" ref="D105:O105" si="30">ROUND(SUM(D103:D104)/D97,2)</f>
        <v>686.7</v>
      </c>
      <c r="E105" s="174">
        <f t="shared" si="30"/>
        <v>549.39</v>
      </c>
      <c r="F105" s="174">
        <f t="shared" si="30"/>
        <v>541.41</v>
      </c>
      <c r="G105" s="174">
        <f t="shared" si="30"/>
        <v>620.15</v>
      </c>
      <c r="H105" s="174">
        <f t="shared" si="30"/>
        <v>750.22</v>
      </c>
      <c r="I105" s="174">
        <f t="shared" si="30"/>
        <v>1029.98</v>
      </c>
      <c r="J105" s="174">
        <f t="shared" si="30"/>
        <v>1171.73</v>
      </c>
      <c r="K105" s="174">
        <f t="shared" si="30"/>
        <v>1160.1600000000001</v>
      </c>
      <c r="L105" s="174">
        <f t="shared" si="30"/>
        <v>920.18</v>
      </c>
      <c r="M105" s="174">
        <f t="shared" si="30"/>
        <v>886.31</v>
      </c>
      <c r="N105" s="174">
        <f t="shared" si="30"/>
        <v>794.84</v>
      </c>
      <c r="O105" s="175">
        <f t="shared" si="30"/>
        <v>635.75</v>
      </c>
    </row>
    <row r="106" spans="3:15" ht="15.75" thickTop="1" x14ac:dyDescent="0.25"/>
    <row r="116" spans="1:48" ht="15" customHeight="1" x14ac:dyDescent="0.25">
      <c r="C116" s="699" t="s">
        <v>62</v>
      </c>
      <c r="D116" s="699"/>
      <c r="E116" s="699"/>
      <c r="F116" s="699"/>
      <c r="G116" s="699"/>
      <c r="H116" s="699"/>
      <c r="I116" s="699"/>
      <c r="J116" s="699"/>
      <c r="K116" s="699"/>
      <c r="L116" s="699"/>
      <c r="M116" s="699"/>
      <c r="N116" s="699"/>
      <c r="O116" s="699"/>
    </row>
    <row r="117" spans="1:48" ht="15.75" thickBot="1" x14ac:dyDescent="0.3">
      <c r="C117" s="700"/>
      <c r="D117" s="700"/>
      <c r="E117" s="700"/>
      <c r="F117" s="700"/>
      <c r="G117" s="700"/>
      <c r="H117" s="700"/>
      <c r="I117" s="700"/>
      <c r="J117" s="700"/>
      <c r="K117" s="700"/>
      <c r="L117" s="700"/>
      <c r="M117" s="700"/>
      <c r="N117" s="700"/>
      <c r="O117" s="700"/>
    </row>
    <row r="118" spans="1:48" ht="15.75" thickTop="1" x14ac:dyDescent="0.25">
      <c r="C118" s="32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2"/>
    </row>
    <row r="119" spans="1:48" ht="15.75" thickBot="1" x14ac:dyDescent="0.3">
      <c r="C119" s="33"/>
      <c r="D119" s="36" t="s">
        <v>13</v>
      </c>
      <c r="E119" s="37" t="s">
        <v>14</v>
      </c>
      <c r="F119" s="37" t="s">
        <v>15</v>
      </c>
      <c r="G119" s="36" t="s">
        <v>16</v>
      </c>
      <c r="H119" s="37" t="s">
        <v>17</v>
      </c>
      <c r="I119" s="37" t="s">
        <v>18</v>
      </c>
      <c r="J119" s="36" t="s">
        <v>19</v>
      </c>
      <c r="K119" s="37" t="s">
        <v>20</v>
      </c>
      <c r="L119" s="37" t="s">
        <v>21</v>
      </c>
      <c r="M119" s="36" t="s">
        <v>22</v>
      </c>
      <c r="N119" s="37" t="s">
        <v>23</v>
      </c>
      <c r="O119" s="54" t="s">
        <v>24</v>
      </c>
    </row>
    <row r="120" spans="1:48" ht="15.75" thickTop="1" x14ac:dyDescent="0.25">
      <c r="C120" s="79" t="s">
        <v>25</v>
      </c>
      <c r="D120" s="55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7"/>
    </row>
    <row r="121" spans="1:48" hidden="1" x14ac:dyDescent="0.25">
      <c r="C121" s="23" t="s">
        <v>26</v>
      </c>
      <c r="D121" s="48">
        <v>465</v>
      </c>
      <c r="E121" s="49">
        <v>440</v>
      </c>
      <c r="F121" s="49">
        <v>455</v>
      </c>
      <c r="G121" s="49">
        <v>503</v>
      </c>
      <c r="H121" s="49">
        <v>519</v>
      </c>
      <c r="I121" s="49">
        <v>529</v>
      </c>
      <c r="J121" s="49">
        <v>482</v>
      </c>
      <c r="K121" s="49">
        <v>520</v>
      </c>
      <c r="L121" s="49">
        <v>524</v>
      </c>
      <c r="M121" s="49">
        <v>510</v>
      </c>
      <c r="N121" s="49">
        <v>495</v>
      </c>
      <c r="O121" s="50">
        <v>499</v>
      </c>
    </row>
    <row r="122" spans="1:48" hidden="1" x14ac:dyDescent="0.25">
      <c r="C122" s="23" t="s">
        <v>27</v>
      </c>
      <c r="D122" s="19">
        <v>4577</v>
      </c>
      <c r="E122" s="13">
        <v>3604</v>
      </c>
      <c r="F122" s="13">
        <v>3816</v>
      </c>
      <c r="G122" s="13">
        <v>7328</v>
      </c>
      <c r="H122" s="13">
        <v>22975</v>
      </c>
      <c r="I122" s="13">
        <v>55707</v>
      </c>
      <c r="J122" s="13">
        <v>54481</v>
      </c>
      <c r="K122" s="13">
        <v>48178</v>
      </c>
      <c r="L122" s="13">
        <v>42396</v>
      </c>
      <c r="M122" s="13">
        <v>26783</v>
      </c>
      <c r="N122" s="13">
        <v>15401</v>
      </c>
      <c r="O122" s="14">
        <v>8003</v>
      </c>
    </row>
    <row r="123" spans="1:48" hidden="1" x14ac:dyDescent="0.25">
      <c r="C123" s="23" t="s">
        <v>28</v>
      </c>
      <c r="D123" s="20">
        <v>9.1829999999999995E-2</v>
      </c>
      <c r="E123" s="16">
        <f>+D123</f>
        <v>9.1829999999999995E-2</v>
      </c>
      <c r="F123" s="16">
        <f t="shared" ref="F123" si="31">+E123</f>
        <v>9.1829999999999995E-2</v>
      </c>
      <c r="G123" s="16">
        <f t="shared" ref="G123" si="32">+F123</f>
        <v>9.1829999999999995E-2</v>
      </c>
      <c r="H123" s="16">
        <f t="shared" ref="H123" si="33">+G123</f>
        <v>9.1829999999999995E-2</v>
      </c>
      <c r="I123" s="16">
        <f t="shared" ref="I123" si="34">+H123</f>
        <v>9.1829999999999995E-2</v>
      </c>
      <c r="J123" s="16">
        <f t="shared" ref="J123" si="35">+I123</f>
        <v>9.1829999999999995E-2</v>
      </c>
      <c r="K123" s="16">
        <f t="shared" ref="K123" si="36">+J123</f>
        <v>9.1829999999999995E-2</v>
      </c>
      <c r="L123" s="16">
        <f t="shared" ref="L123" si="37">+K123</f>
        <v>9.1829999999999995E-2</v>
      </c>
      <c r="M123" s="16">
        <f t="shared" ref="M123" si="38">+L123</f>
        <v>9.1829999999999995E-2</v>
      </c>
      <c r="N123" s="16">
        <f t="shared" ref="N123" si="39">+M123</f>
        <v>9.1829999999999995E-2</v>
      </c>
      <c r="O123" s="21">
        <f>+N123</f>
        <v>9.1829999999999995E-2</v>
      </c>
    </row>
    <row r="124" spans="1:48" hidden="1" x14ac:dyDescent="0.25">
      <c r="C124" s="35" t="s">
        <v>29</v>
      </c>
      <c r="D124" s="15">
        <f>D122*D123</f>
        <v>420.30590999999998</v>
      </c>
      <c r="E124" s="17">
        <f t="shared" ref="E124:O124" si="40">E122*E123</f>
        <v>330.95531999999997</v>
      </c>
      <c r="F124" s="17">
        <f t="shared" si="40"/>
        <v>350.42327999999998</v>
      </c>
      <c r="G124" s="17">
        <f t="shared" si="40"/>
        <v>672.93023999999991</v>
      </c>
      <c r="H124" s="17">
        <f t="shared" si="40"/>
        <v>2109.7942499999999</v>
      </c>
      <c r="I124" s="17">
        <f t="shared" si="40"/>
        <v>5115.5738099999999</v>
      </c>
      <c r="J124" s="17">
        <f t="shared" si="40"/>
        <v>5002.9902299999994</v>
      </c>
      <c r="K124" s="17">
        <f t="shared" si="40"/>
        <v>4424.1857399999999</v>
      </c>
      <c r="L124" s="17">
        <f t="shared" si="40"/>
        <v>3893.2246799999998</v>
      </c>
      <c r="M124" s="17">
        <f t="shared" si="40"/>
        <v>2459.4828899999998</v>
      </c>
      <c r="N124" s="17">
        <f t="shared" si="40"/>
        <v>1414.2738299999999</v>
      </c>
      <c r="O124" s="18">
        <f t="shared" si="40"/>
        <v>734.91548999999998</v>
      </c>
    </row>
    <row r="125" spans="1:48" x14ac:dyDescent="0.25">
      <c r="C125" s="35" t="s">
        <v>30</v>
      </c>
      <c r="D125" s="15">
        <f t="shared" ref="D125:O125" si="41">D124/D121</f>
        <v>0.90388367741935483</v>
      </c>
      <c r="E125" s="17">
        <f t="shared" si="41"/>
        <v>0.75217118181818177</v>
      </c>
      <c r="F125" s="17">
        <f t="shared" si="41"/>
        <v>0.77016105494505493</v>
      </c>
      <c r="G125" s="17">
        <f t="shared" si="41"/>
        <v>1.3378334791252484</v>
      </c>
      <c r="H125" s="17">
        <f t="shared" si="41"/>
        <v>4.0651141618497109</v>
      </c>
      <c r="I125" s="17">
        <f t="shared" si="41"/>
        <v>9.6702718525519842</v>
      </c>
      <c r="J125" s="17">
        <f t="shared" si="41"/>
        <v>10.379647780082987</v>
      </c>
      <c r="K125" s="17">
        <f t="shared" si="41"/>
        <v>8.5080495000000003</v>
      </c>
      <c r="L125" s="17">
        <f t="shared" si="41"/>
        <v>7.4298180916030532</v>
      </c>
      <c r="M125" s="17">
        <f t="shared" si="41"/>
        <v>4.8225154705882352</v>
      </c>
      <c r="N125" s="17">
        <f t="shared" si="41"/>
        <v>2.857118848484848</v>
      </c>
      <c r="O125" s="18">
        <f t="shared" si="41"/>
        <v>1.4727765330661322</v>
      </c>
    </row>
    <row r="126" spans="1:48" x14ac:dyDescent="0.25">
      <c r="C126" s="80" t="s">
        <v>31</v>
      </c>
      <c r="D126" s="58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60"/>
    </row>
    <row r="127" spans="1:48" s="51" customFormat="1" hidden="1" x14ac:dyDescent="0.25">
      <c r="A127"/>
      <c r="B127"/>
      <c r="C127" s="23" t="s">
        <v>26</v>
      </c>
      <c r="D127" s="19">
        <v>177980</v>
      </c>
      <c r="E127" s="13">
        <v>177669</v>
      </c>
      <c r="F127" s="13">
        <v>177304</v>
      </c>
      <c r="G127" s="13">
        <v>177720</v>
      </c>
      <c r="H127" s="13">
        <v>178898</v>
      </c>
      <c r="I127" s="13">
        <v>179874</v>
      </c>
      <c r="J127" s="13">
        <v>179603</v>
      </c>
      <c r="K127" s="13">
        <v>180164</v>
      </c>
      <c r="L127" s="13">
        <v>180684</v>
      </c>
      <c r="M127" s="13">
        <v>180798</v>
      </c>
      <c r="N127" s="13">
        <v>180268</v>
      </c>
      <c r="O127" s="14">
        <v>180774</v>
      </c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</row>
    <row r="128" spans="1:48" s="51" customFormat="1" hidden="1" x14ac:dyDescent="0.25">
      <c r="A128"/>
      <c r="B128"/>
      <c r="C128" s="81" t="s">
        <v>32</v>
      </c>
      <c r="D128" s="44">
        <v>2882445</v>
      </c>
      <c r="E128" s="39">
        <v>3234979</v>
      </c>
      <c r="F128" s="39">
        <v>3490963</v>
      </c>
      <c r="G128" s="39">
        <v>7539918</v>
      </c>
      <c r="H128" s="39">
        <v>14937625</v>
      </c>
      <c r="I128" s="39">
        <v>20359821</v>
      </c>
      <c r="J128" s="39">
        <v>18817062</v>
      </c>
      <c r="K128" s="39">
        <v>15463304</v>
      </c>
      <c r="L128" s="39">
        <v>12977294</v>
      </c>
      <c r="M128" s="39">
        <v>8149906</v>
      </c>
      <c r="N128" s="39">
        <v>5284390</v>
      </c>
      <c r="O128" s="45">
        <v>3553528</v>
      </c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</row>
    <row r="129" spans="1:34" s="51" customFormat="1" hidden="1" x14ac:dyDescent="0.25">
      <c r="A129"/>
      <c r="B129"/>
      <c r="C129" s="81" t="s">
        <v>33</v>
      </c>
      <c r="D129" s="42">
        <v>0.29483999999999999</v>
      </c>
      <c r="E129" s="38">
        <f>+D129</f>
        <v>0.29483999999999999</v>
      </c>
      <c r="F129" s="38">
        <f t="shared" ref="F129" si="42">+E129</f>
        <v>0.29483999999999999</v>
      </c>
      <c r="G129" s="38">
        <f t="shared" ref="G129" si="43">+F129</f>
        <v>0.29483999999999999</v>
      </c>
      <c r="H129" s="38">
        <f t="shared" ref="H129" si="44">+G129</f>
        <v>0.29483999999999999</v>
      </c>
      <c r="I129" s="38">
        <f t="shared" ref="I129" si="45">+H129</f>
        <v>0.29483999999999999</v>
      </c>
      <c r="J129" s="38">
        <f t="shared" ref="J129" si="46">+I129</f>
        <v>0.29483999999999999</v>
      </c>
      <c r="K129" s="38">
        <f t="shared" ref="K129" si="47">+J129</f>
        <v>0.29483999999999999</v>
      </c>
      <c r="L129" s="38">
        <f t="shared" ref="L129" si="48">+K129</f>
        <v>0.29483999999999999</v>
      </c>
      <c r="M129" s="38">
        <f t="shared" ref="M129" si="49">+L129</f>
        <v>0.29483999999999999</v>
      </c>
      <c r="N129" s="38">
        <f t="shared" ref="N129" si="50">+M129</f>
        <v>0.29483999999999999</v>
      </c>
      <c r="O129" s="43">
        <f>+N129</f>
        <v>0.29483999999999999</v>
      </c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</row>
    <row r="130" spans="1:34" s="51" customFormat="1" hidden="1" x14ac:dyDescent="0.25">
      <c r="A130"/>
      <c r="B130"/>
      <c r="C130" s="40" t="s">
        <v>29</v>
      </c>
      <c r="D130" s="46">
        <f>D128*D129</f>
        <v>849860.08380000002</v>
      </c>
      <c r="E130" s="41">
        <f t="shared" ref="E130:O130" si="51">E128*E129</f>
        <v>953801.20835999993</v>
      </c>
      <c r="F130" s="41">
        <f t="shared" si="51"/>
        <v>1029275.5309199999</v>
      </c>
      <c r="G130" s="41">
        <f t="shared" si="51"/>
        <v>2223069.4231199999</v>
      </c>
      <c r="H130" s="41">
        <f t="shared" si="51"/>
        <v>4404209.3549999995</v>
      </c>
      <c r="I130" s="41">
        <f t="shared" si="51"/>
        <v>6002889.6236399999</v>
      </c>
      <c r="J130" s="41">
        <f t="shared" si="51"/>
        <v>5548022.5600800002</v>
      </c>
      <c r="K130" s="41">
        <f t="shared" si="51"/>
        <v>4559200.5513599999</v>
      </c>
      <c r="L130" s="41">
        <f t="shared" si="51"/>
        <v>3826225.3629600001</v>
      </c>
      <c r="M130" s="41">
        <f t="shared" si="51"/>
        <v>2402918.28504</v>
      </c>
      <c r="N130" s="41">
        <f t="shared" si="51"/>
        <v>1558049.5475999999</v>
      </c>
      <c r="O130" s="47">
        <f t="shared" si="51"/>
        <v>1047722.19552</v>
      </c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</row>
    <row r="131" spans="1:34" s="51" customFormat="1" x14ac:dyDescent="0.25">
      <c r="A131"/>
      <c r="B131"/>
      <c r="C131" s="40" t="s">
        <v>30</v>
      </c>
      <c r="D131" s="46">
        <f t="shared" ref="D131:O131" si="52">D130/D127</f>
        <v>4.775031373187999</v>
      </c>
      <c r="E131" s="41">
        <f t="shared" si="52"/>
        <v>5.3684165969302464</v>
      </c>
      <c r="F131" s="41">
        <f t="shared" si="52"/>
        <v>5.8051455743807239</v>
      </c>
      <c r="G131" s="41">
        <f t="shared" si="52"/>
        <v>12.508830875084403</v>
      </c>
      <c r="H131" s="41">
        <f t="shared" si="52"/>
        <v>24.618549983789642</v>
      </c>
      <c r="I131" s="41">
        <f t="shared" si="52"/>
        <v>33.372747721404984</v>
      </c>
      <c r="J131" s="41">
        <f t="shared" si="52"/>
        <v>30.890478221855982</v>
      </c>
      <c r="K131" s="41">
        <f t="shared" si="52"/>
        <v>25.305835524078063</v>
      </c>
      <c r="L131" s="41">
        <f t="shared" si="52"/>
        <v>21.176337489539748</v>
      </c>
      <c r="M131" s="41">
        <f t="shared" si="52"/>
        <v>13.290624260445359</v>
      </c>
      <c r="N131" s="41">
        <f t="shared" si="52"/>
        <v>8.6429624093017061</v>
      </c>
      <c r="O131" s="47">
        <f t="shared" si="52"/>
        <v>5.7957571084337349</v>
      </c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</row>
    <row r="132" spans="1:34" s="51" customFormat="1" x14ac:dyDescent="0.25">
      <c r="A132"/>
      <c r="B132"/>
      <c r="C132" s="82" t="s">
        <v>34</v>
      </c>
      <c r="D132" s="61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3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</row>
    <row r="133" spans="1:34" s="51" customFormat="1" hidden="1" x14ac:dyDescent="0.25">
      <c r="A133"/>
      <c r="B133"/>
      <c r="C133" s="23" t="s">
        <v>26</v>
      </c>
      <c r="D133" s="44">
        <v>24961</v>
      </c>
      <c r="E133" s="39">
        <v>24881</v>
      </c>
      <c r="F133" s="39">
        <v>24865</v>
      </c>
      <c r="G133" s="39">
        <v>24861</v>
      </c>
      <c r="H133" s="39">
        <v>25091</v>
      </c>
      <c r="I133" s="39">
        <v>25302</v>
      </c>
      <c r="J133" s="39">
        <v>25365</v>
      </c>
      <c r="K133" s="39">
        <v>25351</v>
      </c>
      <c r="L133" s="39">
        <v>25379</v>
      </c>
      <c r="M133" s="39">
        <v>25375</v>
      </c>
      <c r="N133" s="39">
        <v>25329</v>
      </c>
      <c r="O133" s="45">
        <v>25230</v>
      </c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</row>
    <row r="134" spans="1:34" s="51" customFormat="1" hidden="1" x14ac:dyDescent="0.25">
      <c r="A134"/>
      <c r="B134"/>
      <c r="C134" s="81" t="s">
        <v>27</v>
      </c>
      <c r="D134" s="44">
        <v>2734677</v>
      </c>
      <c r="E134" s="39">
        <v>3006233</v>
      </c>
      <c r="F134" s="39">
        <v>3391637</v>
      </c>
      <c r="G134" s="39">
        <v>5795829</v>
      </c>
      <c r="H134" s="39">
        <v>9509008</v>
      </c>
      <c r="I134" s="39">
        <v>12706385</v>
      </c>
      <c r="J134" s="39">
        <v>12681651</v>
      </c>
      <c r="K134" s="39">
        <v>10506902</v>
      </c>
      <c r="L134" s="39">
        <v>8465966</v>
      </c>
      <c r="M134" s="39">
        <v>5420320</v>
      </c>
      <c r="N134" s="39">
        <v>3724731</v>
      </c>
      <c r="O134" s="45">
        <v>2920643</v>
      </c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</row>
    <row r="135" spans="1:34" s="51" customFormat="1" hidden="1" x14ac:dyDescent="0.25">
      <c r="A135"/>
      <c r="B135"/>
      <c r="C135" s="81" t="s">
        <v>28</v>
      </c>
      <c r="D135" s="42">
        <v>0.24607999999999999</v>
      </c>
      <c r="E135" s="38">
        <f>+D135</f>
        <v>0.24607999999999999</v>
      </c>
      <c r="F135" s="38">
        <f t="shared" ref="F135" si="53">+E135</f>
        <v>0.24607999999999999</v>
      </c>
      <c r="G135" s="38">
        <f t="shared" ref="G135" si="54">+F135</f>
        <v>0.24607999999999999</v>
      </c>
      <c r="H135" s="38">
        <f t="shared" ref="H135" si="55">+G135</f>
        <v>0.24607999999999999</v>
      </c>
      <c r="I135" s="38">
        <f t="shared" ref="I135" si="56">+H135</f>
        <v>0.24607999999999999</v>
      </c>
      <c r="J135" s="38">
        <f t="shared" ref="J135" si="57">+I135</f>
        <v>0.24607999999999999</v>
      </c>
      <c r="K135" s="38">
        <f t="shared" ref="K135" si="58">+J135</f>
        <v>0.24607999999999999</v>
      </c>
      <c r="L135" s="38">
        <f t="shared" ref="L135" si="59">+K135</f>
        <v>0.24607999999999999</v>
      </c>
      <c r="M135" s="38">
        <f t="shared" ref="M135" si="60">+L135</f>
        <v>0.24607999999999999</v>
      </c>
      <c r="N135" s="38">
        <f t="shared" ref="N135" si="61">+M135</f>
        <v>0.24607999999999999</v>
      </c>
      <c r="O135" s="43">
        <f>+N135</f>
        <v>0.24607999999999999</v>
      </c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</row>
    <row r="136" spans="1:34" s="51" customFormat="1" hidden="1" x14ac:dyDescent="0.25">
      <c r="A136"/>
      <c r="B136"/>
      <c r="C136" s="40" t="s">
        <v>29</v>
      </c>
      <c r="D136" s="46">
        <f>D134*D135</f>
        <v>672949.31615999993</v>
      </c>
      <c r="E136" s="41">
        <f t="shared" ref="E136:O136" si="62">E134*E135</f>
        <v>739773.81663999998</v>
      </c>
      <c r="F136" s="41">
        <f t="shared" si="62"/>
        <v>834614.03295999998</v>
      </c>
      <c r="G136" s="41">
        <f t="shared" si="62"/>
        <v>1426237.60032</v>
      </c>
      <c r="H136" s="41">
        <f t="shared" si="62"/>
        <v>2339976.6886399998</v>
      </c>
      <c r="I136" s="41">
        <f t="shared" si="62"/>
        <v>3126787.2207999998</v>
      </c>
      <c r="J136" s="41">
        <f t="shared" si="62"/>
        <v>3120700.67808</v>
      </c>
      <c r="K136" s="41">
        <f t="shared" si="62"/>
        <v>2585538.44416</v>
      </c>
      <c r="L136" s="41">
        <f t="shared" si="62"/>
        <v>2083304.91328</v>
      </c>
      <c r="M136" s="41">
        <f t="shared" si="62"/>
        <v>1333832.3455999999</v>
      </c>
      <c r="N136" s="41">
        <f t="shared" si="62"/>
        <v>916581.80447999993</v>
      </c>
      <c r="O136" s="47">
        <f t="shared" si="62"/>
        <v>718711.82944</v>
      </c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</row>
    <row r="137" spans="1:34" s="51" customFormat="1" x14ac:dyDescent="0.25">
      <c r="A137"/>
      <c r="B137"/>
      <c r="C137" s="40" t="s">
        <v>30</v>
      </c>
      <c r="D137" s="64">
        <f t="shared" ref="D137:O137" si="63">D136/D133</f>
        <v>26.960030293658104</v>
      </c>
      <c r="E137" s="65">
        <f t="shared" si="63"/>
        <v>29.732479266910492</v>
      </c>
      <c r="F137" s="65">
        <f t="shared" si="63"/>
        <v>33.565816728735172</v>
      </c>
      <c r="G137" s="65">
        <f t="shared" si="63"/>
        <v>57.368472721129478</v>
      </c>
      <c r="H137" s="65">
        <f t="shared" si="63"/>
        <v>93.259602592164512</v>
      </c>
      <c r="I137" s="65">
        <f t="shared" si="63"/>
        <v>123.57865863568097</v>
      </c>
      <c r="J137" s="65">
        <f t="shared" si="63"/>
        <v>123.03176337788291</v>
      </c>
      <c r="K137" s="65">
        <f t="shared" si="63"/>
        <v>101.98960373003037</v>
      </c>
      <c r="L137" s="65">
        <f t="shared" si="63"/>
        <v>82.087746297332444</v>
      </c>
      <c r="M137" s="65">
        <f t="shared" si="63"/>
        <v>52.56482150147783</v>
      </c>
      <c r="N137" s="65">
        <f t="shared" si="63"/>
        <v>36.187050593390971</v>
      </c>
      <c r="O137" s="66">
        <f t="shared" si="63"/>
        <v>28.486398313119302</v>
      </c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</row>
    <row r="138" spans="1:34" x14ac:dyDescent="0.25">
      <c r="C138" s="80" t="s">
        <v>35</v>
      </c>
      <c r="D138" s="58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60"/>
    </row>
    <row r="139" spans="1:34" hidden="1" x14ac:dyDescent="0.25">
      <c r="C139" s="23" t="s">
        <v>26</v>
      </c>
      <c r="D139" s="48">
        <v>405</v>
      </c>
      <c r="E139" s="49">
        <v>409</v>
      </c>
      <c r="F139" s="49">
        <v>413</v>
      </c>
      <c r="G139" s="49">
        <v>429</v>
      </c>
      <c r="H139" s="49">
        <v>432</v>
      </c>
      <c r="I139" s="49">
        <v>430</v>
      </c>
      <c r="J139" s="49">
        <v>429</v>
      </c>
      <c r="K139" s="49">
        <v>439</v>
      </c>
      <c r="L139" s="49">
        <v>440</v>
      </c>
      <c r="M139" s="49">
        <v>441</v>
      </c>
      <c r="N139" s="49">
        <v>445</v>
      </c>
      <c r="O139" s="50">
        <v>442</v>
      </c>
    </row>
    <row r="140" spans="1:34" hidden="1" x14ac:dyDescent="0.25">
      <c r="C140" s="83" t="s">
        <v>36</v>
      </c>
      <c r="D140" s="19">
        <v>78051</v>
      </c>
      <c r="E140" s="13">
        <v>75163</v>
      </c>
      <c r="F140" s="13">
        <v>83416</v>
      </c>
      <c r="G140" s="13">
        <v>102072</v>
      </c>
      <c r="H140" s="13">
        <v>119156</v>
      </c>
      <c r="I140" s="13">
        <v>166990</v>
      </c>
      <c r="J140" s="13">
        <v>166357</v>
      </c>
      <c r="K140" s="13">
        <v>163549</v>
      </c>
      <c r="L140" s="13">
        <v>153887</v>
      </c>
      <c r="M140" s="13">
        <v>138971</v>
      </c>
      <c r="N140" s="13">
        <v>121401</v>
      </c>
      <c r="O140" s="14">
        <v>96663</v>
      </c>
    </row>
    <row r="141" spans="1:34" hidden="1" x14ac:dyDescent="0.25">
      <c r="C141" s="83" t="s">
        <v>37</v>
      </c>
      <c r="D141" s="67">
        <v>243018</v>
      </c>
      <c r="E141" s="68">
        <v>218963</v>
      </c>
      <c r="F141" s="68">
        <v>274256</v>
      </c>
      <c r="G141" s="68">
        <v>360930</v>
      </c>
      <c r="H141" s="68">
        <v>397091</v>
      </c>
      <c r="I141" s="68">
        <v>602209</v>
      </c>
      <c r="J141" s="68">
        <v>605552</v>
      </c>
      <c r="K141" s="68">
        <v>596445</v>
      </c>
      <c r="L141" s="68">
        <v>537464</v>
      </c>
      <c r="M141" s="68">
        <v>443000</v>
      </c>
      <c r="N141" s="68">
        <v>368642</v>
      </c>
      <c r="O141" s="69">
        <v>300875</v>
      </c>
    </row>
    <row r="142" spans="1:34" hidden="1" x14ac:dyDescent="0.25">
      <c r="C142" s="84" t="s">
        <v>38</v>
      </c>
      <c r="D142" s="67">
        <v>199814</v>
      </c>
      <c r="E142" s="68">
        <v>128232</v>
      </c>
      <c r="F142" s="68">
        <v>227013</v>
      </c>
      <c r="G142" s="68">
        <v>906604</v>
      </c>
      <c r="H142" s="68">
        <v>410088</v>
      </c>
      <c r="I142" s="68">
        <v>627380</v>
      </c>
      <c r="J142" s="68">
        <v>518499</v>
      </c>
      <c r="K142" s="68">
        <v>741554</v>
      </c>
      <c r="L142" s="68">
        <v>497103</v>
      </c>
      <c r="M142" s="68">
        <v>279985</v>
      </c>
      <c r="N142" s="68">
        <v>254963</v>
      </c>
      <c r="O142" s="69">
        <v>200281</v>
      </c>
    </row>
    <row r="143" spans="1:34" hidden="1" x14ac:dyDescent="0.25">
      <c r="C143" s="85" t="s">
        <v>39</v>
      </c>
      <c r="D143" s="67">
        <f>+D140+D141+D142</f>
        <v>520883</v>
      </c>
      <c r="E143" s="68">
        <f>+E140+E141+E142</f>
        <v>422358</v>
      </c>
      <c r="F143" s="68">
        <f t="shared" ref="F143:O143" si="64">+F140+F141+F142</f>
        <v>584685</v>
      </c>
      <c r="G143" s="68">
        <f t="shared" si="64"/>
        <v>1369606</v>
      </c>
      <c r="H143" s="68">
        <f t="shared" si="64"/>
        <v>926335</v>
      </c>
      <c r="I143" s="68">
        <f t="shared" si="64"/>
        <v>1396579</v>
      </c>
      <c r="J143" s="68">
        <f t="shared" si="64"/>
        <v>1290408</v>
      </c>
      <c r="K143" s="68">
        <f t="shared" si="64"/>
        <v>1501548</v>
      </c>
      <c r="L143" s="68">
        <f t="shared" si="64"/>
        <v>1188454</v>
      </c>
      <c r="M143" s="68">
        <f t="shared" si="64"/>
        <v>861956</v>
      </c>
      <c r="N143" s="68">
        <f t="shared" si="64"/>
        <v>745006</v>
      </c>
      <c r="O143" s="69">
        <f t="shared" si="64"/>
        <v>597819</v>
      </c>
    </row>
    <row r="144" spans="1:34" hidden="1" x14ac:dyDescent="0.25">
      <c r="C144" s="23" t="s">
        <v>40</v>
      </c>
      <c r="D144" s="20">
        <v>0.18842999999999999</v>
      </c>
      <c r="E144" s="38">
        <f t="shared" ref="E144:E146" si="65">+D144</f>
        <v>0.18842999999999999</v>
      </c>
      <c r="F144" s="38">
        <f t="shared" ref="F144:F146" si="66">+E144</f>
        <v>0.18842999999999999</v>
      </c>
      <c r="G144" s="38">
        <f t="shared" ref="G144:G146" si="67">+F144</f>
        <v>0.18842999999999999</v>
      </c>
      <c r="H144" s="38">
        <f t="shared" ref="H144:H146" si="68">+G144</f>
        <v>0.18842999999999999</v>
      </c>
      <c r="I144" s="38">
        <f t="shared" ref="I144:I146" si="69">+H144</f>
        <v>0.18842999999999999</v>
      </c>
      <c r="J144" s="38">
        <f t="shared" ref="J144:J146" si="70">+I144</f>
        <v>0.18842999999999999</v>
      </c>
      <c r="K144" s="38">
        <f t="shared" ref="K144:K146" si="71">+J144</f>
        <v>0.18842999999999999</v>
      </c>
      <c r="L144" s="38">
        <f t="shared" ref="L144:L146" si="72">+K144</f>
        <v>0.18842999999999999</v>
      </c>
      <c r="M144" s="38">
        <f t="shared" ref="M144:M146" si="73">+L144</f>
        <v>0.18842999999999999</v>
      </c>
      <c r="N144" s="38">
        <f t="shared" ref="N144:N146" si="74">+M144</f>
        <v>0.18842999999999999</v>
      </c>
      <c r="O144" s="21">
        <f>+N144</f>
        <v>0.18842999999999999</v>
      </c>
    </row>
    <row r="145" spans="3:15" hidden="1" x14ac:dyDescent="0.25">
      <c r="C145" s="35" t="s">
        <v>41</v>
      </c>
      <c r="D145" s="20">
        <v>0.15175</v>
      </c>
      <c r="E145" s="38">
        <f t="shared" si="65"/>
        <v>0.15175</v>
      </c>
      <c r="F145" s="38">
        <f t="shared" si="66"/>
        <v>0.15175</v>
      </c>
      <c r="G145" s="38">
        <f t="shared" si="67"/>
        <v>0.15175</v>
      </c>
      <c r="H145" s="38">
        <f t="shared" si="68"/>
        <v>0.15175</v>
      </c>
      <c r="I145" s="38">
        <f t="shared" si="69"/>
        <v>0.15175</v>
      </c>
      <c r="J145" s="38">
        <f t="shared" si="70"/>
        <v>0.15175</v>
      </c>
      <c r="K145" s="38">
        <f t="shared" si="71"/>
        <v>0.15175</v>
      </c>
      <c r="L145" s="38">
        <f t="shared" si="72"/>
        <v>0.15175</v>
      </c>
      <c r="M145" s="38">
        <f t="shared" si="73"/>
        <v>0.15175</v>
      </c>
      <c r="N145" s="38">
        <f t="shared" si="74"/>
        <v>0.15175</v>
      </c>
      <c r="O145" s="21">
        <f>+N145</f>
        <v>0.15175</v>
      </c>
    </row>
    <row r="146" spans="3:15" hidden="1" x14ac:dyDescent="0.25">
      <c r="C146" s="35" t="s">
        <v>42</v>
      </c>
      <c r="D146" s="20">
        <v>0.1462</v>
      </c>
      <c r="E146" s="38">
        <f t="shared" si="65"/>
        <v>0.1462</v>
      </c>
      <c r="F146" s="38">
        <f t="shared" si="66"/>
        <v>0.1462</v>
      </c>
      <c r="G146" s="38">
        <f t="shared" si="67"/>
        <v>0.1462</v>
      </c>
      <c r="H146" s="38">
        <f t="shared" si="68"/>
        <v>0.1462</v>
      </c>
      <c r="I146" s="38">
        <f t="shared" si="69"/>
        <v>0.1462</v>
      </c>
      <c r="J146" s="38">
        <f t="shared" si="70"/>
        <v>0.1462</v>
      </c>
      <c r="K146" s="38">
        <f t="shared" si="71"/>
        <v>0.1462</v>
      </c>
      <c r="L146" s="38">
        <f t="shared" si="72"/>
        <v>0.1462</v>
      </c>
      <c r="M146" s="38">
        <f t="shared" si="73"/>
        <v>0.1462</v>
      </c>
      <c r="N146" s="38">
        <f t="shared" si="74"/>
        <v>0.1462</v>
      </c>
      <c r="O146" s="21">
        <f>+N146</f>
        <v>0.1462</v>
      </c>
    </row>
    <row r="147" spans="3:15" hidden="1" x14ac:dyDescent="0.25">
      <c r="C147" s="22" t="s">
        <v>43</v>
      </c>
      <c r="D147" s="15">
        <f>D144*D140</f>
        <v>14707.14993</v>
      </c>
      <c r="E147" s="17">
        <f t="shared" ref="E147:O147" si="75">E144*E140</f>
        <v>14162.964089999999</v>
      </c>
      <c r="F147" s="17">
        <f t="shared" si="75"/>
        <v>15718.076879999999</v>
      </c>
      <c r="G147" s="17">
        <f t="shared" si="75"/>
        <v>19233.426959999997</v>
      </c>
      <c r="H147" s="17">
        <f t="shared" si="75"/>
        <v>22452.565079999997</v>
      </c>
      <c r="I147" s="17">
        <f t="shared" si="75"/>
        <v>31465.925699999996</v>
      </c>
      <c r="J147" s="17">
        <f t="shared" si="75"/>
        <v>31346.649509999999</v>
      </c>
      <c r="K147" s="17">
        <f t="shared" si="75"/>
        <v>30817.538069999999</v>
      </c>
      <c r="L147" s="17">
        <f t="shared" si="75"/>
        <v>28996.927409999997</v>
      </c>
      <c r="M147" s="17">
        <f t="shared" si="75"/>
        <v>26186.305529999998</v>
      </c>
      <c r="N147" s="17">
        <f t="shared" si="75"/>
        <v>22875.590429999997</v>
      </c>
      <c r="O147" s="18">
        <f t="shared" si="75"/>
        <v>18214.20909</v>
      </c>
    </row>
    <row r="148" spans="3:15" hidden="1" x14ac:dyDescent="0.25">
      <c r="C148" s="22" t="s">
        <v>44</v>
      </c>
      <c r="D148" s="15">
        <f>D145*D141</f>
        <v>36877.981500000002</v>
      </c>
      <c r="E148" s="17">
        <f t="shared" ref="E148:O148" si="76">E145*E141</f>
        <v>33227.635249999999</v>
      </c>
      <c r="F148" s="17">
        <f t="shared" si="76"/>
        <v>41618.347999999998</v>
      </c>
      <c r="G148" s="17">
        <f t="shared" si="76"/>
        <v>54771.127499999995</v>
      </c>
      <c r="H148" s="17">
        <f t="shared" si="76"/>
        <v>60258.559249999998</v>
      </c>
      <c r="I148" s="17">
        <f t="shared" si="76"/>
        <v>91385.215750000003</v>
      </c>
      <c r="J148" s="17">
        <f t="shared" si="76"/>
        <v>91892.516000000003</v>
      </c>
      <c r="K148" s="17">
        <f t="shared" si="76"/>
        <v>90510.528749999998</v>
      </c>
      <c r="L148" s="17">
        <f t="shared" si="76"/>
        <v>81560.161999999997</v>
      </c>
      <c r="M148" s="17">
        <f t="shared" si="76"/>
        <v>67225.25</v>
      </c>
      <c r="N148" s="17">
        <f t="shared" si="76"/>
        <v>55941.423499999997</v>
      </c>
      <c r="O148" s="18">
        <f t="shared" si="76"/>
        <v>45657.78125</v>
      </c>
    </row>
    <row r="149" spans="3:15" hidden="1" x14ac:dyDescent="0.25">
      <c r="C149" s="22" t="s">
        <v>45</v>
      </c>
      <c r="D149" s="70">
        <f>D146*D142</f>
        <v>29212.806799999998</v>
      </c>
      <c r="E149" s="71">
        <f t="shared" ref="E149:O149" si="77">E146*E142</f>
        <v>18747.518400000001</v>
      </c>
      <c r="F149" s="71">
        <f t="shared" si="77"/>
        <v>33189.300600000002</v>
      </c>
      <c r="G149" s="71">
        <f t="shared" si="77"/>
        <v>132545.5048</v>
      </c>
      <c r="H149" s="71">
        <f t="shared" si="77"/>
        <v>59954.865599999997</v>
      </c>
      <c r="I149" s="71">
        <f t="shared" si="77"/>
        <v>91722.955999999991</v>
      </c>
      <c r="J149" s="71">
        <f t="shared" si="77"/>
        <v>75804.553799999994</v>
      </c>
      <c r="K149" s="71">
        <f t="shared" si="77"/>
        <v>108415.1948</v>
      </c>
      <c r="L149" s="71">
        <f t="shared" si="77"/>
        <v>72676.458599999998</v>
      </c>
      <c r="M149" s="71">
        <f t="shared" si="77"/>
        <v>40933.807000000001</v>
      </c>
      <c r="N149" s="71">
        <f t="shared" si="77"/>
        <v>37275.590599999996</v>
      </c>
      <c r="O149" s="72">
        <f t="shared" si="77"/>
        <v>29281.082200000001</v>
      </c>
    </row>
    <row r="150" spans="3:15" x14ac:dyDescent="0.25">
      <c r="C150" s="22" t="s">
        <v>30</v>
      </c>
      <c r="D150" s="70">
        <f t="shared" ref="D150:O150" si="78">(+D147+D148+D149)/D139</f>
        <v>199.50108204938272</v>
      </c>
      <c r="E150" s="71">
        <f t="shared" si="78"/>
        <v>161.70688933985329</v>
      </c>
      <c r="F150" s="71">
        <f t="shared" si="78"/>
        <v>219.19061859564164</v>
      </c>
      <c r="G150" s="71">
        <f t="shared" si="78"/>
        <v>481.46866960372955</v>
      </c>
      <c r="H150" s="71">
        <f t="shared" si="78"/>
        <v>330.24534706018517</v>
      </c>
      <c r="I150" s="71">
        <f t="shared" si="78"/>
        <v>499.00952895348837</v>
      </c>
      <c r="J150" s="71">
        <f t="shared" si="78"/>
        <v>463.97137368298371</v>
      </c>
      <c r="K150" s="71">
        <f t="shared" si="78"/>
        <v>523.33316997722102</v>
      </c>
      <c r="L150" s="71">
        <f t="shared" si="78"/>
        <v>416.43988184090904</v>
      </c>
      <c r="M150" s="71">
        <f t="shared" si="78"/>
        <v>304.63801027210883</v>
      </c>
      <c r="N150" s="71">
        <f t="shared" si="78"/>
        <v>260.88225737078648</v>
      </c>
      <c r="O150" s="72">
        <f t="shared" si="78"/>
        <v>210.75355778280544</v>
      </c>
    </row>
    <row r="151" spans="3:15" x14ac:dyDescent="0.25">
      <c r="C151" s="80" t="s">
        <v>46</v>
      </c>
      <c r="D151" s="58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60"/>
    </row>
    <row r="152" spans="3:15" hidden="1" x14ac:dyDescent="0.25">
      <c r="C152" s="23" t="s">
        <v>26</v>
      </c>
      <c r="D152" s="24">
        <v>82</v>
      </c>
      <c r="E152" s="25">
        <v>80</v>
      </c>
      <c r="F152" s="25">
        <v>80</v>
      </c>
      <c r="G152" s="25">
        <v>81</v>
      </c>
      <c r="H152" s="25">
        <v>79</v>
      </c>
      <c r="I152" s="25">
        <v>79</v>
      </c>
      <c r="J152" s="25">
        <v>80</v>
      </c>
      <c r="K152" s="25">
        <v>80</v>
      </c>
      <c r="L152" s="25">
        <v>135</v>
      </c>
      <c r="M152" s="25">
        <v>83</v>
      </c>
      <c r="N152" s="25">
        <v>82</v>
      </c>
      <c r="O152" s="26">
        <v>85</v>
      </c>
    </row>
    <row r="153" spans="3:15" hidden="1" x14ac:dyDescent="0.25">
      <c r="C153" s="23" t="s">
        <v>36</v>
      </c>
      <c r="D153" s="24">
        <v>281057</v>
      </c>
      <c r="E153" s="25">
        <v>292438</v>
      </c>
      <c r="F153" s="25">
        <v>232767</v>
      </c>
      <c r="G153" s="25">
        <v>337889</v>
      </c>
      <c r="H153" s="25">
        <v>430436</v>
      </c>
      <c r="I153" s="25">
        <v>889995</v>
      </c>
      <c r="J153" s="25">
        <v>911639</v>
      </c>
      <c r="K153" s="25">
        <v>829158</v>
      </c>
      <c r="L153" s="25">
        <v>1617804</v>
      </c>
      <c r="M153" s="25">
        <v>612246</v>
      </c>
      <c r="N153" s="25">
        <v>485441</v>
      </c>
      <c r="O153" s="26">
        <v>387499</v>
      </c>
    </row>
    <row r="154" spans="3:15" hidden="1" x14ac:dyDescent="0.25">
      <c r="C154" s="23" t="s">
        <v>37</v>
      </c>
      <c r="D154" s="24">
        <v>37880</v>
      </c>
      <c r="E154" s="25">
        <v>30155</v>
      </c>
      <c r="F154" s="25">
        <v>17413</v>
      </c>
      <c r="G154" s="25">
        <v>56111</v>
      </c>
      <c r="H154" s="25">
        <v>51418</v>
      </c>
      <c r="I154" s="25">
        <v>215603</v>
      </c>
      <c r="J154" s="25">
        <v>235610</v>
      </c>
      <c r="K154" s="25">
        <v>215709</v>
      </c>
      <c r="L154" s="25">
        <v>573703</v>
      </c>
      <c r="M154" s="25">
        <v>188162</v>
      </c>
      <c r="N154" s="25">
        <v>147547</v>
      </c>
      <c r="O154" s="26">
        <v>69596</v>
      </c>
    </row>
    <row r="155" spans="3:15" hidden="1" x14ac:dyDescent="0.25">
      <c r="C155" s="35" t="s">
        <v>38</v>
      </c>
      <c r="D155" s="24"/>
      <c r="E155" s="25"/>
      <c r="F155" s="25"/>
      <c r="G155" s="25"/>
      <c r="H155" s="25"/>
      <c r="I155" s="25">
        <v>59914</v>
      </c>
      <c r="J155" s="25">
        <v>58081</v>
      </c>
      <c r="K155" s="25">
        <v>67742</v>
      </c>
      <c r="L155" s="25">
        <v>40376</v>
      </c>
      <c r="M155" s="25"/>
      <c r="N155" s="25"/>
      <c r="O155" s="26"/>
    </row>
    <row r="156" spans="3:15" hidden="1" x14ac:dyDescent="0.25">
      <c r="C156" s="52" t="s">
        <v>39</v>
      </c>
      <c r="D156" s="24">
        <f t="shared" ref="D156:O156" si="79">+D153+D154+D155</f>
        <v>318937</v>
      </c>
      <c r="E156" s="25">
        <f t="shared" si="79"/>
        <v>322593</v>
      </c>
      <c r="F156" s="25">
        <f t="shared" si="79"/>
        <v>250180</v>
      </c>
      <c r="G156" s="25">
        <f t="shared" si="79"/>
        <v>394000</v>
      </c>
      <c r="H156" s="25">
        <f t="shared" si="79"/>
        <v>481854</v>
      </c>
      <c r="I156" s="25">
        <f t="shared" si="79"/>
        <v>1165512</v>
      </c>
      <c r="J156" s="25">
        <f t="shared" si="79"/>
        <v>1205330</v>
      </c>
      <c r="K156" s="25">
        <f t="shared" si="79"/>
        <v>1112609</v>
      </c>
      <c r="L156" s="25">
        <f t="shared" si="79"/>
        <v>2231883</v>
      </c>
      <c r="M156" s="25">
        <f t="shared" si="79"/>
        <v>800408</v>
      </c>
      <c r="N156" s="25">
        <f t="shared" si="79"/>
        <v>632988</v>
      </c>
      <c r="O156" s="26">
        <f t="shared" si="79"/>
        <v>457095</v>
      </c>
    </row>
    <row r="157" spans="3:15" hidden="1" x14ac:dyDescent="0.25">
      <c r="C157" s="23" t="s">
        <v>40</v>
      </c>
      <c r="D157" s="20">
        <v>0.14834</v>
      </c>
      <c r="E157" s="38">
        <f t="shared" ref="E157:E159" si="80">+D157</f>
        <v>0.14834</v>
      </c>
      <c r="F157" s="38">
        <f t="shared" ref="F157:F159" si="81">+E157</f>
        <v>0.14834</v>
      </c>
      <c r="G157" s="38">
        <f t="shared" ref="G157:G159" si="82">+F157</f>
        <v>0.14834</v>
      </c>
      <c r="H157" s="38">
        <f t="shared" ref="H157:H159" si="83">+G157</f>
        <v>0.14834</v>
      </c>
      <c r="I157" s="38">
        <f t="shared" ref="I157:I159" si="84">+H157</f>
        <v>0.14834</v>
      </c>
      <c r="J157" s="38">
        <f t="shared" ref="J157:J159" si="85">+I157</f>
        <v>0.14834</v>
      </c>
      <c r="K157" s="38">
        <f t="shared" ref="K157:K159" si="86">+J157</f>
        <v>0.14834</v>
      </c>
      <c r="L157" s="38">
        <f t="shared" ref="L157:L159" si="87">+K157</f>
        <v>0.14834</v>
      </c>
      <c r="M157" s="38">
        <f t="shared" ref="M157:M159" si="88">+L157</f>
        <v>0.14834</v>
      </c>
      <c r="N157" s="38">
        <f t="shared" ref="N157:N159" si="89">+M157</f>
        <v>0.14834</v>
      </c>
      <c r="O157" s="21">
        <f>+N157</f>
        <v>0.14834</v>
      </c>
    </row>
    <row r="158" spans="3:15" hidden="1" x14ac:dyDescent="0.25">
      <c r="C158" s="35" t="s">
        <v>41</v>
      </c>
      <c r="D158" s="20">
        <v>0.11294999999999999</v>
      </c>
      <c r="E158" s="38">
        <f t="shared" si="80"/>
        <v>0.11294999999999999</v>
      </c>
      <c r="F158" s="38">
        <f t="shared" si="81"/>
        <v>0.11294999999999999</v>
      </c>
      <c r="G158" s="38">
        <f t="shared" si="82"/>
        <v>0.11294999999999999</v>
      </c>
      <c r="H158" s="38">
        <f t="shared" si="83"/>
        <v>0.11294999999999999</v>
      </c>
      <c r="I158" s="38">
        <f t="shared" si="84"/>
        <v>0.11294999999999999</v>
      </c>
      <c r="J158" s="38">
        <f t="shared" si="85"/>
        <v>0.11294999999999999</v>
      </c>
      <c r="K158" s="38">
        <f t="shared" si="86"/>
        <v>0.11294999999999999</v>
      </c>
      <c r="L158" s="38">
        <f t="shared" si="87"/>
        <v>0.11294999999999999</v>
      </c>
      <c r="M158" s="38">
        <f t="shared" si="88"/>
        <v>0.11294999999999999</v>
      </c>
      <c r="N158" s="38">
        <f t="shared" si="89"/>
        <v>0.11294999999999999</v>
      </c>
      <c r="O158" s="21">
        <f>+N158</f>
        <v>0.11294999999999999</v>
      </c>
    </row>
    <row r="159" spans="3:15" hidden="1" x14ac:dyDescent="0.25">
      <c r="C159" s="35" t="s">
        <v>42</v>
      </c>
      <c r="D159" s="20">
        <v>2.5409999999999999E-2</v>
      </c>
      <c r="E159" s="38">
        <f t="shared" si="80"/>
        <v>2.5409999999999999E-2</v>
      </c>
      <c r="F159" s="38">
        <f t="shared" si="81"/>
        <v>2.5409999999999999E-2</v>
      </c>
      <c r="G159" s="38">
        <f t="shared" si="82"/>
        <v>2.5409999999999999E-2</v>
      </c>
      <c r="H159" s="38">
        <f t="shared" si="83"/>
        <v>2.5409999999999999E-2</v>
      </c>
      <c r="I159" s="38">
        <f t="shared" si="84"/>
        <v>2.5409999999999999E-2</v>
      </c>
      <c r="J159" s="38">
        <f t="shared" si="85"/>
        <v>2.5409999999999999E-2</v>
      </c>
      <c r="K159" s="38">
        <f t="shared" si="86"/>
        <v>2.5409999999999999E-2</v>
      </c>
      <c r="L159" s="38">
        <f t="shared" si="87"/>
        <v>2.5409999999999999E-2</v>
      </c>
      <c r="M159" s="38">
        <f t="shared" si="88"/>
        <v>2.5409999999999999E-2</v>
      </c>
      <c r="N159" s="38">
        <f t="shared" si="89"/>
        <v>2.5409999999999999E-2</v>
      </c>
      <c r="O159" s="21">
        <f>+N159</f>
        <v>2.5409999999999999E-2</v>
      </c>
    </row>
    <row r="160" spans="3:15" hidden="1" x14ac:dyDescent="0.25">
      <c r="C160" s="31" t="s">
        <v>43</v>
      </c>
      <c r="D160" s="15">
        <f>D157*D153</f>
        <v>41691.99538</v>
      </c>
      <c r="E160" s="17">
        <f t="shared" ref="E160:O160" si="90">E157*E153</f>
        <v>43380.252919999999</v>
      </c>
      <c r="F160" s="17">
        <f t="shared" si="90"/>
        <v>34528.656779999998</v>
      </c>
      <c r="G160" s="17">
        <f t="shared" si="90"/>
        <v>50122.454259999999</v>
      </c>
      <c r="H160" s="17">
        <f t="shared" si="90"/>
        <v>63850.876239999998</v>
      </c>
      <c r="I160" s="17">
        <f t="shared" si="90"/>
        <v>132021.85829999999</v>
      </c>
      <c r="J160" s="17">
        <f t="shared" si="90"/>
        <v>135232.52926000001</v>
      </c>
      <c r="K160" s="17">
        <f t="shared" si="90"/>
        <v>122997.29772</v>
      </c>
      <c r="L160" s="17">
        <f t="shared" si="90"/>
        <v>239985.04535999999</v>
      </c>
      <c r="M160" s="17">
        <f t="shared" si="90"/>
        <v>90820.571639999995</v>
      </c>
      <c r="N160" s="17">
        <f t="shared" si="90"/>
        <v>72010.317939999994</v>
      </c>
      <c r="O160" s="18">
        <f t="shared" si="90"/>
        <v>57481.60166</v>
      </c>
    </row>
    <row r="161" spans="2:15" hidden="1" x14ac:dyDescent="0.25">
      <c r="C161" s="31" t="s">
        <v>44</v>
      </c>
      <c r="D161" s="15">
        <f>D158*D154</f>
        <v>4278.5459999999994</v>
      </c>
      <c r="E161" s="17">
        <f t="shared" ref="E161:O161" si="91">E158*E154</f>
        <v>3406.0072499999997</v>
      </c>
      <c r="F161" s="17">
        <f t="shared" si="91"/>
        <v>1966.7983499999998</v>
      </c>
      <c r="G161" s="17">
        <f t="shared" si="91"/>
        <v>6337.7374499999996</v>
      </c>
      <c r="H161" s="17">
        <f t="shared" si="91"/>
        <v>5807.6630999999998</v>
      </c>
      <c r="I161" s="17">
        <f t="shared" si="91"/>
        <v>24352.358850000001</v>
      </c>
      <c r="J161" s="17">
        <f t="shared" si="91"/>
        <v>26612.1495</v>
      </c>
      <c r="K161" s="17">
        <f t="shared" si="91"/>
        <v>24364.331549999999</v>
      </c>
      <c r="L161" s="17">
        <f t="shared" si="91"/>
        <v>64799.753849999994</v>
      </c>
      <c r="M161" s="17">
        <f t="shared" si="91"/>
        <v>21252.8979</v>
      </c>
      <c r="N161" s="17">
        <f t="shared" si="91"/>
        <v>16665.433649999999</v>
      </c>
      <c r="O161" s="18">
        <f t="shared" si="91"/>
        <v>7860.8681999999999</v>
      </c>
    </row>
    <row r="162" spans="2:15" hidden="1" x14ac:dyDescent="0.25">
      <c r="C162" s="31" t="s">
        <v>45</v>
      </c>
      <c r="D162" s="15">
        <f>D159*D155</f>
        <v>0</v>
      </c>
      <c r="E162" s="17">
        <f t="shared" ref="E162:O162" si="92">E159*E155</f>
        <v>0</v>
      </c>
      <c r="F162" s="17">
        <f t="shared" si="92"/>
        <v>0</v>
      </c>
      <c r="G162" s="17">
        <f t="shared" si="92"/>
        <v>0</v>
      </c>
      <c r="H162" s="17">
        <f t="shared" si="92"/>
        <v>0</v>
      </c>
      <c r="I162" s="17">
        <f t="shared" si="92"/>
        <v>1522.4147399999999</v>
      </c>
      <c r="J162" s="17">
        <f t="shared" si="92"/>
        <v>1475.8382099999999</v>
      </c>
      <c r="K162" s="17">
        <f t="shared" si="92"/>
        <v>1721.32422</v>
      </c>
      <c r="L162" s="17">
        <f t="shared" si="92"/>
        <v>1025.95416</v>
      </c>
      <c r="M162" s="17">
        <f t="shared" si="92"/>
        <v>0</v>
      </c>
      <c r="N162" s="17">
        <f t="shared" si="92"/>
        <v>0</v>
      </c>
      <c r="O162" s="18">
        <f t="shared" si="92"/>
        <v>0</v>
      </c>
    </row>
    <row r="163" spans="2:15" x14ac:dyDescent="0.25">
      <c r="C163" s="31" t="s">
        <v>30</v>
      </c>
      <c r="D163" s="15">
        <f>SUM(D160:D162)/D152</f>
        <v>560.616358292683</v>
      </c>
      <c r="E163" s="17">
        <f t="shared" ref="E163:K163" si="93">SUM(E160:E162)/E152</f>
        <v>584.82825212500006</v>
      </c>
      <c r="F163" s="17">
        <f t="shared" si="93"/>
        <v>456.19318912499995</v>
      </c>
      <c r="G163" s="17">
        <f t="shared" si="93"/>
        <v>697.03940382716053</v>
      </c>
      <c r="H163" s="17">
        <f t="shared" si="93"/>
        <v>881.75366253164566</v>
      </c>
      <c r="I163" s="17">
        <f t="shared" si="93"/>
        <v>1998.6915429113922</v>
      </c>
      <c r="J163" s="17">
        <f t="shared" si="93"/>
        <v>2041.5064621249999</v>
      </c>
      <c r="K163" s="17">
        <f t="shared" si="93"/>
        <v>1863.5369186250002</v>
      </c>
      <c r="L163" s="17">
        <f>SUM(L160:L162)/L152</f>
        <v>2265.2648397777775</v>
      </c>
      <c r="M163" s="17">
        <f t="shared" ref="M163:O163" si="94">SUM(M160:M162)/M152</f>
        <v>1350.2827655421686</v>
      </c>
      <c r="N163" s="17">
        <f t="shared" si="94"/>
        <v>1081.4116047560976</v>
      </c>
      <c r="O163" s="18">
        <f t="shared" si="94"/>
        <v>768.73493952941169</v>
      </c>
    </row>
    <row r="164" spans="2:15" x14ac:dyDescent="0.25">
      <c r="C164" s="80" t="s">
        <v>47</v>
      </c>
      <c r="D164" s="58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60"/>
    </row>
    <row r="165" spans="2:15" hidden="1" x14ac:dyDescent="0.25">
      <c r="C165" s="23" t="s">
        <v>26</v>
      </c>
      <c r="D165" s="48">
        <v>1</v>
      </c>
      <c r="E165" s="49">
        <v>1</v>
      </c>
      <c r="F165" s="49">
        <v>1</v>
      </c>
      <c r="G165" s="49">
        <v>1</v>
      </c>
      <c r="H165" s="49">
        <v>1</v>
      </c>
      <c r="I165" s="49">
        <v>1</v>
      </c>
      <c r="J165" s="49">
        <v>1</v>
      </c>
      <c r="K165" s="49">
        <v>1</v>
      </c>
      <c r="L165" s="49">
        <v>1</v>
      </c>
      <c r="M165" s="49">
        <v>1</v>
      </c>
      <c r="N165" s="49">
        <v>1</v>
      </c>
      <c r="O165" s="50">
        <v>1</v>
      </c>
    </row>
    <row r="166" spans="2:15" hidden="1" x14ac:dyDescent="0.25">
      <c r="C166" s="23" t="s">
        <v>27</v>
      </c>
      <c r="D166" s="24">
        <v>3952</v>
      </c>
      <c r="E166" s="25">
        <v>3861</v>
      </c>
      <c r="F166" s="25">
        <v>4343</v>
      </c>
      <c r="G166" s="25">
        <v>4159</v>
      </c>
      <c r="H166" s="25">
        <v>3377</v>
      </c>
      <c r="I166" s="25">
        <v>3772</v>
      </c>
      <c r="J166" s="25">
        <v>3467</v>
      </c>
      <c r="K166" s="25">
        <v>3807</v>
      </c>
      <c r="L166" s="25">
        <v>4147</v>
      </c>
      <c r="M166" s="25">
        <v>3631</v>
      </c>
      <c r="N166" s="25">
        <v>4015</v>
      </c>
      <c r="O166" s="26">
        <v>4021</v>
      </c>
    </row>
    <row r="167" spans="2:15" hidden="1" x14ac:dyDescent="0.25">
      <c r="C167" s="23" t="s">
        <v>28</v>
      </c>
      <c r="D167" s="48">
        <v>0.21479000000000001</v>
      </c>
      <c r="E167" s="49">
        <f>+D167</f>
        <v>0.21479000000000001</v>
      </c>
      <c r="F167" s="38">
        <f>+E167</f>
        <v>0.21479000000000001</v>
      </c>
      <c r="G167" s="53">
        <f>+F167</f>
        <v>0.21479000000000001</v>
      </c>
      <c r="H167" s="53">
        <f t="shared" ref="H167" si="95">+G167</f>
        <v>0.21479000000000001</v>
      </c>
      <c r="I167" s="53">
        <f t="shared" ref="I167" si="96">+H167</f>
        <v>0.21479000000000001</v>
      </c>
      <c r="J167" s="53">
        <f t="shared" ref="J167" si="97">+I167</f>
        <v>0.21479000000000001</v>
      </c>
      <c r="K167" s="53">
        <f t="shared" ref="K167" si="98">+J167</f>
        <v>0.21479000000000001</v>
      </c>
      <c r="L167" s="53">
        <f t="shared" ref="L167" si="99">+K167</f>
        <v>0.21479000000000001</v>
      </c>
      <c r="M167" s="53">
        <f t="shared" ref="M167" si="100">+L167</f>
        <v>0.21479000000000001</v>
      </c>
      <c r="N167" s="53">
        <f t="shared" ref="N167" si="101">+M167</f>
        <v>0.21479000000000001</v>
      </c>
      <c r="O167" s="50">
        <f>+N167</f>
        <v>0.21479000000000001</v>
      </c>
    </row>
    <row r="168" spans="2:15" hidden="1" x14ac:dyDescent="0.25">
      <c r="C168" s="35" t="s">
        <v>29</v>
      </c>
      <c r="D168" s="24">
        <f>D167*D166</f>
        <v>848.85008000000005</v>
      </c>
      <c r="E168" s="25">
        <f t="shared" ref="E168:O168" si="102">E167*E166</f>
        <v>829.30419000000006</v>
      </c>
      <c r="F168" s="25">
        <f t="shared" si="102"/>
        <v>932.83297000000005</v>
      </c>
      <c r="G168" s="25">
        <f t="shared" si="102"/>
        <v>893.31161000000009</v>
      </c>
      <c r="H168" s="25">
        <f t="shared" si="102"/>
        <v>725.34582999999998</v>
      </c>
      <c r="I168" s="25">
        <f t="shared" si="102"/>
        <v>810.18788000000006</v>
      </c>
      <c r="J168" s="25">
        <f t="shared" si="102"/>
        <v>744.67693000000008</v>
      </c>
      <c r="K168" s="25">
        <f t="shared" si="102"/>
        <v>817.70553000000007</v>
      </c>
      <c r="L168" s="25">
        <f t="shared" si="102"/>
        <v>890.73413000000005</v>
      </c>
      <c r="M168" s="25">
        <f t="shared" si="102"/>
        <v>779.90249000000006</v>
      </c>
      <c r="N168" s="25">
        <f t="shared" si="102"/>
        <v>862.38184999999999</v>
      </c>
      <c r="O168" s="26">
        <f t="shared" si="102"/>
        <v>863.67059000000006</v>
      </c>
    </row>
    <row r="169" spans="2:15" x14ac:dyDescent="0.25">
      <c r="C169" s="35" t="s">
        <v>30</v>
      </c>
      <c r="D169" s="70">
        <f t="shared" ref="D169:O169" si="103">D168/D165</f>
        <v>848.85008000000005</v>
      </c>
      <c r="E169" s="71">
        <f t="shared" si="103"/>
        <v>829.30419000000006</v>
      </c>
      <c r="F169" s="71">
        <f t="shared" si="103"/>
        <v>932.83297000000005</v>
      </c>
      <c r="G169" s="71">
        <f t="shared" si="103"/>
        <v>893.31161000000009</v>
      </c>
      <c r="H169" s="71">
        <f t="shared" si="103"/>
        <v>725.34582999999998</v>
      </c>
      <c r="I169" s="71">
        <f t="shared" si="103"/>
        <v>810.18788000000006</v>
      </c>
      <c r="J169" s="71">
        <f t="shared" si="103"/>
        <v>744.67693000000008</v>
      </c>
      <c r="K169" s="71">
        <f t="shared" si="103"/>
        <v>817.70553000000007</v>
      </c>
      <c r="L169" s="71">
        <f t="shared" si="103"/>
        <v>890.73413000000005</v>
      </c>
      <c r="M169" s="71">
        <f t="shared" si="103"/>
        <v>779.90249000000006</v>
      </c>
      <c r="N169" s="71">
        <f t="shared" si="103"/>
        <v>862.38184999999999</v>
      </c>
      <c r="O169" s="72">
        <f t="shared" si="103"/>
        <v>863.67059000000006</v>
      </c>
    </row>
    <row r="170" spans="2:15" hidden="1" x14ac:dyDescent="0.25">
      <c r="B170" t="s">
        <v>63</v>
      </c>
      <c r="C170" s="80" t="s">
        <v>48</v>
      </c>
      <c r="D170" s="58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60"/>
    </row>
    <row r="171" spans="2:15" hidden="1" x14ac:dyDescent="0.25">
      <c r="C171" s="23" t="s">
        <v>49</v>
      </c>
      <c r="D171" s="48">
        <v>1</v>
      </c>
      <c r="E171" s="49">
        <v>1</v>
      </c>
      <c r="F171" s="49">
        <v>1</v>
      </c>
      <c r="G171" s="49">
        <v>1</v>
      </c>
      <c r="H171" s="49">
        <v>1</v>
      </c>
      <c r="I171" s="49">
        <v>1</v>
      </c>
      <c r="J171" s="49">
        <v>1</v>
      </c>
      <c r="K171" s="49">
        <v>1</v>
      </c>
      <c r="L171" s="49">
        <v>1</v>
      </c>
      <c r="M171" s="49">
        <v>1</v>
      </c>
      <c r="N171" s="49">
        <v>1</v>
      </c>
      <c r="O171" s="50">
        <v>1</v>
      </c>
    </row>
    <row r="172" spans="2:15" hidden="1" x14ac:dyDescent="0.25">
      <c r="C172" s="31" t="s">
        <v>50</v>
      </c>
      <c r="D172" s="27">
        <v>1015.38</v>
      </c>
      <c r="E172" s="28">
        <v>788.38</v>
      </c>
      <c r="F172" s="28">
        <v>884.71</v>
      </c>
      <c r="G172" s="28">
        <v>1033.0999999999999</v>
      </c>
      <c r="H172" s="29">
        <v>1012.54</v>
      </c>
      <c r="I172" s="28">
        <v>993.42</v>
      </c>
      <c r="J172" s="28">
        <v>912.38</v>
      </c>
      <c r="K172" s="28">
        <v>1014.89</v>
      </c>
      <c r="L172" s="28">
        <v>1202.48</v>
      </c>
      <c r="M172" s="28">
        <v>753.32</v>
      </c>
      <c r="N172" s="28">
        <v>984.76</v>
      </c>
      <c r="O172" s="30">
        <v>1254.4000000000001</v>
      </c>
    </row>
    <row r="173" spans="2:15" hidden="1" x14ac:dyDescent="0.25">
      <c r="C173" s="31" t="s">
        <v>51</v>
      </c>
      <c r="D173" s="15">
        <v>2266.06</v>
      </c>
      <c r="E173" s="17">
        <v>1912.82</v>
      </c>
      <c r="F173" s="17">
        <v>1858.85</v>
      </c>
      <c r="G173" s="17">
        <v>2078.12</v>
      </c>
      <c r="H173" s="17">
        <v>3037.36</v>
      </c>
      <c r="I173" s="17">
        <v>6343.84</v>
      </c>
      <c r="J173" s="17">
        <v>7588.03</v>
      </c>
      <c r="K173" s="17">
        <v>7641.41</v>
      </c>
      <c r="L173" s="17">
        <v>5284.05</v>
      </c>
      <c r="M173" s="17">
        <v>5126.42</v>
      </c>
      <c r="N173" s="17">
        <v>4529.59</v>
      </c>
      <c r="O173" s="18">
        <v>2891.92</v>
      </c>
    </row>
    <row r="174" spans="2:15" hidden="1" x14ac:dyDescent="0.25">
      <c r="C174" s="31" t="s">
        <v>52</v>
      </c>
      <c r="D174" s="15">
        <f>D172/1</f>
        <v>1015.38</v>
      </c>
      <c r="E174" s="17">
        <f t="shared" ref="E174:O174" si="104">E172/1</f>
        <v>788.38</v>
      </c>
      <c r="F174" s="17">
        <f t="shared" si="104"/>
        <v>884.71</v>
      </c>
      <c r="G174" s="17">
        <f t="shared" si="104"/>
        <v>1033.0999999999999</v>
      </c>
      <c r="H174" s="17">
        <f t="shared" si="104"/>
        <v>1012.54</v>
      </c>
      <c r="I174" s="17">
        <f t="shared" si="104"/>
        <v>993.42</v>
      </c>
      <c r="J174" s="17">
        <f t="shared" si="104"/>
        <v>912.38</v>
      </c>
      <c r="K174" s="17">
        <f t="shared" si="104"/>
        <v>1014.89</v>
      </c>
      <c r="L174" s="17">
        <f t="shared" si="104"/>
        <v>1202.48</v>
      </c>
      <c r="M174" s="17">
        <f t="shared" si="104"/>
        <v>753.32</v>
      </c>
      <c r="N174" s="17">
        <f t="shared" si="104"/>
        <v>984.76</v>
      </c>
      <c r="O174" s="18">
        <f t="shared" si="104"/>
        <v>1254.4000000000001</v>
      </c>
    </row>
    <row r="175" spans="2:15" hidden="1" x14ac:dyDescent="0.25">
      <c r="C175" s="31" t="s">
        <v>53</v>
      </c>
      <c r="D175" s="17">
        <f t="shared" ref="D175:O175" si="105">D168/D165</f>
        <v>848.85008000000005</v>
      </c>
      <c r="E175" s="17">
        <f t="shared" si="105"/>
        <v>829.30419000000006</v>
      </c>
      <c r="F175" s="17">
        <f t="shared" si="105"/>
        <v>932.83297000000005</v>
      </c>
      <c r="G175" s="17">
        <f t="shared" si="105"/>
        <v>893.31161000000009</v>
      </c>
      <c r="H175" s="17">
        <f t="shared" si="105"/>
        <v>725.34582999999998</v>
      </c>
      <c r="I175" s="17">
        <f t="shared" si="105"/>
        <v>810.18788000000006</v>
      </c>
      <c r="J175" s="17">
        <f t="shared" si="105"/>
        <v>744.67693000000008</v>
      </c>
      <c r="K175" s="17">
        <f t="shared" si="105"/>
        <v>817.70553000000007</v>
      </c>
      <c r="L175" s="17">
        <f t="shared" si="105"/>
        <v>890.73413000000005</v>
      </c>
      <c r="M175" s="17">
        <f t="shared" si="105"/>
        <v>779.90249000000006</v>
      </c>
      <c r="N175" s="17">
        <f t="shared" si="105"/>
        <v>862.38184999999999</v>
      </c>
      <c r="O175" s="18">
        <f t="shared" si="105"/>
        <v>863.67059000000006</v>
      </c>
    </row>
    <row r="176" spans="2:15" x14ac:dyDescent="0.25">
      <c r="C176" s="80" t="s">
        <v>54</v>
      </c>
      <c r="D176" s="58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60"/>
    </row>
    <row r="177" spans="3:15" hidden="1" x14ac:dyDescent="0.25">
      <c r="C177" s="23" t="s">
        <v>26</v>
      </c>
      <c r="D177" s="48">
        <f>8+D171</f>
        <v>9</v>
      </c>
      <c r="E177" s="49">
        <f t="shared" ref="E177:O177" si="106">8+E171</f>
        <v>9</v>
      </c>
      <c r="F177" s="49">
        <f t="shared" si="106"/>
        <v>9</v>
      </c>
      <c r="G177" s="49">
        <f t="shared" si="106"/>
        <v>9</v>
      </c>
      <c r="H177" s="49">
        <f t="shared" si="106"/>
        <v>9</v>
      </c>
      <c r="I177" s="49">
        <f t="shared" si="106"/>
        <v>9</v>
      </c>
      <c r="J177" s="49">
        <f t="shared" si="106"/>
        <v>9</v>
      </c>
      <c r="K177" s="49">
        <f t="shared" si="106"/>
        <v>9</v>
      </c>
      <c r="L177" s="49">
        <f t="shared" si="106"/>
        <v>9</v>
      </c>
      <c r="M177" s="49">
        <f t="shared" si="106"/>
        <v>9</v>
      </c>
      <c r="N177" s="49">
        <f t="shared" si="106"/>
        <v>9</v>
      </c>
      <c r="O177" s="50">
        <f t="shared" si="106"/>
        <v>9</v>
      </c>
    </row>
    <row r="178" spans="3:15" hidden="1" x14ac:dyDescent="0.25">
      <c r="C178" s="35" t="s">
        <v>55</v>
      </c>
      <c r="D178" s="24">
        <v>126869</v>
      </c>
      <c r="E178" s="25">
        <v>137697</v>
      </c>
      <c r="F178" s="25">
        <v>120628</v>
      </c>
      <c r="G178" s="25">
        <v>152126</v>
      </c>
      <c r="H178" s="25">
        <v>153172</v>
      </c>
      <c r="I178" s="25">
        <v>164797</v>
      </c>
      <c r="J178" s="25">
        <v>171860</v>
      </c>
      <c r="K178" s="25">
        <v>172646</v>
      </c>
      <c r="L178" s="25">
        <v>161201</v>
      </c>
      <c r="M178" s="25">
        <v>152857</v>
      </c>
      <c r="N178" s="25">
        <v>151533</v>
      </c>
      <c r="O178" s="26">
        <v>138046</v>
      </c>
    </row>
    <row r="179" spans="3:15" hidden="1" x14ac:dyDescent="0.25">
      <c r="C179" s="35" t="s">
        <v>56</v>
      </c>
      <c r="D179" s="24">
        <v>100624</v>
      </c>
      <c r="E179" s="25">
        <v>84939</v>
      </c>
      <c r="F179" s="25">
        <v>82542</v>
      </c>
      <c r="G179" s="25">
        <v>92279</v>
      </c>
      <c r="H179" s="25">
        <v>131317</v>
      </c>
      <c r="I179" s="25">
        <v>274269</v>
      </c>
      <c r="J179" s="25">
        <v>328060</v>
      </c>
      <c r="K179" s="25">
        <v>330368</v>
      </c>
      <c r="L179" s="25">
        <v>228450</v>
      </c>
      <c r="M179" s="25">
        <v>221635</v>
      </c>
      <c r="N179" s="25">
        <v>195832</v>
      </c>
      <c r="O179" s="26">
        <v>125029</v>
      </c>
    </row>
    <row r="180" spans="3:15" hidden="1" x14ac:dyDescent="0.25">
      <c r="C180" s="52" t="s">
        <v>39</v>
      </c>
      <c r="D180" s="24">
        <f>+D178+D179</f>
        <v>227493</v>
      </c>
      <c r="E180" s="25">
        <f>+E178+E179</f>
        <v>222636</v>
      </c>
      <c r="F180" s="25">
        <f t="shared" ref="F180:N180" si="107">+F178+F179</f>
        <v>203170</v>
      </c>
      <c r="G180" s="25">
        <f t="shared" si="107"/>
        <v>244405</v>
      </c>
      <c r="H180" s="25">
        <f t="shared" si="107"/>
        <v>284489</v>
      </c>
      <c r="I180" s="25">
        <f t="shared" si="107"/>
        <v>439066</v>
      </c>
      <c r="J180" s="25">
        <f t="shared" si="107"/>
        <v>499920</v>
      </c>
      <c r="K180" s="25">
        <f t="shared" si="107"/>
        <v>503014</v>
      </c>
      <c r="L180" s="25">
        <f t="shared" si="107"/>
        <v>389651</v>
      </c>
      <c r="M180" s="25">
        <f t="shared" si="107"/>
        <v>374492</v>
      </c>
      <c r="N180" s="25">
        <f t="shared" si="107"/>
        <v>347365</v>
      </c>
      <c r="O180" s="26">
        <f>+O178+O179</f>
        <v>263075</v>
      </c>
    </row>
    <row r="181" spans="3:15" hidden="1" x14ac:dyDescent="0.25">
      <c r="C181" s="35" t="s">
        <v>57</v>
      </c>
      <c r="D181" s="20">
        <v>8.233E-2</v>
      </c>
      <c r="E181" s="38">
        <f t="shared" ref="E181:E182" si="108">+D181</f>
        <v>8.233E-2</v>
      </c>
      <c r="F181" s="38">
        <f t="shared" ref="F181:F182" si="109">+E181</f>
        <v>8.233E-2</v>
      </c>
      <c r="G181" s="38">
        <f t="shared" ref="G181:G182" si="110">+F181</f>
        <v>8.233E-2</v>
      </c>
      <c r="H181" s="38">
        <f t="shared" ref="H181:H182" si="111">+G181</f>
        <v>8.233E-2</v>
      </c>
      <c r="I181" s="38">
        <f t="shared" ref="I181:I182" si="112">+H181</f>
        <v>8.233E-2</v>
      </c>
      <c r="J181" s="38">
        <f t="shared" ref="J181:J182" si="113">+I181</f>
        <v>8.233E-2</v>
      </c>
      <c r="K181" s="38">
        <f t="shared" ref="K181:K182" si="114">+J181</f>
        <v>8.233E-2</v>
      </c>
      <c r="L181" s="38">
        <f t="shared" ref="L181:L182" si="115">+K181</f>
        <v>8.233E-2</v>
      </c>
      <c r="M181" s="38">
        <f t="shared" ref="M181:M182" si="116">+L181</f>
        <v>8.233E-2</v>
      </c>
      <c r="N181" s="38">
        <f t="shared" ref="N181:N182" si="117">+M181</f>
        <v>8.233E-2</v>
      </c>
      <c r="O181" s="21">
        <f>+N181</f>
        <v>8.233E-2</v>
      </c>
    </row>
    <row r="182" spans="3:15" hidden="1" x14ac:dyDescent="0.25">
      <c r="C182" s="35" t="s">
        <v>58</v>
      </c>
      <c r="D182" s="20">
        <v>2.2509999999999999E-2</v>
      </c>
      <c r="E182" s="38">
        <f t="shared" si="108"/>
        <v>2.2509999999999999E-2</v>
      </c>
      <c r="F182" s="38">
        <f t="shared" si="109"/>
        <v>2.2509999999999999E-2</v>
      </c>
      <c r="G182" s="38">
        <f t="shared" si="110"/>
        <v>2.2509999999999999E-2</v>
      </c>
      <c r="H182" s="38">
        <f t="shared" si="111"/>
        <v>2.2509999999999999E-2</v>
      </c>
      <c r="I182" s="38">
        <f t="shared" si="112"/>
        <v>2.2509999999999999E-2</v>
      </c>
      <c r="J182" s="38">
        <f t="shared" si="113"/>
        <v>2.2509999999999999E-2</v>
      </c>
      <c r="K182" s="38">
        <f t="shared" si="114"/>
        <v>2.2509999999999999E-2</v>
      </c>
      <c r="L182" s="38">
        <f t="shared" si="115"/>
        <v>2.2509999999999999E-2</v>
      </c>
      <c r="M182" s="38">
        <f t="shared" si="116"/>
        <v>2.2509999999999999E-2</v>
      </c>
      <c r="N182" s="38">
        <f t="shared" si="117"/>
        <v>2.2509999999999999E-2</v>
      </c>
      <c r="O182" s="21">
        <f>+N182</f>
        <v>2.2509999999999999E-2</v>
      </c>
    </row>
    <row r="183" spans="3:15" hidden="1" x14ac:dyDescent="0.25">
      <c r="C183" s="22" t="s">
        <v>59</v>
      </c>
      <c r="D183" s="15">
        <f>D181*D178</f>
        <v>10445.12477</v>
      </c>
      <c r="E183" s="17">
        <f t="shared" ref="E183:O183" si="118">E181*E178</f>
        <v>11336.594010000001</v>
      </c>
      <c r="F183" s="17">
        <f t="shared" si="118"/>
        <v>9931.3032399999993</v>
      </c>
      <c r="G183" s="17">
        <f t="shared" si="118"/>
        <v>12524.533579999999</v>
      </c>
      <c r="H183" s="17">
        <f t="shared" si="118"/>
        <v>12610.65076</v>
      </c>
      <c r="I183" s="17">
        <f t="shared" si="118"/>
        <v>13567.737010000001</v>
      </c>
      <c r="J183" s="17">
        <f t="shared" si="118"/>
        <v>14149.2338</v>
      </c>
      <c r="K183" s="17">
        <f t="shared" si="118"/>
        <v>14213.945180000001</v>
      </c>
      <c r="L183" s="17">
        <f t="shared" si="118"/>
        <v>13271.678330000001</v>
      </c>
      <c r="M183" s="17">
        <f t="shared" si="118"/>
        <v>12584.71681</v>
      </c>
      <c r="N183" s="17">
        <f t="shared" si="118"/>
        <v>12475.71189</v>
      </c>
      <c r="O183" s="18">
        <f t="shared" si="118"/>
        <v>11365.32718</v>
      </c>
    </row>
    <row r="184" spans="3:15" hidden="1" x14ac:dyDescent="0.25">
      <c r="C184" s="22" t="s">
        <v>60</v>
      </c>
      <c r="D184" s="15">
        <f>D182*D179</f>
        <v>2265.0462399999997</v>
      </c>
      <c r="E184" s="17">
        <f t="shared" ref="E184:O184" si="119">E182*E179</f>
        <v>1911.9768899999999</v>
      </c>
      <c r="F184" s="17">
        <f t="shared" si="119"/>
        <v>1858.0204199999998</v>
      </c>
      <c r="G184" s="17">
        <f t="shared" si="119"/>
        <v>2077.2002899999998</v>
      </c>
      <c r="H184" s="17">
        <f t="shared" si="119"/>
        <v>2955.9456700000001</v>
      </c>
      <c r="I184" s="17">
        <f t="shared" si="119"/>
        <v>6173.7951899999998</v>
      </c>
      <c r="J184" s="17">
        <f t="shared" si="119"/>
        <v>7384.6305999999995</v>
      </c>
      <c r="K184" s="17">
        <f t="shared" si="119"/>
        <v>7436.5836799999997</v>
      </c>
      <c r="L184" s="17">
        <f t="shared" si="119"/>
        <v>5142.4094999999998</v>
      </c>
      <c r="M184" s="17">
        <f t="shared" si="119"/>
        <v>4989.0038500000001</v>
      </c>
      <c r="N184" s="17">
        <f t="shared" si="119"/>
        <v>4408.17832</v>
      </c>
      <c r="O184" s="18">
        <f t="shared" si="119"/>
        <v>2814.4027899999996</v>
      </c>
    </row>
    <row r="185" spans="3:15" x14ac:dyDescent="0.25">
      <c r="C185" s="22" t="s">
        <v>53</v>
      </c>
      <c r="D185" s="15">
        <f t="shared" ref="D185:O185" si="120">SUM(D183:D184)/D177</f>
        <v>1412.2412233333334</v>
      </c>
      <c r="E185" s="17">
        <f t="shared" si="120"/>
        <v>1472.0634333333335</v>
      </c>
      <c r="F185" s="17">
        <f t="shared" si="120"/>
        <v>1309.9248511111109</v>
      </c>
      <c r="G185" s="17">
        <f t="shared" si="120"/>
        <v>1622.4148744444444</v>
      </c>
      <c r="H185" s="17">
        <f t="shared" si="120"/>
        <v>1729.6218255555557</v>
      </c>
      <c r="I185" s="17">
        <f t="shared" si="120"/>
        <v>2193.503577777778</v>
      </c>
      <c r="J185" s="17">
        <f t="shared" si="120"/>
        <v>2392.6515999999997</v>
      </c>
      <c r="K185" s="17">
        <f t="shared" si="120"/>
        <v>2405.6143177777776</v>
      </c>
      <c r="L185" s="17">
        <f t="shared" si="120"/>
        <v>2046.0097588888889</v>
      </c>
      <c r="M185" s="17">
        <f t="shared" si="120"/>
        <v>1952.6356288888887</v>
      </c>
      <c r="N185" s="17">
        <f t="shared" si="120"/>
        <v>1875.9878011111114</v>
      </c>
      <c r="O185" s="18">
        <f t="shared" si="120"/>
        <v>1575.5255522222224</v>
      </c>
    </row>
    <row r="186" spans="3:15" x14ac:dyDescent="0.25">
      <c r="C186" s="80" t="s">
        <v>61</v>
      </c>
      <c r="D186" s="58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60"/>
    </row>
    <row r="187" spans="3:15" hidden="1" x14ac:dyDescent="0.25">
      <c r="C187" s="23" t="s">
        <v>26</v>
      </c>
      <c r="D187" s="48">
        <v>3</v>
      </c>
      <c r="E187" s="49">
        <v>3</v>
      </c>
      <c r="F187" s="49">
        <v>3</v>
      </c>
      <c r="G187" s="49">
        <v>3</v>
      </c>
      <c r="H187" s="49">
        <v>3</v>
      </c>
      <c r="I187" s="49">
        <v>3</v>
      </c>
      <c r="J187" s="49">
        <v>3</v>
      </c>
      <c r="K187" s="49">
        <v>3</v>
      </c>
      <c r="L187" s="49">
        <v>3</v>
      </c>
      <c r="M187" s="49">
        <v>3</v>
      </c>
      <c r="N187" s="49">
        <v>3</v>
      </c>
      <c r="O187" s="50">
        <v>3</v>
      </c>
    </row>
    <row r="188" spans="3:15" hidden="1" x14ac:dyDescent="0.25">
      <c r="C188" s="35" t="s">
        <v>55</v>
      </c>
      <c r="D188" s="73">
        <v>11878</v>
      </c>
      <c r="E188" s="74">
        <v>11315</v>
      </c>
      <c r="F188" s="74">
        <v>11210</v>
      </c>
      <c r="G188" s="74">
        <v>11675</v>
      </c>
      <c r="H188" s="74">
        <v>12000</v>
      </c>
      <c r="I188" s="74">
        <v>12000</v>
      </c>
      <c r="J188" s="74">
        <v>12000.000000000002</v>
      </c>
      <c r="K188" s="74">
        <v>12000.000000000002</v>
      </c>
      <c r="L188" s="74">
        <v>12000.000000000002</v>
      </c>
      <c r="M188" s="74">
        <v>12000.000000000002</v>
      </c>
      <c r="N188" s="74">
        <v>12000.000000000002</v>
      </c>
      <c r="O188" s="75">
        <v>11732</v>
      </c>
    </row>
    <row r="189" spans="3:15" hidden="1" x14ac:dyDescent="0.25">
      <c r="C189" s="35" t="s">
        <v>56</v>
      </c>
      <c r="D189" s="73">
        <v>9764</v>
      </c>
      <c r="E189" s="74">
        <v>5580</v>
      </c>
      <c r="F189" s="74">
        <v>5426</v>
      </c>
      <c r="G189" s="74">
        <v>7650</v>
      </c>
      <c r="H189" s="74">
        <v>11870</v>
      </c>
      <c r="I189" s="74">
        <v>21807</v>
      </c>
      <c r="J189" s="74">
        <v>26842</v>
      </c>
      <c r="K189" s="74">
        <v>26431</v>
      </c>
      <c r="L189" s="74">
        <v>17907</v>
      </c>
      <c r="M189" s="74">
        <v>16704</v>
      </c>
      <c r="N189" s="74">
        <v>13455</v>
      </c>
      <c r="O189" s="75">
        <v>8134</v>
      </c>
    </row>
    <row r="190" spans="3:15" hidden="1" x14ac:dyDescent="0.25">
      <c r="C190" s="52" t="s">
        <v>39</v>
      </c>
      <c r="D190" s="73">
        <f>+D188+D189</f>
        <v>21642</v>
      </c>
      <c r="E190" s="74">
        <f t="shared" ref="E190:O190" si="121">+E188+E189</f>
        <v>16895</v>
      </c>
      <c r="F190" s="74">
        <f t="shared" si="121"/>
        <v>16636</v>
      </c>
      <c r="G190" s="74">
        <f t="shared" si="121"/>
        <v>19325</v>
      </c>
      <c r="H190" s="74">
        <f t="shared" si="121"/>
        <v>23870</v>
      </c>
      <c r="I190" s="74">
        <f t="shared" si="121"/>
        <v>33807</v>
      </c>
      <c r="J190" s="74">
        <f t="shared" si="121"/>
        <v>38842</v>
      </c>
      <c r="K190" s="74">
        <f t="shared" si="121"/>
        <v>38431</v>
      </c>
      <c r="L190" s="74">
        <f t="shared" si="121"/>
        <v>29907</v>
      </c>
      <c r="M190" s="74">
        <f t="shared" si="121"/>
        <v>28704</v>
      </c>
      <c r="N190" s="74">
        <f t="shared" si="121"/>
        <v>25455</v>
      </c>
      <c r="O190" s="75">
        <f t="shared" si="121"/>
        <v>19866</v>
      </c>
    </row>
    <row r="191" spans="3:15" hidden="1" x14ac:dyDescent="0.25">
      <c r="C191" s="35" t="s">
        <v>57</v>
      </c>
      <c r="D191" s="20">
        <v>0.10401000000000001</v>
      </c>
      <c r="E191" s="38">
        <f t="shared" ref="E191:E192" si="122">+D191</f>
        <v>0.10401000000000001</v>
      </c>
      <c r="F191" s="38">
        <f t="shared" ref="F191:F192" si="123">+E191</f>
        <v>0.10401000000000001</v>
      </c>
      <c r="G191" s="38">
        <f t="shared" ref="G191:G192" si="124">+F191</f>
        <v>0.10401000000000001</v>
      </c>
      <c r="H191" s="38">
        <f t="shared" ref="H191:H192" si="125">+G191</f>
        <v>0.10401000000000001</v>
      </c>
      <c r="I191" s="38">
        <f t="shared" ref="I191:I192" si="126">+H191</f>
        <v>0.10401000000000001</v>
      </c>
      <c r="J191" s="38">
        <f t="shared" ref="J191:J192" si="127">+I191</f>
        <v>0.10401000000000001</v>
      </c>
      <c r="K191" s="38">
        <f t="shared" ref="K191:K192" si="128">+J191</f>
        <v>0.10401000000000001</v>
      </c>
      <c r="L191" s="38">
        <f t="shared" ref="L191:L192" si="129">+K191</f>
        <v>0.10401000000000001</v>
      </c>
      <c r="M191" s="38">
        <f t="shared" ref="M191:M192" si="130">+L191</f>
        <v>0.10401000000000001</v>
      </c>
      <c r="N191" s="38">
        <f t="shared" ref="N191:N192" si="131">+M191</f>
        <v>0.10401000000000001</v>
      </c>
      <c r="O191" s="21">
        <f>+N191</f>
        <v>0.10401000000000001</v>
      </c>
    </row>
    <row r="192" spans="3:15" hidden="1" x14ac:dyDescent="0.25">
      <c r="C192" s="35" t="s">
        <v>58</v>
      </c>
      <c r="D192" s="20">
        <v>8.4459999999999993E-2</v>
      </c>
      <c r="E192" s="38">
        <f t="shared" si="122"/>
        <v>8.4459999999999993E-2</v>
      </c>
      <c r="F192" s="38">
        <f t="shared" si="123"/>
        <v>8.4459999999999993E-2</v>
      </c>
      <c r="G192" s="38">
        <f t="shared" si="124"/>
        <v>8.4459999999999993E-2</v>
      </c>
      <c r="H192" s="38">
        <f t="shared" si="125"/>
        <v>8.4459999999999993E-2</v>
      </c>
      <c r="I192" s="38">
        <f t="shared" si="126"/>
        <v>8.4459999999999993E-2</v>
      </c>
      <c r="J192" s="38">
        <f t="shared" si="127"/>
        <v>8.4459999999999993E-2</v>
      </c>
      <c r="K192" s="38">
        <f t="shared" si="128"/>
        <v>8.4459999999999993E-2</v>
      </c>
      <c r="L192" s="38">
        <f t="shared" si="129"/>
        <v>8.4459999999999993E-2</v>
      </c>
      <c r="M192" s="38">
        <f t="shared" si="130"/>
        <v>8.4459999999999993E-2</v>
      </c>
      <c r="N192" s="38">
        <f t="shared" si="131"/>
        <v>8.4459999999999993E-2</v>
      </c>
      <c r="O192" s="21">
        <f>+N192</f>
        <v>8.4459999999999993E-2</v>
      </c>
    </row>
    <row r="193" spans="3:15" hidden="1" x14ac:dyDescent="0.25">
      <c r="C193" s="22" t="s">
        <v>59</v>
      </c>
      <c r="D193" s="70">
        <f>D191*D188</f>
        <v>1235.4307800000001</v>
      </c>
      <c r="E193" s="71">
        <f t="shared" ref="E193:O193" si="132">E191*E188</f>
        <v>1176.8731500000001</v>
      </c>
      <c r="F193" s="71">
        <f t="shared" si="132"/>
        <v>1165.9521</v>
      </c>
      <c r="G193" s="71">
        <f t="shared" si="132"/>
        <v>1214.31675</v>
      </c>
      <c r="H193" s="71">
        <f t="shared" si="132"/>
        <v>1248.1200000000001</v>
      </c>
      <c r="I193" s="71">
        <f t="shared" si="132"/>
        <v>1248.1200000000001</v>
      </c>
      <c r="J193" s="71">
        <f t="shared" si="132"/>
        <v>1248.1200000000003</v>
      </c>
      <c r="K193" s="71">
        <f t="shared" si="132"/>
        <v>1248.1200000000003</v>
      </c>
      <c r="L193" s="71">
        <f t="shared" si="132"/>
        <v>1248.1200000000003</v>
      </c>
      <c r="M193" s="71">
        <f t="shared" si="132"/>
        <v>1248.1200000000003</v>
      </c>
      <c r="N193" s="71">
        <f t="shared" si="132"/>
        <v>1248.1200000000003</v>
      </c>
      <c r="O193" s="72">
        <f t="shared" si="132"/>
        <v>1220.24532</v>
      </c>
    </row>
    <row r="194" spans="3:15" hidden="1" x14ac:dyDescent="0.25">
      <c r="C194" s="22" t="s">
        <v>60</v>
      </c>
      <c r="D194" s="70">
        <f>D192*D189</f>
        <v>824.66743999999994</v>
      </c>
      <c r="E194" s="71">
        <f t="shared" ref="E194:O194" si="133">E192*E189</f>
        <v>471.28679999999997</v>
      </c>
      <c r="F194" s="71">
        <f t="shared" si="133"/>
        <v>458.27995999999996</v>
      </c>
      <c r="G194" s="71">
        <f t="shared" si="133"/>
        <v>646.11899999999991</v>
      </c>
      <c r="H194" s="71">
        <f t="shared" si="133"/>
        <v>1002.5401999999999</v>
      </c>
      <c r="I194" s="71">
        <f t="shared" si="133"/>
        <v>1841.8192199999999</v>
      </c>
      <c r="J194" s="71">
        <f t="shared" si="133"/>
        <v>2267.0753199999999</v>
      </c>
      <c r="K194" s="71">
        <f t="shared" si="133"/>
        <v>2232.3622599999999</v>
      </c>
      <c r="L194" s="71">
        <f t="shared" si="133"/>
        <v>1512.4252199999999</v>
      </c>
      <c r="M194" s="71">
        <f t="shared" si="133"/>
        <v>1410.8198399999999</v>
      </c>
      <c r="N194" s="71">
        <f t="shared" si="133"/>
        <v>1136.4092999999998</v>
      </c>
      <c r="O194" s="72">
        <f t="shared" si="133"/>
        <v>686.99763999999993</v>
      </c>
    </row>
    <row r="195" spans="3:15" ht="15.75" thickBot="1" x14ac:dyDescent="0.3">
      <c r="C195" s="34" t="s">
        <v>53</v>
      </c>
      <c r="D195" s="76">
        <f>SUM(D193:D194)/D187</f>
        <v>686.69940666666662</v>
      </c>
      <c r="E195" s="77">
        <f t="shared" ref="E195:O195" si="134">SUM(E193:E194)/E187</f>
        <v>549.38665000000003</v>
      </c>
      <c r="F195" s="77">
        <f t="shared" si="134"/>
        <v>541.41068666666661</v>
      </c>
      <c r="G195" s="77">
        <f t="shared" si="134"/>
        <v>620.14524999999992</v>
      </c>
      <c r="H195" s="77">
        <f t="shared" si="134"/>
        <v>750.22006666666675</v>
      </c>
      <c r="I195" s="77">
        <f t="shared" si="134"/>
        <v>1029.97974</v>
      </c>
      <c r="J195" s="77">
        <f t="shared" si="134"/>
        <v>1171.7317733333334</v>
      </c>
      <c r="K195" s="77">
        <f t="shared" si="134"/>
        <v>1160.1607533333333</v>
      </c>
      <c r="L195" s="77">
        <f t="shared" si="134"/>
        <v>920.18173999999999</v>
      </c>
      <c r="M195" s="77">
        <f t="shared" si="134"/>
        <v>886.31327999999996</v>
      </c>
      <c r="N195" s="77">
        <f t="shared" si="134"/>
        <v>794.84310000000005</v>
      </c>
      <c r="O195" s="78">
        <f t="shared" si="134"/>
        <v>635.74765333333335</v>
      </c>
    </row>
    <row r="196" spans="3:15" ht="15.75" thickTop="1" x14ac:dyDescent="0.25"/>
  </sheetData>
  <mergeCells count="4">
    <mergeCell ref="A1:C1"/>
    <mergeCell ref="C26:O27"/>
    <mergeCell ref="C116:O117"/>
    <mergeCell ref="D23:K25"/>
  </mergeCells>
  <pageMargins left="0.7" right="0.7" top="0.75" bottom="0.75" header="0.3" footer="0.3"/>
  <pageSetup scale="6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62"/>
  <sheetViews>
    <sheetView workbookViewId="0">
      <selection sqref="A1:M1"/>
    </sheetView>
  </sheetViews>
  <sheetFormatPr defaultColWidth="9.140625" defaultRowHeight="15" x14ac:dyDescent="0.25"/>
  <cols>
    <col min="1" max="1" width="24.7109375" bestFit="1" customWidth="1"/>
    <col min="2" max="2" width="65.7109375" bestFit="1" customWidth="1"/>
    <col min="3" max="4" width="14" customWidth="1"/>
    <col min="5" max="6" width="14" bestFit="1" customWidth="1"/>
    <col min="7" max="13" width="14" customWidth="1"/>
    <col min="14" max="14" width="10.28515625" bestFit="1" customWidth="1"/>
    <col min="15" max="15" width="18.7109375" bestFit="1" customWidth="1"/>
    <col min="16" max="16" width="13.28515625" bestFit="1" customWidth="1"/>
    <col min="17" max="17" width="10.5703125" bestFit="1" customWidth="1"/>
    <col min="18" max="18" width="7.5703125" bestFit="1" customWidth="1"/>
    <col min="19" max="19" width="10.5703125" bestFit="1" customWidth="1"/>
    <col min="21" max="21" width="8" bestFit="1" customWidth="1"/>
    <col min="23" max="23" width="9.7109375" bestFit="1" customWidth="1"/>
  </cols>
  <sheetData>
    <row r="1" spans="1:23" ht="18.75" x14ac:dyDescent="0.3">
      <c r="A1" s="676" t="s">
        <v>67</v>
      </c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676"/>
    </row>
    <row r="2" spans="1:23" ht="21" x14ac:dyDescent="0.35">
      <c r="A2" s="681" t="s">
        <v>69</v>
      </c>
      <c r="B2" s="681"/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</row>
    <row r="3" spans="1:23" ht="18" thickBot="1" x14ac:dyDescent="0.35">
      <c r="A3" s="693" t="s">
        <v>126</v>
      </c>
      <c r="B3" s="693"/>
      <c r="C3" s="693"/>
      <c r="D3" s="693"/>
      <c r="E3" s="693"/>
      <c r="F3" s="693"/>
      <c r="G3" s="693"/>
      <c r="H3" s="693"/>
      <c r="I3" s="693"/>
      <c r="J3" s="693"/>
      <c r="K3" s="693"/>
      <c r="L3" s="693"/>
      <c r="M3" s="693"/>
    </row>
    <row r="4" spans="1:23" ht="15.75" x14ac:dyDescent="0.25">
      <c r="A4" s="101" t="s">
        <v>66</v>
      </c>
      <c r="B4" s="102"/>
      <c r="C4" s="103">
        <v>42766</v>
      </c>
      <c r="D4" s="103">
        <v>42794</v>
      </c>
      <c r="E4" s="103">
        <v>42825</v>
      </c>
      <c r="F4" s="103">
        <v>42855</v>
      </c>
      <c r="G4" s="103">
        <v>42886</v>
      </c>
      <c r="H4" s="103">
        <v>42916</v>
      </c>
      <c r="I4" s="103">
        <v>42947</v>
      </c>
      <c r="J4" s="103">
        <v>42978</v>
      </c>
      <c r="K4" s="103">
        <v>43008</v>
      </c>
      <c r="L4" s="103">
        <v>43039</v>
      </c>
      <c r="M4" s="200" t="s">
        <v>147</v>
      </c>
      <c r="N4" s="104" t="s">
        <v>137</v>
      </c>
    </row>
    <row r="5" spans="1:23" x14ac:dyDescent="0.25">
      <c r="A5" s="4"/>
      <c r="B5" s="89" t="s">
        <v>136</v>
      </c>
      <c r="C5" s="185">
        <v>3.5000000000000003E-2</v>
      </c>
      <c r="D5" s="185">
        <v>3.5000000000000003E-2</v>
      </c>
      <c r="E5" s="185">
        <v>3.5000000000000003E-2</v>
      </c>
      <c r="F5" s="185">
        <v>3.7100000000000001E-2</v>
      </c>
      <c r="G5" s="185">
        <v>3.7100000000000001E-2</v>
      </c>
      <c r="H5" s="185">
        <v>3.7100000000000001E-2</v>
      </c>
      <c r="I5" s="185">
        <v>3.9600000000000003E-2</v>
      </c>
      <c r="J5" s="185">
        <v>3.9600000000000003E-2</v>
      </c>
      <c r="K5" s="185">
        <v>3.9600000000000003E-2</v>
      </c>
      <c r="L5" s="185">
        <v>4.2099999999999999E-2</v>
      </c>
      <c r="M5" s="201"/>
    </row>
    <row r="6" spans="1:23" ht="15.75" x14ac:dyDescent="0.25">
      <c r="A6" s="183"/>
      <c r="B6" s="89" t="s">
        <v>140</v>
      </c>
      <c r="C6" s="192">
        <v>31</v>
      </c>
      <c r="D6" s="192">
        <v>28</v>
      </c>
      <c r="E6" s="192">
        <v>31</v>
      </c>
      <c r="F6" s="192">
        <v>30</v>
      </c>
      <c r="G6" s="192">
        <v>31</v>
      </c>
      <c r="H6" s="192">
        <v>30</v>
      </c>
      <c r="I6" s="192">
        <v>31</v>
      </c>
      <c r="J6" s="192">
        <v>31</v>
      </c>
      <c r="K6" s="192">
        <v>30</v>
      </c>
      <c r="L6" s="192">
        <v>31</v>
      </c>
      <c r="M6" s="202"/>
    </row>
    <row r="7" spans="1:23" x14ac:dyDescent="0.25">
      <c r="A7" s="86">
        <v>502</v>
      </c>
      <c r="B7" s="104" t="s">
        <v>84</v>
      </c>
      <c r="M7" s="203"/>
    </row>
    <row r="8" spans="1:23" x14ac:dyDescent="0.25">
      <c r="A8" s="87" t="s">
        <v>64</v>
      </c>
      <c r="B8" t="s">
        <v>65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204"/>
      <c r="Q8" s="113"/>
      <c r="S8" s="113"/>
    </row>
    <row r="9" spans="1:23" x14ac:dyDescent="0.25">
      <c r="A9" s="87" t="s">
        <v>71</v>
      </c>
      <c r="B9" t="s">
        <v>70</v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205"/>
      <c r="O9" s="122"/>
      <c r="P9" s="108"/>
      <c r="Q9" s="112"/>
      <c r="S9" s="112"/>
      <c r="W9" s="112"/>
    </row>
    <row r="10" spans="1:23" x14ac:dyDescent="0.25">
      <c r="A10" s="87"/>
      <c r="B10" s="89" t="s">
        <v>74</v>
      </c>
      <c r="C10" s="108">
        <f t="shared" ref="C10:M10" si="0">C9</f>
        <v>0</v>
      </c>
      <c r="D10" s="108">
        <f t="shared" si="0"/>
        <v>0</v>
      </c>
      <c r="E10" s="108">
        <f t="shared" si="0"/>
        <v>0</v>
      </c>
      <c r="F10" s="108">
        <f t="shared" si="0"/>
        <v>0</v>
      </c>
      <c r="G10" s="108">
        <f t="shared" si="0"/>
        <v>0</v>
      </c>
      <c r="H10" s="108">
        <f t="shared" si="0"/>
        <v>0</v>
      </c>
      <c r="I10" s="108">
        <f t="shared" si="0"/>
        <v>0</v>
      </c>
      <c r="J10" s="108">
        <f t="shared" si="0"/>
        <v>0</v>
      </c>
      <c r="K10" s="108">
        <f t="shared" si="0"/>
        <v>0</v>
      </c>
      <c r="L10" s="108">
        <f t="shared" si="0"/>
        <v>0</v>
      </c>
      <c r="M10" s="206">
        <f t="shared" si="0"/>
        <v>0</v>
      </c>
      <c r="O10" s="122"/>
      <c r="P10" s="108"/>
      <c r="Q10" s="112"/>
      <c r="S10" s="112"/>
      <c r="W10" s="112"/>
    </row>
    <row r="11" spans="1:23" x14ac:dyDescent="0.25">
      <c r="A11" s="87"/>
      <c r="B11" s="89" t="s">
        <v>73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205">
        <f>ROUND(-'Authorized Margins'!G35*'WACAP 2017'!M8,2)</f>
        <v>0</v>
      </c>
    </row>
    <row r="12" spans="1:23" x14ac:dyDescent="0.25">
      <c r="A12" s="87"/>
      <c r="B12" s="89" t="s">
        <v>75</v>
      </c>
      <c r="C12" s="90">
        <f>-'WACAP 2016'!H14</f>
        <v>-700.94999999999982</v>
      </c>
      <c r="D12" s="90">
        <f t="shared" ref="D12:L12" si="1">SUM(D10:D11)</f>
        <v>0</v>
      </c>
      <c r="E12" s="90">
        <f t="shared" si="1"/>
        <v>0</v>
      </c>
      <c r="F12" s="90">
        <f t="shared" si="1"/>
        <v>0</v>
      </c>
      <c r="G12" s="90">
        <f t="shared" si="1"/>
        <v>0</v>
      </c>
      <c r="H12" s="90">
        <f t="shared" si="1"/>
        <v>0</v>
      </c>
      <c r="I12" s="90">
        <f t="shared" si="1"/>
        <v>0</v>
      </c>
      <c r="J12" s="90">
        <f t="shared" si="1"/>
        <v>0</v>
      </c>
      <c r="K12" s="90">
        <f t="shared" si="1"/>
        <v>0</v>
      </c>
      <c r="L12" s="90">
        <f t="shared" si="1"/>
        <v>0</v>
      </c>
      <c r="M12" s="215"/>
    </row>
    <row r="13" spans="1:23" x14ac:dyDescent="0.25">
      <c r="A13" s="87"/>
      <c r="B13" s="89" t="s">
        <v>137</v>
      </c>
      <c r="C13" s="187">
        <f>ROUND(ROUND(C12*C$5,2)/365*C$6,2)</f>
        <v>-2.08</v>
      </c>
      <c r="D13" s="187">
        <f>ROUND(ROUND(C15*D$5,2)/365*D$6,2)</f>
        <v>-1.89</v>
      </c>
      <c r="E13" s="187">
        <f t="shared" ref="E13:L13" si="2">ROUND(ROUND(D15*E$5,2)/365*E$6,2)</f>
        <v>-2.1</v>
      </c>
      <c r="F13" s="187">
        <f t="shared" si="2"/>
        <v>-2.16</v>
      </c>
      <c r="G13" s="187">
        <f t="shared" si="2"/>
        <v>-2.23</v>
      </c>
      <c r="H13" s="187">
        <f t="shared" si="2"/>
        <v>-2.17</v>
      </c>
      <c r="I13" s="187">
        <f t="shared" si="2"/>
        <v>-2.4</v>
      </c>
      <c r="J13" s="187">
        <f t="shared" si="2"/>
        <v>-2.41</v>
      </c>
      <c r="K13" s="187">
        <f t="shared" si="2"/>
        <v>-2.34</v>
      </c>
      <c r="L13" s="187">
        <f t="shared" si="2"/>
        <v>-2.58</v>
      </c>
      <c r="M13" s="208">
        <f>ROUND(ROUND(K15*M$5,2)/365*M$6,2)</f>
        <v>0</v>
      </c>
      <c r="N13" s="108">
        <f>SUM(C13:M13)</f>
        <v>-22.36</v>
      </c>
    </row>
    <row r="14" spans="1:23" x14ac:dyDescent="0.25">
      <c r="A14" s="87"/>
      <c r="B14" s="89" t="s">
        <v>138</v>
      </c>
      <c r="C14" s="189">
        <f>C13</f>
        <v>-2.08</v>
      </c>
      <c r="D14" s="189">
        <f t="shared" ref="D14:M14" si="3">SUM(D12:D13)</f>
        <v>-1.89</v>
      </c>
      <c r="E14" s="189">
        <f t="shared" si="3"/>
        <v>-2.1</v>
      </c>
      <c r="F14" s="189">
        <f t="shared" si="3"/>
        <v>-2.16</v>
      </c>
      <c r="G14" s="189">
        <f t="shared" si="3"/>
        <v>-2.23</v>
      </c>
      <c r="H14" s="189">
        <f t="shared" si="3"/>
        <v>-2.17</v>
      </c>
      <c r="I14" s="189">
        <f t="shared" si="3"/>
        <v>-2.4</v>
      </c>
      <c r="J14" s="189">
        <f t="shared" si="3"/>
        <v>-2.41</v>
      </c>
      <c r="K14" s="189">
        <f t="shared" si="3"/>
        <v>-2.34</v>
      </c>
      <c r="L14" s="189">
        <f t="shared" si="3"/>
        <v>-2.58</v>
      </c>
      <c r="M14" s="209">
        <f t="shared" si="3"/>
        <v>0</v>
      </c>
    </row>
    <row r="15" spans="1:23" x14ac:dyDescent="0.25">
      <c r="A15" s="87"/>
      <c r="B15" s="89" t="s">
        <v>139</v>
      </c>
      <c r="C15" s="90">
        <f>C14+C12</f>
        <v>-703.02999999999986</v>
      </c>
      <c r="D15" s="90">
        <f>C15+D14</f>
        <v>-704.91999999999985</v>
      </c>
      <c r="E15" s="90">
        <f t="shared" ref="E15:M15" si="4">D15+E14</f>
        <v>-707.01999999999987</v>
      </c>
      <c r="F15" s="90">
        <f t="shared" si="4"/>
        <v>-709.17999999999984</v>
      </c>
      <c r="G15" s="90">
        <f t="shared" si="4"/>
        <v>-711.40999999999985</v>
      </c>
      <c r="H15" s="90">
        <f t="shared" si="4"/>
        <v>-713.57999999999981</v>
      </c>
      <c r="I15" s="90">
        <f t="shared" si="4"/>
        <v>-715.97999999999979</v>
      </c>
      <c r="J15" s="90">
        <f t="shared" si="4"/>
        <v>-718.38999999999976</v>
      </c>
      <c r="K15" s="90">
        <f t="shared" si="4"/>
        <v>-720.72999999999979</v>
      </c>
      <c r="L15" s="90">
        <f t="shared" si="4"/>
        <v>-723.30999999999983</v>
      </c>
      <c r="M15" s="207">
        <f t="shared" si="4"/>
        <v>-723.30999999999983</v>
      </c>
    </row>
    <row r="16" spans="1:23" x14ac:dyDescent="0.25">
      <c r="A16" s="86"/>
      <c r="C16" s="113"/>
      <c r="D16" s="113"/>
      <c r="E16" s="108"/>
      <c r="F16" s="112"/>
      <c r="G16" s="112"/>
      <c r="H16" s="112"/>
      <c r="I16" s="112"/>
      <c r="J16" s="112"/>
      <c r="K16" s="112"/>
      <c r="L16" s="112"/>
      <c r="M16" s="210"/>
      <c r="R16" s="104"/>
    </row>
    <row r="17" spans="1:23" x14ac:dyDescent="0.25">
      <c r="A17" s="86">
        <v>503</v>
      </c>
      <c r="B17" s="104" t="s">
        <v>84</v>
      </c>
      <c r="C17" s="113"/>
      <c r="D17" s="113"/>
      <c r="E17" s="108"/>
      <c r="F17" s="108"/>
      <c r="G17" s="113"/>
      <c r="H17" s="113"/>
      <c r="I17" s="113"/>
      <c r="J17" s="113"/>
      <c r="K17" s="113"/>
      <c r="L17" s="113"/>
      <c r="M17" s="204"/>
      <c r="Q17" s="113"/>
      <c r="S17" s="113"/>
    </row>
    <row r="18" spans="1:23" x14ac:dyDescent="0.25">
      <c r="A18" s="87" t="s">
        <v>64</v>
      </c>
      <c r="B18" t="s">
        <v>65</v>
      </c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204"/>
      <c r="O18" s="122"/>
      <c r="P18" s="108"/>
      <c r="Q18" s="112"/>
      <c r="S18" s="112"/>
      <c r="W18" s="112"/>
    </row>
    <row r="19" spans="1:23" x14ac:dyDescent="0.25">
      <c r="A19" s="87" t="s">
        <v>71</v>
      </c>
      <c r="B19" t="s">
        <v>70</v>
      </c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206"/>
      <c r="O19" s="122"/>
      <c r="P19" s="108"/>
      <c r="Q19" s="112"/>
      <c r="S19" s="112"/>
      <c r="W19" s="112"/>
    </row>
    <row r="20" spans="1:23" x14ac:dyDescent="0.25">
      <c r="A20" s="87" t="s">
        <v>72</v>
      </c>
      <c r="B20" t="s">
        <v>114</v>
      </c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206"/>
    </row>
    <row r="21" spans="1:23" x14ac:dyDescent="0.25">
      <c r="A21" s="87" t="s">
        <v>72</v>
      </c>
      <c r="B21" t="s">
        <v>115</v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205"/>
    </row>
    <row r="22" spans="1:23" x14ac:dyDescent="0.25">
      <c r="A22" s="87"/>
      <c r="B22" s="89" t="s">
        <v>74</v>
      </c>
      <c r="C22" s="108">
        <f t="shared" ref="C22:I22" si="5">SUM(C19:C21)</f>
        <v>0</v>
      </c>
      <c r="D22" s="108">
        <f t="shared" si="5"/>
        <v>0</v>
      </c>
      <c r="E22" s="108">
        <f t="shared" si="5"/>
        <v>0</v>
      </c>
      <c r="F22" s="108">
        <f t="shared" si="5"/>
        <v>0</v>
      </c>
      <c r="G22" s="108">
        <f t="shared" si="5"/>
        <v>0</v>
      </c>
      <c r="H22" s="108">
        <f t="shared" si="5"/>
        <v>0</v>
      </c>
      <c r="I22" s="108">
        <f t="shared" si="5"/>
        <v>0</v>
      </c>
      <c r="J22" s="108">
        <f t="shared" ref="J22:M22" si="6">SUM(J19:J21)</f>
        <v>0</v>
      </c>
      <c r="K22" s="108">
        <f t="shared" si="6"/>
        <v>0</v>
      </c>
      <c r="L22" s="108">
        <f t="shared" si="6"/>
        <v>0</v>
      </c>
      <c r="M22" s="206">
        <f t="shared" si="6"/>
        <v>0</v>
      </c>
    </row>
    <row r="23" spans="1:23" x14ac:dyDescent="0.25">
      <c r="A23" s="87"/>
      <c r="B23" s="89" t="s">
        <v>73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205">
        <f>ROUND(-'Authorized Margins'!G41*'WACAP 2017'!M18,2)</f>
        <v>0</v>
      </c>
      <c r="Q23" s="113"/>
      <c r="S23" s="113"/>
    </row>
    <row r="24" spans="1:23" x14ac:dyDescent="0.25">
      <c r="A24" s="87"/>
      <c r="B24" s="89" t="s">
        <v>75</v>
      </c>
      <c r="C24" s="90">
        <f>-'WACAP 2016'!H26</f>
        <v>-159460.70999999833</v>
      </c>
      <c r="D24" s="90">
        <f t="shared" ref="D24" si="7">SUM(D22:D23)</f>
        <v>0</v>
      </c>
      <c r="E24" s="90">
        <f t="shared" ref="E24:L24" si="8">SUM(E22:E23)</f>
        <v>0</v>
      </c>
      <c r="F24" s="90">
        <f t="shared" si="8"/>
        <v>0</v>
      </c>
      <c r="G24" s="90">
        <f t="shared" si="8"/>
        <v>0</v>
      </c>
      <c r="H24" s="90">
        <f t="shared" si="8"/>
        <v>0</v>
      </c>
      <c r="I24" s="90">
        <f t="shared" si="8"/>
        <v>0</v>
      </c>
      <c r="J24" s="90">
        <f t="shared" si="8"/>
        <v>0</v>
      </c>
      <c r="K24" s="90">
        <f t="shared" si="8"/>
        <v>0</v>
      </c>
      <c r="L24" s="90">
        <f t="shared" si="8"/>
        <v>0</v>
      </c>
      <c r="M24" s="215"/>
      <c r="O24" s="122"/>
      <c r="P24" s="108"/>
      <c r="Q24" s="112"/>
      <c r="S24" s="112"/>
      <c r="W24" s="112"/>
    </row>
    <row r="25" spans="1:23" x14ac:dyDescent="0.25">
      <c r="A25" s="87"/>
      <c r="B25" s="89" t="s">
        <v>137</v>
      </c>
      <c r="C25" s="187">
        <f>ROUND(ROUND(C24*C$5,2)/365*C$6,2)</f>
        <v>-474.01</v>
      </c>
      <c r="D25" s="187">
        <f>ROUND(ROUND(C27*D$5,2)/365*D$6,2)</f>
        <v>-429.41</v>
      </c>
      <c r="E25" s="187">
        <f t="shared" ref="E25:K25" si="9">ROUND(ROUND(D27*E$5,2)/365*E$6,2)</f>
        <v>-476.7</v>
      </c>
      <c r="F25" s="187">
        <f t="shared" si="9"/>
        <v>-490.45</v>
      </c>
      <c r="G25" s="187">
        <f t="shared" si="9"/>
        <v>-508.35</v>
      </c>
      <c r="H25" s="187">
        <f t="shared" si="9"/>
        <v>-493.5</v>
      </c>
      <c r="I25" s="187">
        <f t="shared" si="9"/>
        <v>-545.97</v>
      </c>
      <c r="J25" s="187">
        <f t="shared" si="9"/>
        <v>-547.80999999999995</v>
      </c>
      <c r="K25" s="187">
        <f t="shared" si="9"/>
        <v>-531.91999999999996</v>
      </c>
      <c r="L25" s="199">
        <f>ROUND(ROUND(K27*L$5,2)/365*L$6,2)-0.01</f>
        <v>-586.26</v>
      </c>
      <c r="M25" s="208">
        <f>ROUND(ROUND(K27*M$5,2)/365*M$6,2)</f>
        <v>0</v>
      </c>
      <c r="N25" s="108">
        <f>SUM(C25:M25)</f>
        <v>-5084.38</v>
      </c>
    </row>
    <row r="26" spans="1:23" x14ac:dyDescent="0.25">
      <c r="A26" s="87"/>
      <c r="B26" s="89" t="s">
        <v>138</v>
      </c>
      <c r="C26" s="189">
        <f>C25</f>
        <v>-474.01</v>
      </c>
      <c r="D26" s="189">
        <f t="shared" ref="D26" si="10">SUM(D24:D25)</f>
        <v>-429.41</v>
      </c>
      <c r="E26" s="189">
        <f t="shared" ref="E26:M26" si="11">SUM(E24:E25)</f>
        <v>-476.7</v>
      </c>
      <c r="F26" s="189">
        <f t="shared" si="11"/>
        <v>-490.45</v>
      </c>
      <c r="G26" s="189">
        <f t="shared" si="11"/>
        <v>-508.35</v>
      </c>
      <c r="H26" s="189">
        <f t="shared" si="11"/>
        <v>-493.5</v>
      </c>
      <c r="I26" s="189">
        <f t="shared" si="11"/>
        <v>-545.97</v>
      </c>
      <c r="J26" s="189">
        <f t="shared" si="11"/>
        <v>-547.80999999999995</v>
      </c>
      <c r="K26" s="189">
        <f t="shared" si="11"/>
        <v>-531.91999999999996</v>
      </c>
      <c r="L26" s="189">
        <f t="shared" si="11"/>
        <v>-586.26</v>
      </c>
      <c r="M26" s="209">
        <f t="shared" si="11"/>
        <v>0</v>
      </c>
    </row>
    <row r="27" spans="1:23" x14ac:dyDescent="0.25">
      <c r="A27" s="87"/>
      <c r="B27" s="89" t="s">
        <v>139</v>
      </c>
      <c r="C27" s="90">
        <f>C26+C24</f>
        <v>-159934.71999999834</v>
      </c>
      <c r="D27" s="90">
        <f>C27+D26</f>
        <v>-160364.12999999835</v>
      </c>
      <c r="E27" s="90">
        <f t="shared" ref="E27:M27" si="12">D27+E26</f>
        <v>-160840.82999999836</v>
      </c>
      <c r="F27" s="90">
        <f t="shared" si="12"/>
        <v>-161331.27999999837</v>
      </c>
      <c r="G27" s="90">
        <f t="shared" si="12"/>
        <v>-161839.62999999837</v>
      </c>
      <c r="H27" s="90">
        <f t="shared" si="12"/>
        <v>-162333.12999999837</v>
      </c>
      <c r="I27" s="90">
        <f t="shared" si="12"/>
        <v>-162879.09999999838</v>
      </c>
      <c r="J27" s="90">
        <f t="shared" si="12"/>
        <v>-163426.90999999837</v>
      </c>
      <c r="K27" s="90">
        <f t="shared" si="12"/>
        <v>-163958.82999999839</v>
      </c>
      <c r="L27" s="90">
        <f t="shared" si="12"/>
        <v>-164545.0899999984</v>
      </c>
      <c r="M27" s="207">
        <f t="shared" si="12"/>
        <v>-164545.0899999984</v>
      </c>
    </row>
    <row r="28" spans="1:23" x14ac:dyDescent="0.25">
      <c r="A28" s="87"/>
      <c r="B28" s="8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207"/>
      <c r="O28" s="122"/>
      <c r="P28" s="108"/>
      <c r="Q28" s="112"/>
      <c r="S28" s="112"/>
      <c r="W28" s="112"/>
    </row>
    <row r="29" spans="1:23" x14ac:dyDescent="0.25">
      <c r="A29" s="86">
        <v>505</v>
      </c>
      <c r="B29" s="104" t="s">
        <v>85</v>
      </c>
      <c r="C29" s="113"/>
      <c r="D29" s="113"/>
      <c r="E29" s="108"/>
      <c r="F29" s="113"/>
      <c r="G29" s="113"/>
      <c r="H29" s="113"/>
      <c r="I29" s="113"/>
      <c r="J29" s="113"/>
      <c r="K29" s="113"/>
      <c r="L29" s="113"/>
      <c r="M29" s="204"/>
    </row>
    <row r="30" spans="1:23" x14ac:dyDescent="0.25">
      <c r="A30" s="87" t="s">
        <v>64</v>
      </c>
      <c r="B30" t="s">
        <v>65</v>
      </c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204"/>
    </row>
    <row r="31" spans="1:23" x14ac:dyDescent="0.25">
      <c r="A31" s="87" t="s">
        <v>71</v>
      </c>
      <c r="B31" t="s">
        <v>117</v>
      </c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206"/>
    </row>
    <row r="32" spans="1:23" x14ac:dyDescent="0.25">
      <c r="A32" s="87" t="s">
        <v>71</v>
      </c>
      <c r="B32" t="s">
        <v>95</v>
      </c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206"/>
    </row>
    <row r="33" spans="1:14" x14ac:dyDescent="0.25">
      <c r="A33" s="87" t="s">
        <v>71</v>
      </c>
      <c r="B33" t="s">
        <v>97</v>
      </c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206"/>
    </row>
    <row r="34" spans="1:14" x14ac:dyDescent="0.25">
      <c r="A34" s="87" t="s">
        <v>71</v>
      </c>
      <c r="B34" t="s">
        <v>96</v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205"/>
    </row>
    <row r="35" spans="1:14" x14ac:dyDescent="0.25">
      <c r="A35" s="86"/>
      <c r="B35" s="89" t="s">
        <v>74</v>
      </c>
      <c r="C35" s="108">
        <f t="shared" ref="C35:M35" si="13">SUM(C31:C34)</f>
        <v>0</v>
      </c>
      <c r="D35" s="108">
        <f t="shared" si="13"/>
        <v>0</v>
      </c>
      <c r="E35" s="108">
        <f t="shared" si="13"/>
        <v>0</v>
      </c>
      <c r="F35" s="108">
        <f t="shared" si="13"/>
        <v>0</v>
      </c>
      <c r="G35" s="108">
        <f t="shared" si="13"/>
        <v>0</v>
      </c>
      <c r="H35" s="108">
        <f t="shared" si="13"/>
        <v>0</v>
      </c>
      <c r="I35" s="108">
        <f t="shared" si="13"/>
        <v>0</v>
      </c>
      <c r="J35" s="108">
        <f t="shared" si="13"/>
        <v>0</v>
      </c>
      <c r="K35" s="108">
        <f t="shared" si="13"/>
        <v>0</v>
      </c>
      <c r="L35" s="108">
        <f t="shared" si="13"/>
        <v>0</v>
      </c>
      <c r="M35" s="206">
        <f t="shared" si="13"/>
        <v>0</v>
      </c>
    </row>
    <row r="36" spans="1:14" x14ac:dyDescent="0.25">
      <c r="A36" s="86"/>
      <c r="B36" s="89" t="s">
        <v>73</v>
      </c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205">
        <f>ROUND(-'Authorized Margins'!G60*'WACAP 2017'!M30,2)</f>
        <v>0</v>
      </c>
    </row>
    <row r="37" spans="1:14" x14ac:dyDescent="0.25">
      <c r="A37" s="86"/>
      <c r="B37" s="89" t="s">
        <v>75</v>
      </c>
      <c r="C37" s="90">
        <f>-'WACAP 2016'!H39</f>
        <v>90934.11</v>
      </c>
      <c r="D37" s="90">
        <f t="shared" ref="D37" si="14">SUM(D35:D36)</f>
        <v>0</v>
      </c>
      <c r="E37" s="90">
        <f t="shared" ref="E37:L37" si="15">SUM(E35:E36)</f>
        <v>0</v>
      </c>
      <c r="F37" s="90">
        <f t="shared" si="15"/>
        <v>0</v>
      </c>
      <c r="G37" s="90">
        <f t="shared" si="15"/>
        <v>0</v>
      </c>
      <c r="H37" s="90">
        <f t="shared" si="15"/>
        <v>0</v>
      </c>
      <c r="I37" s="90">
        <f t="shared" si="15"/>
        <v>0</v>
      </c>
      <c r="J37" s="90">
        <f t="shared" si="15"/>
        <v>0</v>
      </c>
      <c r="K37" s="90">
        <f t="shared" si="15"/>
        <v>0</v>
      </c>
      <c r="L37" s="90">
        <f t="shared" si="15"/>
        <v>0</v>
      </c>
      <c r="M37" s="207"/>
    </row>
    <row r="38" spans="1:14" x14ac:dyDescent="0.25">
      <c r="A38" s="87"/>
      <c r="B38" s="89" t="s">
        <v>137</v>
      </c>
      <c r="C38" s="187">
        <f>ROUND(ROUND(C37*C$5,2)/365*C$6,2)</f>
        <v>270.31</v>
      </c>
      <c r="D38" s="187">
        <f>ROUND(ROUND(C40*D$5,2)/365*D$6,2)</f>
        <v>244.88</v>
      </c>
      <c r="E38" s="187">
        <f t="shared" ref="E38:L38" si="16">ROUND(ROUND(D40*E$5,2)/365*E$6,2)</f>
        <v>271.83999999999997</v>
      </c>
      <c r="F38" s="187">
        <f t="shared" si="16"/>
        <v>279.69</v>
      </c>
      <c r="G38" s="187">
        <f t="shared" si="16"/>
        <v>289.89</v>
      </c>
      <c r="H38" s="187">
        <f t="shared" si="16"/>
        <v>281.42</v>
      </c>
      <c r="I38" s="187">
        <f t="shared" si="16"/>
        <v>311.35000000000002</v>
      </c>
      <c r="J38" s="187">
        <f t="shared" si="16"/>
        <v>312.39</v>
      </c>
      <c r="K38" s="187">
        <f t="shared" si="16"/>
        <v>303.33</v>
      </c>
      <c r="L38" s="187">
        <f t="shared" si="16"/>
        <v>334.32</v>
      </c>
      <c r="M38" s="208">
        <f>ROUND(ROUND(K40*M$5,2)/365*M$6,2)</f>
        <v>0</v>
      </c>
      <c r="N38" s="108">
        <f>SUM(C38:M38)</f>
        <v>2899.42</v>
      </c>
    </row>
    <row r="39" spans="1:14" x14ac:dyDescent="0.25">
      <c r="A39" s="87"/>
      <c r="B39" s="89" t="s">
        <v>138</v>
      </c>
      <c r="C39" s="189">
        <f>C38</f>
        <v>270.31</v>
      </c>
      <c r="D39" s="189">
        <f t="shared" ref="D39" si="17">SUM(D37:D38)</f>
        <v>244.88</v>
      </c>
      <c r="E39" s="189">
        <f t="shared" ref="E39:M39" si="18">SUM(E37:E38)</f>
        <v>271.83999999999997</v>
      </c>
      <c r="F39" s="189">
        <f t="shared" si="18"/>
        <v>279.69</v>
      </c>
      <c r="G39" s="189">
        <f t="shared" si="18"/>
        <v>289.89</v>
      </c>
      <c r="H39" s="189">
        <f t="shared" si="18"/>
        <v>281.42</v>
      </c>
      <c r="I39" s="189">
        <f t="shared" si="18"/>
        <v>311.35000000000002</v>
      </c>
      <c r="J39" s="189">
        <f t="shared" si="18"/>
        <v>312.39</v>
      </c>
      <c r="K39" s="189">
        <f t="shared" si="18"/>
        <v>303.33</v>
      </c>
      <c r="L39" s="189">
        <f t="shared" si="18"/>
        <v>334.32</v>
      </c>
      <c r="M39" s="209">
        <f t="shared" si="18"/>
        <v>0</v>
      </c>
    </row>
    <row r="40" spans="1:14" x14ac:dyDescent="0.25">
      <c r="A40" s="87"/>
      <c r="B40" s="89" t="s">
        <v>139</v>
      </c>
      <c r="C40" s="90">
        <f>C39+C37</f>
        <v>91204.42</v>
      </c>
      <c r="D40" s="90">
        <f>C40+D39</f>
        <v>91449.3</v>
      </c>
      <c r="E40" s="90">
        <f t="shared" ref="E40:M40" si="19">D40+E39</f>
        <v>91721.14</v>
      </c>
      <c r="F40" s="90">
        <f t="shared" si="19"/>
        <v>92000.83</v>
      </c>
      <c r="G40" s="90">
        <f t="shared" si="19"/>
        <v>92290.72</v>
      </c>
      <c r="H40" s="90">
        <f t="shared" si="19"/>
        <v>92572.14</v>
      </c>
      <c r="I40" s="90">
        <f t="shared" si="19"/>
        <v>92883.49</v>
      </c>
      <c r="J40" s="90">
        <f t="shared" si="19"/>
        <v>93195.88</v>
      </c>
      <c r="K40" s="90">
        <f t="shared" si="19"/>
        <v>93499.21</v>
      </c>
      <c r="L40" s="90">
        <f t="shared" si="19"/>
        <v>93833.530000000013</v>
      </c>
      <c r="M40" s="207">
        <f t="shared" si="19"/>
        <v>93833.530000000013</v>
      </c>
    </row>
    <row r="41" spans="1:14" x14ac:dyDescent="0.25">
      <c r="A41" s="86"/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207"/>
    </row>
    <row r="42" spans="1:14" x14ac:dyDescent="0.25">
      <c r="A42" s="86">
        <v>511</v>
      </c>
      <c r="B42" s="104" t="s">
        <v>85</v>
      </c>
      <c r="C42" s="113"/>
      <c r="D42" s="113"/>
      <c r="E42" s="108"/>
      <c r="F42" s="113"/>
      <c r="G42" s="113"/>
      <c r="H42" s="113"/>
      <c r="I42" s="113"/>
      <c r="J42" s="113"/>
      <c r="K42" s="113"/>
      <c r="L42" s="113"/>
      <c r="M42" s="204"/>
    </row>
    <row r="43" spans="1:14" x14ac:dyDescent="0.25">
      <c r="A43" s="87" t="s">
        <v>64</v>
      </c>
      <c r="B43" t="s">
        <v>65</v>
      </c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204"/>
    </row>
    <row r="44" spans="1:14" x14ac:dyDescent="0.25">
      <c r="A44" s="87" t="s">
        <v>71</v>
      </c>
      <c r="B44" t="s">
        <v>117</v>
      </c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206"/>
    </row>
    <row r="45" spans="1:14" x14ac:dyDescent="0.25">
      <c r="A45" s="87" t="s">
        <v>71</v>
      </c>
      <c r="B45" t="s">
        <v>98</v>
      </c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206"/>
    </row>
    <row r="46" spans="1:14" x14ac:dyDescent="0.25">
      <c r="A46" s="87" t="s">
        <v>71</v>
      </c>
      <c r="B46" t="s">
        <v>99</v>
      </c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206"/>
    </row>
    <row r="47" spans="1:14" x14ac:dyDescent="0.25">
      <c r="A47" s="87" t="s">
        <v>71</v>
      </c>
      <c r="B47" t="s">
        <v>100</v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205"/>
    </row>
    <row r="48" spans="1:14" x14ac:dyDescent="0.25">
      <c r="A48" s="87"/>
      <c r="B48" s="89" t="s">
        <v>74</v>
      </c>
      <c r="C48" s="108">
        <f t="shared" ref="C48:M48" si="20">SUM(C44:C47)</f>
        <v>0</v>
      </c>
      <c r="D48" s="108">
        <f t="shared" si="20"/>
        <v>0</v>
      </c>
      <c r="E48" s="108">
        <f t="shared" si="20"/>
        <v>0</v>
      </c>
      <c r="F48" s="108">
        <f t="shared" si="20"/>
        <v>0</v>
      </c>
      <c r="G48" s="108">
        <f t="shared" si="20"/>
        <v>0</v>
      </c>
      <c r="H48" s="108">
        <f t="shared" si="20"/>
        <v>0</v>
      </c>
      <c r="I48" s="108">
        <f t="shared" si="20"/>
        <v>0</v>
      </c>
      <c r="J48" s="108">
        <f t="shared" si="20"/>
        <v>0</v>
      </c>
      <c r="K48" s="108">
        <f t="shared" si="20"/>
        <v>0</v>
      </c>
      <c r="L48" s="108">
        <f t="shared" si="20"/>
        <v>0</v>
      </c>
      <c r="M48" s="206">
        <f t="shared" si="20"/>
        <v>0</v>
      </c>
    </row>
    <row r="49" spans="1:14" x14ac:dyDescent="0.25">
      <c r="A49" s="87"/>
      <c r="B49" s="89" t="s">
        <v>73</v>
      </c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205">
        <f>ROUND(-'Authorized Margins'!G73*'WACAP 2017'!M43,2)</f>
        <v>0</v>
      </c>
    </row>
    <row r="50" spans="1:14" x14ac:dyDescent="0.25">
      <c r="A50" s="87"/>
      <c r="B50" s="89" t="s">
        <v>75</v>
      </c>
      <c r="C50" s="90">
        <f>-'WACAP 2016'!H52</f>
        <v>-81664.570000000007</v>
      </c>
      <c r="D50" s="90">
        <f t="shared" ref="D50" si="21">SUM(D48:D49)</f>
        <v>0</v>
      </c>
      <c r="E50" s="90">
        <f t="shared" ref="E50:L50" si="22">SUM(E48:E49)</f>
        <v>0</v>
      </c>
      <c r="F50" s="90">
        <f t="shared" si="22"/>
        <v>0</v>
      </c>
      <c r="G50" s="90">
        <f t="shared" si="22"/>
        <v>0</v>
      </c>
      <c r="H50" s="90">
        <f t="shared" si="22"/>
        <v>0</v>
      </c>
      <c r="I50" s="90">
        <f t="shared" si="22"/>
        <v>0</v>
      </c>
      <c r="J50" s="90">
        <f t="shared" si="22"/>
        <v>0</v>
      </c>
      <c r="K50" s="90">
        <f t="shared" si="22"/>
        <v>0</v>
      </c>
      <c r="L50" s="90">
        <f t="shared" si="22"/>
        <v>0</v>
      </c>
      <c r="M50" s="207"/>
    </row>
    <row r="51" spans="1:14" x14ac:dyDescent="0.25">
      <c r="A51" s="87"/>
      <c r="B51" s="89" t="s">
        <v>137</v>
      </c>
      <c r="C51" s="187">
        <f>ROUND(ROUND(C50*C$5,2)/365*C$6,2)</f>
        <v>-242.76</v>
      </c>
      <c r="D51" s="187">
        <f>ROUND(ROUND(C53*D$5,2)/365*D$6,2)</f>
        <v>-219.92</v>
      </c>
      <c r="E51" s="187">
        <f t="shared" ref="E51:L51" si="23">ROUND(ROUND(D53*E$5,2)/365*E$6,2)</f>
        <v>-244.13</v>
      </c>
      <c r="F51" s="187">
        <f t="shared" si="23"/>
        <v>-251.18</v>
      </c>
      <c r="G51" s="187">
        <f t="shared" si="23"/>
        <v>-260.33999999999997</v>
      </c>
      <c r="H51" s="187">
        <f t="shared" si="23"/>
        <v>-252.74</v>
      </c>
      <c r="I51" s="187">
        <f t="shared" si="23"/>
        <v>-279.61</v>
      </c>
      <c r="J51" s="187">
        <f t="shared" si="23"/>
        <v>-280.55</v>
      </c>
      <c r="K51" s="187">
        <f t="shared" si="23"/>
        <v>-272.41000000000003</v>
      </c>
      <c r="L51" s="187">
        <f t="shared" si="23"/>
        <v>-300.24</v>
      </c>
      <c r="M51" s="208">
        <f>ROUND(ROUND(K53*M$5,2)/365*M$6,2)</f>
        <v>0</v>
      </c>
      <c r="N51" s="108">
        <f>SUM(C51:M51)</f>
        <v>-2603.88</v>
      </c>
    </row>
    <row r="52" spans="1:14" x14ac:dyDescent="0.25">
      <c r="A52" s="87"/>
      <c r="B52" s="89" t="s">
        <v>138</v>
      </c>
      <c r="C52" s="189">
        <f>C51</f>
        <v>-242.76</v>
      </c>
      <c r="D52" s="189">
        <f t="shared" ref="D52" si="24">SUM(D50:D51)</f>
        <v>-219.92</v>
      </c>
      <c r="E52" s="189">
        <f t="shared" ref="E52:M52" si="25">SUM(E50:E51)</f>
        <v>-244.13</v>
      </c>
      <c r="F52" s="189">
        <f t="shared" si="25"/>
        <v>-251.18</v>
      </c>
      <c r="G52" s="189">
        <f t="shared" si="25"/>
        <v>-260.33999999999997</v>
      </c>
      <c r="H52" s="189">
        <f t="shared" si="25"/>
        <v>-252.74</v>
      </c>
      <c r="I52" s="189">
        <f t="shared" si="25"/>
        <v>-279.61</v>
      </c>
      <c r="J52" s="189">
        <f t="shared" si="25"/>
        <v>-280.55</v>
      </c>
      <c r="K52" s="189">
        <f t="shared" si="25"/>
        <v>-272.41000000000003</v>
      </c>
      <c r="L52" s="189">
        <f t="shared" si="25"/>
        <v>-300.24</v>
      </c>
      <c r="M52" s="209">
        <f t="shared" si="25"/>
        <v>0</v>
      </c>
    </row>
    <row r="53" spans="1:14" x14ac:dyDescent="0.25">
      <c r="A53" s="87"/>
      <c r="B53" s="89" t="s">
        <v>139</v>
      </c>
      <c r="C53" s="90">
        <f>C52+C50</f>
        <v>-81907.33</v>
      </c>
      <c r="D53" s="90">
        <f>C53+D52</f>
        <v>-82127.25</v>
      </c>
      <c r="E53" s="90">
        <f t="shared" ref="E53:M53" si="26">D53+E52</f>
        <v>-82371.38</v>
      </c>
      <c r="F53" s="90">
        <f t="shared" si="26"/>
        <v>-82622.559999999998</v>
      </c>
      <c r="G53" s="90">
        <f t="shared" si="26"/>
        <v>-82882.899999999994</v>
      </c>
      <c r="H53" s="90">
        <f t="shared" si="26"/>
        <v>-83135.64</v>
      </c>
      <c r="I53" s="90">
        <f t="shared" si="26"/>
        <v>-83415.25</v>
      </c>
      <c r="J53" s="90">
        <f t="shared" si="26"/>
        <v>-83695.8</v>
      </c>
      <c r="K53" s="90">
        <f t="shared" si="26"/>
        <v>-83968.21</v>
      </c>
      <c r="L53" s="90">
        <f t="shared" si="26"/>
        <v>-84268.450000000012</v>
      </c>
      <c r="M53" s="207">
        <f t="shared" si="26"/>
        <v>-84268.450000000012</v>
      </c>
    </row>
    <row r="54" spans="1:14" x14ac:dyDescent="0.25">
      <c r="A54" s="86"/>
      <c r="C54" s="113"/>
      <c r="D54" s="113"/>
      <c r="E54" s="108"/>
      <c r="F54" s="113"/>
      <c r="G54" s="113"/>
      <c r="H54" s="113"/>
      <c r="I54" s="113"/>
      <c r="J54" s="113"/>
      <c r="K54" s="113"/>
      <c r="L54" s="113"/>
      <c r="M54" s="204"/>
    </row>
    <row r="55" spans="1:14" x14ac:dyDescent="0.25">
      <c r="A55" s="86" t="s">
        <v>142</v>
      </c>
      <c r="B55" s="104" t="s">
        <v>86</v>
      </c>
      <c r="C55" s="113"/>
      <c r="D55" s="113"/>
      <c r="E55" s="108"/>
      <c r="F55" s="113"/>
      <c r="G55" s="113"/>
      <c r="H55" s="113"/>
      <c r="I55" s="113"/>
      <c r="J55" s="113"/>
      <c r="K55" s="113"/>
      <c r="L55" s="113"/>
      <c r="M55" s="204"/>
    </row>
    <row r="56" spans="1:14" x14ac:dyDescent="0.25">
      <c r="A56" s="87" t="s">
        <v>64</v>
      </c>
      <c r="B56" t="s">
        <v>65</v>
      </c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204"/>
    </row>
    <row r="57" spans="1:14" x14ac:dyDescent="0.25">
      <c r="A57" s="87" t="s">
        <v>71</v>
      </c>
      <c r="B57" t="s">
        <v>70</v>
      </c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206"/>
    </row>
    <row r="58" spans="1:14" x14ac:dyDescent="0.25">
      <c r="A58" s="87" t="s">
        <v>72</v>
      </c>
      <c r="B58" t="s">
        <v>143</v>
      </c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206"/>
    </row>
    <row r="59" spans="1:14" x14ac:dyDescent="0.25">
      <c r="A59" s="87" t="s">
        <v>72</v>
      </c>
      <c r="B59" t="s">
        <v>144</v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205"/>
    </row>
    <row r="60" spans="1:14" x14ac:dyDescent="0.25">
      <c r="A60" s="87"/>
      <c r="B60" s="89" t="s">
        <v>74</v>
      </c>
      <c r="C60" s="108">
        <f t="shared" ref="C60:E60" si="27">SUM(C57:C59)</f>
        <v>0</v>
      </c>
      <c r="D60" s="108">
        <f t="shared" si="27"/>
        <v>0</v>
      </c>
      <c r="E60" s="108">
        <f t="shared" si="27"/>
        <v>0</v>
      </c>
      <c r="F60" s="108">
        <f>SUM(F57:F59)</f>
        <v>0</v>
      </c>
      <c r="G60" s="108">
        <f t="shared" ref="G60:M60" si="28">SUM(G57:G59)</f>
        <v>0</v>
      </c>
      <c r="H60" s="108">
        <f t="shared" si="28"/>
        <v>0</v>
      </c>
      <c r="I60" s="108">
        <f t="shared" si="28"/>
        <v>0</v>
      </c>
      <c r="J60" s="108">
        <f t="shared" si="28"/>
        <v>0</v>
      </c>
      <c r="K60" s="108">
        <f t="shared" si="28"/>
        <v>0</v>
      </c>
      <c r="L60" s="108">
        <f t="shared" si="28"/>
        <v>0</v>
      </c>
      <c r="M60" s="206">
        <f t="shared" si="28"/>
        <v>0</v>
      </c>
    </row>
    <row r="61" spans="1:14" x14ac:dyDescent="0.25">
      <c r="A61" s="87"/>
      <c r="B61" s="89" t="s">
        <v>73</v>
      </c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205">
        <f>ROUND(-'Authorized Margins'!G47*'WACAP 2017'!M56,2)</f>
        <v>0</v>
      </c>
    </row>
    <row r="62" spans="1:14" x14ac:dyDescent="0.25">
      <c r="A62" s="87"/>
      <c r="B62" s="89" t="s">
        <v>75</v>
      </c>
      <c r="C62" s="90">
        <v>0</v>
      </c>
      <c r="D62" s="90">
        <f t="shared" ref="D62" si="29">SUM(D60:D61)</f>
        <v>0</v>
      </c>
      <c r="E62" s="90">
        <f t="shared" ref="E62:M62" si="30">SUM(E60:E61)</f>
        <v>0</v>
      </c>
      <c r="F62" s="90">
        <f t="shared" si="30"/>
        <v>0</v>
      </c>
      <c r="G62" s="90">
        <f t="shared" si="30"/>
        <v>0</v>
      </c>
      <c r="H62" s="90">
        <f t="shared" si="30"/>
        <v>0</v>
      </c>
      <c r="I62" s="90">
        <f t="shared" si="30"/>
        <v>0</v>
      </c>
      <c r="J62" s="90">
        <f t="shared" si="30"/>
        <v>0</v>
      </c>
      <c r="K62" s="90">
        <f t="shared" si="30"/>
        <v>0</v>
      </c>
      <c r="L62" s="90">
        <f t="shared" si="30"/>
        <v>0</v>
      </c>
      <c r="M62" s="207">
        <f t="shared" si="30"/>
        <v>0</v>
      </c>
    </row>
    <row r="63" spans="1:14" x14ac:dyDescent="0.25">
      <c r="A63" s="87"/>
      <c r="B63" s="89" t="s">
        <v>137</v>
      </c>
      <c r="C63" s="187">
        <f>ROUND(ROUND(C62*C$5,2)/365*C$6,2)</f>
        <v>0</v>
      </c>
      <c r="D63" s="187">
        <f>ROUND(ROUND(C65*D$5,2)/365*D$6,2)</f>
        <v>0</v>
      </c>
      <c r="E63" s="187">
        <f t="shared" ref="E63:L63" si="31">ROUND(ROUND(D65*E$5,2)/365*E$6,2)</f>
        <v>0</v>
      </c>
      <c r="F63" s="187">
        <f t="shared" si="31"/>
        <v>0</v>
      </c>
      <c r="G63" s="187">
        <f t="shared" si="31"/>
        <v>0</v>
      </c>
      <c r="H63" s="187">
        <f t="shared" si="31"/>
        <v>0</v>
      </c>
      <c r="I63" s="187">
        <f t="shared" si="31"/>
        <v>0</v>
      </c>
      <c r="J63" s="187">
        <f t="shared" si="31"/>
        <v>0</v>
      </c>
      <c r="K63" s="187">
        <f t="shared" si="31"/>
        <v>0</v>
      </c>
      <c r="L63" s="187">
        <f t="shared" si="31"/>
        <v>0</v>
      </c>
      <c r="M63" s="208">
        <f t="shared" ref="M63" si="32">ROUND(ROUND(K65*M$5,2)/365*M$6,2)</f>
        <v>0</v>
      </c>
    </row>
    <row r="64" spans="1:14" x14ac:dyDescent="0.25">
      <c r="A64" s="87"/>
      <c r="B64" s="89" t="s">
        <v>138</v>
      </c>
      <c r="C64" s="189">
        <f>C63</f>
        <v>0</v>
      </c>
      <c r="D64" s="189">
        <f t="shared" ref="D64" si="33">SUM(D62:D63)</f>
        <v>0</v>
      </c>
      <c r="E64" s="189">
        <f t="shared" ref="E64:M64" si="34">SUM(E62:E63)</f>
        <v>0</v>
      </c>
      <c r="F64" s="189">
        <f t="shared" si="34"/>
        <v>0</v>
      </c>
      <c r="G64" s="189">
        <f t="shared" si="34"/>
        <v>0</v>
      </c>
      <c r="H64" s="189">
        <f t="shared" si="34"/>
        <v>0</v>
      </c>
      <c r="I64" s="189">
        <f t="shared" si="34"/>
        <v>0</v>
      </c>
      <c r="J64" s="189">
        <f t="shared" si="34"/>
        <v>0</v>
      </c>
      <c r="K64" s="189">
        <f t="shared" si="34"/>
        <v>0</v>
      </c>
      <c r="L64" s="189">
        <f t="shared" si="34"/>
        <v>0</v>
      </c>
      <c r="M64" s="209">
        <f t="shared" si="34"/>
        <v>0</v>
      </c>
    </row>
    <row r="65" spans="1:14" x14ac:dyDescent="0.25">
      <c r="A65" s="87"/>
      <c r="B65" s="89" t="s">
        <v>139</v>
      </c>
      <c r="C65" s="90">
        <f>C64+C62</f>
        <v>0</v>
      </c>
      <c r="D65" s="90">
        <f>C65+D64</f>
        <v>0</v>
      </c>
      <c r="E65" s="90">
        <f t="shared" ref="E65:M65" si="35">D65+E64</f>
        <v>0</v>
      </c>
      <c r="F65" s="90">
        <f t="shared" si="35"/>
        <v>0</v>
      </c>
      <c r="G65" s="90">
        <f t="shared" si="35"/>
        <v>0</v>
      </c>
      <c r="H65" s="90">
        <f t="shared" si="35"/>
        <v>0</v>
      </c>
      <c r="I65" s="90">
        <f t="shared" si="35"/>
        <v>0</v>
      </c>
      <c r="J65" s="90">
        <f t="shared" si="35"/>
        <v>0</v>
      </c>
      <c r="K65" s="90">
        <f t="shared" si="35"/>
        <v>0</v>
      </c>
      <c r="L65" s="90">
        <f t="shared" si="35"/>
        <v>0</v>
      </c>
      <c r="M65" s="207">
        <f t="shared" si="35"/>
        <v>0</v>
      </c>
    </row>
    <row r="66" spans="1:14" x14ac:dyDescent="0.25">
      <c r="A66" s="87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207"/>
    </row>
    <row r="67" spans="1:14" x14ac:dyDescent="0.25">
      <c r="A67" s="86">
        <v>504</v>
      </c>
      <c r="B67" s="104" t="s">
        <v>86</v>
      </c>
      <c r="C67" s="113"/>
      <c r="D67" s="113"/>
      <c r="E67" s="108"/>
      <c r="F67" s="113"/>
      <c r="G67" s="113"/>
      <c r="H67" s="113"/>
      <c r="I67" s="113"/>
      <c r="J67" s="113"/>
      <c r="K67" s="113"/>
      <c r="L67" s="113"/>
      <c r="M67" s="204"/>
    </row>
    <row r="68" spans="1:14" x14ac:dyDescent="0.25">
      <c r="A68" s="87" t="s">
        <v>64</v>
      </c>
      <c r="B68" t="s">
        <v>65</v>
      </c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204"/>
    </row>
    <row r="69" spans="1:14" x14ac:dyDescent="0.25">
      <c r="A69" s="87" t="s">
        <v>71</v>
      </c>
      <c r="B69" t="s">
        <v>70</v>
      </c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206"/>
    </row>
    <row r="70" spans="1:14" x14ac:dyDescent="0.25">
      <c r="A70" s="87" t="s">
        <v>72</v>
      </c>
      <c r="B70" t="s">
        <v>114</v>
      </c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206"/>
    </row>
    <row r="71" spans="1:14" x14ac:dyDescent="0.25">
      <c r="A71" s="87" t="s">
        <v>72</v>
      </c>
      <c r="B71" t="s">
        <v>115</v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205"/>
    </row>
    <row r="72" spans="1:14" x14ac:dyDescent="0.25">
      <c r="A72" s="87"/>
      <c r="B72" s="89" t="s">
        <v>74</v>
      </c>
      <c r="C72" s="108">
        <f t="shared" ref="C72:I72" si="36">SUM(C69:C71)</f>
        <v>0</v>
      </c>
      <c r="D72" s="108">
        <f t="shared" si="36"/>
        <v>0</v>
      </c>
      <c r="E72" s="108">
        <f t="shared" si="36"/>
        <v>0</v>
      </c>
      <c r="F72" s="108">
        <f>SUM(F69:F71)</f>
        <v>0</v>
      </c>
      <c r="G72" s="108">
        <f t="shared" si="36"/>
        <v>0</v>
      </c>
      <c r="H72" s="108">
        <f t="shared" si="36"/>
        <v>0</v>
      </c>
      <c r="I72" s="108">
        <f t="shared" si="36"/>
        <v>0</v>
      </c>
      <c r="J72" s="108">
        <f t="shared" ref="J72:M72" si="37">SUM(J69:J71)</f>
        <v>0</v>
      </c>
      <c r="K72" s="108">
        <f t="shared" si="37"/>
        <v>0</v>
      </c>
      <c r="L72" s="108">
        <f t="shared" si="37"/>
        <v>0</v>
      </c>
      <c r="M72" s="206">
        <f t="shared" si="37"/>
        <v>0</v>
      </c>
    </row>
    <row r="73" spans="1:14" x14ac:dyDescent="0.25">
      <c r="A73" s="87"/>
      <c r="B73" s="89" t="s">
        <v>73</v>
      </c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205">
        <f>ROUND(-'Authorized Margins'!G47*'WACAP 2017'!M68,2)</f>
        <v>0</v>
      </c>
    </row>
    <row r="74" spans="1:14" x14ac:dyDescent="0.25">
      <c r="A74" s="87"/>
      <c r="B74" s="89" t="s">
        <v>75</v>
      </c>
      <c r="C74" s="90">
        <f>-'WACAP 2016'!H64</f>
        <v>100987.33000000042</v>
      </c>
      <c r="D74" s="90">
        <f t="shared" ref="D74" si="38">SUM(D72:D73)</f>
        <v>0</v>
      </c>
      <c r="E74" s="90">
        <f t="shared" ref="E74:L74" si="39">SUM(E72:E73)</f>
        <v>0</v>
      </c>
      <c r="F74" s="90">
        <f t="shared" si="39"/>
        <v>0</v>
      </c>
      <c r="G74" s="90">
        <f t="shared" si="39"/>
        <v>0</v>
      </c>
      <c r="H74" s="90">
        <f t="shared" si="39"/>
        <v>0</v>
      </c>
      <c r="I74" s="90">
        <f t="shared" si="39"/>
        <v>0</v>
      </c>
      <c r="J74" s="90">
        <f t="shared" si="39"/>
        <v>0</v>
      </c>
      <c r="K74" s="90">
        <f t="shared" si="39"/>
        <v>0</v>
      </c>
      <c r="L74" s="90">
        <f t="shared" si="39"/>
        <v>0</v>
      </c>
      <c r="M74" s="207"/>
    </row>
    <row r="75" spans="1:14" x14ac:dyDescent="0.25">
      <c r="A75" s="87"/>
      <c r="B75" s="89" t="s">
        <v>137</v>
      </c>
      <c r="C75" s="187">
        <f>ROUND(ROUND(C74*C$5,2)/365*C$6,2)</f>
        <v>300.2</v>
      </c>
      <c r="D75" s="187">
        <f>ROUND(ROUND(C77*D$5,2)/365*D$6,2)</f>
        <v>271.95</v>
      </c>
      <c r="E75" s="187">
        <f t="shared" ref="E75:K75" si="40">ROUND(ROUND(D77*E$5,2)/365*E$6,2)</f>
        <v>301.89999999999998</v>
      </c>
      <c r="F75" s="187">
        <f t="shared" si="40"/>
        <v>310.61</v>
      </c>
      <c r="G75" s="187">
        <f t="shared" si="40"/>
        <v>321.94</v>
      </c>
      <c r="H75" s="187">
        <f t="shared" si="40"/>
        <v>312.54000000000002</v>
      </c>
      <c r="I75" s="187">
        <f t="shared" si="40"/>
        <v>345.77</v>
      </c>
      <c r="J75" s="187">
        <f t="shared" si="40"/>
        <v>346.93</v>
      </c>
      <c r="K75" s="187">
        <f t="shared" si="40"/>
        <v>336.87</v>
      </c>
      <c r="L75" s="199">
        <f>ROUND(ROUND(K77*L$5,2)/365*L$6,2)-0.01</f>
        <v>371.27</v>
      </c>
      <c r="M75" s="208">
        <f>ROUND(ROUND(K77*M$5,2)/365*M$6,2)</f>
        <v>0</v>
      </c>
      <c r="N75" s="108">
        <f>SUM(C75:M75)</f>
        <v>3219.9799999999996</v>
      </c>
    </row>
    <row r="76" spans="1:14" x14ac:dyDescent="0.25">
      <c r="A76" s="87"/>
      <c r="B76" s="89" t="s">
        <v>138</v>
      </c>
      <c r="C76" s="189">
        <f>C75</f>
        <v>300.2</v>
      </c>
      <c r="D76" s="189">
        <f t="shared" ref="D76" si="41">SUM(D74:D75)</f>
        <v>271.95</v>
      </c>
      <c r="E76" s="189">
        <f t="shared" ref="E76:M76" si="42">SUM(E74:E75)</f>
        <v>301.89999999999998</v>
      </c>
      <c r="F76" s="189">
        <f t="shared" si="42"/>
        <v>310.61</v>
      </c>
      <c r="G76" s="189">
        <f t="shared" si="42"/>
        <v>321.94</v>
      </c>
      <c r="H76" s="189">
        <f t="shared" si="42"/>
        <v>312.54000000000002</v>
      </c>
      <c r="I76" s="189">
        <f t="shared" si="42"/>
        <v>345.77</v>
      </c>
      <c r="J76" s="189">
        <f t="shared" si="42"/>
        <v>346.93</v>
      </c>
      <c r="K76" s="189">
        <f t="shared" si="42"/>
        <v>336.87</v>
      </c>
      <c r="L76" s="189">
        <f t="shared" si="42"/>
        <v>371.27</v>
      </c>
      <c r="M76" s="209">
        <f t="shared" si="42"/>
        <v>0</v>
      </c>
    </row>
    <row r="77" spans="1:14" x14ac:dyDescent="0.25">
      <c r="A77" s="87"/>
      <c r="B77" s="89" t="s">
        <v>139</v>
      </c>
      <c r="C77" s="90">
        <f>C76+C74</f>
        <v>101287.53000000042</v>
      </c>
      <c r="D77" s="90">
        <f>C77+D76</f>
        <v>101559.48000000042</v>
      </c>
      <c r="E77" s="90">
        <f t="shared" ref="E77:M77" si="43">D77+E76</f>
        <v>101861.38000000041</v>
      </c>
      <c r="F77" s="90">
        <f t="shared" si="43"/>
        <v>102171.99000000041</v>
      </c>
      <c r="G77" s="90">
        <f t="shared" si="43"/>
        <v>102493.93000000042</v>
      </c>
      <c r="H77" s="90">
        <f t="shared" si="43"/>
        <v>102806.47000000041</v>
      </c>
      <c r="I77" s="90">
        <f t="shared" si="43"/>
        <v>103152.24000000041</v>
      </c>
      <c r="J77" s="90">
        <f t="shared" si="43"/>
        <v>103499.17000000041</v>
      </c>
      <c r="K77" s="90">
        <f t="shared" si="43"/>
        <v>103836.0400000004</v>
      </c>
      <c r="L77" s="90">
        <f t="shared" si="43"/>
        <v>104207.31000000041</v>
      </c>
      <c r="M77" s="207">
        <f t="shared" si="43"/>
        <v>104207.31000000041</v>
      </c>
    </row>
    <row r="78" spans="1:14" x14ac:dyDescent="0.25">
      <c r="A78" s="87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207"/>
    </row>
    <row r="79" spans="1:14" x14ac:dyDescent="0.25">
      <c r="A79" s="86">
        <v>511</v>
      </c>
      <c r="B79" s="104" t="s">
        <v>86</v>
      </c>
      <c r="C79" s="113"/>
      <c r="D79" s="113"/>
      <c r="E79" s="108"/>
      <c r="F79" s="113"/>
      <c r="G79" s="113"/>
      <c r="H79" s="113"/>
      <c r="I79" s="113"/>
      <c r="J79" s="113"/>
      <c r="K79" s="113"/>
      <c r="L79" s="113"/>
      <c r="M79" s="204"/>
    </row>
    <row r="80" spans="1:14" x14ac:dyDescent="0.25">
      <c r="A80" s="87" t="s">
        <v>64</v>
      </c>
      <c r="B80" t="s">
        <v>65</v>
      </c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204"/>
    </row>
    <row r="81" spans="1:14" x14ac:dyDescent="0.25">
      <c r="A81" s="87" t="s">
        <v>71</v>
      </c>
      <c r="B81" t="s">
        <v>117</v>
      </c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206"/>
    </row>
    <row r="82" spans="1:14" x14ac:dyDescent="0.25">
      <c r="A82" s="87" t="s">
        <v>71</v>
      </c>
      <c r="B82" t="s">
        <v>98</v>
      </c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206"/>
    </row>
    <row r="83" spans="1:14" x14ac:dyDescent="0.25">
      <c r="A83" s="87" t="s">
        <v>71</v>
      </c>
      <c r="B83" t="s">
        <v>99</v>
      </c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206"/>
    </row>
    <row r="84" spans="1:14" x14ac:dyDescent="0.25">
      <c r="A84" s="87" t="s">
        <v>71</v>
      </c>
      <c r="B84" t="s">
        <v>100</v>
      </c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206"/>
    </row>
    <row r="85" spans="1:14" x14ac:dyDescent="0.25">
      <c r="A85" s="87" t="s">
        <v>72</v>
      </c>
      <c r="B85" t="s">
        <v>114</v>
      </c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206"/>
    </row>
    <row r="86" spans="1:14" x14ac:dyDescent="0.25">
      <c r="A86" s="87" t="s">
        <v>72</v>
      </c>
      <c r="B86" t="s">
        <v>115</v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205"/>
    </row>
    <row r="87" spans="1:14" x14ac:dyDescent="0.25">
      <c r="A87" s="87"/>
      <c r="B87" s="89" t="s">
        <v>74</v>
      </c>
      <c r="C87" s="108">
        <f t="shared" ref="C87:I87" si="44">SUM(C81:C86)</f>
        <v>0</v>
      </c>
      <c r="D87" s="108">
        <f t="shared" si="44"/>
        <v>0</v>
      </c>
      <c r="E87" s="108">
        <f t="shared" si="44"/>
        <v>0</v>
      </c>
      <c r="F87" s="108">
        <f t="shared" si="44"/>
        <v>0</v>
      </c>
      <c r="G87" s="108">
        <f t="shared" si="44"/>
        <v>0</v>
      </c>
      <c r="H87" s="108">
        <f t="shared" si="44"/>
        <v>0</v>
      </c>
      <c r="I87" s="108">
        <f t="shared" si="44"/>
        <v>0</v>
      </c>
      <c r="J87" s="108">
        <f t="shared" ref="J87:M87" si="45">SUM(J81:J86)</f>
        <v>0</v>
      </c>
      <c r="K87" s="108">
        <f t="shared" si="45"/>
        <v>0</v>
      </c>
      <c r="L87" s="108">
        <f t="shared" si="45"/>
        <v>0</v>
      </c>
      <c r="M87" s="206">
        <f t="shared" si="45"/>
        <v>0</v>
      </c>
    </row>
    <row r="88" spans="1:14" x14ac:dyDescent="0.25">
      <c r="A88" s="87"/>
      <c r="B88" s="89" t="s">
        <v>73</v>
      </c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205">
        <f>ROUND(-'Authorized Margins'!G73*'WACAP 2017'!M80,2)</f>
        <v>0</v>
      </c>
    </row>
    <row r="89" spans="1:14" x14ac:dyDescent="0.25">
      <c r="A89" s="87"/>
      <c r="B89" s="89" t="s">
        <v>75</v>
      </c>
      <c r="C89" s="90">
        <f>-'WACAP 2016'!H79</f>
        <v>-127320.78000000004</v>
      </c>
      <c r="D89" s="90">
        <f t="shared" ref="D89" si="46">SUM(D87:D88)</f>
        <v>0</v>
      </c>
      <c r="E89" s="90">
        <f t="shared" ref="E89:L89" si="47">SUM(E87:E88)</f>
        <v>0</v>
      </c>
      <c r="F89" s="90">
        <f t="shared" si="47"/>
        <v>0</v>
      </c>
      <c r="G89" s="90">
        <f t="shared" si="47"/>
        <v>0</v>
      </c>
      <c r="H89" s="90">
        <f t="shared" si="47"/>
        <v>0</v>
      </c>
      <c r="I89" s="90">
        <f t="shared" si="47"/>
        <v>0</v>
      </c>
      <c r="J89" s="90">
        <f t="shared" si="47"/>
        <v>0</v>
      </c>
      <c r="K89" s="90">
        <f t="shared" si="47"/>
        <v>0</v>
      </c>
      <c r="L89" s="90">
        <f t="shared" si="47"/>
        <v>0</v>
      </c>
      <c r="M89" s="207"/>
    </row>
    <row r="90" spans="1:14" x14ac:dyDescent="0.25">
      <c r="A90" s="87"/>
      <c r="B90" s="89" t="s">
        <v>137</v>
      </c>
      <c r="C90" s="187">
        <f>ROUND(ROUND(C89*C$5,2)/365*C$6,2)</f>
        <v>-378.47</v>
      </c>
      <c r="D90" s="187">
        <f>ROUND(ROUND(C92*D$5,2)/365*D$6,2)</f>
        <v>-342.86</v>
      </c>
      <c r="E90" s="187">
        <f t="shared" ref="E90:L90" si="48">ROUND(ROUND(D92*E$5,2)/365*E$6,2)</f>
        <v>-380.62</v>
      </c>
      <c r="F90" s="187">
        <f t="shared" si="48"/>
        <v>-391.6</v>
      </c>
      <c r="G90" s="187">
        <f t="shared" si="48"/>
        <v>-405.89</v>
      </c>
      <c r="H90" s="187">
        <f t="shared" si="48"/>
        <v>-394.03</v>
      </c>
      <c r="I90" s="187">
        <f t="shared" si="48"/>
        <v>-435.93</v>
      </c>
      <c r="J90" s="187">
        <f t="shared" si="48"/>
        <v>-437.4</v>
      </c>
      <c r="K90" s="187">
        <f t="shared" si="48"/>
        <v>-424.71</v>
      </c>
      <c r="L90" s="187">
        <f t="shared" si="48"/>
        <v>-468.09</v>
      </c>
      <c r="M90" s="208">
        <f>ROUND(ROUND(K92*M$5,2)/365*M$6,2)</f>
        <v>0</v>
      </c>
      <c r="N90" s="108">
        <f>SUM(C90:M90)</f>
        <v>-4059.6000000000004</v>
      </c>
    </row>
    <row r="91" spans="1:14" x14ac:dyDescent="0.25">
      <c r="A91" s="87"/>
      <c r="B91" s="89" t="s">
        <v>138</v>
      </c>
      <c r="C91" s="189">
        <f>C90</f>
        <v>-378.47</v>
      </c>
      <c r="D91" s="189">
        <f t="shared" ref="D91" si="49">SUM(D89:D90)</f>
        <v>-342.86</v>
      </c>
      <c r="E91" s="189">
        <f t="shared" ref="E91:M91" si="50">SUM(E89:E90)</f>
        <v>-380.62</v>
      </c>
      <c r="F91" s="189">
        <f t="shared" si="50"/>
        <v>-391.6</v>
      </c>
      <c r="G91" s="189">
        <f t="shared" si="50"/>
        <v>-405.89</v>
      </c>
      <c r="H91" s="189">
        <f t="shared" si="50"/>
        <v>-394.03</v>
      </c>
      <c r="I91" s="189">
        <f t="shared" si="50"/>
        <v>-435.93</v>
      </c>
      <c r="J91" s="189">
        <f t="shared" si="50"/>
        <v>-437.4</v>
      </c>
      <c r="K91" s="189">
        <f t="shared" si="50"/>
        <v>-424.71</v>
      </c>
      <c r="L91" s="189">
        <f t="shared" si="50"/>
        <v>-468.09</v>
      </c>
      <c r="M91" s="209">
        <f t="shared" si="50"/>
        <v>0</v>
      </c>
    </row>
    <row r="92" spans="1:14" x14ac:dyDescent="0.25">
      <c r="A92" s="87"/>
      <c r="B92" s="89" t="s">
        <v>139</v>
      </c>
      <c r="C92" s="90">
        <f>C91+C89</f>
        <v>-127699.25000000004</v>
      </c>
      <c r="D92" s="90">
        <f>C92+D91</f>
        <v>-128042.11000000004</v>
      </c>
      <c r="E92" s="90">
        <f t="shared" ref="E92:M92" si="51">D92+E91</f>
        <v>-128422.73000000004</v>
      </c>
      <c r="F92" s="90">
        <f t="shared" si="51"/>
        <v>-128814.33000000005</v>
      </c>
      <c r="G92" s="90">
        <f t="shared" si="51"/>
        <v>-129220.22000000004</v>
      </c>
      <c r="H92" s="90">
        <f t="shared" si="51"/>
        <v>-129614.25000000004</v>
      </c>
      <c r="I92" s="90">
        <f t="shared" si="51"/>
        <v>-130050.18000000004</v>
      </c>
      <c r="J92" s="90">
        <f t="shared" si="51"/>
        <v>-130487.58000000003</v>
      </c>
      <c r="K92" s="90">
        <f t="shared" si="51"/>
        <v>-130912.29000000004</v>
      </c>
      <c r="L92" s="90">
        <f t="shared" si="51"/>
        <v>-131380.38000000003</v>
      </c>
      <c r="M92" s="207">
        <f t="shared" si="51"/>
        <v>-131380.38000000003</v>
      </c>
    </row>
    <row r="93" spans="1:14" x14ac:dyDescent="0.25">
      <c r="A93" s="86"/>
      <c r="C93" s="113"/>
      <c r="D93" s="113"/>
      <c r="E93" s="108"/>
      <c r="F93" s="113"/>
      <c r="G93" s="113"/>
      <c r="H93" s="113"/>
      <c r="I93" s="113"/>
      <c r="J93" s="113"/>
      <c r="K93" s="113"/>
      <c r="L93" s="113"/>
      <c r="M93" s="204"/>
    </row>
    <row r="94" spans="1:14" x14ac:dyDescent="0.25">
      <c r="A94" s="86">
        <v>512</v>
      </c>
      <c r="B94" s="104" t="s">
        <v>86</v>
      </c>
      <c r="C94" s="113"/>
      <c r="D94" s="113"/>
      <c r="E94" s="108"/>
      <c r="F94" s="113"/>
      <c r="G94" s="113"/>
      <c r="H94" s="113"/>
      <c r="I94" s="113"/>
      <c r="J94" s="113"/>
      <c r="K94" s="113"/>
      <c r="L94" s="113"/>
      <c r="M94" s="204"/>
    </row>
    <row r="95" spans="1:14" x14ac:dyDescent="0.25">
      <c r="A95" s="87" t="s">
        <v>64</v>
      </c>
      <c r="B95" t="s">
        <v>65</v>
      </c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204"/>
    </row>
    <row r="96" spans="1:14" x14ac:dyDescent="0.25">
      <c r="A96" s="87" t="s">
        <v>71</v>
      </c>
      <c r="B96" t="s">
        <v>70</v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205"/>
    </row>
    <row r="97" spans="1:14" x14ac:dyDescent="0.25">
      <c r="A97" s="87"/>
      <c r="B97" s="89" t="s">
        <v>74</v>
      </c>
      <c r="C97" s="108">
        <f t="shared" ref="C97:M97" si="52">C96</f>
        <v>0</v>
      </c>
      <c r="D97" s="108">
        <f t="shared" si="52"/>
        <v>0</v>
      </c>
      <c r="E97" s="108">
        <f t="shared" si="52"/>
        <v>0</v>
      </c>
      <c r="F97" s="108">
        <f t="shared" si="52"/>
        <v>0</v>
      </c>
      <c r="G97" s="108">
        <f t="shared" si="52"/>
        <v>0</v>
      </c>
      <c r="H97" s="108">
        <f t="shared" si="52"/>
        <v>0</v>
      </c>
      <c r="I97" s="108">
        <f t="shared" si="52"/>
        <v>0</v>
      </c>
      <c r="J97" s="108">
        <f t="shared" si="52"/>
        <v>0</v>
      </c>
      <c r="K97" s="108">
        <f t="shared" si="52"/>
        <v>0</v>
      </c>
      <c r="L97" s="108">
        <f t="shared" si="52"/>
        <v>0</v>
      </c>
      <c r="M97" s="206">
        <f t="shared" si="52"/>
        <v>0</v>
      </c>
    </row>
    <row r="98" spans="1:14" x14ac:dyDescent="0.25">
      <c r="A98" s="87"/>
      <c r="B98" s="89" t="s">
        <v>73</v>
      </c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205">
        <f>-'Authorized Margins'!G79*'WACAP 2017'!M95</f>
        <v>0</v>
      </c>
    </row>
    <row r="99" spans="1:14" x14ac:dyDescent="0.25">
      <c r="A99" s="87"/>
      <c r="B99" s="89" t="s">
        <v>75</v>
      </c>
      <c r="C99" s="90">
        <f>-'WACAP 2016'!H89</f>
        <v>18.430000000000113</v>
      </c>
      <c r="D99" s="90">
        <f t="shared" ref="D99" si="53">SUM(D97:D98)</f>
        <v>0</v>
      </c>
      <c r="E99" s="90">
        <f t="shared" ref="E99:L99" si="54">SUM(E97:E98)</f>
        <v>0</v>
      </c>
      <c r="F99" s="90">
        <f t="shared" si="54"/>
        <v>0</v>
      </c>
      <c r="G99" s="90">
        <f t="shared" si="54"/>
        <v>0</v>
      </c>
      <c r="H99" s="90">
        <f t="shared" si="54"/>
        <v>0</v>
      </c>
      <c r="I99" s="90">
        <f t="shared" si="54"/>
        <v>0</v>
      </c>
      <c r="J99" s="90">
        <f t="shared" si="54"/>
        <v>0</v>
      </c>
      <c r="K99" s="90">
        <f t="shared" si="54"/>
        <v>0</v>
      </c>
      <c r="L99" s="90">
        <f t="shared" si="54"/>
        <v>0</v>
      </c>
      <c r="M99" s="207"/>
    </row>
    <row r="100" spans="1:14" x14ac:dyDescent="0.25">
      <c r="A100" s="87"/>
      <c r="B100" s="89" t="s">
        <v>137</v>
      </c>
      <c r="C100" s="187">
        <f>ROUND(ROUND(C99*C$5,2)/365*C$6,2)</f>
        <v>0.06</v>
      </c>
      <c r="D100" s="187">
        <f>ROUND(ROUND(C102*D$5,2)/365*D$6,2)</f>
        <v>0.05</v>
      </c>
      <c r="E100" s="187">
        <f t="shared" ref="E100:L100" si="55">ROUND(ROUND(D102*E$5,2)/365*E$6,2)</f>
        <v>0.06</v>
      </c>
      <c r="F100" s="187">
        <f t="shared" si="55"/>
        <v>0.06</v>
      </c>
      <c r="G100" s="187">
        <f t="shared" si="55"/>
        <v>0.06</v>
      </c>
      <c r="H100" s="187">
        <f t="shared" si="55"/>
        <v>0.06</v>
      </c>
      <c r="I100" s="187">
        <f t="shared" si="55"/>
        <v>0.06</v>
      </c>
      <c r="J100" s="187">
        <f t="shared" si="55"/>
        <v>0.06</v>
      </c>
      <c r="K100" s="187">
        <f t="shared" si="55"/>
        <v>0.06</v>
      </c>
      <c r="L100" s="187">
        <f t="shared" si="55"/>
        <v>7.0000000000000007E-2</v>
      </c>
      <c r="M100" s="208">
        <f>ROUND(ROUND(K102*M$5,2)/365*M$6,2)</f>
        <v>0</v>
      </c>
      <c r="N100" s="108">
        <f>SUM(C100:M100)</f>
        <v>0.60000000000000009</v>
      </c>
    </row>
    <row r="101" spans="1:14" x14ac:dyDescent="0.25">
      <c r="A101" s="87"/>
      <c r="B101" s="89" t="s">
        <v>138</v>
      </c>
      <c r="C101" s="189">
        <f>C100</f>
        <v>0.06</v>
      </c>
      <c r="D101" s="189">
        <f t="shared" ref="D101" si="56">SUM(D99:D100)</f>
        <v>0.05</v>
      </c>
      <c r="E101" s="189">
        <f t="shared" ref="E101:M101" si="57">SUM(E99:E100)</f>
        <v>0.06</v>
      </c>
      <c r="F101" s="189">
        <f t="shared" si="57"/>
        <v>0.06</v>
      </c>
      <c r="G101" s="189">
        <f t="shared" si="57"/>
        <v>0.06</v>
      </c>
      <c r="H101" s="189">
        <f t="shared" si="57"/>
        <v>0.06</v>
      </c>
      <c r="I101" s="189">
        <f t="shared" si="57"/>
        <v>0.06</v>
      </c>
      <c r="J101" s="189">
        <f t="shared" si="57"/>
        <v>0.06</v>
      </c>
      <c r="K101" s="189">
        <f t="shared" si="57"/>
        <v>0.06</v>
      </c>
      <c r="L101" s="189">
        <f t="shared" si="57"/>
        <v>7.0000000000000007E-2</v>
      </c>
      <c r="M101" s="209">
        <f t="shared" si="57"/>
        <v>0</v>
      </c>
    </row>
    <row r="102" spans="1:14" x14ac:dyDescent="0.25">
      <c r="A102" s="87"/>
      <c r="B102" s="89" t="s">
        <v>139</v>
      </c>
      <c r="C102" s="90">
        <f>C101+C99</f>
        <v>18.490000000000112</v>
      </c>
      <c r="D102" s="90">
        <f>C102+D101</f>
        <v>18.540000000000113</v>
      </c>
      <c r="E102" s="90">
        <f t="shared" ref="E102:M102" si="58">D102+E101</f>
        <v>18.600000000000112</v>
      </c>
      <c r="F102" s="90">
        <f t="shared" si="58"/>
        <v>18.66000000000011</v>
      </c>
      <c r="G102" s="90">
        <f t="shared" si="58"/>
        <v>18.720000000000109</v>
      </c>
      <c r="H102" s="90">
        <f t="shared" si="58"/>
        <v>18.780000000000108</v>
      </c>
      <c r="I102" s="90">
        <f t="shared" si="58"/>
        <v>18.840000000000106</v>
      </c>
      <c r="J102" s="90">
        <f t="shared" si="58"/>
        <v>18.900000000000105</v>
      </c>
      <c r="K102" s="90">
        <f t="shared" si="58"/>
        <v>18.960000000000104</v>
      </c>
      <c r="L102" s="90">
        <f t="shared" si="58"/>
        <v>19.030000000000104</v>
      </c>
      <c r="M102" s="207">
        <f t="shared" si="58"/>
        <v>19.030000000000104</v>
      </c>
    </row>
    <row r="103" spans="1:14" x14ac:dyDescent="0.25">
      <c r="A103" s="86"/>
      <c r="C103" s="113"/>
      <c r="D103" s="113"/>
      <c r="E103" s="108"/>
      <c r="F103" s="113"/>
      <c r="G103" s="113"/>
      <c r="H103" s="113"/>
      <c r="I103" s="113"/>
      <c r="J103" s="113"/>
      <c r="K103" s="113"/>
      <c r="L103" s="113"/>
      <c r="M103" s="204"/>
    </row>
    <row r="104" spans="1:14" x14ac:dyDescent="0.25">
      <c r="A104" s="86" t="s">
        <v>83</v>
      </c>
      <c r="B104" s="104" t="s">
        <v>87</v>
      </c>
      <c r="C104" s="113"/>
      <c r="D104" s="113"/>
      <c r="E104" s="108"/>
      <c r="F104" s="113"/>
      <c r="G104" s="113"/>
      <c r="H104" s="113"/>
      <c r="I104" s="113"/>
      <c r="J104" s="113"/>
      <c r="K104" s="113"/>
      <c r="L104" s="113"/>
      <c r="M104" s="204"/>
    </row>
    <row r="105" spans="1:14" x14ac:dyDescent="0.25">
      <c r="A105" s="87" t="s">
        <v>64</v>
      </c>
      <c r="B105" t="s">
        <v>65</v>
      </c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204"/>
    </row>
    <row r="106" spans="1:14" x14ac:dyDescent="0.25">
      <c r="A106" s="87" t="s">
        <v>71</v>
      </c>
      <c r="B106" t="s">
        <v>95</v>
      </c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206"/>
    </row>
    <row r="107" spans="1:14" x14ac:dyDescent="0.25">
      <c r="A107" s="87" t="s">
        <v>71</v>
      </c>
      <c r="B107" t="s">
        <v>97</v>
      </c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206"/>
    </row>
    <row r="108" spans="1:14" x14ac:dyDescent="0.25">
      <c r="A108" s="87" t="s">
        <v>72</v>
      </c>
      <c r="B108" t="s">
        <v>101</v>
      </c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  <c r="M108" s="206"/>
    </row>
    <row r="109" spans="1:14" x14ac:dyDescent="0.25">
      <c r="A109" s="87" t="s">
        <v>72</v>
      </c>
      <c r="B109" t="s">
        <v>145</v>
      </c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206"/>
    </row>
    <row r="110" spans="1:14" x14ac:dyDescent="0.25">
      <c r="A110" s="87" t="s">
        <v>72</v>
      </c>
      <c r="B110" t="s">
        <v>102</v>
      </c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206"/>
    </row>
    <row r="111" spans="1:14" x14ac:dyDescent="0.25">
      <c r="A111" s="87" t="s">
        <v>72</v>
      </c>
      <c r="B111" t="s">
        <v>146</v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205"/>
    </row>
    <row r="112" spans="1:14" x14ac:dyDescent="0.25">
      <c r="A112" s="86"/>
      <c r="B112" s="89" t="s">
        <v>74</v>
      </c>
      <c r="C112" s="108">
        <f t="shared" ref="C112:M112" si="59">SUM(C106:C111)</f>
        <v>0</v>
      </c>
      <c r="D112" s="108">
        <f t="shared" si="59"/>
        <v>0</v>
      </c>
      <c r="E112" s="108">
        <f t="shared" si="59"/>
        <v>0</v>
      </c>
      <c r="F112" s="108">
        <f t="shared" si="59"/>
        <v>0</v>
      </c>
      <c r="G112" s="108">
        <f t="shared" si="59"/>
        <v>0</v>
      </c>
      <c r="H112" s="108">
        <f t="shared" si="59"/>
        <v>0</v>
      </c>
      <c r="I112" s="108">
        <f t="shared" si="59"/>
        <v>0</v>
      </c>
      <c r="J112" s="108">
        <f t="shared" si="59"/>
        <v>0</v>
      </c>
      <c r="K112" s="108">
        <f t="shared" si="59"/>
        <v>0</v>
      </c>
      <c r="L112" s="108">
        <f t="shared" si="59"/>
        <v>0</v>
      </c>
      <c r="M112" s="206">
        <f t="shared" si="59"/>
        <v>0</v>
      </c>
    </row>
    <row r="113" spans="1:14" x14ac:dyDescent="0.25">
      <c r="A113" s="86"/>
      <c r="B113" s="89" t="s">
        <v>73</v>
      </c>
      <c r="C113" s="88"/>
      <c r="D113" s="88"/>
      <c r="E113" s="88"/>
      <c r="F113" s="88"/>
      <c r="G113" s="88"/>
      <c r="H113" s="88"/>
      <c r="I113" s="88"/>
      <c r="J113" s="88"/>
      <c r="K113" s="88"/>
      <c r="L113" s="88"/>
      <c r="M113" s="205">
        <f>ROUND(-'Authorized Margins'!G60*'WACAP 2017'!M105,2)</f>
        <v>0</v>
      </c>
    </row>
    <row r="114" spans="1:14" x14ac:dyDescent="0.25">
      <c r="A114" s="86"/>
      <c r="B114" s="89" t="s">
        <v>75</v>
      </c>
      <c r="C114" s="90">
        <f>-'WACAP 2016'!H101</f>
        <v>1393.45</v>
      </c>
      <c r="D114" s="90">
        <f t="shared" ref="D114" si="60">SUM(D112:D113)</f>
        <v>0</v>
      </c>
      <c r="E114" s="90">
        <f t="shared" ref="E114:L114" si="61">SUM(E112:E113)</f>
        <v>0</v>
      </c>
      <c r="F114" s="90">
        <f t="shared" si="61"/>
        <v>0</v>
      </c>
      <c r="G114" s="90">
        <f t="shared" si="61"/>
        <v>0</v>
      </c>
      <c r="H114" s="90">
        <f t="shared" si="61"/>
        <v>0</v>
      </c>
      <c r="I114" s="90">
        <f t="shared" si="61"/>
        <v>0</v>
      </c>
      <c r="J114" s="90">
        <f t="shared" si="61"/>
        <v>0</v>
      </c>
      <c r="K114" s="90">
        <f t="shared" si="61"/>
        <v>0</v>
      </c>
      <c r="L114" s="90">
        <f t="shared" si="61"/>
        <v>0</v>
      </c>
      <c r="M114" s="207"/>
    </row>
    <row r="115" spans="1:14" x14ac:dyDescent="0.25">
      <c r="A115" s="87"/>
      <c r="B115" s="89" t="s">
        <v>137</v>
      </c>
      <c r="C115" s="187">
        <f>ROUND(ROUND(C114*C$5,2)/365*C$6,2)</f>
        <v>4.1399999999999997</v>
      </c>
      <c r="D115" s="187">
        <f>ROUND(ROUND(C117*D$5,2)/365*D$6,2)</f>
        <v>3.75</v>
      </c>
      <c r="E115" s="187">
        <f t="shared" ref="E115:L115" si="62">ROUND(ROUND(D117*E$5,2)/365*E$6,2)</f>
        <v>4.17</v>
      </c>
      <c r="F115" s="187">
        <f t="shared" si="62"/>
        <v>4.29</v>
      </c>
      <c r="G115" s="187">
        <f t="shared" si="62"/>
        <v>4.4400000000000004</v>
      </c>
      <c r="H115" s="187">
        <f t="shared" si="62"/>
        <v>4.3099999999999996</v>
      </c>
      <c r="I115" s="187">
        <f t="shared" si="62"/>
        <v>4.7699999999999996</v>
      </c>
      <c r="J115" s="187">
        <f t="shared" si="62"/>
        <v>4.79</v>
      </c>
      <c r="K115" s="187">
        <f t="shared" si="62"/>
        <v>4.6500000000000004</v>
      </c>
      <c r="L115" s="187">
        <f t="shared" si="62"/>
        <v>5.12</v>
      </c>
      <c r="M115" s="208">
        <f>ROUND(ROUND(K117*M$5,2)/365*M$6,2)</f>
        <v>0</v>
      </c>
      <c r="N115" s="108">
        <f>SUM(C115:M115)</f>
        <v>44.429999999999993</v>
      </c>
    </row>
    <row r="116" spans="1:14" x14ac:dyDescent="0.25">
      <c r="A116" s="87"/>
      <c r="B116" s="89" t="s">
        <v>138</v>
      </c>
      <c r="C116" s="189">
        <f>C115</f>
        <v>4.1399999999999997</v>
      </c>
      <c r="D116" s="189">
        <f t="shared" ref="D116" si="63">SUM(D114:D115)</f>
        <v>3.75</v>
      </c>
      <c r="E116" s="189">
        <f t="shared" ref="E116:M116" si="64">SUM(E114:E115)</f>
        <v>4.17</v>
      </c>
      <c r="F116" s="189">
        <f t="shared" si="64"/>
        <v>4.29</v>
      </c>
      <c r="G116" s="189">
        <f t="shared" si="64"/>
        <v>4.4400000000000004</v>
      </c>
      <c r="H116" s="189">
        <f t="shared" si="64"/>
        <v>4.3099999999999996</v>
      </c>
      <c r="I116" s="189">
        <f t="shared" si="64"/>
        <v>4.7699999999999996</v>
      </c>
      <c r="J116" s="189">
        <f t="shared" si="64"/>
        <v>4.79</v>
      </c>
      <c r="K116" s="189">
        <f t="shared" si="64"/>
        <v>4.6500000000000004</v>
      </c>
      <c r="L116" s="189">
        <f t="shared" si="64"/>
        <v>5.12</v>
      </c>
      <c r="M116" s="209">
        <f t="shared" si="64"/>
        <v>0</v>
      </c>
    </row>
    <row r="117" spans="1:14" x14ac:dyDescent="0.25">
      <c r="A117" s="87"/>
      <c r="B117" s="89" t="s">
        <v>139</v>
      </c>
      <c r="C117" s="90">
        <f>C116+C114</f>
        <v>1397.5900000000001</v>
      </c>
      <c r="D117" s="90">
        <f>C117+D116</f>
        <v>1401.3400000000001</v>
      </c>
      <c r="E117" s="90">
        <f t="shared" ref="E117:M117" si="65">D117+E116</f>
        <v>1405.5100000000002</v>
      </c>
      <c r="F117" s="90">
        <f t="shared" si="65"/>
        <v>1409.8000000000002</v>
      </c>
      <c r="G117" s="90">
        <f t="shared" si="65"/>
        <v>1414.2400000000002</v>
      </c>
      <c r="H117" s="90">
        <f t="shared" si="65"/>
        <v>1418.5500000000002</v>
      </c>
      <c r="I117" s="90">
        <f t="shared" si="65"/>
        <v>1423.3200000000002</v>
      </c>
      <c r="J117" s="90">
        <f t="shared" si="65"/>
        <v>1428.1100000000001</v>
      </c>
      <c r="K117" s="90">
        <f t="shared" si="65"/>
        <v>1432.7600000000002</v>
      </c>
      <c r="L117" s="90">
        <f t="shared" si="65"/>
        <v>1437.88</v>
      </c>
      <c r="M117" s="207">
        <f t="shared" si="65"/>
        <v>1437.88</v>
      </c>
    </row>
    <row r="118" spans="1:14" x14ac:dyDescent="0.25">
      <c r="A118" s="86"/>
      <c r="B118" s="89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207"/>
    </row>
    <row r="119" spans="1:14" x14ac:dyDescent="0.25">
      <c r="A119" s="86">
        <v>570</v>
      </c>
      <c r="B119" s="104" t="s">
        <v>88</v>
      </c>
      <c r="C119" s="113"/>
      <c r="D119" s="113"/>
      <c r="E119" s="108"/>
      <c r="F119" s="113"/>
      <c r="G119" s="113"/>
      <c r="H119" s="113"/>
      <c r="I119" s="113"/>
      <c r="J119" s="113"/>
      <c r="K119" s="113"/>
      <c r="L119" s="113"/>
      <c r="M119" s="204"/>
    </row>
    <row r="120" spans="1:14" x14ac:dyDescent="0.25">
      <c r="A120" s="87" t="s">
        <v>64</v>
      </c>
      <c r="B120" t="s">
        <v>65</v>
      </c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  <c r="M120" s="204"/>
    </row>
    <row r="121" spans="1:14" x14ac:dyDescent="0.25">
      <c r="A121" s="87" t="s">
        <v>71</v>
      </c>
      <c r="B121" t="s">
        <v>103</v>
      </c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206"/>
    </row>
    <row r="122" spans="1:14" x14ac:dyDescent="0.25">
      <c r="A122" s="87" t="s">
        <v>71</v>
      </c>
      <c r="B122" t="s">
        <v>104</v>
      </c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206"/>
    </row>
    <row r="123" spans="1:14" x14ac:dyDescent="0.25">
      <c r="A123" s="87" t="s">
        <v>72</v>
      </c>
      <c r="B123" t="s">
        <v>105</v>
      </c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  <c r="M123" s="206"/>
    </row>
    <row r="124" spans="1:14" x14ac:dyDescent="0.25">
      <c r="A124" s="87" t="s">
        <v>72</v>
      </c>
      <c r="B124" t="s">
        <v>106</v>
      </c>
      <c r="C124" s="116"/>
      <c r="D124" s="116"/>
      <c r="E124" s="116"/>
      <c r="F124" s="116"/>
      <c r="G124" s="116"/>
      <c r="H124" s="116"/>
      <c r="I124" s="116"/>
      <c r="J124" s="116"/>
      <c r="K124" s="116"/>
      <c r="L124" s="116"/>
      <c r="M124" s="206"/>
    </row>
    <row r="125" spans="1:14" x14ac:dyDescent="0.25">
      <c r="A125" s="87" t="s">
        <v>72</v>
      </c>
      <c r="B125" t="s">
        <v>107</v>
      </c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  <c r="M125" s="206"/>
    </row>
    <row r="126" spans="1:14" x14ac:dyDescent="0.25">
      <c r="A126" s="87" t="s">
        <v>72</v>
      </c>
      <c r="B126" t="s">
        <v>108</v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205"/>
    </row>
    <row r="127" spans="1:14" x14ac:dyDescent="0.25">
      <c r="A127" s="87"/>
      <c r="B127" s="89" t="s">
        <v>74</v>
      </c>
      <c r="C127" s="108">
        <f t="shared" ref="C127:E127" si="66">SUM(C121:C126)</f>
        <v>0</v>
      </c>
      <c r="D127" s="108">
        <f t="shared" si="66"/>
        <v>0</v>
      </c>
      <c r="E127" s="108">
        <f t="shared" si="66"/>
        <v>0</v>
      </c>
      <c r="F127" s="108">
        <f>SUM(F121:F126)</f>
        <v>0</v>
      </c>
      <c r="G127" s="108">
        <f t="shared" ref="G127:M127" si="67">SUM(G121:G126)</f>
        <v>0</v>
      </c>
      <c r="H127" s="108">
        <f t="shared" si="67"/>
        <v>0</v>
      </c>
      <c r="I127" s="108">
        <f t="shared" si="67"/>
        <v>0</v>
      </c>
      <c r="J127" s="108">
        <f t="shared" si="67"/>
        <v>0</v>
      </c>
      <c r="K127" s="108">
        <f t="shared" si="67"/>
        <v>0</v>
      </c>
      <c r="L127" s="108">
        <f t="shared" si="67"/>
        <v>0</v>
      </c>
      <c r="M127" s="206">
        <f t="shared" si="67"/>
        <v>0</v>
      </c>
    </row>
    <row r="128" spans="1:14" x14ac:dyDescent="0.25">
      <c r="A128" s="87"/>
      <c r="B128" s="89" t="s">
        <v>73</v>
      </c>
      <c r="C128" s="88"/>
      <c r="D128" s="88"/>
      <c r="E128" s="88"/>
      <c r="F128" s="88"/>
      <c r="G128" s="88"/>
      <c r="H128" s="88"/>
      <c r="I128" s="88"/>
      <c r="J128" s="88"/>
      <c r="K128" s="88"/>
      <c r="L128" s="88"/>
      <c r="M128" s="205">
        <f>ROUND(-'Authorized Margins'!G95*'WACAP 2017'!M120,2)</f>
        <v>0</v>
      </c>
    </row>
    <row r="129" spans="1:14" x14ac:dyDescent="0.25">
      <c r="A129" s="87"/>
      <c r="B129" s="89" t="s">
        <v>75</v>
      </c>
      <c r="C129" s="90">
        <f>-'WACAP 2016'!H116</f>
        <v>-13004.140000000003</v>
      </c>
      <c r="D129" s="90">
        <f t="shared" ref="D129" si="68">SUM(D127:D128)</f>
        <v>0</v>
      </c>
      <c r="E129" s="90">
        <f t="shared" ref="E129:L129" si="69">SUM(E127:E128)</f>
        <v>0</v>
      </c>
      <c r="F129" s="90">
        <f t="shared" si="69"/>
        <v>0</v>
      </c>
      <c r="G129" s="90">
        <f t="shared" si="69"/>
        <v>0</v>
      </c>
      <c r="H129" s="90">
        <f t="shared" si="69"/>
        <v>0</v>
      </c>
      <c r="I129" s="90">
        <f t="shared" si="69"/>
        <v>0</v>
      </c>
      <c r="J129" s="90">
        <f t="shared" si="69"/>
        <v>0</v>
      </c>
      <c r="K129" s="90">
        <f t="shared" si="69"/>
        <v>0</v>
      </c>
      <c r="L129" s="90">
        <f t="shared" si="69"/>
        <v>0</v>
      </c>
      <c r="M129" s="215"/>
    </row>
    <row r="130" spans="1:14" x14ac:dyDescent="0.25">
      <c r="A130" s="87"/>
      <c r="B130" s="89" t="s">
        <v>137</v>
      </c>
      <c r="C130" s="187">
        <f>ROUND(ROUND(C129*C$5,2)/365*C$6,2)</f>
        <v>-38.659999999999997</v>
      </c>
      <c r="D130" s="187">
        <f>ROUND(ROUND(C132*D$5,2)/365*D$6,2)</f>
        <v>-35.020000000000003</v>
      </c>
      <c r="E130" s="187">
        <f t="shared" ref="E130:L130" si="70">ROUND(ROUND(D132*E$5,2)/365*E$6,2)</f>
        <v>-38.869999999999997</v>
      </c>
      <c r="F130" s="187">
        <f t="shared" si="70"/>
        <v>-40</v>
      </c>
      <c r="G130" s="187">
        <f t="shared" si="70"/>
        <v>-41.46</v>
      </c>
      <c r="H130" s="187">
        <f t="shared" si="70"/>
        <v>-40.25</v>
      </c>
      <c r="I130" s="187">
        <f t="shared" si="70"/>
        <v>-44.52</v>
      </c>
      <c r="J130" s="187">
        <f t="shared" si="70"/>
        <v>-44.67</v>
      </c>
      <c r="K130" s="187">
        <f t="shared" si="70"/>
        <v>-43.38</v>
      </c>
      <c r="L130" s="187">
        <f t="shared" si="70"/>
        <v>-47.81</v>
      </c>
      <c r="M130" s="208">
        <f>ROUND(ROUND(K132*M$5,2)/365*M$6,2)</f>
        <v>0</v>
      </c>
      <c r="N130" s="108">
        <f>SUM(C130:M130)</f>
        <v>-414.64000000000004</v>
      </c>
    </row>
    <row r="131" spans="1:14" x14ac:dyDescent="0.25">
      <c r="A131" s="87"/>
      <c r="B131" s="89" t="s">
        <v>138</v>
      </c>
      <c r="C131" s="189">
        <f>C130</f>
        <v>-38.659999999999997</v>
      </c>
      <c r="D131" s="189">
        <f t="shared" ref="D131" si="71">SUM(D129:D130)</f>
        <v>-35.020000000000003</v>
      </c>
      <c r="E131" s="189">
        <f t="shared" ref="E131:M131" si="72">SUM(E129:E130)</f>
        <v>-38.869999999999997</v>
      </c>
      <c r="F131" s="189">
        <f t="shared" si="72"/>
        <v>-40</v>
      </c>
      <c r="G131" s="189">
        <f t="shared" si="72"/>
        <v>-41.46</v>
      </c>
      <c r="H131" s="189">
        <f t="shared" si="72"/>
        <v>-40.25</v>
      </c>
      <c r="I131" s="189">
        <f t="shared" si="72"/>
        <v>-44.52</v>
      </c>
      <c r="J131" s="189">
        <f t="shared" si="72"/>
        <v>-44.67</v>
      </c>
      <c r="K131" s="189">
        <f t="shared" si="72"/>
        <v>-43.38</v>
      </c>
      <c r="L131" s="189">
        <f t="shared" si="72"/>
        <v>-47.81</v>
      </c>
      <c r="M131" s="209">
        <f t="shared" si="72"/>
        <v>0</v>
      </c>
    </row>
    <row r="132" spans="1:14" x14ac:dyDescent="0.25">
      <c r="A132" s="87"/>
      <c r="B132" s="89" t="s">
        <v>139</v>
      </c>
      <c r="C132" s="90">
        <f>C131+C129</f>
        <v>-13042.800000000003</v>
      </c>
      <c r="D132" s="90">
        <f>C132+D131</f>
        <v>-13077.820000000003</v>
      </c>
      <c r="E132" s="90">
        <f t="shared" ref="E132:M132" si="73">D132+E131</f>
        <v>-13116.690000000004</v>
      </c>
      <c r="F132" s="90">
        <f t="shared" si="73"/>
        <v>-13156.690000000004</v>
      </c>
      <c r="G132" s="90">
        <f t="shared" si="73"/>
        <v>-13198.150000000003</v>
      </c>
      <c r="H132" s="90">
        <f t="shared" si="73"/>
        <v>-13238.400000000003</v>
      </c>
      <c r="I132" s="90">
        <f t="shared" si="73"/>
        <v>-13282.920000000004</v>
      </c>
      <c r="J132" s="90">
        <f t="shared" si="73"/>
        <v>-13327.590000000004</v>
      </c>
      <c r="K132" s="90">
        <f t="shared" si="73"/>
        <v>-13370.970000000003</v>
      </c>
      <c r="L132" s="90">
        <f t="shared" si="73"/>
        <v>-13418.780000000002</v>
      </c>
      <c r="M132" s="207">
        <f t="shared" si="73"/>
        <v>-13418.780000000002</v>
      </c>
    </row>
    <row r="133" spans="1:14" x14ac:dyDescent="0.25">
      <c r="A133" s="86"/>
      <c r="C133" s="113"/>
      <c r="D133" s="113"/>
      <c r="E133" s="108"/>
      <c r="F133" s="113"/>
      <c r="G133" s="113"/>
      <c r="H133" s="113"/>
      <c r="I133" s="113"/>
      <c r="J133" s="113"/>
      <c r="K133" s="113"/>
      <c r="L133" s="113"/>
      <c r="M133" s="204"/>
    </row>
    <row r="134" spans="1:14" x14ac:dyDescent="0.25">
      <c r="A134" s="86">
        <v>577</v>
      </c>
      <c r="B134" s="104" t="s">
        <v>88</v>
      </c>
      <c r="C134" s="113"/>
      <c r="D134" s="113"/>
      <c r="E134" s="108"/>
      <c r="F134" s="113"/>
      <c r="G134" s="113"/>
      <c r="H134" s="113"/>
      <c r="I134" s="113"/>
      <c r="J134" s="113"/>
      <c r="K134" s="113"/>
      <c r="L134" s="113"/>
      <c r="M134" s="204"/>
    </row>
    <row r="135" spans="1:14" x14ac:dyDescent="0.25">
      <c r="A135" s="87" t="s">
        <v>64</v>
      </c>
      <c r="B135" t="s">
        <v>65</v>
      </c>
      <c r="C135" s="105"/>
      <c r="D135" s="105"/>
      <c r="E135" s="105"/>
      <c r="F135" s="105"/>
      <c r="G135" s="105"/>
      <c r="H135" s="105"/>
      <c r="I135" s="105"/>
      <c r="J135" s="105"/>
      <c r="K135" s="105"/>
      <c r="L135" s="105"/>
      <c r="M135" s="204"/>
    </row>
    <row r="136" spans="1:14" x14ac:dyDescent="0.25">
      <c r="A136" s="87" t="s">
        <v>71</v>
      </c>
      <c r="B136" t="s">
        <v>109</v>
      </c>
      <c r="C136" s="116"/>
      <c r="D136" s="116"/>
      <c r="E136" s="116"/>
      <c r="F136" s="116"/>
      <c r="G136" s="116"/>
      <c r="H136" s="116"/>
      <c r="I136" s="116"/>
      <c r="J136" s="116"/>
      <c r="K136" s="116"/>
      <c r="L136" s="116"/>
      <c r="M136" s="206"/>
    </row>
    <row r="137" spans="1:14" x14ac:dyDescent="0.25">
      <c r="A137" s="87" t="s">
        <v>71</v>
      </c>
      <c r="B137" t="s">
        <v>96</v>
      </c>
      <c r="C137" s="116"/>
      <c r="D137" s="116"/>
      <c r="E137" s="116"/>
      <c r="F137" s="116"/>
      <c r="G137" s="116"/>
      <c r="H137" s="116"/>
      <c r="I137" s="116"/>
      <c r="J137" s="116"/>
      <c r="K137" s="116"/>
      <c r="L137" s="116"/>
      <c r="M137" s="206"/>
    </row>
    <row r="138" spans="1:14" x14ac:dyDescent="0.25">
      <c r="A138" s="87" t="s">
        <v>72</v>
      </c>
      <c r="B138" t="s">
        <v>110</v>
      </c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206"/>
    </row>
    <row r="139" spans="1:14" x14ac:dyDescent="0.25">
      <c r="A139" s="87" t="s">
        <v>72</v>
      </c>
      <c r="B139" t="s">
        <v>111</v>
      </c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206"/>
    </row>
    <row r="140" spans="1:14" x14ac:dyDescent="0.25">
      <c r="A140" s="87" t="s">
        <v>72</v>
      </c>
      <c r="B140" t="s">
        <v>112</v>
      </c>
      <c r="C140" s="116"/>
      <c r="D140" s="116"/>
      <c r="E140" s="116"/>
      <c r="F140" s="116"/>
      <c r="G140" s="116"/>
      <c r="H140" s="116"/>
      <c r="I140" s="116"/>
      <c r="J140" s="116"/>
      <c r="K140" s="116"/>
      <c r="L140" s="116"/>
      <c r="M140" s="206"/>
    </row>
    <row r="141" spans="1:14" x14ac:dyDescent="0.25">
      <c r="A141" s="87" t="s">
        <v>72</v>
      </c>
      <c r="B141" t="s">
        <v>113</v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205"/>
    </row>
    <row r="142" spans="1:14" x14ac:dyDescent="0.25">
      <c r="A142" s="4"/>
      <c r="B142" s="89" t="s">
        <v>74</v>
      </c>
      <c r="C142" s="108">
        <f t="shared" ref="C142:E142" si="74">SUM(C136:C141)</f>
        <v>0</v>
      </c>
      <c r="D142" s="108">
        <f t="shared" si="74"/>
        <v>0</v>
      </c>
      <c r="E142" s="108">
        <f t="shared" si="74"/>
        <v>0</v>
      </c>
      <c r="F142" s="108">
        <f>SUM(F136:F141)</f>
        <v>0</v>
      </c>
      <c r="G142" s="108">
        <f t="shared" ref="G142:M142" si="75">SUM(G136:G141)</f>
        <v>0</v>
      </c>
      <c r="H142" s="108">
        <f t="shared" si="75"/>
        <v>0</v>
      </c>
      <c r="I142" s="108">
        <f t="shared" si="75"/>
        <v>0</v>
      </c>
      <c r="J142" s="108">
        <f t="shared" si="75"/>
        <v>0</v>
      </c>
      <c r="K142" s="108">
        <f t="shared" si="75"/>
        <v>0</v>
      </c>
      <c r="L142" s="108">
        <f t="shared" si="75"/>
        <v>0</v>
      </c>
      <c r="M142" s="206">
        <f t="shared" si="75"/>
        <v>0</v>
      </c>
    </row>
    <row r="143" spans="1:14" x14ac:dyDescent="0.25">
      <c r="A143" s="4"/>
      <c r="B143" s="89" t="s">
        <v>73</v>
      </c>
      <c r="C143" s="88"/>
      <c r="D143" s="88"/>
      <c r="E143" s="88"/>
      <c r="F143" s="88"/>
      <c r="G143" s="88"/>
      <c r="H143" s="88"/>
      <c r="I143" s="88"/>
      <c r="J143" s="88"/>
      <c r="K143" s="88"/>
      <c r="L143" s="88"/>
      <c r="M143" s="205">
        <f>ROUND(-'Authorized Margins'!G105*'WACAP 2017'!M135,2)</f>
        <v>0</v>
      </c>
    </row>
    <row r="144" spans="1:14" x14ac:dyDescent="0.25">
      <c r="A144" s="4"/>
      <c r="B144" s="89" t="s">
        <v>75</v>
      </c>
      <c r="C144" s="90">
        <f>-'WACAP 2016'!H131</f>
        <v>-193.0599999999998</v>
      </c>
      <c r="D144" s="90">
        <f t="shared" ref="D144" si="76">SUM(D142:D143)</f>
        <v>0</v>
      </c>
      <c r="E144" s="90">
        <f t="shared" ref="E144:L144" si="77">SUM(E142:E143)</f>
        <v>0</v>
      </c>
      <c r="F144" s="90">
        <f t="shared" si="77"/>
        <v>0</v>
      </c>
      <c r="G144" s="90">
        <f t="shared" si="77"/>
        <v>0</v>
      </c>
      <c r="H144" s="90">
        <f t="shared" si="77"/>
        <v>0</v>
      </c>
      <c r="I144" s="90">
        <f t="shared" si="77"/>
        <v>0</v>
      </c>
      <c r="J144" s="90">
        <f t="shared" si="77"/>
        <v>0</v>
      </c>
      <c r="K144" s="90">
        <f t="shared" si="77"/>
        <v>0</v>
      </c>
      <c r="L144" s="90">
        <f t="shared" si="77"/>
        <v>0</v>
      </c>
      <c r="M144" s="207"/>
    </row>
    <row r="145" spans="1:14" x14ac:dyDescent="0.25">
      <c r="A145" s="87"/>
      <c r="B145" s="89" t="s">
        <v>137</v>
      </c>
      <c r="C145" s="187">
        <f>ROUND(ROUND(C144*C$5,2)/365*C$6,2)</f>
        <v>-0.56999999999999995</v>
      </c>
      <c r="D145" s="187">
        <f>ROUND(ROUND(C147*D$5,2)/365*D$6,2)</f>
        <v>-0.52</v>
      </c>
      <c r="E145" s="187">
        <f t="shared" ref="E145:K145" si="78">ROUND(ROUND(D147*E$5,2)/365*E$6,2)</f>
        <v>-0.57999999999999996</v>
      </c>
      <c r="F145" s="187">
        <f t="shared" si="78"/>
        <v>-0.59</v>
      </c>
      <c r="G145" s="187">
        <f t="shared" si="78"/>
        <v>-0.62</v>
      </c>
      <c r="H145" s="187">
        <f t="shared" si="78"/>
        <v>-0.6</v>
      </c>
      <c r="I145" s="187">
        <f t="shared" si="78"/>
        <v>-0.66</v>
      </c>
      <c r="J145" s="187">
        <f t="shared" si="78"/>
        <v>-0.66</v>
      </c>
      <c r="K145" s="187">
        <f t="shared" si="78"/>
        <v>-0.64</v>
      </c>
      <c r="L145" s="187">
        <f>ROUND(ROUND(K147*L$5,2)/365*L$6,2)</f>
        <v>-0.71</v>
      </c>
      <c r="M145" s="208">
        <f>ROUND(ROUND(K147*M$5,2)/365*M$6,2)</f>
        <v>0</v>
      </c>
      <c r="N145" s="108">
        <f>SUM(C145:M145)</f>
        <v>-6.1499999999999995</v>
      </c>
    </row>
    <row r="146" spans="1:14" x14ac:dyDescent="0.25">
      <c r="A146" s="87"/>
      <c r="B146" s="89" t="s">
        <v>138</v>
      </c>
      <c r="C146" s="189">
        <f>C145</f>
        <v>-0.56999999999999995</v>
      </c>
      <c r="D146" s="189">
        <f t="shared" ref="D146" si="79">SUM(D144:D145)</f>
        <v>-0.52</v>
      </c>
      <c r="E146" s="189">
        <f t="shared" ref="E146:M146" si="80">SUM(E144:E145)</f>
        <v>-0.57999999999999996</v>
      </c>
      <c r="F146" s="189">
        <f t="shared" si="80"/>
        <v>-0.59</v>
      </c>
      <c r="G146" s="189">
        <f t="shared" si="80"/>
        <v>-0.62</v>
      </c>
      <c r="H146" s="189">
        <f t="shared" si="80"/>
        <v>-0.6</v>
      </c>
      <c r="I146" s="189">
        <f t="shared" si="80"/>
        <v>-0.66</v>
      </c>
      <c r="J146" s="189">
        <f t="shared" si="80"/>
        <v>-0.66</v>
      </c>
      <c r="K146" s="189">
        <f t="shared" si="80"/>
        <v>-0.64</v>
      </c>
      <c r="L146" s="189">
        <f t="shared" si="80"/>
        <v>-0.71</v>
      </c>
      <c r="M146" s="209">
        <f t="shared" si="80"/>
        <v>0</v>
      </c>
    </row>
    <row r="147" spans="1:14" x14ac:dyDescent="0.25">
      <c r="A147" s="87"/>
      <c r="B147" s="89" t="s">
        <v>139</v>
      </c>
      <c r="C147" s="90">
        <f>C146+C144</f>
        <v>-193.6299999999998</v>
      </c>
      <c r="D147" s="90">
        <f>C147+D146</f>
        <v>-194.14999999999981</v>
      </c>
      <c r="E147" s="90">
        <f t="shared" ref="E147:L147" si="81">D147+E146</f>
        <v>-194.72999999999982</v>
      </c>
      <c r="F147" s="90">
        <f t="shared" si="81"/>
        <v>-195.31999999999982</v>
      </c>
      <c r="G147" s="90">
        <f t="shared" si="81"/>
        <v>-195.93999999999983</v>
      </c>
      <c r="H147" s="90">
        <f t="shared" si="81"/>
        <v>-196.53999999999982</v>
      </c>
      <c r="I147" s="90">
        <f t="shared" si="81"/>
        <v>-197.19999999999982</v>
      </c>
      <c r="J147" s="90">
        <f t="shared" si="81"/>
        <v>-197.85999999999981</v>
      </c>
      <c r="K147" s="90">
        <f t="shared" si="81"/>
        <v>-198.4999999999998</v>
      </c>
      <c r="L147" s="90">
        <f t="shared" si="81"/>
        <v>-199.20999999999981</v>
      </c>
      <c r="M147" s="207">
        <f>L147+M146</f>
        <v>-199.20999999999981</v>
      </c>
    </row>
    <row r="148" spans="1:14" ht="15.75" thickBot="1" x14ac:dyDescent="0.3">
      <c r="A148" s="118"/>
      <c r="B148" s="119"/>
      <c r="C148" s="119"/>
      <c r="D148" s="119"/>
      <c r="E148" s="176"/>
      <c r="F148" s="119"/>
      <c r="G148" s="119"/>
      <c r="H148" s="119"/>
      <c r="I148" s="119"/>
      <c r="J148" s="119"/>
      <c r="K148" s="119"/>
      <c r="L148" s="119"/>
      <c r="M148" s="211"/>
    </row>
    <row r="149" spans="1:14" x14ac:dyDescent="0.25">
      <c r="E149" s="108"/>
      <c r="M149" s="203"/>
    </row>
    <row r="150" spans="1:14" x14ac:dyDescent="0.25">
      <c r="B150" s="89" t="s">
        <v>89</v>
      </c>
      <c r="C150" s="90">
        <f t="shared" ref="C150:M150" si="82">C12+C24+C62+C74+C37+C114+C50+C89+C99+C129+C144</f>
        <v>-189010.88999999798</v>
      </c>
      <c r="D150" s="90">
        <f t="shared" si="82"/>
        <v>0</v>
      </c>
      <c r="E150" s="90">
        <f t="shared" si="82"/>
        <v>0</v>
      </c>
      <c r="F150" s="90">
        <f t="shared" si="82"/>
        <v>0</v>
      </c>
      <c r="G150" s="90">
        <f t="shared" si="82"/>
        <v>0</v>
      </c>
      <c r="H150" s="90">
        <f t="shared" si="82"/>
        <v>0</v>
      </c>
      <c r="I150" s="90">
        <f t="shared" si="82"/>
        <v>0</v>
      </c>
      <c r="J150" s="90">
        <f t="shared" si="82"/>
        <v>0</v>
      </c>
      <c r="K150" s="90">
        <f t="shared" si="82"/>
        <v>0</v>
      </c>
      <c r="L150" s="90">
        <f t="shared" si="82"/>
        <v>0</v>
      </c>
      <c r="M150" s="207">
        <f t="shared" si="82"/>
        <v>0</v>
      </c>
    </row>
    <row r="151" spans="1:14" x14ac:dyDescent="0.25">
      <c r="B151" s="89" t="s">
        <v>141</v>
      </c>
      <c r="C151" s="216">
        <f>C13+C25+C63+C75+C38+C115+C51+C90+C100+C130+C145</f>
        <v>-561.84000000000015</v>
      </c>
      <c r="D151" s="216">
        <f t="shared" ref="D151:L151" si="83">D13+D25+D63+D75+D38+D115+D51+D90+D100+D130+D145</f>
        <v>-508.98999999999995</v>
      </c>
      <c r="E151" s="216">
        <f t="shared" si="83"/>
        <v>-565.0300000000002</v>
      </c>
      <c r="F151" s="216">
        <f t="shared" si="83"/>
        <v>-581.33000000000004</v>
      </c>
      <c r="G151" s="216">
        <f t="shared" si="83"/>
        <v>-602.56000000000006</v>
      </c>
      <c r="H151" s="216">
        <f t="shared" si="83"/>
        <v>-584.96</v>
      </c>
      <c r="I151" s="216">
        <f t="shared" si="83"/>
        <v>-647.14</v>
      </c>
      <c r="J151" s="216">
        <f t="shared" si="83"/>
        <v>-649.32999999999993</v>
      </c>
      <c r="K151" s="216">
        <f t="shared" si="83"/>
        <v>-630.49</v>
      </c>
      <c r="L151" s="216">
        <f t="shared" si="83"/>
        <v>-694.91000000000008</v>
      </c>
      <c r="M151" s="208">
        <v>-6026.58</v>
      </c>
    </row>
    <row r="152" spans="1:14" x14ac:dyDescent="0.25">
      <c r="B152" s="89" t="s">
        <v>139</v>
      </c>
      <c r="C152" s="90">
        <f>SUM(C150:C151)</f>
        <v>-189572.72999999797</v>
      </c>
      <c r="D152" s="90">
        <f t="shared" ref="D152:K152" si="84">SUM(D150:D151)+C152</f>
        <v>-190081.71999999796</v>
      </c>
      <c r="E152" s="90">
        <f t="shared" si="84"/>
        <v>-190646.74999999796</v>
      </c>
      <c r="F152" s="90">
        <f t="shared" si="84"/>
        <v>-191228.07999999795</v>
      </c>
      <c r="G152" s="90">
        <f t="shared" si="84"/>
        <v>-191830.63999999795</v>
      </c>
      <c r="H152" s="90">
        <f t="shared" si="84"/>
        <v>-192415.59999999794</v>
      </c>
      <c r="I152" s="90">
        <f t="shared" si="84"/>
        <v>-193062.73999999795</v>
      </c>
      <c r="J152" s="90">
        <f t="shared" si="84"/>
        <v>-193712.06999999794</v>
      </c>
      <c r="K152" s="90">
        <f t="shared" si="84"/>
        <v>-194342.55999999793</v>
      </c>
      <c r="L152" s="90">
        <f>SUM(L150:L151)+K152</f>
        <v>-195037.46999999793</v>
      </c>
      <c r="M152" s="207">
        <f>SUM(M150:M151)</f>
        <v>-6026.58</v>
      </c>
      <c r="N152" s="90">
        <f>SUM(N5:N151)</f>
        <v>-6026.58</v>
      </c>
    </row>
    <row r="153" spans="1:14" x14ac:dyDescent="0.25">
      <c r="B153" s="89"/>
      <c r="C153" s="187"/>
      <c r="D153" s="90"/>
      <c r="E153" s="90"/>
      <c r="F153" s="90"/>
      <c r="G153" s="90"/>
      <c r="H153" s="90"/>
      <c r="I153" s="90"/>
      <c r="J153" s="90"/>
      <c r="K153" s="90"/>
      <c r="L153" s="90"/>
      <c r="M153" s="207"/>
    </row>
    <row r="154" spans="1:14" x14ac:dyDescent="0.25">
      <c r="A154" s="696" t="s">
        <v>76</v>
      </c>
      <c r="E154" s="108"/>
      <c r="M154" s="203"/>
    </row>
    <row r="155" spans="1:14" ht="15.75" x14ac:dyDescent="0.25">
      <c r="A155" s="697"/>
      <c r="B155" s="93"/>
      <c r="C155" s="121">
        <v>42766</v>
      </c>
      <c r="D155" s="121">
        <v>42794</v>
      </c>
      <c r="E155" s="121">
        <v>42825</v>
      </c>
      <c r="F155" s="121">
        <v>42855</v>
      </c>
      <c r="G155" s="121">
        <v>42886</v>
      </c>
      <c r="H155" s="121">
        <v>42916</v>
      </c>
      <c r="I155" s="121">
        <v>42947</v>
      </c>
      <c r="J155" s="121">
        <v>42978</v>
      </c>
      <c r="K155" s="121">
        <v>43008</v>
      </c>
      <c r="L155" s="121">
        <v>43039</v>
      </c>
      <c r="M155" s="212">
        <v>43069</v>
      </c>
    </row>
    <row r="156" spans="1:14" ht="15.75" x14ac:dyDescent="0.25">
      <c r="A156" s="96" t="s">
        <v>127</v>
      </c>
      <c r="B156" s="97" t="s">
        <v>79</v>
      </c>
      <c r="C156" s="99">
        <f>-C150</f>
        <v>189010.88999999798</v>
      </c>
      <c r="D156" s="99">
        <f t="shared" ref="D156:M156" si="85">-D150</f>
        <v>0</v>
      </c>
      <c r="E156" s="99">
        <f t="shared" si="85"/>
        <v>0</v>
      </c>
      <c r="F156" s="99">
        <f t="shared" si="85"/>
        <v>0</v>
      </c>
      <c r="G156" s="99">
        <f t="shared" si="85"/>
        <v>0</v>
      </c>
      <c r="H156" s="99">
        <f t="shared" si="85"/>
        <v>0</v>
      </c>
      <c r="I156" s="99">
        <f t="shared" si="85"/>
        <v>0</v>
      </c>
      <c r="J156" s="99">
        <f t="shared" si="85"/>
        <v>0</v>
      </c>
      <c r="K156" s="99">
        <f t="shared" si="85"/>
        <v>0</v>
      </c>
      <c r="L156" s="99">
        <f t="shared" si="85"/>
        <v>0</v>
      </c>
      <c r="M156" s="213">
        <f t="shared" si="85"/>
        <v>0</v>
      </c>
    </row>
    <row r="157" spans="1:14" ht="15.75" x14ac:dyDescent="0.25">
      <c r="A157" s="92" t="s">
        <v>128</v>
      </c>
      <c r="B157" s="94" t="s">
        <v>77</v>
      </c>
      <c r="C157" s="99">
        <f>C12+C24</f>
        <v>-160161.65999999834</v>
      </c>
      <c r="D157" s="99">
        <f t="shared" ref="D157:M157" si="86">D12+D24</f>
        <v>0</v>
      </c>
      <c r="E157" s="99">
        <f t="shared" si="86"/>
        <v>0</v>
      </c>
      <c r="F157" s="99">
        <f t="shared" si="86"/>
        <v>0</v>
      </c>
      <c r="G157" s="99">
        <f t="shared" si="86"/>
        <v>0</v>
      </c>
      <c r="H157" s="99">
        <f t="shared" si="86"/>
        <v>0</v>
      </c>
      <c r="I157" s="99">
        <f t="shared" si="86"/>
        <v>0</v>
      </c>
      <c r="J157" s="99">
        <f t="shared" si="86"/>
        <v>0</v>
      </c>
      <c r="K157" s="99">
        <f t="shared" si="86"/>
        <v>0</v>
      </c>
      <c r="L157" s="99">
        <f t="shared" si="86"/>
        <v>0</v>
      </c>
      <c r="M157" s="213">
        <f t="shared" si="86"/>
        <v>0</v>
      </c>
    </row>
    <row r="158" spans="1:14" ht="15.75" x14ac:dyDescent="0.25">
      <c r="A158" s="92" t="s">
        <v>129</v>
      </c>
      <c r="B158" s="94" t="s">
        <v>80</v>
      </c>
      <c r="C158" s="99">
        <f>C37+C50</f>
        <v>9269.5399999999936</v>
      </c>
      <c r="D158" s="99">
        <f t="shared" ref="D158:M158" si="87">D37+D50</f>
        <v>0</v>
      </c>
      <c r="E158" s="99">
        <f t="shared" si="87"/>
        <v>0</v>
      </c>
      <c r="F158" s="99">
        <f t="shared" si="87"/>
        <v>0</v>
      </c>
      <c r="G158" s="99">
        <f t="shared" si="87"/>
        <v>0</v>
      </c>
      <c r="H158" s="99">
        <f t="shared" si="87"/>
        <v>0</v>
      </c>
      <c r="I158" s="99">
        <f t="shared" si="87"/>
        <v>0</v>
      </c>
      <c r="J158" s="99">
        <f t="shared" si="87"/>
        <v>0</v>
      </c>
      <c r="K158" s="99">
        <f t="shared" si="87"/>
        <v>0</v>
      </c>
      <c r="L158" s="99">
        <f t="shared" si="87"/>
        <v>0</v>
      </c>
      <c r="M158" s="213">
        <f t="shared" si="87"/>
        <v>0</v>
      </c>
    </row>
    <row r="159" spans="1:14" ht="15.75" x14ac:dyDescent="0.25">
      <c r="A159" s="92" t="s">
        <v>130</v>
      </c>
      <c r="B159" s="94" t="s">
        <v>78</v>
      </c>
      <c r="C159" s="99">
        <f>C62+C74+C89+C99</f>
        <v>-26315.019999999618</v>
      </c>
      <c r="D159" s="99">
        <f t="shared" ref="D159:M159" si="88">D62+D74+D89+D99</f>
        <v>0</v>
      </c>
      <c r="E159" s="99">
        <f t="shared" si="88"/>
        <v>0</v>
      </c>
      <c r="F159" s="99">
        <f t="shared" si="88"/>
        <v>0</v>
      </c>
      <c r="G159" s="99">
        <f t="shared" si="88"/>
        <v>0</v>
      </c>
      <c r="H159" s="99">
        <f t="shared" si="88"/>
        <v>0</v>
      </c>
      <c r="I159" s="99">
        <f t="shared" si="88"/>
        <v>0</v>
      </c>
      <c r="J159" s="99">
        <f t="shared" si="88"/>
        <v>0</v>
      </c>
      <c r="K159" s="99">
        <f t="shared" si="88"/>
        <v>0</v>
      </c>
      <c r="L159" s="99">
        <f t="shared" si="88"/>
        <v>0</v>
      </c>
      <c r="M159" s="213">
        <f t="shared" si="88"/>
        <v>0</v>
      </c>
    </row>
    <row r="160" spans="1:14" ht="15.75" x14ac:dyDescent="0.25">
      <c r="A160" s="92" t="s">
        <v>131</v>
      </c>
      <c r="B160" s="94" t="s">
        <v>81</v>
      </c>
      <c r="C160" s="99">
        <f t="shared" ref="C160:M160" si="89">C114</f>
        <v>1393.45</v>
      </c>
      <c r="D160" s="99">
        <f t="shared" si="89"/>
        <v>0</v>
      </c>
      <c r="E160" s="99">
        <f t="shared" si="89"/>
        <v>0</v>
      </c>
      <c r="F160" s="99">
        <f t="shared" si="89"/>
        <v>0</v>
      </c>
      <c r="G160" s="99">
        <f t="shared" si="89"/>
        <v>0</v>
      </c>
      <c r="H160" s="99">
        <f t="shared" si="89"/>
        <v>0</v>
      </c>
      <c r="I160" s="99">
        <f t="shared" si="89"/>
        <v>0</v>
      </c>
      <c r="J160" s="99">
        <f t="shared" si="89"/>
        <v>0</v>
      </c>
      <c r="K160" s="99">
        <f t="shared" si="89"/>
        <v>0</v>
      </c>
      <c r="L160" s="99">
        <f t="shared" si="89"/>
        <v>0</v>
      </c>
      <c r="M160" s="213">
        <f t="shared" si="89"/>
        <v>0</v>
      </c>
    </row>
    <row r="161" spans="1:13" ht="15.75" x14ac:dyDescent="0.25">
      <c r="A161" s="98" t="s">
        <v>132</v>
      </c>
      <c r="B161" s="91" t="s">
        <v>82</v>
      </c>
      <c r="C161" s="100">
        <f t="shared" ref="C161:M161" si="90">C129+C144</f>
        <v>-13197.200000000003</v>
      </c>
      <c r="D161" s="100">
        <f t="shared" si="90"/>
        <v>0</v>
      </c>
      <c r="E161" s="100">
        <f t="shared" si="90"/>
        <v>0</v>
      </c>
      <c r="F161" s="100">
        <f t="shared" si="90"/>
        <v>0</v>
      </c>
      <c r="G161" s="100">
        <f t="shared" si="90"/>
        <v>0</v>
      </c>
      <c r="H161" s="100">
        <f t="shared" si="90"/>
        <v>0</v>
      </c>
      <c r="I161" s="100">
        <f t="shared" si="90"/>
        <v>0</v>
      </c>
      <c r="J161" s="100">
        <f t="shared" si="90"/>
        <v>0</v>
      </c>
      <c r="K161" s="100">
        <f t="shared" si="90"/>
        <v>0</v>
      </c>
      <c r="L161" s="100">
        <f t="shared" si="90"/>
        <v>0</v>
      </c>
      <c r="M161" s="214">
        <f t="shared" si="90"/>
        <v>0</v>
      </c>
    </row>
    <row r="162" spans="1:13" ht="15.75" x14ac:dyDescent="0.25">
      <c r="A162" s="92"/>
      <c r="B162" s="94"/>
    </row>
  </sheetData>
  <mergeCells count="4">
    <mergeCell ref="A1:M1"/>
    <mergeCell ref="A2:M2"/>
    <mergeCell ref="A3:M3"/>
    <mergeCell ref="A154:A155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147"/>
  <sheetViews>
    <sheetView workbookViewId="0">
      <selection sqref="A1:F1"/>
    </sheetView>
  </sheetViews>
  <sheetFormatPr defaultRowHeight="15" x14ac:dyDescent="0.25"/>
  <cols>
    <col min="1" max="1" width="24.7109375" bestFit="1" customWidth="1"/>
    <col min="2" max="2" width="65.7109375" bestFit="1" customWidth="1"/>
    <col min="3" max="4" width="14" bestFit="1" customWidth="1"/>
    <col min="5" max="5" width="14" customWidth="1"/>
    <col min="6" max="6" width="15" bestFit="1" customWidth="1"/>
    <col min="7" max="7" width="1.7109375" customWidth="1"/>
    <col min="8" max="8" width="12.28515625" customWidth="1"/>
    <col min="9" max="9" width="1.7109375" customWidth="1"/>
    <col min="10" max="10" width="18.7109375" bestFit="1" customWidth="1"/>
    <col min="11" max="11" width="13.28515625" bestFit="1" customWidth="1"/>
    <col min="12" max="12" width="14.28515625" bestFit="1" customWidth="1"/>
    <col min="13" max="13" width="13.28515625" bestFit="1" customWidth="1"/>
    <col min="14" max="14" width="11.5703125" bestFit="1" customWidth="1"/>
    <col min="15" max="15" width="3.140625" customWidth="1"/>
    <col min="17" max="17" width="3.85546875" customWidth="1"/>
    <col min="18" max="18" width="9.7109375" bestFit="1" customWidth="1"/>
  </cols>
  <sheetData>
    <row r="1" spans="1:18" ht="18.75" x14ac:dyDescent="0.3">
      <c r="A1" s="676" t="s">
        <v>67</v>
      </c>
      <c r="B1" s="676"/>
      <c r="C1" s="676"/>
      <c r="D1" s="676"/>
      <c r="E1" s="676"/>
      <c r="F1" s="676"/>
    </row>
    <row r="2" spans="1:18" ht="21" x14ac:dyDescent="0.35">
      <c r="A2" s="681" t="s">
        <v>69</v>
      </c>
      <c r="B2" s="681"/>
      <c r="C2" s="681"/>
      <c r="D2" s="681"/>
      <c r="E2" s="681"/>
      <c r="F2" s="681"/>
    </row>
    <row r="3" spans="1:18" ht="18" thickBot="1" x14ac:dyDescent="0.35">
      <c r="A3" s="693" t="s">
        <v>68</v>
      </c>
      <c r="B3" s="693"/>
      <c r="C3" s="693"/>
      <c r="D3" s="693"/>
      <c r="E3" s="693"/>
      <c r="F3" s="693"/>
    </row>
    <row r="4" spans="1:18" ht="15.75" x14ac:dyDescent="0.25">
      <c r="A4" s="101" t="s">
        <v>66</v>
      </c>
      <c r="B4" s="102"/>
      <c r="C4" s="103">
        <v>42643</v>
      </c>
      <c r="D4" s="103">
        <v>42674</v>
      </c>
      <c r="E4" s="103">
        <v>42704</v>
      </c>
      <c r="F4" s="177">
        <v>42735</v>
      </c>
      <c r="H4" s="182" t="s">
        <v>135</v>
      </c>
    </row>
    <row r="5" spans="1:18" x14ac:dyDescent="0.25">
      <c r="A5" s="4"/>
      <c r="B5" s="89" t="s">
        <v>136</v>
      </c>
      <c r="C5" s="185">
        <v>3.5000000000000003E-2</v>
      </c>
      <c r="D5" s="185">
        <v>3.5000000000000003E-2</v>
      </c>
      <c r="E5" s="185">
        <v>3.5000000000000003E-2</v>
      </c>
      <c r="F5" s="186">
        <v>3.5000000000000003E-2</v>
      </c>
      <c r="H5" s="178"/>
    </row>
    <row r="6" spans="1:18" x14ac:dyDescent="0.25">
      <c r="A6" s="4"/>
      <c r="B6" s="89" t="s">
        <v>140</v>
      </c>
      <c r="C6" s="192">
        <v>30</v>
      </c>
      <c r="D6" s="192">
        <v>31</v>
      </c>
      <c r="E6" s="192">
        <v>30</v>
      </c>
      <c r="F6" s="195">
        <v>31</v>
      </c>
      <c r="H6" s="178"/>
    </row>
    <row r="7" spans="1:18" x14ac:dyDescent="0.25">
      <c r="A7" s="86">
        <v>502</v>
      </c>
      <c r="B7" s="104" t="s">
        <v>84</v>
      </c>
      <c r="F7" s="6"/>
      <c r="H7" s="178"/>
      <c r="K7">
        <v>502</v>
      </c>
      <c r="P7" t="s">
        <v>93</v>
      </c>
      <c r="R7" t="s">
        <v>94</v>
      </c>
    </row>
    <row r="8" spans="1:18" x14ac:dyDescent="0.25">
      <c r="A8" s="87" t="s">
        <v>64</v>
      </c>
      <c r="B8" t="s">
        <v>65</v>
      </c>
      <c r="C8" s="105">
        <v>527</v>
      </c>
      <c r="D8" s="105">
        <v>571</v>
      </c>
      <c r="E8" s="105">
        <v>610</v>
      </c>
      <c r="F8" s="106">
        <v>625</v>
      </c>
      <c r="H8" s="178"/>
      <c r="L8" s="113">
        <v>70211</v>
      </c>
      <c r="M8" t="s">
        <v>92</v>
      </c>
      <c r="N8" s="113">
        <f>L8</f>
        <v>70211</v>
      </c>
    </row>
    <row r="9" spans="1:18" x14ac:dyDescent="0.25">
      <c r="A9" s="87" t="s">
        <v>71</v>
      </c>
      <c r="B9" t="s">
        <v>70</v>
      </c>
      <c r="C9" s="95">
        <f>ROUND(1822*0.07717,2)+ROUND(2514*0.09183,2)</f>
        <v>371.46000000000004</v>
      </c>
      <c r="D9" s="95">
        <v>1065.96</v>
      </c>
      <c r="E9" s="95">
        <v>2511.75</v>
      </c>
      <c r="F9" s="107">
        <v>6447.61</v>
      </c>
      <c r="H9" s="178"/>
      <c r="J9" s="122" t="s">
        <v>90</v>
      </c>
      <c r="K9" s="108">
        <v>6447.61</v>
      </c>
      <c r="L9" s="112">
        <f>K9/L8</f>
        <v>9.1831906681289252E-2</v>
      </c>
      <c r="N9" s="112">
        <f>K9/N8</f>
        <v>9.1831906681289252E-2</v>
      </c>
      <c r="P9">
        <v>9.1829999999999995E-2</v>
      </c>
      <c r="R9" s="112">
        <f>P9-N9</f>
        <v>-1.9066812892570839E-6</v>
      </c>
    </row>
    <row r="10" spans="1:18" x14ac:dyDescent="0.25">
      <c r="A10" s="87"/>
      <c r="B10" s="89" t="s">
        <v>74</v>
      </c>
      <c r="C10" s="108">
        <f>C9</f>
        <v>371.46000000000004</v>
      </c>
      <c r="D10" s="108">
        <f t="shared" ref="D10" si="0">D9</f>
        <v>1065.96</v>
      </c>
      <c r="E10" s="108">
        <f t="shared" ref="E10" si="1">E9</f>
        <v>2511.75</v>
      </c>
      <c r="F10" s="109">
        <f t="shared" ref="F10" si="2">F9</f>
        <v>6447.61</v>
      </c>
      <c r="H10" s="178"/>
      <c r="J10" s="122" t="s">
        <v>91</v>
      </c>
      <c r="K10" s="108">
        <v>33017.25</v>
      </c>
      <c r="L10" s="112">
        <f>K10/L8</f>
        <v>0.4702575095070573</v>
      </c>
      <c r="N10" s="112">
        <f>K10/N8</f>
        <v>0.4702575095070573</v>
      </c>
      <c r="P10">
        <v>0.47028999999999999</v>
      </c>
      <c r="R10" s="112">
        <f>P10-N10</f>
        <v>3.2490492942682803E-5</v>
      </c>
    </row>
    <row r="11" spans="1:18" x14ac:dyDescent="0.25">
      <c r="A11" s="87"/>
      <c r="B11" s="89" t="s">
        <v>73</v>
      </c>
      <c r="C11" s="88">
        <f>ROUND(-'Authorized Margins'!F35*'WACAP 2016'!C8,2)</f>
        <v>-405.79</v>
      </c>
      <c r="D11" s="88">
        <f>ROUND(-'Authorized Margins'!G35*'WACAP 2016'!D8,2)</f>
        <v>-765.14</v>
      </c>
      <c r="E11" s="88">
        <f>ROUND(-'Authorized Margins'!H35*'WACAP 2016'!E8,2)</f>
        <v>-2482.6999999999998</v>
      </c>
      <c r="F11" s="110">
        <f>ROUND(-'Authorized Margins'!I35*'WACAP 2016'!F8,2)</f>
        <v>-6043.75</v>
      </c>
      <c r="H11" s="178"/>
    </row>
    <row r="12" spans="1:18" x14ac:dyDescent="0.25">
      <c r="A12" s="87"/>
      <c r="B12" s="89" t="s">
        <v>75</v>
      </c>
      <c r="C12" s="90">
        <f>SUM(C10:C11)</f>
        <v>-34.329999999999984</v>
      </c>
      <c r="D12" s="90">
        <f>SUM(D10:D11)</f>
        <v>300.82000000000005</v>
      </c>
      <c r="E12" s="90">
        <f>SUM(E10:E11)</f>
        <v>29.050000000000182</v>
      </c>
      <c r="F12" s="111">
        <f>SUM(F10:F11)</f>
        <v>403.85999999999967</v>
      </c>
      <c r="H12" s="180">
        <f>SUM(C12:G12)</f>
        <v>699.39999999999986</v>
      </c>
    </row>
    <row r="13" spans="1:18" x14ac:dyDescent="0.25">
      <c r="A13" s="87"/>
      <c r="B13" s="89" t="s">
        <v>137</v>
      </c>
      <c r="C13" s="187"/>
      <c r="D13" s="187">
        <f>ROUND(ROUND(C15*D$5,2)/365*D$6,2)</f>
        <v>-0.1</v>
      </c>
      <c r="E13" s="187">
        <f>ROUND(ROUND(D15*E$5,2)/365*E$6,2)</f>
        <v>0.77</v>
      </c>
      <c r="F13" s="188">
        <f>ROUND(ROUND(E15*F$5,2)/365*F$6,2)</f>
        <v>0.88</v>
      </c>
      <c r="H13" s="196">
        <f>SUM(C13:G13)</f>
        <v>1.55</v>
      </c>
    </row>
    <row r="14" spans="1:18" x14ac:dyDescent="0.25">
      <c r="A14" s="87"/>
      <c r="B14" s="89" t="s">
        <v>138</v>
      </c>
      <c r="C14" s="189">
        <f>SUM(C12:C13)</f>
        <v>-34.329999999999984</v>
      </c>
      <c r="D14" s="189">
        <f>SUM(D12:D13)</f>
        <v>300.72000000000003</v>
      </c>
      <c r="E14" s="189">
        <f>SUM(E12:E13)</f>
        <v>29.820000000000181</v>
      </c>
      <c r="F14" s="190">
        <f>SUM(F12:F13)</f>
        <v>404.73999999999967</v>
      </c>
      <c r="H14" s="198">
        <f>SUM(C14:G14)</f>
        <v>700.94999999999982</v>
      </c>
    </row>
    <row r="15" spans="1:18" x14ac:dyDescent="0.25">
      <c r="A15" s="87"/>
      <c r="B15" s="89" t="s">
        <v>139</v>
      </c>
      <c r="C15" s="90">
        <f>C14</f>
        <v>-34.329999999999984</v>
      </c>
      <c r="D15" s="90">
        <f>C15+D14</f>
        <v>266.39000000000004</v>
      </c>
      <c r="E15" s="90">
        <f>D15+E14</f>
        <v>296.21000000000021</v>
      </c>
      <c r="F15" s="111">
        <f>E15+F14</f>
        <v>700.94999999999982</v>
      </c>
      <c r="H15" s="197"/>
    </row>
    <row r="16" spans="1:18" x14ac:dyDescent="0.25">
      <c r="A16" s="86"/>
      <c r="C16" s="112"/>
      <c r="D16" s="113"/>
      <c r="E16" s="113"/>
      <c r="F16" s="115"/>
      <c r="G16" s="113"/>
      <c r="H16" s="179"/>
      <c r="K16">
        <v>503</v>
      </c>
    </row>
    <row r="17" spans="1:18" x14ac:dyDescent="0.25">
      <c r="A17" s="86">
        <v>503</v>
      </c>
      <c r="B17" s="104" t="s">
        <v>84</v>
      </c>
      <c r="C17" s="113"/>
      <c r="D17" s="113"/>
      <c r="E17" s="113"/>
      <c r="F17" s="115"/>
      <c r="G17" s="113"/>
      <c r="H17" s="179"/>
      <c r="L17" s="113">
        <v>15953568</v>
      </c>
      <c r="M17" t="s">
        <v>92</v>
      </c>
      <c r="N17" s="113">
        <f>L17</f>
        <v>15953568</v>
      </c>
    </row>
    <row r="18" spans="1:18" x14ac:dyDescent="0.25">
      <c r="A18" s="87" t="s">
        <v>64</v>
      </c>
      <c r="B18" t="s">
        <v>65</v>
      </c>
      <c r="C18" s="105">
        <v>180561</v>
      </c>
      <c r="D18" s="105">
        <v>181689</v>
      </c>
      <c r="E18" s="105">
        <v>182454</v>
      </c>
      <c r="F18" s="106">
        <v>183190</v>
      </c>
      <c r="G18" s="123"/>
      <c r="H18" s="194"/>
      <c r="J18" s="122" t="s">
        <v>90</v>
      </c>
      <c r="K18" s="108">
        <v>4703693.83</v>
      </c>
      <c r="L18" s="112">
        <f>K18/L17</f>
        <v>0.29483647983949424</v>
      </c>
      <c r="N18" s="112">
        <f>K18/N17</f>
        <v>0.29483647983949424</v>
      </c>
      <c r="P18">
        <v>0.29483999999999999</v>
      </c>
      <c r="R18" s="112">
        <f>P18-N18</f>
        <v>3.5201605057544327E-6</v>
      </c>
    </row>
    <row r="19" spans="1:18" x14ac:dyDescent="0.25">
      <c r="A19" s="87" t="s">
        <v>71</v>
      </c>
      <c r="B19" t="s">
        <v>70</v>
      </c>
      <c r="C19" s="116">
        <f>ROUND(1704721*0.26248,2)+ROUND(1252302*0.29484,2)</f>
        <v>816683.8899999999</v>
      </c>
      <c r="D19" s="116">
        <v>1314452.19</v>
      </c>
      <c r="E19" s="116">
        <v>2191414.9500000002</v>
      </c>
      <c r="F19" s="117">
        <v>4703693.83</v>
      </c>
      <c r="G19" s="108"/>
      <c r="H19" s="180"/>
      <c r="J19" s="122" t="s">
        <v>91</v>
      </c>
      <c r="K19" s="108">
        <v>7544290.7000000002</v>
      </c>
      <c r="L19" s="112">
        <f>K19/L17</f>
        <v>0.47289049697221336</v>
      </c>
      <c r="N19" s="112">
        <f>K19/N17</f>
        <v>0.47289049697221336</v>
      </c>
      <c r="P19">
        <v>0.47294000000000003</v>
      </c>
      <c r="R19" s="112">
        <f>P19-N19</f>
        <v>4.9503027786668152E-5</v>
      </c>
    </row>
    <row r="20" spans="1:18" x14ac:dyDescent="0.25">
      <c r="A20" s="87" t="s">
        <v>72</v>
      </c>
      <c r="B20" t="s">
        <v>114</v>
      </c>
      <c r="C20" s="124">
        <f>ROUND(1932887*0.29484,2)</f>
        <v>569892.4</v>
      </c>
      <c r="D20" s="124">
        <f>ROUND(5053714*0.29484,2)</f>
        <v>1490037.04</v>
      </c>
      <c r="E20" s="124">
        <f>ROUND(9422260*0.29484,2)</f>
        <v>2778059.14</v>
      </c>
      <c r="F20" s="125">
        <f>ROUND(18398778*0.29484,2)</f>
        <v>5424695.71</v>
      </c>
      <c r="G20" s="108"/>
      <c r="H20" s="180"/>
      <c r="J20" s="122"/>
      <c r="K20" s="108"/>
      <c r="L20" s="112"/>
      <c r="N20" s="112"/>
      <c r="R20" s="112"/>
    </row>
    <row r="21" spans="1:18" x14ac:dyDescent="0.25">
      <c r="A21" s="87" t="s">
        <v>72</v>
      </c>
      <c r="B21" t="s">
        <v>115</v>
      </c>
      <c r="C21" s="95">
        <f>-ROUND(1375271*0.26248,2)</f>
        <v>-360981.13</v>
      </c>
      <c r="D21" s="95">
        <f t="shared" ref="D21:F21" si="3">-C20</f>
        <v>-569892.4</v>
      </c>
      <c r="E21" s="95">
        <f t="shared" si="3"/>
        <v>-1490037.04</v>
      </c>
      <c r="F21" s="107">
        <f t="shared" si="3"/>
        <v>-2778059.14</v>
      </c>
      <c r="H21" s="178"/>
    </row>
    <row r="22" spans="1:18" x14ac:dyDescent="0.25">
      <c r="A22" s="87"/>
      <c r="B22" s="89" t="s">
        <v>74</v>
      </c>
      <c r="C22" s="108">
        <f>SUM(C19:C21)</f>
        <v>1025595.16</v>
      </c>
      <c r="D22" s="108">
        <f t="shared" ref="D22:F22" si="4">SUM(D19:D21)</f>
        <v>2234596.83</v>
      </c>
      <c r="E22" s="108">
        <f t="shared" si="4"/>
        <v>3479437.05</v>
      </c>
      <c r="F22" s="109">
        <f t="shared" si="4"/>
        <v>7350330.3999999985</v>
      </c>
      <c r="H22" s="178"/>
      <c r="J22" s="122"/>
      <c r="K22" s="108"/>
    </row>
    <row r="23" spans="1:18" x14ac:dyDescent="0.25">
      <c r="A23" s="87"/>
      <c r="B23" s="89" t="s">
        <v>73</v>
      </c>
      <c r="C23" s="88">
        <f>ROUND(-'Authorized Margins'!F41*'WACAP 2016'!C18,2)</f>
        <v>-1049059.4099999999</v>
      </c>
      <c r="D23" s="88">
        <f>ROUND(-'Authorized Margins'!G41*'WACAP 2016'!D18,2)</f>
        <v>-2272929.39</v>
      </c>
      <c r="E23" s="88">
        <f>ROUND(-'Authorized Margins'!H41*'WACAP 2016'!E18,2)</f>
        <v>-4492017.4800000004</v>
      </c>
      <c r="F23" s="110">
        <f>ROUND(-'Authorized Margins'!I41*'WACAP 2016'!F18,2)</f>
        <v>-6113050.2999999998</v>
      </c>
      <c r="H23" s="178"/>
    </row>
    <row r="24" spans="1:18" x14ac:dyDescent="0.25">
      <c r="A24" s="87"/>
      <c r="B24" s="89" t="s">
        <v>75</v>
      </c>
      <c r="C24" s="90">
        <f>SUM(C22:C23)</f>
        <v>-23464.249999999884</v>
      </c>
      <c r="D24" s="90">
        <f>SUM(D22:D23)</f>
        <v>-38332.560000000056</v>
      </c>
      <c r="E24" s="90">
        <f>SUM(E22:E23)</f>
        <v>-1012580.4300000006</v>
      </c>
      <c r="F24" s="111">
        <f>SUM(F22:F23)</f>
        <v>1237280.0999999987</v>
      </c>
      <c r="H24" s="180">
        <f>SUM(C24:G24)</f>
        <v>162902.85999999801</v>
      </c>
    </row>
    <row r="25" spans="1:18" x14ac:dyDescent="0.25">
      <c r="A25" s="87"/>
      <c r="B25" s="89" t="s">
        <v>137</v>
      </c>
      <c r="C25" s="187"/>
      <c r="D25" s="187">
        <f>ROUND(ROUND(C27*D$5,2)/365*D$6,2)</f>
        <v>-69.75</v>
      </c>
      <c r="E25" s="187">
        <f>ROUND(ROUND(D27*E$5,2)/365*E$6,2)</f>
        <v>-177.97</v>
      </c>
      <c r="F25" s="188">
        <f>ROUND(ROUND(E27*F$5,2)/365*F$6,2)</f>
        <v>-3194.43</v>
      </c>
      <c r="H25" s="196">
        <f>SUM(C25:G25)</f>
        <v>-3442.1499999999996</v>
      </c>
    </row>
    <row r="26" spans="1:18" x14ac:dyDescent="0.25">
      <c r="A26" s="87"/>
      <c r="B26" s="89" t="s">
        <v>138</v>
      </c>
      <c r="C26" s="189">
        <f>SUM(C24:C25)</f>
        <v>-23464.249999999884</v>
      </c>
      <c r="D26" s="189">
        <f>SUM(D24:D25)</f>
        <v>-38402.310000000056</v>
      </c>
      <c r="E26" s="189">
        <f>SUM(E24:E25)</f>
        <v>-1012758.4000000006</v>
      </c>
      <c r="F26" s="190">
        <f>SUM(F24:F25)</f>
        <v>1234085.6699999988</v>
      </c>
      <c r="H26" s="198">
        <f>SUM(C26:G26)</f>
        <v>159460.70999999833</v>
      </c>
    </row>
    <row r="27" spans="1:18" x14ac:dyDescent="0.25">
      <c r="A27" s="87"/>
      <c r="B27" s="89" t="s">
        <v>139</v>
      </c>
      <c r="C27" s="90">
        <f>C26</f>
        <v>-23464.249999999884</v>
      </c>
      <c r="D27" s="90">
        <f>C27+D26</f>
        <v>-61866.559999999939</v>
      </c>
      <c r="E27" s="90">
        <f>D27+E26</f>
        <v>-1074624.9600000004</v>
      </c>
      <c r="F27" s="111">
        <f>E27+F26</f>
        <v>159460.70999999833</v>
      </c>
      <c r="H27" s="197"/>
      <c r="L27" s="108">
        <f>ROUND(K32/P32,0)</f>
        <v>164730</v>
      </c>
    </row>
    <row r="28" spans="1:18" x14ac:dyDescent="0.25">
      <c r="A28" s="87"/>
      <c r="B28" s="89"/>
      <c r="C28" s="90"/>
      <c r="D28" s="90"/>
      <c r="E28" s="90"/>
      <c r="F28" s="111"/>
      <c r="H28" s="178"/>
      <c r="J28" s="122"/>
      <c r="K28" s="108"/>
      <c r="L28" s="108">
        <f>ROUND(K33/P33,0)</f>
        <v>554710</v>
      </c>
    </row>
    <row r="29" spans="1:18" x14ac:dyDescent="0.25">
      <c r="A29" s="86">
        <v>505</v>
      </c>
      <c r="B29" s="104" t="s">
        <v>85</v>
      </c>
      <c r="C29" s="113"/>
      <c r="D29" s="113"/>
      <c r="E29" s="113"/>
      <c r="F29" s="115"/>
      <c r="H29" s="178"/>
      <c r="K29">
        <v>505</v>
      </c>
      <c r="L29" s="108">
        <f>ROUND(K34/P34,0)</f>
        <v>564789</v>
      </c>
      <c r="M29" s="108">
        <f>SUM(L25:L29)</f>
        <v>1284229</v>
      </c>
    </row>
    <row r="30" spans="1:18" x14ac:dyDescent="0.25">
      <c r="A30" s="87" t="s">
        <v>64</v>
      </c>
      <c r="B30" t="s">
        <v>65</v>
      </c>
      <c r="C30" s="105">
        <v>449</v>
      </c>
      <c r="D30" s="105">
        <v>449</v>
      </c>
      <c r="E30" s="105">
        <v>451</v>
      </c>
      <c r="F30" s="106">
        <v>453</v>
      </c>
      <c r="H30" s="178"/>
      <c r="L30" s="113">
        <v>1284221</v>
      </c>
      <c r="M30" t="s">
        <v>92</v>
      </c>
      <c r="N30" s="113">
        <f>L30</f>
        <v>1284221</v>
      </c>
    </row>
    <row r="31" spans="1:18" x14ac:dyDescent="0.25">
      <c r="A31" s="87" t="s">
        <v>71</v>
      </c>
      <c r="B31" t="s">
        <v>117</v>
      </c>
      <c r="C31" s="116">
        <f>-ROUND(432396*0.00817,2)</f>
        <v>-3532.68</v>
      </c>
      <c r="D31" s="116">
        <v>0</v>
      </c>
      <c r="E31" s="116">
        <v>0</v>
      </c>
      <c r="F31" s="117">
        <v>0</v>
      </c>
      <c r="H31" s="178"/>
      <c r="J31" s="122" t="s">
        <v>90</v>
      </c>
      <c r="K31" s="108"/>
      <c r="L31" s="112"/>
      <c r="N31" s="112"/>
      <c r="R31" s="112">
        <f>P31-N31</f>
        <v>0</v>
      </c>
    </row>
    <row r="32" spans="1:18" x14ac:dyDescent="0.25">
      <c r="A32" s="87" t="s">
        <v>71</v>
      </c>
      <c r="B32" t="s">
        <v>95</v>
      </c>
      <c r="C32" s="116">
        <v>17165.09</v>
      </c>
      <c r="D32" s="116">
        <v>19866.79</v>
      </c>
      <c r="E32" s="116">
        <v>24711.200000000001</v>
      </c>
      <c r="F32" s="117">
        <v>31039.98</v>
      </c>
      <c r="H32" s="178"/>
      <c r="J32" s="122" t="s">
        <v>90</v>
      </c>
      <c r="K32" s="108">
        <v>31039.98</v>
      </c>
      <c r="L32" s="112">
        <f>K32/L27</f>
        <v>0.18842942997632489</v>
      </c>
      <c r="N32" s="112">
        <f>K32/L27</f>
        <v>0.18842942997632489</v>
      </c>
      <c r="P32">
        <v>0.18842999999999999</v>
      </c>
      <c r="R32" s="112">
        <f>P32-N32</f>
        <v>5.70023675094955E-7</v>
      </c>
    </row>
    <row r="33" spans="1:18" x14ac:dyDescent="0.25">
      <c r="A33" s="87" t="s">
        <v>71</v>
      </c>
      <c r="B33" t="s">
        <v>97</v>
      </c>
      <c r="C33" s="116">
        <v>45934.49</v>
      </c>
      <c r="D33" s="116">
        <v>51000.33</v>
      </c>
      <c r="E33" s="116">
        <v>62228.04</v>
      </c>
      <c r="F33" s="117">
        <v>84177.31</v>
      </c>
      <c r="H33" s="178"/>
      <c r="J33" s="122" t="s">
        <v>90</v>
      </c>
      <c r="K33" s="108">
        <v>84177.31</v>
      </c>
      <c r="L33" s="112">
        <f>K33/L28</f>
        <v>0.15175012168520488</v>
      </c>
      <c r="N33" s="112">
        <f>K33/L28</f>
        <v>0.15175012168520488</v>
      </c>
      <c r="P33">
        <v>0.15175</v>
      </c>
      <c r="R33" s="112">
        <f>P33-N33</f>
        <v>-1.2168520488464729E-7</v>
      </c>
    </row>
    <row r="34" spans="1:18" x14ac:dyDescent="0.25">
      <c r="A34" s="87" t="s">
        <v>71</v>
      </c>
      <c r="B34" t="s">
        <v>96</v>
      </c>
      <c r="C34" s="95">
        <v>37251.839999999997</v>
      </c>
      <c r="D34" s="95">
        <v>91343.14</v>
      </c>
      <c r="E34" s="95">
        <v>55249.14</v>
      </c>
      <c r="F34" s="107">
        <v>82572.2</v>
      </c>
      <c r="H34" s="178"/>
      <c r="J34" s="122" t="s">
        <v>90</v>
      </c>
      <c r="K34" s="108">
        <v>82572.2</v>
      </c>
      <c r="L34" s="112">
        <f>K34/L29</f>
        <v>0.14620008534160545</v>
      </c>
      <c r="N34" s="112">
        <f>K34/L29</f>
        <v>0.14620008534160545</v>
      </c>
      <c r="P34">
        <v>0.1462</v>
      </c>
      <c r="R34" s="112">
        <f>P34-N34</f>
        <v>-8.5341605449151814E-8</v>
      </c>
    </row>
    <row r="35" spans="1:18" x14ac:dyDescent="0.25">
      <c r="A35" s="86"/>
      <c r="B35" s="89" t="s">
        <v>74</v>
      </c>
      <c r="C35" s="108">
        <f>SUM(C31:C34)</f>
        <v>96818.739999999991</v>
      </c>
      <c r="D35" s="108">
        <f t="shared" ref="D35:F35" si="5">SUM(D31:D34)</f>
        <v>162210.26</v>
      </c>
      <c r="E35" s="108">
        <f t="shared" si="5"/>
        <v>142188.38</v>
      </c>
      <c r="F35" s="109">
        <f t="shared" si="5"/>
        <v>197789.49</v>
      </c>
      <c r="H35" s="178"/>
      <c r="J35" s="122" t="s">
        <v>91</v>
      </c>
      <c r="K35" s="108">
        <v>587005.64</v>
      </c>
      <c r="L35" s="112">
        <f>K35/L30</f>
        <v>0.45709082782480587</v>
      </c>
      <c r="N35" s="112">
        <f>K35/N30</f>
        <v>0.45709082782480587</v>
      </c>
      <c r="P35">
        <v>0.45717999999999998</v>
      </c>
      <c r="R35" s="112">
        <f>P35-N35</f>
        <v>8.9172175194107695E-5</v>
      </c>
    </row>
    <row r="36" spans="1:18" x14ac:dyDescent="0.25">
      <c r="A36" s="86"/>
      <c r="B36" s="89" t="s">
        <v>73</v>
      </c>
      <c r="C36" s="88">
        <f>ROUND(-'Authorized Margins'!F60*'WACAP 2016'!C30,2)</f>
        <v>-98416.31</v>
      </c>
      <c r="D36" s="88">
        <f>ROUND(-'Authorized Margins'!G60*'WACAP 2016'!D30,2)</f>
        <v>-216180.03</v>
      </c>
      <c r="E36" s="88">
        <f>ROUND(-'Authorized Margins'!H60*'WACAP 2016'!E30,2)</f>
        <v>-148942.75</v>
      </c>
      <c r="F36" s="110">
        <f>ROUND(-'Authorized Margins'!I60*'WACAP 2016'!F30,2)</f>
        <v>-226051.53</v>
      </c>
      <c r="H36" s="178"/>
    </row>
    <row r="37" spans="1:18" x14ac:dyDescent="0.25">
      <c r="A37" s="86"/>
      <c r="B37" s="89" t="s">
        <v>75</v>
      </c>
      <c r="C37" s="90">
        <f>SUM(C35:C36)</f>
        <v>-1597.570000000007</v>
      </c>
      <c r="D37" s="90">
        <f>SUM(D35:D36)</f>
        <v>-53969.76999999999</v>
      </c>
      <c r="E37" s="90">
        <f>SUM(E35:E36)</f>
        <v>-6754.3699999999953</v>
      </c>
      <c r="F37" s="111">
        <f>SUM(F35:F36)</f>
        <v>-28262.040000000008</v>
      </c>
      <c r="H37" s="180">
        <f>SUM(C37:G37)</f>
        <v>-90583.75</v>
      </c>
    </row>
    <row r="38" spans="1:18" x14ac:dyDescent="0.25">
      <c r="A38" s="87"/>
      <c r="B38" s="89" t="s">
        <v>137</v>
      </c>
      <c r="C38" s="187"/>
      <c r="D38" s="187">
        <f>ROUND(ROUND(C40*D$5,2)/365*D$6,2)</f>
        <v>-4.75</v>
      </c>
      <c r="E38" s="187">
        <f>ROUND(ROUND(D40*E$5,2)/365*E$6,2)</f>
        <v>-159.86000000000001</v>
      </c>
      <c r="F38" s="188">
        <f>ROUND(ROUND(E40*F$5,2)/365*F$6,2)</f>
        <v>-185.75</v>
      </c>
      <c r="H38" s="196">
        <f>SUM(C38:G38)</f>
        <v>-350.36</v>
      </c>
    </row>
    <row r="39" spans="1:18" x14ac:dyDescent="0.25">
      <c r="A39" s="87"/>
      <c r="B39" s="89" t="s">
        <v>138</v>
      </c>
      <c r="C39" s="189">
        <f>SUM(C37:C38)</f>
        <v>-1597.570000000007</v>
      </c>
      <c r="D39" s="189">
        <f>SUM(D37:D38)</f>
        <v>-53974.51999999999</v>
      </c>
      <c r="E39" s="189">
        <f>SUM(E37:E38)</f>
        <v>-6914.229999999995</v>
      </c>
      <c r="F39" s="190">
        <f>SUM(F37:F38)</f>
        <v>-28447.790000000008</v>
      </c>
      <c r="H39" s="198">
        <f>SUM(C39:G39)</f>
        <v>-90934.11</v>
      </c>
    </row>
    <row r="40" spans="1:18" x14ac:dyDescent="0.25">
      <c r="A40" s="87"/>
      <c r="B40" s="89" t="s">
        <v>139</v>
      </c>
      <c r="C40" s="90">
        <f>C39</f>
        <v>-1597.570000000007</v>
      </c>
      <c r="D40" s="90">
        <f>C40+D39</f>
        <v>-55572.09</v>
      </c>
      <c r="E40" s="90">
        <f>D40+E39</f>
        <v>-62486.319999999992</v>
      </c>
      <c r="F40" s="111">
        <f>E40+F39</f>
        <v>-90934.11</v>
      </c>
      <c r="H40" s="197"/>
      <c r="L40" s="108">
        <f>ROUND(K45/P45,0)</f>
        <v>152061</v>
      </c>
    </row>
    <row r="41" spans="1:18" x14ac:dyDescent="0.25">
      <c r="A41" s="86"/>
      <c r="B41" s="89"/>
      <c r="C41" s="90"/>
      <c r="D41" s="90"/>
      <c r="E41" s="90"/>
      <c r="F41" s="111"/>
      <c r="H41" s="178"/>
      <c r="J41" s="122"/>
      <c r="K41" s="108"/>
      <c r="L41" s="108">
        <f>ROUND(K46/P46,0)</f>
        <v>111894</v>
      </c>
    </row>
    <row r="42" spans="1:18" x14ac:dyDescent="0.25">
      <c r="A42" s="86">
        <v>511</v>
      </c>
      <c r="B42" s="104" t="s">
        <v>85</v>
      </c>
      <c r="C42" s="113"/>
      <c r="D42" s="113"/>
      <c r="E42" s="113"/>
      <c r="F42" s="115"/>
      <c r="H42" s="178"/>
      <c r="K42">
        <v>511</v>
      </c>
      <c r="L42" s="108">
        <f>ROUND(K47/P47,0)</f>
        <v>0</v>
      </c>
      <c r="M42" s="108">
        <f>SUM(L38:L42)</f>
        <v>263955</v>
      </c>
    </row>
    <row r="43" spans="1:18" x14ac:dyDescent="0.25">
      <c r="A43" s="87" t="s">
        <v>64</v>
      </c>
      <c r="B43" t="s">
        <v>65</v>
      </c>
      <c r="C43" s="105">
        <v>12</v>
      </c>
      <c r="D43" s="105">
        <v>12</v>
      </c>
      <c r="E43" s="105">
        <v>13</v>
      </c>
      <c r="F43" s="106">
        <v>14</v>
      </c>
      <c r="H43" s="178"/>
      <c r="L43" s="113">
        <v>263955</v>
      </c>
      <c r="M43" t="s">
        <v>92</v>
      </c>
      <c r="N43" s="113">
        <f>L43</f>
        <v>263955</v>
      </c>
    </row>
    <row r="44" spans="1:18" x14ac:dyDescent="0.25">
      <c r="A44" s="87" t="s">
        <v>71</v>
      </c>
      <c r="B44" t="s">
        <v>117</v>
      </c>
      <c r="C44" s="116">
        <f>-ROUND(104727*0.00647,2)</f>
        <v>-677.58</v>
      </c>
      <c r="D44" s="116">
        <v>0</v>
      </c>
      <c r="E44" s="116">
        <v>0</v>
      </c>
      <c r="F44" s="117">
        <v>0</v>
      </c>
      <c r="H44" s="178"/>
      <c r="J44" s="122" t="s">
        <v>90</v>
      </c>
      <c r="K44" s="108"/>
      <c r="L44" s="112"/>
      <c r="N44" s="112"/>
      <c r="R44" s="112">
        <f>P44-N44</f>
        <v>0</v>
      </c>
    </row>
    <row r="45" spans="1:18" x14ac:dyDescent="0.25">
      <c r="A45" s="87" t="s">
        <v>71</v>
      </c>
      <c r="B45" t="s">
        <v>98</v>
      </c>
      <c r="C45" s="116">
        <v>14678.8</v>
      </c>
      <c r="D45" s="116">
        <v>16937.21</v>
      </c>
      <c r="E45" s="116">
        <v>15316.29</v>
      </c>
      <c r="F45" s="117">
        <v>22556.7</v>
      </c>
      <c r="H45" s="178"/>
      <c r="J45" s="122" t="s">
        <v>90</v>
      </c>
      <c r="K45" s="108">
        <v>22556.7</v>
      </c>
      <c r="L45" s="112">
        <f>K45/L40</f>
        <v>0.14833981099690258</v>
      </c>
      <c r="N45" s="112">
        <f>K45/L40</f>
        <v>0.14833981099690258</v>
      </c>
      <c r="P45">
        <v>0.14834</v>
      </c>
      <c r="R45" s="112">
        <f>P45-N45</f>
        <v>1.8900309742275745E-7</v>
      </c>
    </row>
    <row r="46" spans="1:18" x14ac:dyDescent="0.25">
      <c r="A46" s="87" t="s">
        <v>71</v>
      </c>
      <c r="B46" t="s">
        <v>99</v>
      </c>
      <c r="C46" s="116">
        <v>18361.490000000002</v>
      </c>
      <c r="D46" s="116">
        <v>17372.169999999998</v>
      </c>
      <c r="E46" s="116">
        <v>16872.57</v>
      </c>
      <c r="F46" s="117">
        <v>12638.42</v>
      </c>
      <c r="H46" s="178"/>
      <c r="J46" s="122" t="s">
        <v>90</v>
      </c>
      <c r="K46" s="108">
        <v>12638.42</v>
      </c>
      <c r="L46" s="112">
        <f>K46/L41</f>
        <v>0.11294993475968328</v>
      </c>
      <c r="N46" s="112">
        <f>K46/L41</f>
        <v>0.11294993475968328</v>
      </c>
      <c r="P46">
        <v>0.11294999999999999</v>
      </c>
      <c r="R46" s="112">
        <f>P46-N46</f>
        <v>6.5240316718395697E-8</v>
      </c>
    </row>
    <row r="47" spans="1:18" x14ac:dyDescent="0.25">
      <c r="A47" s="87" t="s">
        <v>71</v>
      </c>
      <c r="B47" t="s">
        <v>100</v>
      </c>
      <c r="C47" s="95">
        <v>49.12</v>
      </c>
      <c r="D47" s="95">
        <v>0</v>
      </c>
      <c r="E47" s="95">
        <v>389.46</v>
      </c>
      <c r="F47" s="107">
        <v>0</v>
      </c>
      <c r="H47" s="178"/>
      <c r="J47" s="122" t="s">
        <v>90</v>
      </c>
      <c r="K47" s="108">
        <v>0</v>
      </c>
      <c r="L47" s="112" t="e">
        <f>K47/L42</f>
        <v>#DIV/0!</v>
      </c>
      <c r="N47" s="112" t="e">
        <f>K47/L42</f>
        <v>#DIV/0!</v>
      </c>
      <c r="P47">
        <v>2.5409999999999999E-2</v>
      </c>
      <c r="R47" s="112" t="e">
        <f>P47-N47</f>
        <v>#DIV/0!</v>
      </c>
    </row>
    <row r="48" spans="1:18" x14ac:dyDescent="0.25">
      <c r="A48" s="87"/>
      <c r="B48" s="89" t="s">
        <v>74</v>
      </c>
      <c r="C48" s="108">
        <f>SUM(C44:C47)</f>
        <v>32411.829999999998</v>
      </c>
      <c r="D48" s="108">
        <f t="shared" ref="D48:F48" si="6">SUM(D44:D47)</f>
        <v>34309.379999999997</v>
      </c>
      <c r="E48" s="108">
        <f t="shared" si="6"/>
        <v>32578.32</v>
      </c>
      <c r="F48" s="109">
        <f t="shared" si="6"/>
        <v>35195.120000000003</v>
      </c>
      <c r="H48" s="178"/>
      <c r="J48" s="122" t="s">
        <v>91</v>
      </c>
      <c r="K48" s="108">
        <v>120672.06</v>
      </c>
      <c r="L48" s="112">
        <f>K48/L43</f>
        <v>0.45716906290845027</v>
      </c>
      <c r="N48" s="112">
        <f>K48/N43</f>
        <v>0.45716906290845027</v>
      </c>
      <c r="P48">
        <v>0.45717999999999998</v>
      </c>
      <c r="R48" s="112">
        <f>P48-N48</f>
        <v>1.0937091549700906E-5</v>
      </c>
    </row>
    <row r="49" spans="1:18" x14ac:dyDescent="0.25">
      <c r="A49" s="87"/>
      <c r="B49" s="89" t="s">
        <v>73</v>
      </c>
      <c r="C49" s="88">
        <f>ROUND(-'Authorized Margins'!F73*'WACAP 2016'!C43,2)</f>
        <v>-5474.28</v>
      </c>
      <c r="D49" s="88">
        <f>ROUND(-'Authorized Margins'!G73*'WACAP 2016'!D43,2)</f>
        <v>-8364.48</v>
      </c>
      <c r="E49" s="88">
        <f>ROUND(-'Authorized Margins'!H73*'WACAP 2016'!E43,2)</f>
        <v>-11462.75</v>
      </c>
      <c r="F49" s="110">
        <f>ROUND(-'Authorized Margins'!I73*'WACAP 2016'!F43,2)</f>
        <v>-27981.66</v>
      </c>
      <c r="H49" s="178"/>
    </row>
    <row r="50" spans="1:18" x14ac:dyDescent="0.25">
      <c r="A50" s="87"/>
      <c r="B50" s="89" t="s">
        <v>75</v>
      </c>
      <c r="C50" s="90">
        <f>SUM(C48:C49)</f>
        <v>26937.55</v>
      </c>
      <c r="D50" s="90">
        <f>SUM(D48:D49)</f>
        <v>25944.899999999998</v>
      </c>
      <c r="E50" s="90">
        <f>SUM(E48:E49)</f>
        <v>21115.57</v>
      </c>
      <c r="F50" s="111">
        <f>SUM(F48:F49)</f>
        <v>7213.4600000000028</v>
      </c>
      <c r="H50" s="180">
        <f>SUM(C50:G50)</f>
        <v>81211.48</v>
      </c>
    </row>
    <row r="51" spans="1:18" x14ac:dyDescent="0.25">
      <c r="A51" s="87"/>
      <c r="B51" s="89" t="s">
        <v>137</v>
      </c>
      <c r="C51" s="187"/>
      <c r="D51" s="187">
        <f>ROUND(ROUND(C53*D$5,2)/365*D$6,2)</f>
        <v>80.069999999999993</v>
      </c>
      <c r="E51" s="187">
        <f>ROUND(ROUND(D53*E$5,2)/365*E$6,2)</f>
        <v>152.36000000000001</v>
      </c>
      <c r="F51" s="188">
        <f>ROUND(ROUND(E53*F$5,2)/365*F$6,2)</f>
        <v>220.66</v>
      </c>
      <c r="H51" s="196">
        <f>SUM(C51:G51)</f>
        <v>453.09000000000003</v>
      </c>
    </row>
    <row r="52" spans="1:18" x14ac:dyDescent="0.25">
      <c r="A52" s="87"/>
      <c r="B52" s="89" t="s">
        <v>138</v>
      </c>
      <c r="C52" s="189">
        <f>SUM(C50:C51)</f>
        <v>26937.55</v>
      </c>
      <c r="D52" s="189">
        <f>SUM(D50:D51)</f>
        <v>26024.969999999998</v>
      </c>
      <c r="E52" s="189">
        <f>SUM(E50:E51)</f>
        <v>21267.93</v>
      </c>
      <c r="F52" s="190">
        <f>SUM(F50:F51)</f>
        <v>7434.1200000000026</v>
      </c>
      <c r="H52" s="198">
        <f>SUM(C52:G52)</f>
        <v>81664.570000000007</v>
      </c>
    </row>
    <row r="53" spans="1:18" x14ac:dyDescent="0.25">
      <c r="A53" s="87"/>
      <c r="B53" s="89" t="s">
        <v>139</v>
      </c>
      <c r="C53" s="90">
        <f>C52</f>
        <v>26937.55</v>
      </c>
      <c r="D53" s="90">
        <f>C53+D52</f>
        <v>52962.52</v>
      </c>
      <c r="E53" s="90">
        <f>D53+E52</f>
        <v>74230.45</v>
      </c>
      <c r="F53" s="111">
        <f>E53+F52</f>
        <v>81664.570000000007</v>
      </c>
      <c r="H53" s="197"/>
    </row>
    <row r="54" spans="1:18" x14ac:dyDescent="0.25">
      <c r="A54" s="86"/>
      <c r="C54" s="113"/>
      <c r="D54" s="113"/>
      <c r="E54" s="113"/>
      <c r="F54" s="115"/>
      <c r="H54" s="178"/>
    </row>
    <row r="55" spans="1:18" x14ac:dyDescent="0.25">
      <c r="A55" s="86">
        <v>504</v>
      </c>
      <c r="B55" s="104" t="s">
        <v>86</v>
      </c>
      <c r="C55" s="113"/>
      <c r="D55" s="113"/>
      <c r="E55" s="113"/>
      <c r="F55" s="115"/>
      <c r="H55" s="178"/>
      <c r="K55">
        <v>504</v>
      </c>
      <c r="L55" s="108"/>
    </row>
    <row r="56" spans="1:18" x14ac:dyDescent="0.25">
      <c r="A56" s="87" t="s">
        <v>64</v>
      </c>
      <c r="B56" t="s">
        <v>65</v>
      </c>
      <c r="C56" s="105">
        <v>25279</v>
      </c>
      <c r="D56" s="105">
        <v>25473</v>
      </c>
      <c r="E56" s="105">
        <v>25612</v>
      </c>
      <c r="F56" s="106">
        <v>25822</v>
      </c>
      <c r="H56" s="178"/>
      <c r="L56" s="113">
        <v>10168292</v>
      </c>
      <c r="M56" t="s">
        <v>92</v>
      </c>
      <c r="N56" s="113">
        <f>L56</f>
        <v>10168292</v>
      </c>
    </row>
    <row r="57" spans="1:18" x14ac:dyDescent="0.25">
      <c r="A57" s="87" t="s">
        <v>71</v>
      </c>
      <c r="B57" t="s">
        <v>70</v>
      </c>
      <c r="C57" s="116">
        <f>ROUND(1732644*0.23179,2)+ROUND(1112650*0.24608,2)</f>
        <v>675410.46</v>
      </c>
      <c r="D57" s="116">
        <v>871314.32</v>
      </c>
      <c r="E57" s="116">
        <v>1227359.6499999999</v>
      </c>
      <c r="F57" s="117">
        <v>2502209.0299999998</v>
      </c>
      <c r="H57" s="178"/>
      <c r="J57" s="122" t="s">
        <v>90</v>
      </c>
      <c r="K57" s="108">
        <v>2502209.0299999998</v>
      </c>
      <c r="L57" s="112">
        <f>K57/L56</f>
        <v>0.24607958052345466</v>
      </c>
      <c r="N57" s="112">
        <f>K57/N56</f>
        <v>0.24607958052345466</v>
      </c>
      <c r="P57">
        <v>0.24607999999999999</v>
      </c>
      <c r="R57" s="112">
        <f t="shared" ref="R57" si="7">P57-N57</f>
        <v>4.1947654533247558E-7</v>
      </c>
    </row>
    <row r="58" spans="1:18" x14ac:dyDescent="0.25">
      <c r="A58" s="87" t="s">
        <v>72</v>
      </c>
      <c r="B58" t="s">
        <v>114</v>
      </c>
      <c r="C58" s="124">
        <f>ROUND(ROUND(1995442*0.9152,0)*0.24608,2)</f>
        <v>449398.43</v>
      </c>
      <c r="D58" s="124">
        <f>ROUND(ROUND(4342729*0.9151,0)*0.24608,2)</f>
        <v>977929.55</v>
      </c>
      <c r="E58" s="124">
        <f>ROUND(ROUND(6867470*0.9033,0)*0.24608,2)</f>
        <v>1526529.23</v>
      </c>
      <c r="F58" s="125">
        <f>ROUND(ROUND(12622239*0.9075,0)*0.24608,2)</f>
        <v>2818768.15</v>
      </c>
      <c r="H58" s="178"/>
      <c r="J58" s="122" t="s">
        <v>91</v>
      </c>
      <c r="K58" s="108">
        <v>4781300.8099999996</v>
      </c>
      <c r="L58" s="112">
        <f>K58/L56</f>
        <v>0.47021670994499365</v>
      </c>
      <c r="N58" s="112">
        <f>K58/N56</f>
        <v>0.47021670994499365</v>
      </c>
      <c r="P58">
        <v>0.47028999999999999</v>
      </c>
      <c r="R58" s="112">
        <f>P58-N58</f>
        <v>7.3290055006336452E-5</v>
      </c>
    </row>
    <row r="59" spans="1:18" x14ac:dyDescent="0.25">
      <c r="A59" s="87" t="s">
        <v>72</v>
      </c>
      <c r="B59" t="s">
        <v>115</v>
      </c>
      <c r="C59" s="95">
        <f>-ROUND(ROUND(1415857*0.9262,0)*0.23179,2)</f>
        <v>-303961.76</v>
      </c>
      <c r="D59" s="95">
        <f t="shared" ref="D59:F59" si="8">-C58</f>
        <v>-449398.43</v>
      </c>
      <c r="E59" s="95">
        <f t="shared" si="8"/>
        <v>-977929.55</v>
      </c>
      <c r="F59" s="107">
        <f t="shared" si="8"/>
        <v>-1526529.23</v>
      </c>
      <c r="H59" s="178"/>
      <c r="J59" s="122"/>
      <c r="K59" s="108"/>
      <c r="L59" s="112"/>
      <c r="N59" s="112"/>
      <c r="R59" s="112"/>
    </row>
    <row r="60" spans="1:18" x14ac:dyDescent="0.25">
      <c r="A60" s="87"/>
      <c r="B60" s="89" t="s">
        <v>74</v>
      </c>
      <c r="C60" s="108">
        <f>SUM(C57:C59)</f>
        <v>820847.12999999989</v>
      </c>
      <c r="D60" s="108">
        <f t="shared" ref="D60:F60" si="9">SUM(D57:D59)</f>
        <v>1399845.4400000002</v>
      </c>
      <c r="E60" s="108">
        <f t="shared" si="9"/>
        <v>1775959.3299999998</v>
      </c>
      <c r="F60" s="109">
        <f t="shared" si="9"/>
        <v>3794447.9499999997</v>
      </c>
      <c r="H60" s="178"/>
    </row>
    <row r="61" spans="1:18" x14ac:dyDescent="0.25">
      <c r="A61" s="87"/>
      <c r="B61" s="89" t="s">
        <v>73</v>
      </c>
      <c r="C61" s="88">
        <f>ROUND(-'Authorized Margins'!F47*'WACAP 2016'!C56,2)</f>
        <v>-848616.03</v>
      </c>
      <c r="D61" s="88">
        <f>ROUND(-'Authorized Margins'!G47*'WACAP 2016'!D56,2)</f>
        <v>-1461386.01</v>
      </c>
      <c r="E61" s="88">
        <f>ROUND(-'Authorized Margins'!H47*'WACAP 2016'!E56,2)</f>
        <v>-2388575.12</v>
      </c>
      <c r="F61" s="110">
        <f>ROUND(-'Authorized Margins'!I47*'WACAP 2016'!F56,2)</f>
        <v>-3191082.76</v>
      </c>
      <c r="H61" s="178"/>
    </row>
    <row r="62" spans="1:18" x14ac:dyDescent="0.25">
      <c r="A62" s="87"/>
      <c r="B62" s="89" t="s">
        <v>75</v>
      </c>
      <c r="C62" s="90">
        <f>SUM(C60:C61)</f>
        <v>-27768.90000000014</v>
      </c>
      <c r="D62" s="90">
        <f>SUM(D60:D61)</f>
        <v>-61540.569999999832</v>
      </c>
      <c r="E62" s="90">
        <f>SUM(E60:E61)</f>
        <v>-612615.79000000027</v>
      </c>
      <c r="F62" s="111">
        <f>SUM(F60:F61)</f>
        <v>603365.18999999994</v>
      </c>
      <c r="H62" s="180">
        <f>SUM(C62:G62)</f>
        <v>-98560.070000000298</v>
      </c>
    </row>
    <row r="63" spans="1:18" x14ac:dyDescent="0.25">
      <c r="A63" s="87"/>
      <c r="B63" s="89" t="s">
        <v>137</v>
      </c>
      <c r="C63" s="187"/>
      <c r="D63" s="187">
        <f>ROUND(ROUND(C65*D$5,2)/365*D$6,2)</f>
        <v>-82.55</v>
      </c>
      <c r="E63" s="187">
        <f>ROUND(ROUND(D65*E$5,2)/365*E$6,2)</f>
        <v>-257.16000000000003</v>
      </c>
      <c r="F63" s="188">
        <f>ROUND(ROUND(E65*F$5,2)/365*F$6,2)</f>
        <v>-2087.5500000000002</v>
      </c>
      <c r="H63" s="196">
        <f>SUM(C63:G63)</f>
        <v>-2427.2600000000002</v>
      </c>
    </row>
    <row r="64" spans="1:18" x14ac:dyDescent="0.25">
      <c r="A64" s="87"/>
      <c r="B64" s="89" t="s">
        <v>138</v>
      </c>
      <c r="C64" s="189">
        <f>SUM(C62:C63)</f>
        <v>-27768.90000000014</v>
      </c>
      <c r="D64" s="189">
        <f>SUM(D62:D63)</f>
        <v>-61623.119999999835</v>
      </c>
      <c r="E64" s="189">
        <f>SUM(E62:E63)</f>
        <v>-612872.9500000003</v>
      </c>
      <c r="F64" s="190">
        <f>SUM(F62:F63)</f>
        <v>601277.6399999999</v>
      </c>
      <c r="H64" s="198">
        <f>SUM(C64:G64)</f>
        <v>-100987.33000000042</v>
      </c>
    </row>
    <row r="65" spans="1:18" x14ac:dyDescent="0.25">
      <c r="A65" s="87"/>
      <c r="B65" s="89" t="s">
        <v>139</v>
      </c>
      <c r="C65" s="90">
        <f>C64</f>
        <v>-27768.90000000014</v>
      </c>
      <c r="D65" s="90">
        <f>C65+D64</f>
        <v>-89392.019999999975</v>
      </c>
      <c r="E65" s="90">
        <f>D65+E64</f>
        <v>-702264.97000000032</v>
      </c>
      <c r="F65" s="111">
        <f>E65+F64</f>
        <v>-100987.33000000042</v>
      </c>
      <c r="H65" s="197"/>
      <c r="L65" s="108">
        <f>ROUND(K70/P70,0)</f>
        <v>807208</v>
      </c>
    </row>
    <row r="66" spans="1:18" x14ac:dyDescent="0.25">
      <c r="A66" s="87"/>
      <c r="B66" s="89"/>
      <c r="C66" s="90"/>
      <c r="D66" s="90"/>
      <c r="E66" s="90"/>
      <c r="F66" s="111"/>
      <c r="H66" s="178"/>
      <c r="J66" s="122"/>
      <c r="K66" s="108"/>
      <c r="L66" s="108">
        <f>ROUND(K71/P71,0)</f>
        <v>200685</v>
      </c>
    </row>
    <row r="67" spans="1:18" x14ac:dyDescent="0.25">
      <c r="A67" s="86">
        <v>511</v>
      </c>
      <c r="B67" s="104" t="s">
        <v>86</v>
      </c>
      <c r="C67" s="113"/>
      <c r="D67" s="113"/>
      <c r="E67" s="113"/>
      <c r="F67" s="115"/>
      <c r="H67" s="178"/>
      <c r="K67">
        <v>511</v>
      </c>
      <c r="L67" s="108">
        <f>ROUND(K72/P72,0)</f>
        <v>26507</v>
      </c>
      <c r="M67" s="108">
        <f>SUM(L63:L67)</f>
        <v>1034400</v>
      </c>
    </row>
    <row r="68" spans="1:18" x14ac:dyDescent="0.25">
      <c r="A68" s="87" t="s">
        <v>64</v>
      </c>
      <c r="B68" t="s">
        <v>65</v>
      </c>
      <c r="C68" s="105">
        <v>74</v>
      </c>
      <c r="D68" s="105">
        <v>74</v>
      </c>
      <c r="E68" s="105">
        <v>75</v>
      </c>
      <c r="F68" s="106">
        <v>73</v>
      </c>
      <c r="H68" s="178"/>
      <c r="L68" s="113">
        <v>1034349</v>
      </c>
      <c r="M68" t="s">
        <v>92</v>
      </c>
      <c r="N68" s="113">
        <f>L68</f>
        <v>1034349</v>
      </c>
    </row>
    <row r="69" spans="1:18" x14ac:dyDescent="0.25">
      <c r="A69" s="87" t="s">
        <v>71</v>
      </c>
      <c r="B69" t="s">
        <v>117</v>
      </c>
      <c r="C69" s="116">
        <f>-ROUND(105563*0.00647,2)</f>
        <v>-682.99</v>
      </c>
      <c r="D69" s="116">
        <v>0</v>
      </c>
      <c r="E69" s="116">
        <v>0</v>
      </c>
      <c r="F69" s="117">
        <v>0</v>
      </c>
      <c r="H69" s="178"/>
      <c r="J69" s="122" t="s">
        <v>90</v>
      </c>
      <c r="K69" s="108"/>
      <c r="L69" s="112"/>
      <c r="N69" s="112"/>
      <c r="R69" s="112">
        <f>P69-N69</f>
        <v>0</v>
      </c>
    </row>
    <row r="70" spans="1:18" x14ac:dyDescent="0.25">
      <c r="A70" s="87" t="s">
        <v>71</v>
      </c>
      <c r="B70" t="s">
        <v>98</v>
      </c>
      <c r="C70" s="116">
        <v>33970.879999999997</v>
      </c>
      <c r="D70" s="116">
        <v>42943.51</v>
      </c>
      <c r="E70" s="116">
        <v>65552.38</v>
      </c>
      <c r="F70" s="117">
        <v>119741.18</v>
      </c>
      <c r="H70" s="178"/>
      <c r="J70" s="122" t="s">
        <v>90</v>
      </c>
      <c r="K70" s="108">
        <v>119741.18</v>
      </c>
      <c r="L70" s="112">
        <f>K70/L65</f>
        <v>0.14833993221078084</v>
      </c>
      <c r="N70" s="112">
        <f>K70/L65</f>
        <v>0.14833993221078084</v>
      </c>
      <c r="P70">
        <v>0.14834</v>
      </c>
      <c r="R70" s="112">
        <f>P70-N70</f>
        <v>6.7789219154734681E-8</v>
      </c>
    </row>
    <row r="71" spans="1:18" x14ac:dyDescent="0.25">
      <c r="A71" s="87" t="s">
        <v>71</v>
      </c>
      <c r="B71" t="s">
        <v>99</v>
      </c>
      <c r="C71" s="116">
        <v>4356.18</v>
      </c>
      <c r="D71" s="116">
        <v>4385.0600000000004</v>
      </c>
      <c r="E71" s="116">
        <v>10369.5</v>
      </c>
      <c r="F71" s="117">
        <v>22667.37</v>
      </c>
      <c r="H71" s="178"/>
      <c r="J71" s="122" t="s">
        <v>90</v>
      </c>
      <c r="K71" s="108">
        <v>22667.37</v>
      </c>
      <c r="L71" s="112">
        <f>K71/L66</f>
        <v>0.1129499962627999</v>
      </c>
      <c r="N71" s="112">
        <f>K71/L66</f>
        <v>0.1129499962627999</v>
      </c>
      <c r="P71">
        <v>0.11294999999999999</v>
      </c>
      <c r="R71" s="112">
        <f>P71-N71</f>
        <v>3.7372000910584902E-9</v>
      </c>
    </row>
    <row r="72" spans="1:18" x14ac:dyDescent="0.25">
      <c r="A72" s="87" t="s">
        <v>71</v>
      </c>
      <c r="B72" t="s">
        <v>100</v>
      </c>
      <c r="C72" s="116">
        <v>0</v>
      </c>
      <c r="D72" s="116">
        <v>0</v>
      </c>
      <c r="E72" s="116">
        <v>0</v>
      </c>
      <c r="F72" s="117">
        <v>673.54</v>
      </c>
      <c r="H72" s="178"/>
      <c r="J72" s="122" t="s">
        <v>90</v>
      </c>
      <c r="K72" s="108">
        <v>673.54</v>
      </c>
      <c r="L72" s="112">
        <f>K72/L67</f>
        <v>2.5409891726713697E-2</v>
      </c>
      <c r="N72" s="112">
        <f>K72/L67</f>
        <v>2.5409891726713697E-2</v>
      </c>
      <c r="P72">
        <v>2.5409999999999999E-2</v>
      </c>
      <c r="R72" s="112">
        <f t="shared" ref="R72" si="10">P72-N72</f>
        <v>1.0827328630197419E-7</v>
      </c>
    </row>
    <row r="73" spans="1:18" x14ac:dyDescent="0.25">
      <c r="A73" s="87" t="s">
        <v>72</v>
      </c>
      <c r="B73" t="s">
        <v>114</v>
      </c>
      <c r="C73" s="124">
        <f>ROUND(ROUND(1995442*0.0848,0)*0.11295,2)</f>
        <v>19112.61</v>
      </c>
      <c r="D73" s="124">
        <f>ROUND(ROUND(4342729*0.0849,0)*0.11295,2)</f>
        <v>41644.44</v>
      </c>
      <c r="E73" s="124">
        <f>ROUND(ROUND(6867470*0.0967,0)*0.11295,2)</f>
        <v>75008.289999999994</v>
      </c>
      <c r="F73" s="125">
        <f>ROUND(ROUND(12622239*0.0925,0)*0.11295,2)</f>
        <v>131875.56</v>
      </c>
      <c r="H73" s="178"/>
      <c r="J73" s="122" t="s">
        <v>91</v>
      </c>
      <c r="K73" s="108">
        <v>472918.51</v>
      </c>
      <c r="L73" s="112">
        <f>K73/L68</f>
        <v>0.45721367739515389</v>
      </c>
      <c r="N73" s="112">
        <f>K73/N68</f>
        <v>0.45721367739515389</v>
      </c>
      <c r="P73">
        <v>0.45717999999999998</v>
      </c>
      <c r="R73" s="112">
        <f>P73-N73</f>
        <v>-3.3677395153919321E-5</v>
      </c>
    </row>
    <row r="74" spans="1:18" x14ac:dyDescent="0.25">
      <c r="A74" s="87" t="s">
        <v>72</v>
      </c>
      <c r="B74" t="s">
        <v>115</v>
      </c>
      <c r="C74" s="95">
        <f>-ROUND(ROUND(1415857*0.0738,0)*0.11,2)</f>
        <v>-11493.9</v>
      </c>
      <c r="D74" s="95">
        <f t="shared" ref="D74:F74" si="11">-C73</f>
        <v>-19112.61</v>
      </c>
      <c r="E74" s="95">
        <f t="shared" si="11"/>
        <v>-41644.44</v>
      </c>
      <c r="F74" s="107">
        <f t="shared" si="11"/>
        <v>-75008.289999999994</v>
      </c>
      <c r="H74" s="178"/>
      <c r="J74" s="122"/>
      <c r="K74" s="108"/>
      <c r="L74" s="112"/>
      <c r="N74" s="112"/>
      <c r="R74" s="112"/>
    </row>
    <row r="75" spans="1:18" x14ac:dyDescent="0.25">
      <c r="A75" s="87"/>
      <c r="B75" s="89" t="s">
        <v>74</v>
      </c>
      <c r="C75" s="108">
        <f>SUM(C69:C74)</f>
        <v>45262.78</v>
      </c>
      <c r="D75" s="108">
        <f t="shared" ref="D75:F75" si="12">SUM(D69:D74)</f>
        <v>69860.400000000009</v>
      </c>
      <c r="E75" s="108">
        <f t="shared" si="12"/>
        <v>109285.72999999998</v>
      </c>
      <c r="F75" s="109">
        <f t="shared" si="12"/>
        <v>199949.36000000004</v>
      </c>
      <c r="H75" s="178"/>
    </row>
    <row r="76" spans="1:18" x14ac:dyDescent="0.25">
      <c r="A76" s="87"/>
      <c r="B76" s="89" t="s">
        <v>73</v>
      </c>
      <c r="C76" s="88">
        <f>ROUND(-'Authorized Margins'!F73*'WACAP 2016'!C68,2)</f>
        <v>-33758.06</v>
      </c>
      <c r="D76" s="88">
        <f>ROUND(-'Authorized Margins'!G73*'WACAP 2016'!D68,2)</f>
        <v>-51580.959999999999</v>
      </c>
      <c r="E76" s="88">
        <f>ROUND(-'Authorized Margins'!H73*'WACAP 2016'!E68,2)</f>
        <v>-66131.25</v>
      </c>
      <c r="F76" s="110">
        <f>ROUND(-'Authorized Margins'!I73*'WACAP 2016'!F68,2)</f>
        <v>-145904.37</v>
      </c>
      <c r="H76" s="178"/>
    </row>
    <row r="77" spans="1:18" x14ac:dyDescent="0.25">
      <c r="A77" s="87"/>
      <c r="B77" s="89" t="s">
        <v>75</v>
      </c>
      <c r="C77" s="90">
        <f>SUM(C75:C76)</f>
        <v>11504.720000000001</v>
      </c>
      <c r="D77" s="90">
        <f>SUM(D75:D76)</f>
        <v>18279.44000000001</v>
      </c>
      <c r="E77" s="90">
        <f>SUM(E75:E76)</f>
        <v>43154.479999999981</v>
      </c>
      <c r="F77" s="111">
        <f>SUM(F75:F76)</f>
        <v>54044.990000000049</v>
      </c>
      <c r="H77" s="180">
        <f>SUM(C77:G77)</f>
        <v>126983.63000000003</v>
      </c>
    </row>
    <row r="78" spans="1:18" x14ac:dyDescent="0.25">
      <c r="A78" s="87"/>
      <c r="B78" s="89" t="s">
        <v>137</v>
      </c>
      <c r="C78" s="187"/>
      <c r="D78" s="187">
        <f>ROUND(ROUND(C80*D$5,2)/365*D$6,2)</f>
        <v>34.200000000000003</v>
      </c>
      <c r="E78" s="187">
        <f>ROUND(ROUND(D80*E$5,2)/365*E$6,2)</f>
        <v>85.78</v>
      </c>
      <c r="F78" s="188">
        <f>ROUND(ROUND(E80*F$5,2)/365*F$6,2)</f>
        <v>217.17</v>
      </c>
      <c r="H78" s="196">
        <f>SUM(C78:G78)</f>
        <v>337.15</v>
      </c>
    </row>
    <row r="79" spans="1:18" x14ac:dyDescent="0.25">
      <c r="A79" s="87"/>
      <c r="B79" s="89" t="s">
        <v>138</v>
      </c>
      <c r="C79" s="189">
        <f>SUM(C77:C78)</f>
        <v>11504.720000000001</v>
      </c>
      <c r="D79" s="189">
        <f>SUM(D77:D78)</f>
        <v>18313.64000000001</v>
      </c>
      <c r="E79" s="189">
        <f>SUM(E77:E78)</f>
        <v>43240.25999999998</v>
      </c>
      <c r="F79" s="190">
        <f>SUM(F77:F78)</f>
        <v>54262.160000000047</v>
      </c>
      <c r="H79" s="198">
        <f>SUM(C79:G79)</f>
        <v>127320.78000000004</v>
      </c>
    </row>
    <row r="80" spans="1:18" x14ac:dyDescent="0.25">
      <c r="A80" s="87"/>
      <c r="B80" s="89" t="s">
        <v>139</v>
      </c>
      <c r="C80" s="90">
        <f>C79</f>
        <v>11504.720000000001</v>
      </c>
      <c r="D80" s="90">
        <f>C80+D79</f>
        <v>29818.360000000011</v>
      </c>
      <c r="E80" s="90">
        <f>D80+E79</f>
        <v>73058.62</v>
      </c>
      <c r="F80" s="111">
        <f>E80+F79</f>
        <v>127320.78000000004</v>
      </c>
      <c r="H80" s="197"/>
    </row>
    <row r="81" spans="1:18" x14ac:dyDescent="0.25">
      <c r="A81" s="86"/>
      <c r="C81" s="113"/>
      <c r="D81" s="113"/>
      <c r="E81" s="113"/>
      <c r="F81" s="115"/>
      <c r="H81" s="178"/>
    </row>
    <row r="82" spans="1:18" x14ac:dyDescent="0.25">
      <c r="A82" s="86">
        <v>512</v>
      </c>
      <c r="B82" s="104" t="s">
        <v>86</v>
      </c>
      <c r="C82" s="113"/>
      <c r="D82" s="113"/>
      <c r="E82" s="113"/>
      <c r="F82" s="115"/>
      <c r="H82" s="178"/>
      <c r="K82">
        <v>512</v>
      </c>
    </row>
    <row r="83" spans="1:18" x14ac:dyDescent="0.25">
      <c r="A83" s="87" t="s">
        <v>64</v>
      </c>
      <c r="B83" t="s">
        <v>65</v>
      </c>
      <c r="C83" s="105">
        <v>1</v>
      </c>
      <c r="D83" s="105">
        <v>1</v>
      </c>
      <c r="E83" s="105">
        <v>1</v>
      </c>
      <c r="F83" s="106">
        <v>1</v>
      </c>
      <c r="H83" s="178"/>
      <c r="L83" s="113">
        <v>3963</v>
      </c>
      <c r="M83" t="s">
        <v>92</v>
      </c>
      <c r="N83" s="113">
        <f>L83</f>
        <v>3963</v>
      </c>
    </row>
    <row r="84" spans="1:18" x14ac:dyDescent="0.25">
      <c r="A84" s="87" t="s">
        <v>71</v>
      </c>
      <c r="B84" t="s">
        <v>70</v>
      </c>
      <c r="C84" s="95">
        <f>ROUND(2134*0.20456,2)+ROUND(2134*0.21479,2)</f>
        <v>894.89</v>
      </c>
      <c r="D84" s="95">
        <v>799.66</v>
      </c>
      <c r="E84" s="95">
        <v>798.16</v>
      </c>
      <c r="F84" s="107">
        <v>851.21</v>
      </c>
      <c r="H84" s="178"/>
      <c r="J84" s="122" t="s">
        <v>90</v>
      </c>
      <c r="K84" s="108">
        <v>851.21</v>
      </c>
      <c r="L84" s="112">
        <f>K84/L83</f>
        <v>0.21478930103456978</v>
      </c>
      <c r="N84" s="112">
        <f>K84/N83</f>
        <v>0.21478930103456978</v>
      </c>
      <c r="P84">
        <v>0.21479000000000001</v>
      </c>
      <c r="R84" s="112">
        <f>P84-N84</f>
        <v>6.9896543022918145E-7</v>
      </c>
    </row>
    <row r="85" spans="1:18" x14ac:dyDescent="0.25">
      <c r="A85" s="87"/>
      <c r="B85" s="89" t="s">
        <v>74</v>
      </c>
      <c r="C85" s="108">
        <f>C84</f>
        <v>894.89</v>
      </c>
      <c r="D85" s="108">
        <f t="shared" ref="D85:F85" si="13">D84</f>
        <v>799.66</v>
      </c>
      <c r="E85" s="108">
        <f t="shared" si="13"/>
        <v>798.16</v>
      </c>
      <c r="F85" s="109">
        <f t="shared" si="13"/>
        <v>851.21</v>
      </c>
      <c r="H85" s="178"/>
      <c r="J85" s="122" t="s">
        <v>91</v>
      </c>
      <c r="K85" s="108">
        <v>1863.76</v>
      </c>
      <c r="L85" s="112">
        <f>K85/L83</f>
        <v>0.47029018420388596</v>
      </c>
      <c r="N85" s="112">
        <f>K85/N83</f>
        <v>0.47029018420388596</v>
      </c>
      <c r="P85">
        <v>0.47028999999999999</v>
      </c>
      <c r="R85" s="112">
        <f>P85-N85</f>
        <v>-1.8420388597784054E-7</v>
      </c>
    </row>
    <row r="86" spans="1:18" x14ac:dyDescent="0.25">
      <c r="A86" s="87"/>
      <c r="B86" s="89" t="s">
        <v>73</v>
      </c>
      <c r="C86" s="88">
        <f>ROUND(-'Authorized Margins'!F79*'WACAP 2016'!C83,2)</f>
        <v>-932.83</v>
      </c>
      <c r="D86" s="88">
        <f>ROUND(-'Authorized Margins'!G79*'WACAP 2016'!D83,2)</f>
        <v>-893.31</v>
      </c>
      <c r="E86" s="88">
        <f>ROUND(-'Authorized Margins'!H79*'WACAP 2016'!E83,2)</f>
        <v>-725.35</v>
      </c>
      <c r="F86" s="110">
        <f>ROUND(-'Authorized Margins'!I79*'WACAP 2016'!F83,2)</f>
        <v>-810.19</v>
      </c>
      <c r="H86" s="178"/>
    </row>
    <row r="87" spans="1:18" x14ac:dyDescent="0.25">
      <c r="A87" s="87"/>
      <c r="B87" s="89" t="s">
        <v>75</v>
      </c>
      <c r="C87" s="90">
        <f>SUM(C85:C86)</f>
        <v>-37.940000000000055</v>
      </c>
      <c r="D87" s="90">
        <f>SUM(D85:D86)</f>
        <v>-93.649999999999977</v>
      </c>
      <c r="E87" s="90">
        <f>SUM(E85:E86)</f>
        <v>72.809999999999945</v>
      </c>
      <c r="F87" s="111">
        <f>SUM(F85:F86)</f>
        <v>41.019999999999982</v>
      </c>
      <c r="H87" s="180">
        <f>SUM(C87:G87)</f>
        <v>-17.760000000000105</v>
      </c>
    </row>
    <row r="88" spans="1:18" x14ac:dyDescent="0.25">
      <c r="A88" s="87"/>
      <c r="B88" s="89" t="s">
        <v>137</v>
      </c>
      <c r="C88" s="187"/>
      <c r="D88" s="187">
        <f>ROUND(ROUND(C90*D$5,2)/365*D$6,2)</f>
        <v>-0.11</v>
      </c>
      <c r="E88" s="187">
        <f>ROUND(ROUND(D90*E$5,2)/365*E$6,2)</f>
        <v>-0.38</v>
      </c>
      <c r="F88" s="188">
        <f>ROUND(ROUND(E90*F$5,2)/365*F$6,2)</f>
        <v>-0.18</v>
      </c>
      <c r="H88" s="196">
        <f>SUM(C88:G88)</f>
        <v>-0.66999999999999993</v>
      </c>
    </row>
    <row r="89" spans="1:18" x14ac:dyDescent="0.25">
      <c r="A89" s="87"/>
      <c r="B89" s="89" t="s">
        <v>138</v>
      </c>
      <c r="C89" s="189">
        <f>SUM(C87:C88)</f>
        <v>-37.940000000000055</v>
      </c>
      <c r="D89" s="189">
        <f>SUM(D87:D88)</f>
        <v>-93.759999999999977</v>
      </c>
      <c r="E89" s="189">
        <f>SUM(E87:E88)</f>
        <v>72.42999999999995</v>
      </c>
      <c r="F89" s="190">
        <f>SUM(F87:F88)</f>
        <v>40.839999999999982</v>
      </c>
      <c r="H89" s="198">
        <f>SUM(C89:G89)</f>
        <v>-18.430000000000113</v>
      </c>
    </row>
    <row r="90" spans="1:18" x14ac:dyDescent="0.25">
      <c r="A90" s="87"/>
      <c r="B90" s="89" t="s">
        <v>139</v>
      </c>
      <c r="C90" s="90">
        <f>C89</f>
        <v>-37.940000000000055</v>
      </c>
      <c r="D90" s="90">
        <f>C90+D89</f>
        <v>-131.70000000000005</v>
      </c>
      <c r="E90" s="90">
        <f>D90+E89</f>
        <v>-59.270000000000095</v>
      </c>
      <c r="F90" s="111">
        <f>E90+F89</f>
        <v>-18.430000000000113</v>
      </c>
      <c r="H90" s="197"/>
    </row>
    <row r="91" spans="1:18" x14ac:dyDescent="0.25">
      <c r="A91" s="86"/>
      <c r="C91" s="113"/>
      <c r="D91" s="113"/>
      <c r="E91" s="113"/>
      <c r="F91" s="115"/>
      <c r="H91" s="178"/>
    </row>
    <row r="92" spans="1:18" x14ac:dyDescent="0.25">
      <c r="A92" s="86" t="s">
        <v>83</v>
      </c>
      <c r="B92" s="104" t="s">
        <v>87</v>
      </c>
      <c r="C92" s="113"/>
      <c r="D92" s="113"/>
      <c r="E92" s="113"/>
      <c r="F92" s="115"/>
      <c r="H92" s="178"/>
      <c r="K92">
        <v>505</v>
      </c>
    </row>
    <row r="93" spans="1:18" x14ac:dyDescent="0.25">
      <c r="A93" s="87" t="s">
        <v>64</v>
      </c>
      <c r="B93" t="s">
        <v>65</v>
      </c>
      <c r="C93" s="105">
        <v>1</v>
      </c>
      <c r="D93" s="105">
        <v>1</v>
      </c>
      <c r="E93" s="105">
        <v>1</v>
      </c>
      <c r="F93" s="106">
        <v>1</v>
      </c>
      <c r="H93" s="178"/>
      <c r="L93" s="113">
        <v>302</v>
      </c>
      <c r="M93" t="s">
        <v>92</v>
      </c>
      <c r="N93" s="113">
        <f>L93</f>
        <v>302</v>
      </c>
    </row>
    <row r="94" spans="1:18" x14ac:dyDescent="0.25">
      <c r="A94" s="87" t="s">
        <v>71</v>
      </c>
      <c r="B94" t="s">
        <v>95</v>
      </c>
      <c r="C94" s="116">
        <f>ROUND(473*0.19,2)</f>
        <v>89.87</v>
      </c>
      <c r="D94" s="116">
        <v>76.69</v>
      </c>
      <c r="E94" s="116">
        <v>0</v>
      </c>
      <c r="F94" s="117">
        <v>7.91</v>
      </c>
      <c r="H94" s="178"/>
      <c r="J94" s="122" t="s">
        <v>90</v>
      </c>
      <c r="K94" s="108">
        <v>56.91</v>
      </c>
      <c r="L94" s="112">
        <f>K94/L93</f>
        <v>0.18844370860927151</v>
      </c>
      <c r="N94" s="112">
        <f>K94/N93</f>
        <v>0.18844370860927151</v>
      </c>
      <c r="P94">
        <v>0.18842999999999999</v>
      </c>
      <c r="R94" s="112">
        <f>P94-N94</f>
        <v>-1.3708609271523287E-5</v>
      </c>
    </row>
    <row r="95" spans="1:18" x14ac:dyDescent="0.25">
      <c r="A95" s="87" t="s">
        <v>72</v>
      </c>
      <c r="B95" t="s">
        <v>101</v>
      </c>
      <c r="C95" s="116">
        <v>76.69</v>
      </c>
      <c r="D95" s="116">
        <v>0</v>
      </c>
      <c r="E95" s="116">
        <v>7.91</v>
      </c>
      <c r="F95" s="117">
        <v>56.91</v>
      </c>
      <c r="H95" s="178"/>
      <c r="J95" s="122" t="s">
        <v>91</v>
      </c>
      <c r="K95" s="108">
        <v>138.07</v>
      </c>
      <c r="L95" s="112">
        <f>K95/L93</f>
        <v>0.45718543046357613</v>
      </c>
      <c r="N95" s="112">
        <f>K95/N93</f>
        <v>0.45718543046357613</v>
      </c>
      <c r="P95">
        <v>0.45717999999999998</v>
      </c>
      <c r="R95" s="112">
        <f>P95-N95</f>
        <v>-5.4304635761504017E-6</v>
      </c>
    </row>
    <row r="96" spans="1:18" x14ac:dyDescent="0.25">
      <c r="A96" s="87" t="s">
        <v>72</v>
      </c>
      <c r="B96" t="s">
        <v>102</v>
      </c>
      <c r="C96" s="95">
        <f>-ROUND(473*0.19,2)</f>
        <v>-89.87</v>
      </c>
      <c r="D96" s="95">
        <f>-C95</f>
        <v>-76.69</v>
      </c>
      <c r="E96" s="95">
        <f t="shared" ref="E96:F96" si="14">-D95</f>
        <v>0</v>
      </c>
      <c r="F96" s="107">
        <f t="shared" si="14"/>
        <v>-7.91</v>
      </c>
      <c r="H96" s="178"/>
    </row>
    <row r="97" spans="1:18" x14ac:dyDescent="0.25">
      <c r="A97" s="86"/>
      <c r="B97" s="89" t="s">
        <v>74</v>
      </c>
      <c r="C97" s="108">
        <f>SUM(C94:C96)</f>
        <v>76.69</v>
      </c>
      <c r="D97" s="108">
        <f t="shared" ref="D97:F97" si="15">SUM(D94:D96)</f>
        <v>0</v>
      </c>
      <c r="E97" s="108">
        <f t="shared" si="15"/>
        <v>7.91</v>
      </c>
      <c r="F97" s="109">
        <f t="shared" si="15"/>
        <v>56.91</v>
      </c>
      <c r="H97" s="178"/>
    </row>
    <row r="98" spans="1:18" x14ac:dyDescent="0.25">
      <c r="A98" s="86"/>
      <c r="B98" s="89" t="s">
        <v>73</v>
      </c>
      <c r="C98" s="88">
        <f>ROUND(-'Authorized Margins'!F60*'WACAP 2016'!C93,2)</f>
        <v>-219.19</v>
      </c>
      <c r="D98" s="88">
        <f>ROUND(-'Authorized Margins'!G60*'WACAP 2016'!D93,2)</f>
        <v>-481.47</v>
      </c>
      <c r="E98" s="88">
        <f>ROUND(-'Authorized Margins'!H60*'WACAP 2016'!E93,2)</f>
        <v>-330.25</v>
      </c>
      <c r="F98" s="110">
        <f>ROUND(-'Authorized Margins'!I60*'WACAP 2016'!F93,2)</f>
        <v>-499.01</v>
      </c>
      <c r="H98" s="178"/>
    </row>
    <row r="99" spans="1:18" x14ac:dyDescent="0.25">
      <c r="A99" s="86"/>
      <c r="B99" s="89" t="s">
        <v>75</v>
      </c>
      <c r="C99" s="90">
        <f>SUM(C97:C98)</f>
        <v>-142.5</v>
      </c>
      <c r="D99" s="90">
        <f>SUM(D97:D98)</f>
        <v>-481.47</v>
      </c>
      <c r="E99" s="90">
        <f>SUM(E97:E98)</f>
        <v>-322.33999999999997</v>
      </c>
      <c r="F99" s="111">
        <f>SUM(F97:F98)</f>
        <v>-442.1</v>
      </c>
      <c r="H99" s="180">
        <f>SUM(C99:G99)</f>
        <v>-1388.4099999999999</v>
      </c>
    </row>
    <row r="100" spans="1:18" x14ac:dyDescent="0.25">
      <c r="A100" s="87"/>
      <c r="B100" s="89" t="s">
        <v>137</v>
      </c>
      <c r="C100" s="187"/>
      <c r="D100" s="187">
        <f>ROUND(ROUND(C102*D$5,2)/365*D$6,2)</f>
        <v>-0.42</v>
      </c>
      <c r="E100" s="187">
        <f>ROUND(ROUND(D102*E$5,2)/365*E$6,2)</f>
        <v>-1.8</v>
      </c>
      <c r="F100" s="188">
        <f>ROUND(ROUND(E102*F$5,2)/365*F$6,2)</f>
        <v>-2.82</v>
      </c>
      <c r="H100" s="196">
        <f>SUM(C100:G100)</f>
        <v>-5.04</v>
      </c>
    </row>
    <row r="101" spans="1:18" x14ac:dyDescent="0.25">
      <c r="A101" s="87"/>
      <c r="B101" s="89" t="s">
        <v>138</v>
      </c>
      <c r="C101" s="189">
        <f>SUM(C99:C100)</f>
        <v>-142.5</v>
      </c>
      <c r="D101" s="189">
        <f>SUM(D99:D100)</f>
        <v>-481.89000000000004</v>
      </c>
      <c r="E101" s="189">
        <f>SUM(E99:E100)</f>
        <v>-324.14</v>
      </c>
      <c r="F101" s="190">
        <f>SUM(F99:F100)</f>
        <v>-444.92</v>
      </c>
      <c r="H101" s="198">
        <f>SUM(C101:G101)</f>
        <v>-1393.45</v>
      </c>
    </row>
    <row r="102" spans="1:18" x14ac:dyDescent="0.25">
      <c r="A102" s="87"/>
      <c r="B102" s="89" t="s">
        <v>139</v>
      </c>
      <c r="C102" s="90">
        <f>C101</f>
        <v>-142.5</v>
      </c>
      <c r="D102" s="90">
        <f>C102+D101</f>
        <v>-624.3900000000001</v>
      </c>
      <c r="E102" s="90">
        <f>D102+E101</f>
        <v>-948.53000000000009</v>
      </c>
      <c r="F102" s="111">
        <f>E102+F101</f>
        <v>-1393.45</v>
      </c>
      <c r="H102" s="197"/>
    </row>
    <row r="103" spans="1:18" x14ac:dyDescent="0.25">
      <c r="A103" s="86"/>
      <c r="B103" s="89"/>
      <c r="C103" s="90"/>
      <c r="D103" s="90"/>
      <c r="E103" s="90"/>
      <c r="F103" s="111"/>
      <c r="H103" s="178"/>
      <c r="J103" s="122"/>
      <c r="K103" s="108"/>
      <c r="L103" s="108">
        <f>ROUND(K106/P106,0)</f>
        <v>167141</v>
      </c>
    </row>
    <row r="104" spans="1:18" x14ac:dyDescent="0.25">
      <c r="A104" s="86">
        <v>570</v>
      </c>
      <c r="B104" s="104" t="s">
        <v>88</v>
      </c>
      <c r="C104" s="113"/>
      <c r="D104" s="113"/>
      <c r="E104" s="113"/>
      <c r="F104" s="115"/>
      <c r="H104" s="178"/>
      <c r="K104">
        <v>570</v>
      </c>
      <c r="L104" s="108">
        <f>ROUND(K107/P107,0)</f>
        <v>365563</v>
      </c>
      <c r="M104" s="108">
        <f>SUM(L103:L104)</f>
        <v>532704</v>
      </c>
    </row>
    <row r="105" spans="1:18" x14ac:dyDescent="0.25">
      <c r="A105" s="87" t="s">
        <v>64</v>
      </c>
      <c r="B105" t="s">
        <v>65</v>
      </c>
      <c r="C105" s="105">
        <v>8</v>
      </c>
      <c r="D105" s="105">
        <v>8</v>
      </c>
      <c r="E105" s="105">
        <v>8</v>
      </c>
      <c r="F105" s="106">
        <v>8</v>
      </c>
      <c r="H105" s="178"/>
      <c r="L105" s="113">
        <v>532704</v>
      </c>
      <c r="M105" t="s">
        <v>92</v>
      </c>
      <c r="N105" s="113">
        <f>L105</f>
        <v>532704</v>
      </c>
    </row>
    <row r="106" spans="1:18" x14ac:dyDescent="0.25">
      <c r="A106" s="87" t="s">
        <v>71</v>
      </c>
      <c r="B106" t="s">
        <v>103</v>
      </c>
      <c r="C106" s="116">
        <f>ROUND(102793*0.083,2)</f>
        <v>8531.82</v>
      </c>
      <c r="D106" s="116">
        <v>11237.47</v>
      </c>
      <c r="E106" s="116">
        <v>12255.16</v>
      </c>
      <c r="F106" s="117">
        <v>11677.36</v>
      </c>
      <c r="H106" s="178"/>
      <c r="J106" s="122" t="s">
        <v>90</v>
      </c>
      <c r="K106" s="108">
        <v>13760.72</v>
      </c>
      <c r="L106" s="112">
        <f>K106/L103</f>
        <v>8.2330008794969517E-2</v>
      </c>
      <c r="N106" s="112">
        <f>K106/L103</f>
        <v>8.2330008794969517E-2</v>
      </c>
      <c r="P106">
        <v>8.233E-2</v>
      </c>
      <c r="R106" s="112">
        <f>P106-N106</f>
        <v>-8.7949695165567832E-9</v>
      </c>
    </row>
    <row r="107" spans="1:18" x14ac:dyDescent="0.25">
      <c r="A107" s="87" t="s">
        <v>71</v>
      </c>
      <c r="B107" t="s">
        <v>104</v>
      </c>
      <c r="C107" s="116">
        <f>ROUND(68239*0.02197,2)</f>
        <v>1499.21</v>
      </c>
      <c r="D107" s="116">
        <v>1947.2</v>
      </c>
      <c r="E107" s="116">
        <v>3737.83</v>
      </c>
      <c r="F107" s="117">
        <v>4953.28</v>
      </c>
      <c r="H107" s="178"/>
      <c r="J107" s="122" t="s">
        <v>90</v>
      </c>
      <c r="K107" s="108">
        <v>8228.82</v>
      </c>
      <c r="L107" s="112">
        <f>K107/L104</f>
        <v>2.2509991437864335E-2</v>
      </c>
      <c r="N107" s="112">
        <f>K107/L104</f>
        <v>2.2509991437864335E-2</v>
      </c>
      <c r="P107">
        <v>2.2509999999999999E-2</v>
      </c>
      <c r="R107" s="112">
        <f>P107-N107</f>
        <v>8.562135663664483E-9</v>
      </c>
    </row>
    <row r="108" spans="1:18" x14ac:dyDescent="0.25">
      <c r="A108" s="87" t="s">
        <v>72</v>
      </c>
      <c r="B108" t="s">
        <v>105</v>
      </c>
      <c r="C108" s="116">
        <v>11237.47</v>
      </c>
      <c r="D108" s="116">
        <v>12255.16</v>
      </c>
      <c r="E108" s="116">
        <v>11677.36</v>
      </c>
      <c r="F108" s="117">
        <v>13760.72</v>
      </c>
      <c r="H108" s="178"/>
      <c r="J108" s="122" t="s">
        <v>91</v>
      </c>
      <c r="K108" s="108">
        <v>236584.49</v>
      </c>
      <c r="L108" s="112">
        <f>K108/L105</f>
        <v>0.44411998032678557</v>
      </c>
      <c r="N108" s="112">
        <f>K108/N105</f>
        <v>0.44411998032678557</v>
      </c>
      <c r="P108">
        <v>0.44412000000000001</v>
      </c>
      <c r="R108" s="112">
        <f>P108-N108</f>
        <v>1.9673214446402909E-8</v>
      </c>
    </row>
    <row r="109" spans="1:18" x14ac:dyDescent="0.25">
      <c r="A109" s="87" t="s">
        <v>72</v>
      </c>
      <c r="B109" t="s">
        <v>106</v>
      </c>
      <c r="C109" s="116">
        <v>1947.2</v>
      </c>
      <c r="D109" s="116">
        <v>3737.83</v>
      </c>
      <c r="E109" s="116">
        <v>4953.28</v>
      </c>
      <c r="F109" s="117">
        <v>8228.82</v>
      </c>
      <c r="H109" s="178"/>
      <c r="R109" s="112"/>
    </row>
    <row r="110" spans="1:18" x14ac:dyDescent="0.25">
      <c r="A110" s="87" t="s">
        <v>72</v>
      </c>
      <c r="B110" t="s">
        <v>107</v>
      </c>
      <c r="C110" s="116">
        <f>-ROUND(102793*0.083,2)</f>
        <v>-8531.82</v>
      </c>
      <c r="D110" s="116">
        <f>-C108</f>
        <v>-11237.47</v>
      </c>
      <c r="E110" s="116">
        <f t="shared" ref="E110:F110" si="16">-D108</f>
        <v>-12255.16</v>
      </c>
      <c r="F110" s="117">
        <f t="shared" si="16"/>
        <v>-11677.36</v>
      </c>
      <c r="H110" s="178"/>
    </row>
    <row r="111" spans="1:18" x14ac:dyDescent="0.25">
      <c r="A111" s="87" t="s">
        <v>72</v>
      </c>
      <c r="B111" t="s">
        <v>108</v>
      </c>
      <c r="C111" s="95">
        <f>-ROUND(68239*0.02197,2)</f>
        <v>-1499.21</v>
      </c>
      <c r="D111" s="95">
        <f>-C109</f>
        <v>-1947.2</v>
      </c>
      <c r="E111" s="95">
        <f t="shared" ref="E111:F111" si="17">-D109</f>
        <v>-3737.83</v>
      </c>
      <c r="F111" s="107">
        <f t="shared" si="17"/>
        <v>-4953.28</v>
      </c>
      <c r="H111" s="178"/>
    </row>
    <row r="112" spans="1:18" x14ac:dyDescent="0.25">
      <c r="A112" s="87"/>
      <c r="B112" s="89" t="s">
        <v>74</v>
      </c>
      <c r="C112" s="108">
        <f t="shared" ref="C112:F112" si="18">SUM(C106:C111)</f>
        <v>13184.670000000002</v>
      </c>
      <c r="D112" s="108">
        <f t="shared" si="18"/>
        <v>15992.990000000002</v>
      </c>
      <c r="E112" s="108">
        <f t="shared" si="18"/>
        <v>16630.64</v>
      </c>
      <c r="F112" s="109">
        <f t="shared" si="18"/>
        <v>21989.54</v>
      </c>
      <c r="H112" s="178"/>
    </row>
    <row r="113" spans="1:18" x14ac:dyDescent="0.25">
      <c r="A113" s="87"/>
      <c r="B113" s="89" t="s">
        <v>73</v>
      </c>
      <c r="C113" s="88">
        <f>ROUND(-'Authorized Margins'!F95*'WACAP 2016'!C105,2)</f>
        <v>-10479.36</v>
      </c>
      <c r="D113" s="88">
        <f>ROUND(-'Authorized Margins'!G95*'WACAP 2016'!D105,2)</f>
        <v>-12979.28</v>
      </c>
      <c r="E113" s="88">
        <f>ROUND(-'Authorized Margins'!H95*'WACAP 2016'!E105,2)</f>
        <v>-13836.96</v>
      </c>
      <c r="F113" s="110">
        <f>ROUND(-'Authorized Margins'!I95*'WACAP 2016'!F105,2)</f>
        <v>-17548</v>
      </c>
      <c r="H113" s="178"/>
    </row>
    <row r="114" spans="1:18" x14ac:dyDescent="0.25">
      <c r="A114" s="87"/>
      <c r="B114" s="89" t="s">
        <v>75</v>
      </c>
      <c r="C114" s="90">
        <f>SUM(C112:C113)</f>
        <v>2705.3100000000013</v>
      </c>
      <c r="D114" s="90">
        <f>SUM(D112:D113)</f>
        <v>3013.7100000000009</v>
      </c>
      <c r="E114" s="90">
        <f>SUM(E112:E113)</f>
        <v>2793.6800000000003</v>
      </c>
      <c r="F114" s="111">
        <f>SUM(F112:F113)</f>
        <v>4441.5400000000009</v>
      </c>
      <c r="H114" s="180">
        <f>SUM(C114:G114)</f>
        <v>12954.240000000003</v>
      </c>
    </row>
    <row r="115" spans="1:18" x14ac:dyDescent="0.25">
      <c r="A115" s="87"/>
      <c r="B115" s="89" t="s">
        <v>137</v>
      </c>
      <c r="C115" s="187"/>
      <c r="D115" s="187">
        <f>ROUND(ROUND(C117*D$5,2)/365*D$6,2)</f>
        <v>8.0399999999999991</v>
      </c>
      <c r="E115" s="187">
        <f>ROUND(ROUND(D117*E$5,2)/365*E$6,2)</f>
        <v>16.48</v>
      </c>
      <c r="F115" s="188">
        <f>ROUND(ROUND(E117*F$5,2)/365*F$6,2)</f>
        <v>25.38</v>
      </c>
      <c r="H115" s="196">
        <f>SUM(C115:G115)</f>
        <v>49.9</v>
      </c>
    </row>
    <row r="116" spans="1:18" x14ac:dyDescent="0.25">
      <c r="A116" s="87"/>
      <c r="B116" s="89" t="s">
        <v>138</v>
      </c>
      <c r="C116" s="189">
        <f>SUM(C114:C115)</f>
        <v>2705.3100000000013</v>
      </c>
      <c r="D116" s="189">
        <f>SUM(D114:D115)</f>
        <v>3021.7500000000009</v>
      </c>
      <c r="E116" s="189">
        <f>SUM(E114:E115)</f>
        <v>2810.1600000000003</v>
      </c>
      <c r="F116" s="190">
        <f>SUM(F114:F115)</f>
        <v>4466.920000000001</v>
      </c>
      <c r="H116" s="198">
        <f>SUM(C116:G116)</f>
        <v>13004.140000000003</v>
      </c>
    </row>
    <row r="117" spans="1:18" x14ac:dyDescent="0.25">
      <c r="A117" s="87"/>
      <c r="B117" s="89" t="s">
        <v>139</v>
      </c>
      <c r="C117" s="90">
        <f>C116</f>
        <v>2705.3100000000013</v>
      </c>
      <c r="D117" s="90">
        <f>C117+D116</f>
        <v>5727.0600000000022</v>
      </c>
      <c r="E117" s="90">
        <f>D117+E116</f>
        <v>8537.220000000003</v>
      </c>
      <c r="F117" s="111">
        <f>E117+F116</f>
        <v>13004.140000000003</v>
      </c>
      <c r="H117" s="197"/>
    </row>
    <row r="118" spans="1:18" x14ac:dyDescent="0.25">
      <c r="A118" s="86"/>
      <c r="C118" s="113"/>
      <c r="D118" s="113"/>
      <c r="E118" s="113"/>
      <c r="F118" s="115"/>
      <c r="H118" s="178"/>
      <c r="J118" s="122"/>
      <c r="K118" s="108"/>
      <c r="L118" s="108">
        <f>ROUND(K121/P121,0)</f>
        <v>8000</v>
      </c>
    </row>
    <row r="119" spans="1:18" x14ac:dyDescent="0.25">
      <c r="A119" s="86">
        <v>577</v>
      </c>
      <c r="B119" s="104" t="s">
        <v>88</v>
      </c>
      <c r="C119" s="113"/>
      <c r="D119" s="113"/>
      <c r="E119" s="113"/>
      <c r="F119" s="115"/>
      <c r="H119" s="178"/>
      <c r="K119">
        <v>577</v>
      </c>
      <c r="L119" s="108">
        <f>ROUND(K122/P122,0)</f>
        <v>16153</v>
      </c>
      <c r="M119" s="108">
        <f>SUM(L118:L119)</f>
        <v>24153</v>
      </c>
    </row>
    <row r="120" spans="1:18" x14ac:dyDescent="0.25">
      <c r="A120" s="87" t="s">
        <v>64</v>
      </c>
      <c r="B120" t="s">
        <v>65</v>
      </c>
      <c r="C120" s="105">
        <v>2</v>
      </c>
      <c r="D120" s="105">
        <v>2</v>
      </c>
      <c r="E120" s="105">
        <v>2</v>
      </c>
      <c r="F120" s="106">
        <v>2</v>
      </c>
      <c r="H120" s="178"/>
      <c r="L120" s="113">
        <v>24153</v>
      </c>
      <c r="M120" t="s">
        <v>92</v>
      </c>
      <c r="N120" s="113">
        <f>L120</f>
        <v>24153</v>
      </c>
    </row>
    <row r="121" spans="1:18" x14ac:dyDescent="0.25">
      <c r="A121" s="87" t="s">
        <v>71</v>
      </c>
      <c r="B121" t="s">
        <v>109</v>
      </c>
      <c r="C121" s="116">
        <f>ROUND(7272*0.11,2)</f>
        <v>799.92</v>
      </c>
      <c r="D121" s="116">
        <v>791.83</v>
      </c>
      <c r="E121" s="116">
        <v>832.08</v>
      </c>
      <c r="F121" s="117">
        <v>832.08</v>
      </c>
      <c r="H121" s="178"/>
      <c r="J121" s="122" t="s">
        <v>90</v>
      </c>
      <c r="K121" s="108">
        <v>832.08</v>
      </c>
      <c r="L121" s="112">
        <f>K121/L118</f>
        <v>0.10401000000000001</v>
      </c>
      <c r="N121" s="112">
        <f>K121/L118</f>
        <v>0.10401000000000001</v>
      </c>
      <c r="P121">
        <v>0.10401000000000001</v>
      </c>
      <c r="R121" s="112">
        <f>P121-N121</f>
        <v>0</v>
      </c>
    </row>
    <row r="122" spans="1:18" x14ac:dyDescent="0.25">
      <c r="A122" s="87" t="s">
        <v>71</v>
      </c>
      <c r="B122" t="s">
        <v>96</v>
      </c>
      <c r="C122" s="116">
        <f>ROUND(1235*0.08896,2)</f>
        <v>109.87</v>
      </c>
      <c r="D122" s="116">
        <v>201.69</v>
      </c>
      <c r="E122" s="116">
        <v>524.91999999999996</v>
      </c>
      <c r="F122" s="117">
        <v>697.64</v>
      </c>
      <c r="H122" s="178"/>
      <c r="J122" s="122" t="s">
        <v>90</v>
      </c>
      <c r="K122" s="108">
        <v>1364.28</v>
      </c>
      <c r="L122" s="112">
        <f>K122/L119</f>
        <v>8.44598526589488E-2</v>
      </c>
      <c r="N122" s="112">
        <f>K122/L119</f>
        <v>8.44598526589488E-2</v>
      </c>
      <c r="P122">
        <v>8.4459999999999993E-2</v>
      </c>
      <c r="R122" s="112">
        <f>P122-N122</f>
        <v>1.4734105119318386E-7</v>
      </c>
    </row>
    <row r="123" spans="1:18" x14ac:dyDescent="0.25">
      <c r="A123" s="87" t="s">
        <v>72</v>
      </c>
      <c r="B123" t="s">
        <v>110</v>
      </c>
      <c r="C123" s="116">
        <v>791.83</v>
      </c>
      <c r="D123" s="116">
        <v>832.08</v>
      </c>
      <c r="E123" s="116">
        <v>832.08</v>
      </c>
      <c r="F123" s="117">
        <v>832.08</v>
      </c>
      <c r="H123" s="178"/>
      <c r="J123" s="122" t="s">
        <v>91</v>
      </c>
      <c r="K123" s="108">
        <v>10726.83</v>
      </c>
      <c r="L123" s="112">
        <f>K123/L120</f>
        <v>0.44411998509501927</v>
      </c>
      <c r="N123" s="112">
        <f>K123/N120</f>
        <v>0.44411998509501927</v>
      </c>
      <c r="P123">
        <v>0.44412000000000001</v>
      </c>
      <c r="R123" s="112">
        <f>P123-N123</f>
        <v>1.4904980749630425E-8</v>
      </c>
    </row>
    <row r="124" spans="1:18" x14ac:dyDescent="0.25">
      <c r="A124" s="87" t="s">
        <v>72</v>
      </c>
      <c r="B124" t="s">
        <v>111</v>
      </c>
      <c r="C124" s="116">
        <v>201.69</v>
      </c>
      <c r="D124" s="116">
        <v>524.91999999999996</v>
      </c>
      <c r="E124" s="116">
        <v>697.64</v>
      </c>
      <c r="F124" s="117">
        <v>1364.28</v>
      </c>
      <c r="H124" s="178"/>
      <c r="R124" s="112"/>
    </row>
    <row r="125" spans="1:18" x14ac:dyDescent="0.25">
      <c r="A125" s="87" t="s">
        <v>72</v>
      </c>
      <c r="B125" t="s">
        <v>112</v>
      </c>
      <c r="C125" s="116">
        <f>-ROUND(7272*0.11,2)</f>
        <v>-799.92</v>
      </c>
      <c r="D125" s="116">
        <f>-C123</f>
        <v>-791.83</v>
      </c>
      <c r="E125" s="116">
        <f t="shared" ref="E125:F125" si="19">-D123</f>
        <v>-832.08</v>
      </c>
      <c r="F125" s="117">
        <f t="shared" si="19"/>
        <v>-832.08</v>
      </c>
      <c r="H125" s="178"/>
    </row>
    <row r="126" spans="1:18" x14ac:dyDescent="0.25">
      <c r="A126" s="87" t="s">
        <v>72</v>
      </c>
      <c r="B126" t="s">
        <v>113</v>
      </c>
      <c r="C126" s="95">
        <f>-ROUND(1235*0.08896,2)</f>
        <v>-109.87</v>
      </c>
      <c r="D126" s="95">
        <f>-C124</f>
        <v>-201.69</v>
      </c>
      <c r="E126" s="95">
        <f t="shared" ref="E126:F126" si="20">-D124</f>
        <v>-524.91999999999996</v>
      </c>
      <c r="F126" s="107">
        <f t="shared" si="20"/>
        <v>-697.64</v>
      </c>
      <c r="H126" s="178"/>
    </row>
    <row r="127" spans="1:18" x14ac:dyDescent="0.25">
      <c r="A127" s="4"/>
      <c r="B127" s="89" t="s">
        <v>74</v>
      </c>
      <c r="C127" s="108">
        <f t="shared" ref="C127:F127" si="21">SUM(C121:C126)</f>
        <v>993.51999999999987</v>
      </c>
      <c r="D127" s="108">
        <f t="shared" si="21"/>
        <v>1357</v>
      </c>
      <c r="E127" s="108">
        <f t="shared" si="21"/>
        <v>1529.7199999999998</v>
      </c>
      <c r="F127" s="109">
        <f t="shared" si="21"/>
        <v>2196.36</v>
      </c>
      <c r="H127" s="178"/>
    </row>
    <row r="128" spans="1:18" x14ac:dyDescent="0.25">
      <c r="A128" s="4"/>
      <c r="B128" s="89" t="s">
        <v>73</v>
      </c>
      <c r="C128" s="88">
        <f>ROUND(-'Authorized Margins'!F105*'WACAP 2016'!C120,2)</f>
        <v>-1082.82</v>
      </c>
      <c r="D128" s="88">
        <f>ROUND(-'Authorized Margins'!G105*'WACAP 2016'!D120,2)</f>
        <v>-1240.3</v>
      </c>
      <c r="E128" s="88">
        <f>ROUND(-'Authorized Margins'!H105*'WACAP 2016'!E120,2)</f>
        <v>-1500.44</v>
      </c>
      <c r="F128" s="110">
        <f>ROUND(-'Authorized Margins'!I105*'WACAP 2016'!F120,2)</f>
        <v>-2059.96</v>
      </c>
      <c r="H128" s="178"/>
    </row>
    <row r="129" spans="1:8" x14ac:dyDescent="0.25">
      <c r="A129" s="4"/>
      <c r="B129" s="89" t="s">
        <v>75</v>
      </c>
      <c r="C129" s="90">
        <f>SUM(C127:C128)</f>
        <v>-89.300000000000068</v>
      </c>
      <c r="D129" s="90">
        <f>SUM(D127:D128)</f>
        <v>116.70000000000005</v>
      </c>
      <c r="E129" s="90">
        <f>SUM(E127:E128)</f>
        <v>29.279999999999745</v>
      </c>
      <c r="F129" s="111">
        <f>SUM(F127:F128)</f>
        <v>136.40000000000009</v>
      </c>
      <c r="H129" s="180">
        <f>SUM(C129:G129)</f>
        <v>193.07999999999981</v>
      </c>
    </row>
    <row r="130" spans="1:8" x14ac:dyDescent="0.25">
      <c r="A130" s="87"/>
      <c r="B130" s="89" t="s">
        <v>137</v>
      </c>
      <c r="C130" s="187"/>
      <c r="D130" s="187">
        <f>ROUND(ROUND(C132*D$5,2)/365*D$6,2)</f>
        <v>-0.27</v>
      </c>
      <c r="E130" s="187">
        <f>ROUND(ROUND(D132*E$5,2)/365*E$6,2)</f>
        <v>0.08</v>
      </c>
      <c r="F130" s="188">
        <f>ROUND(ROUND(E132*F$5,2)/365*F$6,2)</f>
        <v>0.17</v>
      </c>
      <c r="H130" s="196">
        <f>SUM(C130:G130)</f>
        <v>-1.999999999999999E-2</v>
      </c>
    </row>
    <row r="131" spans="1:8" x14ac:dyDescent="0.25">
      <c r="A131" s="87"/>
      <c r="B131" s="89" t="s">
        <v>138</v>
      </c>
      <c r="C131" s="189">
        <f>SUM(C129:C130)</f>
        <v>-89.300000000000068</v>
      </c>
      <c r="D131" s="189">
        <f>SUM(D129:D130)</f>
        <v>116.43000000000005</v>
      </c>
      <c r="E131" s="189">
        <f>SUM(E129:E130)</f>
        <v>29.359999999999744</v>
      </c>
      <c r="F131" s="190">
        <f>SUM(F129:F130)</f>
        <v>136.57000000000008</v>
      </c>
      <c r="H131" s="198">
        <f>SUM(C131:G131)</f>
        <v>193.0599999999998</v>
      </c>
    </row>
    <row r="132" spans="1:8" x14ac:dyDescent="0.25">
      <c r="A132" s="87"/>
      <c r="B132" s="89" t="s">
        <v>139</v>
      </c>
      <c r="C132" s="90">
        <f>C131</f>
        <v>-89.300000000000068</v>
      </c>
      <c r="D132" s="90">
        <f>C132+D131</f>
        <v>27.129999999999981</v>
      </c>
      <c r="E132" s="90">
        <f>D132+E131</f>
        <v>56.489999999999725</v>
      </c>
      <c r="F132" s="111">
        <f>E132+F131</f>
        <v>193.0599999999998</v>
      </c>
      <c r="H132" s="197"/>
    </row>
    <row r="133" spans="1:8" ht="15.75" thickBot="1" x14ac:dyDescent="0.3">
      <c r="A133" s="118"/>
      <c r="B133" s="119"/>
      <c r="C133" s="119"/>
      <c r="D133" s="119"/>
      <c r="E133" s="119"/>
      <c r="F133" s="120"/>
      <c r="H133" s="181"/>
    </row>
    <row r="135" spans="1:8" x14ac:dyDescent="0.25">
      <c r="B135" s="89" t="s">
        <v>89</v>
      </c>
      <c r="C135" s="90">
        <f t="shared" ref="C135:F136" si="22">C12+C24+C62+C37+C99+C50+C77+C87+C114+C129</f>
        <v>-11987.21000000003</v>
      </c>
      <c r="D135" s="90">
        <f t="shared" si="22"/>
        <v>-106762.44999999987</v>
      </c>
      <c r="E135" s="90">
        <f t="shared" si="22"/>
        <v>-1565078.060000001</v>
      </c>
      <c r="F135" s="90">
        <f t="shared" si="22"/>
        <v>1878222.4199999985</v>
      </c>
      <c r="H135" s="187">
        <f>H12+H24+H62+H37+H99+H50+H77+H87+H114+H129</f>
        <v>194394.69999999771</v>
      </c>
    </row>
    <row r="136" spans="1:8" x14ac:dyDescent="0.25">
      <c r="B136" s="89" t="s">
        <v>141</v>
      </c>
      <c r="C136" s="187">
        <f t="shared" si="22"/>
        <v>0</v>
      </c>
      <c r="D136" s="199">
        <f>D13+D25+D63+D38+D100+D51+D78+D88+D115+D130+0.01</f>
        <v>-35.629999999999974</v>
      </c>
      <c r="E136" s="199">
        <f>E13+E25+E63+E38+E100+E51+E78+E88+E115+E130-0.01</f>
        <v>-341.71</v>
      </c>
      <c r="F136" s="187">
        <f t="shared" si="22"/>
        <v>-5006.47</v>
      </c>
      <c r="H136" s="189">
        <f>H13+H25+H63+H38+H100+H51+H78+H88+H115+H130</f>
        <v>-5383.81</v>
      </c>
    </row>
    <row r="137" spans="1:8" x14ac:dyDescent="0.25">
      <c r="B137" s="89" t="s">
        <v>139</v>
      </c>
      <c r="C137" s="90">
        <f>SUM(C135:C136)</f>
        <v>-11987.21000000003</v>
      </c>
      <c r="D137" s="90">
        <f>SUM(D135:D136)+C137</f>
        <v>-118785.28999999991</v>
      </c>
      <c r="E137" s="90">
        <f>SUM(E135:E136)+D137</f>
        <v>-1684205.0600000008</v>
      </c>
      <c r="F137" s="128">
        <f>SUM(F135:F136)+E137</f>
        <v>189010.8899999978</v>
      </c>
      <c r="H137" s="128">
        <f>SUM(H135:H136)</f>
        <v>189010.88999999771</v>
      </c>
    </row>
    <row r="138" spans="1:8" x14ac:dyDescent="0.25">
      <c r="B138" s="89"/>
      <c r="C138" s="90"/>
      <c r="D138" s="90"/>
      <c r="E138" s="90"/>
      <c r="F138" s="90"/>
    </row>
    <row r="139" spans="1:8" x14ac:dyDescent="0.25">
      <c r="A139" s="696" t="s">
        <v>76</v>
      </c>
    </row>
    <row r="140" spans="1:8" ht="15.75" x14ac:dyDescent="0.25">
      <c r="A140" s="697"/>
      <c r="B140" s="93"/>
      <c r="C140" s="121">
        <v>42643</v>
      </c>
      <c r="D140" s="121">
        <v>42674</v>
      </c>
      <c r="E140" s="121">
        <v>42704</v>
      </c>
      <c r="F140" s="121">
        <v>42735</v>
      </c>
    </row>
    <row r="141" spans="1:8" ht="15.75" x14ac:dyDescent="0.25">
      <c r="A141" s="96" t="s">
        <v>118</v>
      </c>
      <c r="B141" s="97" t="s">
        <v>79</v>
      </c>
      <c r="C141" s="99">
        <f t="shared" ref="C141:F141" si="23">-C135</f>
        <v>11987.21000000003</v>
      </c>
      <c r="D141" s="99">
        <f t="shared" si="23"/>
        <v>106762.44999999987</v>
      </c>
      <c r="E141" s="99">
        <f t="shared" si="23"/>
        <v>1565078.060000001</v>
      </c>
      <c r="F141" s="99">
        <f t="shared" si="23"/>
        <v>-1878222.4199999985</v>
      </c>
    </row>
    <row r="142" spans="1:8" ht="15.75" x14ac:dyDescent="0.25">
      <c r="A142" s="92" t="s">
        <v>119</v>
      </c>
      <c r="B142" s="94" t="s">
        <v>77</v>
      </c>
      <c r="C142" s="99">
        <f>C12+C24</f>
        <v>-23498.579999999885</v>
      </c>
      <c r="D142" s="99">
        <f>D12+D24</f>
        <v>-38031.740000000056</v>
      </c>
      <c r="E142" s="99">
        <f>E12+E24</f>
        <v>-1012551.3800000006</v>
      </c>
      <c r="F142" s="99">
        <f>F12+F24</f>
        <v>1237683.9599999988</v>
      </c>
    </row>
    <row r="143" spans="1:8" ht="15.75" x14ac:dyDescent="0.25">
      <c r="A143" s="92" t="s">
        <v>120</v>
      </c>
      <c r="B143" s="94" t="s">
        <v>80</v>
      </c>
      <c r="C143" s="99">
        <f>C37+C50</f>
        <v>25339.979999999992</v>
      </c>
      <c r="D143" s="99">
        <f>D37+D50</f>
        <v>-28024.869999999992</v>
      </c>
      <c r="E143" s="99">
        <f>E37+E50</f>
        <v>14361.200000000004</v>
      </c>
      <c r="F143" s="99">
        <f>F37+F50</f>
        <v>-21048.580000000005</v>
      </c>
    </row>
    <row r="144" spans="1:8" ht="15.75" x14ac:dyDescent="0.25">
      <c r="A144" s="92" t="s">
        <v>121</v>
      </c>
      <c r="B144" s="94" t="s">
        <v>78</v>
      </c>
      <c r="C144" s="99">
        <f>C62+C77+C87</f>
        <v>-16302.120000000139</v>
      </c>
      <c r="D144" s="99">
        <f>D62+D77+D87</f>
        <v>-43354.779999999824</v>
      </c>
      <c r="E144" s="99">
        <f>E62+E77+E87</f>
        <v>-569388.50000000023</v>
      </c>
      <c r="F144" s="99">
        <f>F62+F77+F87</f>
        <v>657451.19999999995</v>
      </c>
    </row>
    <row r="145" spans="1:6" ht="15.75" x14ac:dyDescent="0.25">
      <c r="A145" s="92" t="s">
        <v>122</v>
      </c>
      <c r="B145" s="94" t="s">
        <v>81</v>
      </c>
      <c r="C145" s="99">
        <f>C99</f>
        <v>-142.5</v>
      </c>
      <c r="D145" s="99">
        <f>D99</f>
        <v>-481.47</v>
      </c>
      <c r="E145" s="99">
        <f>E99</f>
        <v>-322.33999999999997</v>
      </c>
      <c r="F145" s="99">
        <f>F99</f>
        <v>-442.1</v>
      </c>
    </row>
    <row r="146" spans="1:6" ht="15.75" x14ac:dyDescent="0.25">
      <c r="A146" s="98" t="s">
        <v>123</v>
      </c>
      <c r="B146" s="91" t="s">
        <v>82</v>
      </c>
      <c r="C146" s="100">
        <f>C114+C129</f>
        <v>2616.0100000000011</v>
      </c>
      <c r="D146" s="100">
        <f>D114+D129</f>
        <v>3130.4100000000008</v>
      </c>
      <c r="E146" s="100">
        <f>E114+E129</f>
        <v>2822.96</v>
      </c>
      <c r="F146" s="100">
        <f>F114+F129</f>
        <v>4577.9400000000005</v>
      </c>
    </row>
    <row r="147" spans="1:6" ht="15.75" x14ac:dyDescent="0.25">
      <c r="A147" s="92"/>
      <c r="B147" s="94"/>
    </row>
  </sheetData>
  <mergeCells count="4">
    <mergeCell ref="A1:F1"/>
    <mergeCell ref="A2:F2"/>
    <mergeCell ref="A3:F3"/>
    <mergeCell ref="A139:A140"/>
  </mergeCells>
  <pageMargins left="0.7" right="0.7" top="0.75" bottom="0.75" header="0.3" footer="0.3"/>
  <pageSetup scale="46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9FAFF-E10F-4B0F-979B-E099804F948E}">
  <sheetPr>
    <pageSetUpPr fitToPage="1"/>
  </sheetPr>
  <dimension ref="A2:AD15"/>
  <sheetViews>
    <sheetView workbookViewId="0"/>
  </sheetViews>
  <sheetFormatPr defaultColWidth="9.140625" defaultRowHeight="15" x14ac:dyDescent="0.25"/>
  <cols>
    <col min="1" max="3" width="2.85546875" customWidth="1"/>
    <col min="4" max="4" width="40.7109375" bestFit="1" customWidth="1"/>
    <col min="5" max="14" width="10.85546875" customWidth="1"/>
    <col min="15" max="15" width="4.85546875" customWidth="1"/>
    <col min="16" max="17" width="10.85546875" customWidth="1"/>
    <col min="18" max="18" width="11.140625" bestFit="1" customWidth="1"/>
  </cols>
  <sheetData>
    <row r="2" spans="1:30" ht="15" customHeight="1" x14ac:dyDescent="0.25">
      <c r="D2" s="685" t="s">
        <v>125</v>
      </c>
      <c r="E2" s="685"/>
      <c r="F2" s="685"/>
      <c r="G2" s="685"/>
      <c r="H2" s="685"/>
      <c r="I2" s="685"/>
      <c r="J2" s="685"/>
      <c r="K2" s="685"/>
      <c r="L2" s="685"/>
      <c r="M2" s="685"/>
      <c r="N2" s="685"/>
      <c r="O2" s="685"/>
      <c r="P2" s="685"/>
      <c r="Q2" s="685"/>
    </row>
    <row r="3" spans="1:30" ht="15" customHeight="1" x14ac:dyDescent="0.25">
      <c r="D3" s="685"/>
      <c r="E3" s="685"/>
      <c r="F3" s="685"/>
      <c r="G3" s="685"/>
      <c r="H3" s="685"/>
      <c r="I3" s="685"/>
      <c r="J3" s="685"/>
      <c r="K3" s="685"/>
      <c r="L3" s="685"/>
      <c r="M3" s="685"/>
      <c r="N3" s="685"/>
      <c r="O3" s="685"/>
      <c r="P3" s="685"/>
      <c r="Q3" s="685"/>
    </row>
    <row r="4" spans="1:30" ht="15" customHeight="1" x14ac:dyDescent="0.25">
      <c r="D4" s="685"/>
      <c r="E4" s="685"/>
      <c r="F4" s="685"/>
      <c r="G4" s="685"/>
      <c r="H4" s="685"/>
      <c r="I4" s="685"/>
      <c r="J4" s="685"/>
      <c r="K4" s="685"/>
      <c r="L4" s="685"/>
      <c r="M4" s="685"/>
      <c r="N4" s="685"/>
      <c r="O4" s="685"/>
      <c r="P4" s="685"/>
      <c r="Q4" s="685"/>
    </row>
    <row r="5" spans="1:30" ht="22.5" customHeight="1" x14ac:dyDescent="0.3">
      <c r="D5" s="686" t="s">
        <v>62</v>
      </c>
      <c r="E5" s="686"/>
      <c r="F5" s="686"/>
      <c r="G5" s="686"/>
      <c r="H5" s="686"/>
      <c r="I5" s="686"/>
      <c r="J5" s="686"/>
      <c r="K5" s="686"/>
      <c r="L5" s="686"/>
      <c r="M5" s="686"/>
      <c r="N5" s="686"/>
      <c r="O5" s="686"/>
      <c r="P5" s="686"/>
      <c r="Q5" s="686"/>
    </row>
    <row r="6" spans="1:30" ht="18" x14ac:dyDescent="0.25">
      <c r="D6" s="659" t="s">
        <v>323</v>
      </c>
      <c r="E6" s="514" t="s">
        <v>155</v>
      </c>
      <c r="F6" s="514" t="s">
        <v>156</v>
      </c>
      <c r="G6" s="514" t="s">
        <v>157</v>
      </c>
      <c r="H6" s="514" t="s">
        <v>158</v>
      </c>
      <c r="I6" s="514" t="s">
        <v>23</v>
      </c>
      <c r="J6" s="514" t="s">
        <v>159</v>
      </c>
      <c r="K6" s="514" t="s">
        <v>160</v>
      </c>
      <c r="L6" s="514" t="s">
        <v>211</v>
      </c>
      <c r="M6" s="514" t="s">
        <v>162</v>
      </c>
      <c r="N6" s="514" t="s">
        <v>168</v>
      </c>
      <c r="O6" s="514"/>
      <c r="P6" s="514" t="s">
        <v>171</v>
      </c>
      <c r="Q6" s="515" t="s">
        <v>173</v>
      </c>
    </row>
    <row r="7" spans="1:30" ht="17.25" customHeight="1" x14ac:dyDescent="0.25">
      <c r="C7" s="313"/>
      <c r="D7" s="402" t="s">
        <v>31</v>
      </c>
      <c r="E7" s="661">
        <v>35.76</v>
      </c>
      <c r="F7" s="661">
        <v>29.09</v>
      </c>
      <c r="G7" s="661">
        <v>24.67</v>
      </c>
      <c r="H7" s="661">
        <v>16.09</v>
      </c>
      <c r="I7" s="661">
        <v>10.31</v>
      </c>
      <c r="J7" s="661">
        <v>6.6</v>
      </c>
      <c r="K7" s="661">
        <v>5.4</v>
      </c>
      <c r="L7" s="661">
        <v>5.41</v>
      </c>
      <c r="M7" s="661">
        <v>6.55</v>
      </c>
      <c r="N7" s="661">
        <v>14.96</v>
      </c>
      <c r="O7" s="661"/>
      <c r="P7" s="661">
        <v>28.21</v>
      </c>
      <c r="Q7" s="662">
        <v>36.58</v>
      </c>
      <c r="R7" s="419">
        <f>SUM(E7:Q7)</f>
        <v>219.63000000000005</v>
      </c>
    </row>
    <row r="8" spans="1:30" s="51" customFormat="1" hidden="1" x14ac:dyDescent="0.25">
      <c r="A8"/>
      <c r="B8"/>
      <c r="C8" s="313"/>
      <c r="D8" s="527"/>
      <c r="E8" s="505"/>
      <c r="F8" s="505"/>
      <c r="G8" s="511"/>
      <c r="H8" s="505"/>
      <c r="I8" s="505"/>
      <c r="J8" s="505"/>
      <c r="K8" s="505"/>
      <c r="L8" s="505"/>
      <c r="M8" s="505"/>
      <c r="N8" s="505"/>
      <c r="O8" s="505"/>
      <c r="P8" s="505"/>
      <c r="Q8" s="506"/>
      <c r="R8"/>
      <c r="S8"/>
      <c r="T8"/>
      <c r="U8"/>
      <c r="V8"/>
      <c r="W8"/>
      <c r="X8"/>
      <c r="Y8"/>
      <c r="Z8"/>
      <c r="AA8"/>
      <c r="AB8"/>
      <c r="AC8"/>
      <c r="AD8"/>
    </row>
    <row r="9" spans="1:30" s="51" customFormat="1" ht="17.25" customHeight="1" x14ac:dyDescent="0.25">
      <c r="A9"/>
      <c r="B9"/>
      <c r="C9" s="313"/>
      <c r="D9" s="406" t="s">
        <v>34</v>
      </c>
      <c r="E9" s="660">
        <v>148.19999999999999</v>
      </c>
      <c r="F9" s="660">
        <v>122.07</v>
      </c>
      <c r="G9" s="660">
        <v>96.8</v>
      </c>
      <c r="H9" s="660">
        <v>61.86</v>
      </c>
      <c r="I9" s="660">
        <v>43.03</v>
      </c>
      <c r="J9" s="660">
        <v>29.53</v>
      </c>
      <c r="K9" s="660">
        <v>30.55</v>
      </c>
      <c r="L9" s="660">
        <v>30.61</v>
      </c>
      <c r="M9" s="660">
        <v>39.67</v>
      </c>
      <c r="N9" s="660">
        <v>72.53</v>
      </c>
      <c r="O9" s="660"/>
      <c r="P9" s="660">
        <v>109.96</v>
      </c>
      <c r="Q9" s="660">
        <v>141.21</v>
      </c>
      <c r="R9" s="516">
        <f>SUM(E9:Q9)</f>
        <v>926.02</v>
      </c>
      <c r="S9"/>
      <c r="T9"/>
      <c r="U9"/>
      <c r="V9"/>
      <c r="W9"/>
      <c r="X9"/>
      <c r="Y9"/>
      <c r="Z9"/>
      <c r="AA9"/>
      <c r="AB9"/>
      <c r="AC9"/>
      <c r="AD9"/>
    </row>
    <row r="10" spans="1:30" hidden="1" x14ac:dyDescent="0.25">
      <c r="C10" s="313"/>
      <c r="D10" s="527"/>
      <c r="E10" s="507"/>
      <c r="F10" s="507"/>
      <c r="G10" s="507"/>
      <c r="H10" s="507"/>
      <c r="I10" s="507"/>
      <c r="J10" s="507"/>
      <c r="K10" s="507"/>
      <c r="L10" s="507"/>
      <c r="M10" s="507"/>
      <c r="N10" s="507"/>
      <c r="O10" s="507"/>
      <c r="P10" s="507"/>
      <c r="Q10" s="508"/>
    </row>
    <row r="11" spans="1:30" ht="17.25" customHeight="1" x14ac:dyDescent="0.25">
      <c r="C11" s="313"/>
      <c r="D11" s="409" t="s">
        <v>35</v>
      </c>
      <c r="E11" s="509">
        <v>578.55999999999995</v>
      </c>
      <c r="F11" s="509">
        <v>503.46</v>
      </c>
      <c r="G11" s="509">
        <v>502.82</v>
      </c>
      <c r="H11" s="509">
        <v>433.21</v>
      </c>
      <c r="I11" s="509">
        <v>272.13</v>
      </c>
      <c r="J11" s="509">
        <v>243.07</v>
      </c>
      <c r="K11" s="509">
        <v>214.56</v>
      </c>
      <c r="L11" s="509">
        <v>189.32</v>
      </c>
      <c r="M11" s="509">
        <v>235.83</v>
      </c>
      <c r="N11" s="509">
        <v>378.59</v>
      </c>
      <c r="O11" s="509"/>
      <c r="P11" s="509">
        <v>326.54000000000002</v>
      </c>
      <c r="Q11" s="509">
        <v>508.91</v>
      </c>
      <c r="R11" s="516">
        <f>SUM(E11:Q11)</f>
        <v>4387</v>
      </c>
    </row>
    <row r="12" spans="1:30" hidden="1" x14ac:dyDescent="0.25">
      <c r="C12" s="313"/>
      <c r="D12" s="527"/>
      <c r="E12" s="507"/>
      <c r="F12" s="507"/>
      <c r="G12" s="507"/>
      <c r="H12" s="507"/>
      <c r="I12" s="507"/>
      <c r="J12" s="507"/>
      <c r="K12" s="507"/>
      <c r="L12" s="507"/>
      <c r="M12" s="507"/>
      <c r="N12" s="507"/>
      <c r="O12" s="507"/>
      <c r="P12" s="507"/>
      <c r="Q12" s="508"/>
    </row>
    <row r="13" spans="1:30" ht="17.25" customHeight="1" x14ac:dyDescent="0.25">
      <c r="C13" s="313"/>
      <c r="D13" s="409" t="s">
        <v>46</v>
      </c>
      <c r="E13" s="661">
        <v>3761.29</v>
      </c>
      <c r="F13" s="661">
        <v>3442.57</v>
      </c>
      <c r="G13" s="661">
        <v>3346.34</v>
      </c>
      <c r="H13" s="661">
        <v>3193.43</v>
      </c>
      <c r="I13" s="661">
        <v>1909.68</v>
      </c>
      <c r="J13" s="661">
        <v>1855.34</v>
      </c>
      <c r="K13" s="661">
        <v>1599.54</v>
      </c>
      <c r="L13" s="661">
        <v>1297.22</v>
      </c>
      <c r="M13" s="661">
        <v>1295.93</v>
      </c>
      <c r="N13" s="661">
        <v>1549.68</v>
      </c>
      <c r="O13" s="661"/>
      <c r="P13" s="661">
        <v>1802.95</v>
      </c>
      <c r="Q13" s="662">
        <v>2867.06</v>
      </c>
      <c r="R13" s="419">
        <f>SUM(E13:Q13)</f>
        <v>27921.030000000006</v>
      </c>
    </row>
    <row r="14" spans="1:30" hidden="1" x14ac:dyDescent="0.25">
      <c r="C14" s="313"/>
      <c r="D14" s="527"/>
      <c r="E14" s="511"/>
      <c r="F14" s="511"/>
      <c r="G14" s="511"/>
      <c r="H14" s="511"/>
      <c r="I14" s="511"/>
      <c r="J14" s="511"/>
      <c r="K14" s="511"/>
      <c r="L14" s="511"/>
      <c r="M14" s="511"/>
      <c r="N14" s="511"/>
      <c r="O14" s="511"/>
      <c r="P14" s="511"/>
      <c r="Q14" s="512"/>
    </row>
    <row r="15" spans="1:30" ht="17.25" customHeight="1" x14ac:dyDescent="0.25">
      <c r="C15" s="313"/>
      <c r="D15" s="504" t="s">
        <v>54</v>
      </c>
      <c r="E15" s="660">
        <v>2205.48</v>
      </c>
      <c r="F15" s="660">
        <v>2224.48</v>
      </c>
      <c r="G15" s="660">
        <v>1988.22</v>
      </c>
      <c r="H15" s="660">
        <v>1990.59</v>
      </c>
      <c r="I15" s="660">
        <v>1645.52</v>
      </c>
      <c r="J15" s="660">
        <v>1273.76</v>
      </c>
      <c r="K15" s="660">
        <v>1085.46</v>
      </c>
      <c r="L15" s="660">
        <v>1055.6300000000001</v>
      </c>
      <c r="M15" s="660">
        <v>997.25</v>
      </c>
      <c r="N15" s="660">
        <v>938.29</v>
      </c>
      <c r="O15" s="660"/>
      <c r="P15" s="660">
        <v>1774.6</v>
      </c>
      <c r="Q15" s="660">
        <v>2186.1799999999998</v>
      </c>
      <c r="R15" s="516">
        <f>SUM(E15:Q15)</f>
        <v>19365.460000000003</v>
      </c>
    </row>
  </sheetData>
  <mergeCells count="2">
    <mergeCell ref="D2:Q4"/>
    <mergeCell ref="D5:Q5"/>
  </mergeCells>
  <pageMargins left="0.3" right="0.25" top="0.42" bottom="0.43" header="0.3" footer="0.2"/>
  <pageSetup scale="7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V196"/>
  <sheetViews>
    <sheetView workbookViewId="0">
      <selection sqref="A1:C1"/>
    </sheetView>
  </sheetViews>
  <sheetFormatPr defaultColWidth="9.140625" defaultRowHeight="15" x14ac:dyDescent="0.25"/>
  <cols>
    <col min="1" max="1" width="9.140625" bestFit="1" customWidth="1"/>
    <col min="2" max="2" width="18.28515625" bestFit="1" customWidth="1"/>
    <col min="3" max="3" width="40.7109375" bestFit="1" customWidth="1"/>
    <col min="4" max="6" width="11.140625" bestFit="1" customWidth="1"/>
    <col min="7" max="15" width="12.7109375" bestFit="1" customWidth="1"/>
    <col min="18" max="18" width="11.140625" bestFit="1" customWidth="1"/>
  </cols>
  <sheetData>
    <row r="1" spans="1:3" ht="24" thickBot="1" x14ac:dyDescent="0.4">
      <c r="A1" s="704" t="s">
        <v>12</v>
      </c>
      <c r="B1" s="704"/>
      <c r="C1" s="704"/>
    </row>
    <row r="2" spans="1:3" x14ac:dyDescent="0.25">
      <c r="A2" s="1" t="s">
        <v>0</v>
      </c>
      <c r="B2" s="2" t="s">
        <v>1</v>
      </c>
      <c r="C2" s="3" t="s">
        <v>2</v>
      </c>
    </row>
    <row r="3" spans="1:3" x14ac:dyDescent="0.25">
      <c r="A3" s="4">
        <v>502</v>
      </c>
      <c r="B3" s="5">
        <v>9.1829999999999995E-2</v>
      </c>
      <c r="C3" s="6"/>
    </row>
    <row r="4" spans="1:3" x14ac:dyDescent="0.25">
      <c r="A4" s="4">
        <v>503</v>
      </c>
      <c r="B4" s="5">
        <v>0.29483999999999999</v>
      </c>
      <c r="C4" s="6"/>
    </row>
    <row r="5" spans="1:3" x14ac:dyDescent="0.25">
      <c r="A5" s="4">
        <v>504</v>
      </c>
      <c r="B5" s="5">
        <v>0.24607999999999999</v>
      </c>
      <c r="C5" s="6"/>
    </row>
    <row r="6" spans="1:3" x14ac:dyDescent="0.25">
      <c r="A6" s="4">
        <v>505</v>
      </c>
      <c r="B6" s="5"/>
      <c r="C6" s="6"/>
    </row>
    <row r="7" spans="1:3" x14ac:dyDescent="0.25">
      <c r="A7" s="4"/>
      <c r="B7" s="5">
        <v>0.18842999999999999</v>
      </c>
      <c r="C7" s="6" t="s">
        <v>4</v>
      </c>
    </row>
    <row r="8" spans="1:3" x14ac:dyDescent="0.25">
      <c r="A8" s="4"/>
      <c r="B8" s="5">
        <v>0.15175</v>
      </c>
      <c r="C8" s="6" t="s">
        <v>3</v>
      </c>
    </row>
    <row r="9" spans="1:3" x14ac:dyDescent="0.25">
      <c r="A9" s="4"/>
      <c r="B9" s="5">
        <v>0.1462</v>
      </c>
      <c r="C9" s="6" t="s">
        <v>5</v>
      </c>
    </row>
    <row r="10" spans="1:3" x14ac:dyDescent="0.25">
      <c r="A10" s="4">
        <v>511</v>
      </c>
      <c r="B10" s="5"/>
      <c r="C10" s="6"/>
    </row>
    <row r="11" spans="1:3" x14ac:dyDescent="0.25">
      <c r="A11" s="4"/>
      <c r="B11" s="5">
        <v>0.14834</v>
      </c>
      <c r="C11" s="6" t="s">
        <v>6</v>
      </c>
    </row>
    <row r="12" spans="1:3" x14ac:dyDescent="0.25">
      <c r="A12" s="4"/>
      <c r="B12" s="5">
        <v>0.11294999999999999</v>
      </c>
      <c r="C12" s="6" t="s">
        <v>7</v>
      </c>
    </row>
    <row r="13" spans="1:3" x14ac:dyDescent="0.25">
      <c r="A13" s="4"/>
      <c r="B13" s="5">
        <v>2.5409999999999999E-2</v>
      </c>
      <c r="C13" s="6" t="s">
        <v>8</v>
      </c>
    </row>
    <row r="14" spans="1:3" x14ac:dyDescent="0.25">
      <c r="A14" s="4">
        <v>512</v>
      </c>
      <c r="B14" s="5">
        <v>0.21479000000000001</v>
      </c>
      <c r="C14" s="6"/>
    </row>
    <row r="15" spans="1:3" x14ac:dyDescent="0.25">
      <c r="A15" s="4">
        <v>570</v>
      </c>
      <c r="B15" s="5"/>
      <c r="C15" s="6"/>
    </row>
    <row r="16" spans="1:3" x14ac:dyDescent="0.25">
      <c r="A16" s="4"/>
      <c r="B16" s="5">
        <v>8.233E-2</v>
      </c>
      <c r="C16" s="6" t="s">
        <v>9</v>
      </c>
    </row>
    <row r="17" spans="1:15" x14ac:dyDescent="0.25">
      <c r="A17" s="4"/>
      <c r="B17" s="5">
        <v>2.2509999999999999E-2</v>
      </c>
      <c r="C17" s="6" t="s">
        <v>10</v>
      </c>
    </row>
    <row r="18" spans="1:15" x14ac:dyDescent="0.25">
      <c r="A18" s="4">
        <v>577</v>
      </c>
      <c r="B18" s="5"/>
      <c r="C18" s="6"/>
    </row>
    <row r="19" spans="1:15" x14ac:dyDescent="0.25">
      <c r="A19" s="7"/>
      <c r="B19" s="5">
        <v>0.10401000000000001</v>
      </c>
      <c r="C19" s="6" t="s">
        <v>11</v>
      </c>
    </row>
    <row r="20" spans="1:15" x14ac:dyDescent="0.25">
      <c r="A20" s="7"/>
      <c r="B20" s="5">
        <v>8.4459999999999993E-2</v>
      </c>
      <c r="C20" s="6" t="s">
        <v>5</v>
      </c>
    </row>
    <row r="21" spans="1:15" ht="15.75" thickBot="1" x14ac:dyDescent="0.3">
      <c r="A21" s="8"/>
      <c r="B21" s="9"/>
      <c r="C21" s="10"/>
    </row>
    <row r="23" spans="1:15" x14ac:dyDescent="0.25">
      <c r="D23" s="698" t="s">
        <v>125</v>
      </c>
      <c r="E23" s="698"/>
      <c r="F23" s="698"/>
      <c r="G23" s="698"/>
      <c r="H23" s="698"/>
      <c r="I23" s="698"/>
      <c r="J23" s="698"/>
      <c r="K23" s="698"/>
    </row>
    <row r="24" spans="1:15" x14ac:dyDescent="0.25">
      <c r="D24" s="698"/>
      <c r="E24" s="698"/>
      <c r="F24" s="698"/>
      <c r="G24" s="698"/>
      <c r="H24" s="698"/>
      <c r="I24" s="698"/>
      <c r="J24" s="698"/>
      <c r="K24" s="698"/>
    </row>
    <row r="25" spans="1:15" x14ac:dyDescent="0.25">
      <c r="D25" s="698"/>
      <c r="E25" s="698"/>
      <c r="F25" s="698"/>
      <c r="G25" s="698"/>
      <c r="H25" s="698"/>
      <c r="I25" s="698"/>
      <c r="J25" s="698"/>
      <c r="K25" s="698"/>
    </row>
    <row r="26" spans="1:15" ht="15" customHeight="1" x14ac:dyDescent="0.25">
      <c r="C26" s="699" t="s">
        <v>62</v>
      </c>
      <c r="D26" s="699"/>
      <c r="E26" s="699"/>
      <c r="F26" s="699"/>
      <c r="G26" s="699"/>
      <c r="H26" s="699"/>
      <c r="I26" s="699"/>
      <c r="J26" s="699"/>
      <c r="K26" s="699"/>
      <c r="L26" s="699"/>
      <c r="M26" s="699"/>
      <c r="N26" s="699"/>
      <c r="O26" s="699"/>
    </row>
    <row r="27" spans="1:15" ht="15.75" thickBot="1" x14ac:dyDescent="0.3">
      <c r="C27" s="700"/>
      <c r="D27" s="700"/>
      <c r="E27" s="700"/>
      <c r="F27" s="700"/>
      <c r="G27" s="700"/>
      <c r="H27" s="700"/>
      <c r="I27" s="700"/>
      <c r="J27" s="700"/>
      <c r="K27" s="700"/>
      <c r="L27" s="700"/>
      <c r="M27" s="700"/>
      <c r="N27" s="700"/>
      <c r="O27" s="700"/>
    </row>
    <row r="28" spans="1:15" ht="15.75" thickTop="1" x14ac:dyDescent="0.25">
      <c r="C28" s="32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2"/>
    </row>
    <row r="29" spans="1:15" ht="15.75" thickBot="1" x14ac:dyDescent="0.3">
      <c r="C29" s="33"/>
      <c r="D29" s="36" t="s">
        <v>13</v>
      </c>
      <c r="E29" s="37" t="s">
        <v>14</v>
      </c>
      <c r="F29" s="37" t="s">
        <v>15</v>
      </c>
      <c r="G29" s="36" t="s">
        <v>16</v>
      </c>
      <c r="H29" s="37" t="s">
        <v>17</v>
      </c>
      <c r="I29" s="37" t="s">
        <v>18</v>
      </c>
      <c r="J29" s="36" t="s">
        <v>19</v>
      </c>
      <c r="K29" s="37" t="s">
        <v>20</v>
      </c>
      <c r="L29" s="37" t="s">
        <v>21</v>
      </c>
      <c r="M29" s="36" t="s">
        <v>22</v>
      </c>
      <c r="N29" s="37" t="s">
        <v>23</v>
      </c>
      <c r="O29" s="54" t="s">
        <v>24</v>
      </c>
    </row>
    <row r="30" spans="1:15" ht="15.75" thickTop="1" x14ac:dyDescent="0.25">
      <c r="C30" s="79" t="s">
        <v>25</v>
      </c>
      <c r="D30" s="55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7"/>
    </row>
    <row r="31" spans="1:15" hidden="1" x14ac:dyDescent="0.25">
      <c r="C31" s="23" t="s">
        <v>26</v>
      </c>
      <c r="D31" s="48">
        <v>465</v>
      </c>
      <c r="E31" s="49">
        <v>440</v>
      </c>
      <c r="F31" s="49">
        <v>455</v>
      </c>
      <c r="G31" s="49">
        <v>503</v>
      </c>
      <c r="H31" s="49">
        <v>519</v>
      </c>
      <c r="I31" s="49">
        <v>529</v>
      </c>
      <c r="J31" s="49">
        <v>482</v>
      </c>
      <c r="K31" s="49">
        <v>520</v>
      </c>
      <c r="L31" s="49">
        <v>524</v>
      </c>
      <c r="M31" s="49">
        <v>510</v>
      </c>
      <c r="N31" s="49">
        <v>495</v>
      </c>
      <c r="O31" s="50">
        <v>499</v>
      </c>
    </row>
    <row r="32" spans="1:15" hidden="1" x14ac:dyDescent="0.25">
      <c r="C32" s="23" t="s">
        <v>27</v>
      </c>
      <c r="D32" s="19">
        <v>4577</v>
      </c>
      <c r="E32" s="13">
        <v>3604</v>
      </c>
      <c r="F32" s="13">
        <v>3816</v>
      </c>
      <c r="G32" s="13">
        <v>7328</v>
      </c>
      <c r="H32" s="13">
        <v>22975</v>
      </c>
      <c r="I32" s="13">
        <v>55707</v>
      </c>
      <c r="J32" s="13">
        <v>54481</v>
      </c>
      <c r="K32" s="13">
        <v>48178</v>
      </c>
      <c r="L32" s="13">
        <v>42396</v>
      </c>
      <c r="M32" s="13">
        <v>26783</v>
      </c>
      <c r="N32" s="13">
        <v>15401</v>
      </c>
      <c r="O32" s="14">
        <v>8003</v>
      </c>
    </row>
    <row r="33" spans="1:48" hidden="1" x14ac:dyDescent="0.25">
      <c r="C33" s="23" t="s">
        <v>28</v>
      </c>
      <c r="D33" s="20">
        <v>9.1829999999999995E-2</v>
      </c>
      <c r="E33" s="16">
        <f>+D33</f>
        <v>9.1829999999999995E-2</v>
      </c>
      <c r="F33" s="16">
        <f t="shared" ref="F33:N33" si="0">+E33</f>
        <v>9.1829999999999995E-2</v>
      </c>
      <c r="G33" s="16">
        <f t="shared" si="0"/>
        <v>9.1829999999999995E-2</v>
      </c>
      <c r="H33" s="16">
        <f t="shared" si="0"/>
        <v>9.1829999999999995E-2</v>
      </c>
      <c r="I33" s="16">
        <f t="shared" si="0"/>
        <v>9.1829999999999995E-2</v>
      </c>
      <c r="J33" s="16">
        <f t="shared" si="0"/>
        <v>9.1829999999999995E-2</v>
      </c>
      <c r="K33" s="16">
        <f t="shared" si="0"/>
        <v>9.1829999999999995E-2</v>
      </c>
      <c r="L33" s="16">
        <f t="shared" si="0"/>
        <v>9.1829999999999995E-2</v>
      </c>
      <c r="M33" s="16">
        <f t="shared" si="0"/>
        <v>9.1829999999999995E-2</v>
      </c>
      <c r="N33" s="16">
        <f t="shared" si="0"/>
        <v>9.1829999999999995E-2</v>
      </c>
      <c r="O33" s="21">
        <f>+N33</f>
        <v>9.1829999999999995E-2</v>
      </c>
    </row>
    <row r="34" spans="1:48" hidden="1" x14ac:dyDescent="0.25">
      <c r="C34" s="35" t="s">
        <v>29</v>
      </c>
      <c r="D34" s="15">
        <f>D32*D33</f>
        <v>420.30590999999998</v>
      </c>
      <c r="E34" s="17">
        <f t="shared" ref="E34:O34" si="1">E32*E33</f>
        <v>330.95531999999997</v>
      </c>
      <c r="F34" s="17">
        <f t="shared" si="1"/>
        <v>350.42327999999998</v>
      </c>
      <c r="G34" s="17">
        <f t="shared" si="1"/>
        <v>672.93023999999991</v>
      </c>
      <c r="H34" s="17">
        <f t="shared" si="1"/>
        <v>2109.7942499999999</v>
      </c>
      <c r="I34" s="17">
        <f t="shared" si="1"/>
        <v>5115.5738099999999</v>
      </c>
      <c r="J34" s="17">
        <f t="shared" si="1"/>
        <v>5002.9902299999994</v>
      </c>
      <c r="K34" s="17">
        <f t="shared" si="1"/>
        <v>4424.1857399999999</v>
      </c>
      <c r="L34" s="17">
        <f t="shared" si="1"/>
        <v>3893.2246799999998</v>
      </c>
      <c r="M34" s="17">
        <f t="shared" si="1"/>
        <v>2459.4828899999998</v>
      </c>
      <c r="N34" s="17">
        <f t="shared" si="1"/>
        <v>1414.2738299999999</v>
      </c>
      <c r="O34" s="18">
        <f t="shared" si="1"/>
        <v>734.91548999999998</v>
      </c>
    </row>
    <row r="35" spans="1:48" x14ac:dyDescent="0.25">
      <c r="C35" s="35" t="s">
        <v>30</v>
      </c>
      <c r="D35" s="130">
        <f t="shared" ref="D35:O35" si="2">ROUND(D34/D31,2)</f>
        <v>0.9</v>
      </c>
      <c r="E35" s="131">
        <f t="shared" si="2"/>
        <v>0.75</v>
      </c>
      <c r="F35" s="131">
        <f t="shared" si="2"/>
        <v>0.77</v>
      </c>
      <c r="G35" s="131">
        <f t="shared" si="2"/>
        <v>1.34</v>
      </c>
      <c r="H35" s="131">
        <f t="shared" si="2"/>
        <v>4.07</v>
      </c>
      <c r="I35" s="131">
        <f t="shared" si="2"/>
        <v>9.67</v>
      </c>
      <c r="J35" s="131">
        <f t="shared" si="2"/>
        <v>10.38</v>
      </c>
      <c r="K35" s="131">
        <f t="shared" si="2"/>
        <v>8.51</v>
      </c>
      <c r="L35" s="131">
        <f t="shared" si="2"/>
        <v>7.43</v>
      </c>
      <c r="M35" s="131">
        <f t="shared" si="2"/>
        <v>4.82</v>
      </c>
      <c r="N35" s="131">
        <f t="shared" si="2"/>
        <v>2.86</v>
      </c>
      <c r="O35" s="132">
        <f t="shared" si="2"/>
        <v>1.47</v>
      </c>
    </row>
    <row r="36" spans="1:48" x14ac:dyDescent="0.25">
      <c r="C36" s="80" t="s">
        <v>31</v>
      </c>
      <c r="D36" s="58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60"/>
    </row>
    <row r="37" spans="1:48" s="51" customFormat="1" hidden="1" x14ac:dyDescent="0.25">
      <c r="A37"/>
      <c r="B37"/>
      <c r="C37" s="23" t="s">
        <v>26</v>
      </c>
      <c r="D37" s="19">
        <v>177980</v>
      </c>
      <c r="E37" s="13">
        <v>177669</v>
      </c>
      <c r="F37" s="13">
        <v>177304</v>
      </c>
      <c r="G37" s="13">
        <v>177720</v>
      </c>
      <c r="H37" s="13">
        <v>178898</v>
      </c>
      <c r="I37" s="13">
        <v>179874</v>
      </c>
      <c r="J37" s="13">
        <v>179603</v>
      </c>
      <c r="K37" s="13">
        <v>180164</v>
      </c>
      <c r="L37" s="13">
        <v>180684</v>
      </c>
      <c r="M37" s="13">
        <v>180798</v>
      </c>
      <c r="N37" s="13">
        <v>180268</v>
      </c>
      <c r="O37" s="14">
        <v>180774</v>
      </c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</row>
    <row r="38" spans="1:48" s="51" customFormat="1" hidden="1" x14ac:dyDescent="0.25">
      <c r="A38"/>
      <c r="B38"/>
      <c r="C38" s="81" t="s">
        <v>32</v>
      </c>
      <c r="D38" s="44">
        <v>1926370.8012031163</v>
      </c>
      <c r="E38" s="39">
        <v>3087838.4997260855</v>
      </c>
      <c r="F38" s="39">
        <v>2730136.4566574288</v>
      </c>
      <c r="G38" s="39">
        <v>6361570.4791109003</v>
      </c>
      <c r="H38" s="39">
        <v>5904496.4865579642</v>
      </c>
      <c r="I38" s="39">
        <v>20664170.018954884</v>
      </c>
      <c r="J38" s="39">
        <v>18396503.298850786</v>
      </c>
      <c r="K38" s="39">
        <v>19402687.391299862</v>
      </c>
      <c r="L38" s="39">
        <v>15857798.886901071</v>
      </c>
      <c r="M38" s="39">
        <v>9068971.8027481232</v>
      </c>
      <c r="N38" s="39">
        <v>7178359.0558815384</v>
      </c>
      <c r="O38" s="45">
        <v>6112330.4476219099</v>
      </c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1:48" s="51" customFormat="1" hidden="1" x14ac:dyDescent="0.25">
      <c r="A39"/>
      <c r="B39"/>
      <c r="C39" s="81" t="s">
        <v>33</v>
      </c>
      <c r="D39" s="42">
        <v>0.29483999999999999</v>
      </c>
      <c r="E39" s="38">
        <f>+D39</f>
        <v>0.29483999999999999</v>
      </c>
      <c r="F39" s="38">
        <f t="shared" ref="F39:N39" si="3">+E39</f>
        <v>0.29483999999999999</v>
      </c>
      <c r="G39" s="38">
        <f t="shared" si="3"/>
        <v>0.29483999999999999</v>
      </c>
      <c r="H39" s="38">
        <f t="shared" si="3"/>
        <v>0.29483999999999999</v>
      </c>
      <c r="I39" s="38">
        <f t="shared" si="3"/>
        <v>0.29483999999999999</v>
      </c>
      <c r="J39" s="38">
        <f t="shared" si="3"/>
        <v>0.29483999999999999</v>
      </c>
      <c r="K39" s="38">
        <f t="shared" si="3"/>
        <v>0.29483999999999999</v>
      </c>
      <c r="L39" s="38">
        <f t="shared" si="3"/>
        <v>0.29483999999999999</v>
      </c>
      <c r="M39" s="38">
        <f t="shared" si="3"/>
        <v>0.29483999999999999</v>
      </c>
      <c r="N39" s="38">
        <f t="shared" si="3"/>
        <v>0.29483999999999999</v>
      </c>
      <c r="O39" s="43">
        <f>+N39</f>
        <v>0.29483999999999999</v>
      </c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1:48" s="51" customFormat="1" hidden="1" x14ac:dyDescent="0.25">
      <c r="A40"/>
      <c r="B40"/>
      <c r="C40" s="40" t="s">
        <v>29</v>
      </c>
      <c r="D40" s="46">
        <f>D38*D39</f>
        <v>567971.16702672676</v>
      </c>
      <c r="E40" s="41">
        <f t="shared" ref="E40:O40" si="4">E38*E39</f>
        <v>910418.30325923907</v>
      </c>
      <c r="F40" s="41">
        <f t="shared" si="4"/>
        <v>804953.43288087624</v>
      </c>
      <c r="G40" s="41">
        <f t="shared" si="4"/>
        <v>1875645.4400610577</v>
      </c>
      <c r="H40" s="41">
        <f t="shared" si="4"/>
        <v>1740881.7440967502</v>
      </c>
      <c r="I40" s="41">
        <f t="shared" si="4"/>
        <v>6092623.8883886579</v>
      </c>
      <c r="J40" s="41">
        <f t="shared" si="4"/>
        <v>5424025.0326331658</v>
      </c>
      <c r="K40" s="41">
        <f t="shared" si="4"/>
        <v>5720688.350450851</v>
      </c>
      <c r="L40" s="41">
        <f t="shared" si="4"/>
        <v>4675513.4238139121</v>
      </c>
      <c r="M40" s="41">
        <f t="shared" si="4"/>
        <v>2673895.6463222564</v>
      </c>
      <c r="N40" s="41">
        <f t="shared" si="4"/>
        <v>2116467.3840361126</v>
      </c>
      <c r="O40" s="47">
        <f t="shared" si="4"/>
        <v>1802159.5091768438</v>
      </c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1:48" s="51" customFormat="1" x14ac:dyDescent="0.25">
      <c r="A41"/>
      <c r="B41"/>
      <c r="C41" s="40" t="s">
        <v>30</v>
      </c>
      <c r="D41" s="130">
        <f t="shared" ref="D41:O41" si="5">ROUND(D40/D37,2)</f>
        <v>3.19</v>
      </c>
      <c r="E41" s="131">
        <f t="shared" si="5"/>
        <v>5.12</v>
      </c>
      <c r="F41" s="131">
        <f t="shared" si="5"/>
        <v>4.54</v>
      </c>
      <c r="G41" s="131">
        <f t="shared" si="5"/>
        <v>10.55</v>
      </c>
      <c r="H41" s="131">
        <f t="shared" si="5"/>
        <v>9.73</v>
      </c>
      <c r="I41" s="131">
        <f t="shared" si="5"/>
        <v>33.869999999999997</v>
      </c>
      <c r="J41" s="131">
        <f t="shared" si="5"/>
        <v>30.2</v>
      </c>
      <c r="K41" s="131">
        <f t="shared" si="5"/>
        <v>31.75</v>
      </c>
      <c r="L41" s="131">
        <f t="shared" si="5"/>
        <v>25.88</v>
      </c>
      <c r="M41" s="131">
        <f t="shared" si="5"/>
        <v>14.79</v>
      </c>
      <c r="N41" s="131">
        <f t="shared" si="5"/>
        <v>11.74</v>
      </c>
      <c r="O41" s="132">
        <f t="shared" si="5"/>
        <v>9.9700000000000006</v>
      </c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1:48" s="51" customFormat="1" x14ac:dyDescent="0.25">
      <c r="A42"/>
      <c r="B42"/>
      <c r="C42" s="82" t="s">
        <v>34</v>
      </c>
      <c r="D42" s="61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3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</row>
    <row r="43" spans="1:48" s="51" customFormat="1" hidden="1" x14ac:dyDescent="0.25">
      <c r="A43"/>
      <c r="B43"/>
      <c r="C43" s="23" t="s">
        <v>26</v>
      </c>
      <c r="D43" s="44">
        <v>24961</v>
      </c>
      <c r="E43" s="39">
        <v>24881</v>
      </c>
      <c r="F43" s="39">
        <v>24865</v>
      </c>
      <c r="G43" s="39">
        <v>24861</v>
      </c>
      <c r="H43" s="39">
        <v>25091</v>
      </c>
      <c r="I43" s="39">
        <v>25302</v>
      </c>
      <c r="J43" s="39">
        <v>25365</v>
      </c>
      <c r="K43" s="39">
        <v>25351</v>
      </c>
      <c r="L43" s="39">
        <v>25379</v>
      </c>
      <c r="M43" s="39">
        <v>25375</v>
      </c>
      <c r="N43" s="39">
        <v>25329</v>
      </c>
      <c r="O43" s="45">
        <v>25230</v>
      </c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</row>
    <row r="44" spans="1:48" s="51" customFormat="1" hidden="1" x14ac:dyDescent="0.25">
      <c r="A44"/>
      <c r="B44"/>
      <c r="C44" s="81" t="s">
        <v>27</v>
      </c>
      <c r="D44" s="44">
        <v>1905225.7734383908</v>
      </c>
      <c r="E44" s="39">
        <v>2894675.7769112024</v>
      </c>
      <c r="F44" s="39">
        <v>2682898.1590451943</v>
      </c>
      <c r="G44" s="39">
        <v>4790046.6227956684</v>
      </c>
      <c r="H44" s="39">
        <v>2915543.318901618</v>
      </c>
      <c r="I44" s="39">
        <v>13047371.842566472</v>
      </c>
      <c r="J44" s="39">
        <v>12546895.555555115</v>
      </c>
      <c r="K44" s="39">
        <v>13404835.236278489</v>
      </c>
      <c r="L44" s="39">
        <v>10252256.733110037</v>
      </c>
      <c r="M44" s="39">
        <v>6116211.7327488791</v>
      </c>
      <c r="N44" s="39">
        <v>5144595.547229372</v>
      </c>
      <c r="O44" s="45">
        <v>5163425.3181568505</v>
      </c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</row>
    <row r="45" spans="1:48" s="51" customFormat="1" hidden="1" x14ac:dyDescent="0.25">
      <c r="A45"/>
      <c r="B45"/>
      <c r="C45" s="81" t="s">
        <v>28</v>
      </c>
      <c r="D45" s="42">
        <v>0.24607999999999999</v>
      </c>
      <c r="E45" s="38">
        <f>+D45</f>
        <v>0.24607999999999999</v>
      </c>
      <c r="F45" s="38">
        <f t="shared" ref="F45:N45" si="6">+E45</f>
        <v>0.24607999999999999</v>
      </c>
      <c r="G45" s="38">
        <f t="shared" si="6"/>
        <v>0.24607999999999999</v>
      </c>
      <c r="H45" s="38">
        <f t="shared" si="6"/>
        <v>0.24607999999999999</v>
      </c>
      <c r="I45" s="38">
        <f t="shared" si="6"/>
        <v>0.24607999999999999</v>
      </c>
      <c r="J45" s="38">
        <f t="shared" si="6"/>
        <v>0.24607999999999999</v>
      </c>
      <c r="K45" s="38">
        <f t="shared" si="6"/>
        <v>0.24607999999999999</v>
      </c>
      <c r="L45" s="38">
        <f t="shared" si="6"/>
        <v>0.24607999999999999</v>
      </c>
      <c r="M45" s="38">
        <f t="shared" si="6"/>
        <v>0.24607999999999999</v>
      </c>
      <c r="N45" s="38">
        <f t="shared" si="6"/>
        <v>0.24607999999999999</v>
      </c>
      <c r="O45" s="43">
        <f>+N45</f>
        <v>0.24607999999999999</v>
      </c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</row>
    <row r="46" spans="1:48" s="51" customFormat="1" hidden="1" x14ac:dyDescent="0.25">
      <c r="A46"/>
      <c r="B46"/>
      <c r="C46" s="40" t="s">
        <v>29</v>
      </c>
      <c r="D46" s="46">
        <f>D44*D45</f>
        <v>468837.95832771919</v>
      </c>
      <c r="E46" s="41">
        <f t="shared" ref="E46:O46" si="7">E44*E45</f>
        <v>712321.81518230867</v>
      </c>
      <c r="F46" s="41">
        <f t="shared" si="7"/>
        <v>660207.57897784142</v>
      </c>
      <c r="G46" s="41">
        <f t="shared" si="7"/>
        <v>1178734.672937558</v>
      </c>
      <c r="H46" s="41">
        <f t="shared" si="7"/>
        <v>717456.89991531009</v>
      </c>
      <c r="I46" s="41">
        <f t="shared" si="7"/>
        <v>3210697.2630187571</v>
      </c>
      <c r="J46" s="41">
        <f t="shared" si="7"/>
        <v>3087540.0583110023</v>
      </c>
      <c r="K46" s="41">
        <f t="shared" si="7"/>
        <v>3298661.8549434105</v>
      </c>
      <c r="L46" s="41">
        <f t="shared" si="7"/>
        <v>2522875.3368837177</v>
      </c>
      <c r="M46" s="41">
        <f t="shared" si="7"/>
        <v>1505077.3831948442</v>
      </c>
      <c r="N46" s="41">
        <f t="shared" si="7"/>
        <v>1265982.0722622038</v>
      </c>
      <c r="O46" s="47">
        <f t="shared" si="7"/>
        <v>1270615.7022920377</v>
      </c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</row>
    <row r="47" spans="1:48" s="51" customFormat="1" x14ac:dyDescent="0.25">
      <c r="A47"/>
      <c r="B47"/>
      <c r="C47" s="40" t="s">
        <v>30</v>
      </c>
      <c r="D47" s="130">
        <f t="shared" ref="D47:O47" si="8">ROUND(D46/D43,2)</f>
        <v>18.78</v>
      </c>
      <c r="E47" s="131">
        <f t="shared" si="8"/>
        <v>28.63</v>
      </c>
      <c r="F47" s="131">
        <f t="shared" si="8"/>
        <v>26.55</v>
      </c>
      <c r="G47" s="131">
        <f t="shared" si="8"/>
        <v>47.41</v>
      </c>
      <c r="H47" s="131">
        <f t="shared" si="8"/>
        <v>28.59</v>
      </c>
      <c r="I47" s="131">
        <f t="shared" si="8"/>
        <v>126.89</v>
      </c>
      <c r="J47" s="131">
        <f t="shared" si="8"/>
        <v>121.72</v>
      </c>
      <c r="K47" s="131">
        <f t="shared" si="8"/>
        <v>130.12</v>
      </c>
      <c r="L47" s="131">
        <f t="shared" si="8"/>
        <v>99.41</v>
      </c>
      <c r="M47" s="131">
        <f t="shared" si="8"/>
        <v>59.31</v>
      </c>
      <c r="N47" s="131">
        <f t="shared" si="8"/>
        <v>49.98</v>
      </c>
      <c r="O47" s="132">
        <f t="shared" si="8"/>
        <v>50.36</v>
      </c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</row>
    <row r="48" spans="1:48" x14ac:dyDescent="0.25">
      <c r="C48" s="80" t="s">
        <v>35</v>
      </c>
      <c r="D48" s="58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60"/>
    </row>
    <row r="49" spans="3:15" hidden="1" x14ac:dyDescent="0.25">
      <c r="C49" s="23" t="s">
        <v>26</v>
      </c>
      <c r="D49" s="48">
        <v>405</v>
      </c>
      <c r="E49" s="49">
        <v>409</v>
      </c>
      <c r="F49" s="49">
        <v>413</v>
      </c>
      <c r="G49" s="49">
        <v>429</v>
      </c>
      <c r="H49" s="49">
        <v>432</v>
      </c>
      <c r="I49" s="49">
        <v>430</v>
      </c>
      <c r="J49" s="49">
        <v>429</v>
      </c>
      <c r="K49" s="49">
        <v>439</v>
      </c>
      <c r="L49" s="49">
        <v>440</v>
      </c>
      <c r="M49" s="49">
        <v>441</v>
      </c>
      <c r="N49" s="49">
        <v>445</v>
      </c>
      <c r="O49" s="50">
        <v>442</v>
      </c>
    </row>
    <row r="50" spans="3:15" hidden="1" x14ac:dyDescent="0.25">
      <c r="C50" s="83" t="s">
        <v>36</v>
      </c>
      <c r="D50" s="19">
        <v>78051</v>
      </c>
      <c r="E50" s="13">
        <v>75163</v>
      </c>
      <c r="F50" s="13">
        <v>83416</v>
      </c>
      <c r="G50" s="13">
        <v>102072</v>
      </c>
      <c r="H50" s="13">
        <v>119156</v>
      </c>
      <c r="I50" s="13">
        <v>166990</v>
      </c>
      <c r="J50" s="13">
        <v>166357</v>
      </c>
      <c r="K50" s="13">
        <v>163549</v>
      </c>
      <c r="L50" s="13">
        <v>153887</v>
      </c>
      <c r="M50" s="13">
        <v>138971</v>
      </c>
      <c r="N50" s="13">
        <v>121401</v>
      </c>
      <c r="O50" s="14">
        <v>96663</v>
      </c>
    </row>
    <row r="51" spans="3:15" hidden="1" x14ac:dyDescent="0.25">
      <c r="C51" s="83" t="s">
        <v>37</v>
      </c>
      <c r="D51" s="67">
        <v>243018</v>
      </c>
      <c r="E51" s="68">
        <v>218963</v>
      </c>
      <c r="F51" s="68">
        <v>274256</v>
      </c>
      <c r="G51" s="68">
        <v>360930</v>
      </c>
      <c r="H51" s="68">
        <v>397091</v>
      </c>
      <c r="I51" s="68">
        <v>602209</v>
      </c>
      <c r="J51" s="68">
        <v>605552</v>
      </c>
      <c r="K51" s="68">
        <v>596445</v>
      </c>
      <c r="L51" s="68">
        <v>537464</v>
      </c>
      <c r="M51" s="68">
        <v>443000</v>
      </c>
      <c r="N51" s="68">
        <v>368642</v>
      </c>
      <c r="O51" s="69">
        <v>300875</v>
      </c>
    </row>
    <row r="52" spans="3:15" hidden="1" x14ac:dyDescent="0.25">
      <c r="C52" s="84" t="s">
        <v>38</v>
      </c>
      <c r="D52" s="67">
        <v>199814</v>
      </c>
      <c r="E52" s="68">
        <v>128232</v>
      </c>
      <c r="F52" s="68">
        <v>227013</v>
      </c>
      <c r="G52" s="68">
        <v>906604</v>
      </c>
      <c r="H52" s="68">
        <v>410088</v>
      </c>
      <c r="I52" s="68">
        <v>627380</v>
      </c>
      <c r="J52" s="68">
        <v>518499</v>
      </c>
      <c r="K52" s="68">
        <v>741554</v>
      </c>
      <c r="L52" s="68">
        <v>497103</v>
      </c>
      <c r="M52" s="68">
        <v>279985</v>
      </c>
      <c r="N52" s="68">
        <v>254963</v>
      </c>
      <c r="O52" s="69">
        <v>200281</v>
      </c>
    </row>
    <row r="53" spans="3:15" hidden="1" x14ac:dyDescent="0.25">
      <c r="C53" s="85" t="s">
        <v>39</v>
      </c>
      <c r="D53" s="67">
        <f>+D50+D51+D52</f>
        <v>520883</v>
      </c>
      <c r="E53" s="68">
        <f>+E50+E51+E52</f>
        <v>422358</v>
      </c>
      <c r="F53" s="68">
        <f t="shared" ref="F53:O53" si="9">+F50+F51+F52</f>
        <v>584685</v>
      </c>
      <c r="G53" s="68">
        <f t="shared" si="9"/>
        <v>1369606</v>
      </c>
      <c r="H53" s="68">
        <f t="shared" si="9"/>
        <v>926335</v>
      </c>
      <c r="I53" s="68">
        <f t="shared" si="9"/>
        <v>1396579</v>
      </c>
      <c r="J53" s="68">
        <f t="shared" si="9"/>
        <v>1290408</v>
      </c>
      <c r="K53" s="68">
        <f t="shared" si="9"/>
        <v>1501548</v>
      </c>
      <c r="L53" s="68">
        <f t="shared" si="9"/>
        <v>1188454</v>
      </c>
      <c r="M53" s="68">
        <f t="shared" si="9"/>
        <v>861956</v>
      </c>
      <c r="N53" s="68">
        <f t="shared" si="9"/>
        <v>745006</v>
      </c>
      <c r="O53" s="69">
        <f t="shared" si="9"/>
        <v>597819</v>
      </c>
    </row>
    <row r="54" spans="3:15" hidden="1" x14ac:dyDescent="0.25">
      <c r="C54" s="23" t="s">
        <v>40</v>
      </c>
      <c r="D54" s="20">
        <v>0.18842999999999999</v>
      </c>
      <c r="E54" s="38">
        <f t="shared" ref="E54:N56" si="10">+D54</f>
        <v>0.18842999999999999</v>
      </c>
      <c r="F54" s="38">
        <f t="shared" si="10"/>
        <v>0.18842999999999999</v>
      </c>
      <c r="G54" s="38">
        <f t="shared" si="10"/>
        <v>0.18842999999999999</v>
      </c>
      <c r="H54" s="38">
        <f t="shared" si="10"/>
        <v>0.18842999999999999</v>
      </c>
      <c r="I54" s="38">
        <f t="shared" si="10"/>
        <v>0.18842999999999999</v>
      </c>
      <c r="J54" s="38">
        <f t="shared" si="10"/>
        <v>0.18842999999999999</v>
      </c>
      <c r="K54" s="38">
        <f t="shared" si="10"/>
        <v>0.18842999999999999</v>
      </c>
      <c r="L54" s="38">
        <f t="shared" si="10"/>
        <v>0.18842999999999999</v>
      </c>
      <c r="M54" s="38">
        <f t="shared" si="10"/>
        <v>0.18842999999999999</v>
      </c>
      <c r="N54" s="38">
        <f t="shared" si="10"/>
        <v>0.18842999999999999</v>
      </c>
      <c r="O54" s="21">
        <f>+N54</f>
        <v>0.18842999999999999</v>
      </c>
    </row>
    <row r="55" spans="3:15" hidden="1" x14ac:dyDescent="0.25">
      <c r="C55" s="35" t="s">
        <v>41</v>
      </c>
      <c r="D55" s="20">
        <v>0.15175</v>
      </c>
      <c r="E55" s="38">
        <f t="shared" si="10"/>
        <v>0.15175</v>
      </c>
      <c r="F55" s="38">
        <f t="shared" si="10"/>
        <v>0.15175</v>
      </c>
      <c r="G55" s="38">
        <f t="shared" si="10"/>
        <v>0.15175</v>
      </c>
      <c r="H55" s="38">
        <f t="shared" si="10"/>
        <v>0.15175</v>
      </c>
      <c r="I55" s="38">
        <f t="shared" si="10"/>
        <v>0.15175</v>
      </c>
      <c r="J55" s="38">
        <f t="shared" si="10"/>
        <v>0.15175</v>
      </c>
      <c r="K55" s="38">
        <f t="shared" si="10"/>
        <v>0.15175</v>
      </c>
      <c r="L55" s="38">
        <f t="shared" si="10"/>
        <v>0.15175</v>
      </c>
      <c r="M55" s="38">
        <f t="shared" si="10"/>
        <v>0.15175</v>
      </c>
      <c r="N55" s="38">
        <f t="shared" si="10"/>
        <v>0.15175</v>
      </c>
      <c r="O55" s="21">
        <f>+N55</f>
        <v>0.15175</v>
      </c>
    </row>
    <row r="56" spans="3:15" hidden="1" x14ac:dyDescent="0.25">
      <c r="C56" s="35" t="s">
        <v>42</v>
      </c>
      <c r="D56" s="20">
        <v>0.1462</v>
      </c>
      <c r="E56" s="38">
        <f t="shared" si="10"/>
        <v>0.1462</v>
      </c>
      <c r="F56" s="38">
        <f t="shared" si="10"/>
        <v>0.1462</v>
      </c>
      <c r="G56" s="38">
        <f t="shared" si="10"/>
        <v>0.1462</v>
      </c>
      <c r="H56" s="38">
        <f t="shared" si="10"/>
        <v>0.1462</v>
      </c>
      <c r="I56" s="38">
        <f t="shared" si="10"/>
        <v>0.1462</v>
      </c>
      <c r="J56" s="38">
        <f t="shared" si="10"/>
        <v>0.1462</v>
      </c>
      <c r="K56" s="38">
        <f t="shared" si="10"/>
        <v>0.1462</v>
      </c>
      <c r="L56" s="38">
        <f t="shared" si="10"/>
        <v>0.1462</v>
      </c>
      <c r="M56" s="38">
        <f t="shared" si="10"/>
        <v>0.1462</v>
      </c>
      <c r="N56" s="38">
        <f t="shared" si="10"/>
        <v>0.1462</v>
      </c>
      <c r="O56" s="21">
        <f>+N56</f>
        <v>0.1462</v>
      </c>
    </row>
    <row r="57" spans="3:15" hidden="1" x14ac:dyDescent="0.25">
      <c r="C57" s="22" t="s">
        <v>43</v>
      </c>
      <c r="D57" s="15">
        <f>D54*D50</f>
        <v>14707.14993</v>
      </c>
      <c r="E57" s="17">
        <f t="shared" ref="E57:O59" si="11">E54*E50</f>
        <v>14162.964089999999</v>
      </c>
      <c r="F57" s="17">
        <f t="shared" si="11"/>
        <v>15718.076879999999</v>
      </c>
      <c r="G57" s="17">
        <f t="shared" si="11"/>
        <v>19233.426959999997</v>
      </c>
      <c r="H57" s="17">
        <f t="shared" si="11"/>
        <v>22452.565079999997</v>
      </c>
      <c r="I57" s="17">
        <f t="shared" si="11"/>
        <v>31465.925699999996</v>
      </c>
      <c r="J57" s="17">
        <f t="shared" si="11"/>
        <v>31346.649509999999</v>
      </c>
      <c r="K57" s="17">
        <f t="shared" si="11"/>
        <v>30817.538069999999</v>
      </c>
      <c r="L57" s="17">
        <f t="shared" si="11"/>
        <v>28996.927409999997</v>
      </c>
      <c r="M57" s="17">
        <f t="shared" si="11"/>
        <v>26186.305529999998</v>
      </c>
      <c r="N57" s="17">
        <f t="shared" si="11"/>
        <v>22875.590429999997</v>
      </c>
      <c r="O57" s="18">
        <f t="shared" si="11"/>
        <v>18214.20909</v>
      </c>
    </row>
    <row r="58" spans="3:15" hidden="1" x14ac:dyDescent="0.25">
      <c r="C58" s="22" t="s">
        <v>44</v>
      </c>
      <c r="D58" s="15">
        <f>D55*D51</f>
        <v>36877.981500000002</v>
      </c>
      <c r="E58" s="17">
        <f t="shared" si="11"/>
        <v>33227.635249999999</v>
      </c>
      <c r="F58" s="17">
        <f t="shared" si="11"/>
        <v>41618.347999999998</v>
      </c>
      <c r="G58" s="17">
        <f t="shared" si="11"/>
        <v>54771.127499999995</v>
      </c>
      <c r="H58" s="17">
        <f t="shared" si="11"/>
        <v>60258.559249999998</v>
      </c>
      <c r="I58" s="17">
        <f t="shared" si="11"/>
        <v>91385.215750000003</v>
      </c>
      <c r="J58" s="17">
        <f t="shared" si="11"/>
        <v>91892.516000000003</v>
      </c>
      <c r="K58" s="17">
        <f t="shared" si="11"/>
        <v>90510.528749999998</v>
      </c>
      <c r="L58" s="17">
        <f t="shared" si="11"/>
        <v>81560.161999999997</v>
      </c>
      <c r="M58" s="17">
        <f t="shared" si="11"/>
        <v>67225.25</v>
      </c>
      <c r="N58" s="17">
        <f t="shared" si="11"/>
        <v>55941.423499999997</v>
      </c>
      <c r="O58" s="18">
        <f t="shared" si="11"/>
        <v>45657.78125</v>
      </c>
    </row>
    <row r="59" spans="3:15" hidden="1" x14ac:dyDescent="0.25">
      <c r="C59" s="22" t="s">
        <v>45</v>
      </c>
      <c r="D59" s="70">
        <f>D56*D52</f>
        <v>29212.806799999998</v>
      </c>
      <c r="E59" s="71">
        <f t="shared" si="11"/>
        <v>18747.518400000001</v>
      </c>
      <c r="F59" s="71">
        <f t="shared" si="11"/>
        <v>33189.300600000002</v>
      </c>
      <c r="G59" s="71">
        <f t="shared" si="11"/>
        <v>132545.5048</v>
      </c>
      <c r="H59" s="71">
        <f t="shared" si="11"/>
        <v>59954.865599999997</v>
      </c>
      <c r="I59" s="71">
        <f t="shared" si="11"/>
        <v>91722.955999999991</v>
      </c>
      <c r="J59" s="71">
        <f t="shared" si="11"/>
        <v>75804.553799999994</v>
      </c>
      <c r="K59" s="71">
        <f t="shared" si="11"/>
        <v>108415.1948</v>
      </c>
      <c r="L59" s="71">
        <f t="shared" si="11"/>
        <v>72676.458599999998</v>
      </c>
      <c r="M59" s="71">
        <f t="shared" si="11"/>
        <v>40933.807000000001</v>
      </c>
      <c r="N59" s="71">
        <f t="shared" si="11"/>
        <v>37275.590599999996</v>
      </c>
      <c r="O59" s="72">
        <f t="shared" si="11"/>
        <v>29281.082200000001</v>
      </c>
    </row>
    <row r="60" spans="3:15" x14ac:dyDescent="0.25">
      <c r="C60" s="22" t="s">
        <v>30</v>
      </c>
      <c r="D60" s="159">
        <f t="shared" ref="D60:O60" si="12">ROUND(SUM(D57+D58+D59)/D49,2)</f>
        <v>199.5</v>
      </c>
      <c r="E60" s="160">
        <f t="shared" si="12"/>
        <v>161.71</v>
      </c>
      <c r="F60" s="160">
        <f t="shared" si="12"/>
        <v>219.19</v>
      </c>
      <c r="G60" s="160">
        <f t="shared" si="12"/>
        <v>481.47</v>
      </c>
      <c r="H60" s="160">
        <f t="shared" si="12"/>
        <v>330.25</v>
      </c>
      <c r="I60" s="160">
        <f t="shared" si="12"/>
        <v>499.01</v>
      </c>
      <c r="J60" s="160">
        <f t="shared" si="12"/>
        <v>463.97</v>
      </c>
      <c r="K60" s="160">
        <f t="shared" si="12"/>
        <v>523.33000000000004</v>
      </c>
      <c r="L60" s="160">
        <f t="shared" si="12"/>
        <v>416.44</v>
      </c>
      <c r="M60" s="160">
        <f t="shared" si="12"/>
        <v>304.64</v>
      </c>
      <c r="N60" s="160">
        <f t="shared" si="12"/>
        <v>260.88</v>
      </c>
      <c r="O60" s="161">
        <f t="shared" si="12"/>
        <v>210.75</v>
      </c>
    </row>
    <row r="61" spans="3:15" x14ac:dyDescent="0.25">
      <c r="C61" s="80" t="s">
        <v>46</v>
      </c>
      <c r="D61" s="58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60"/>
    </row>
    <row r="62" spans="3:15" hidden="1" x14ac:dyDescent="0.25">
      <c r="C62" s="23" t="s">
        <v>26</v>
      </c>
      <c r="D62" s="24">
        <v>82</v>
      </c>
      <c r="E62" s="25">
        <v>80</v>
      </c>
      <c r="F62" s="25">
        <v>80</v>
      </c>
      <c r="G62" s="25">
        <v>81</v>
      </c>
      <c r="H62" s="25">
        <v>79</v>
      </c>
      <c r="I62" s="25">
        <v>79</v>
      </c>
      <c r="J62" s="25">
        <v>80</v>
      </c>
      <c r="K62" s="25">
        <v>80</v>
      </c>
      <c r="L62" s="25">
        <v>135</v>
      </c>
      <c r="M62" s="25">
        <v>83</v>
      </c>
      <c r="N62" s="25">
        <v>82</v>
      </c>
      <c r="O62" s="26">
        <v>85</v>
      </c>
    </row>
    <row r="63" spans="3:15" hidden="1" x14ac:dyDescent="0.25">
      <c r="C63" s="23" t="s">
        <v>36</v>
      </c>
      <c r="D63" s="24">
        <v>281057</v>
      </c>
      <c r="E63" s="25">
        <v>292438</v>
      </c>
      <c r="F63" s="25">
        <v>232767</v>
      </c>
      <c r="G63" s="25">
        <v>337889</v>
      </c>
      <c r="H63" s="25">
        <v>430436</v>
      </c>
      <c r="I63" s="25">
        <v>889995</v>
      </c>
      <c r="J63" s="25">
        <v>911639</v>
      </c>
      <c r="K63" s="25">
        <v>829158</v>
      </c>
      <c r="L63" s="25">
        <v>1617804</v>
      </c>
      <c r="M63" s="25">
        <v>612246</v>
      </c>
      <c r="N63" s="25">
        <v>485441</v>
      </c>
      <c r="O63" s="26">
        <v>387499</v>
      </c>
    </row>
    <row r="64" spans="3:15" hidden="1" x14ac:dyDescent="0.25">
      <c r="C64" s="23" t="s">
        <v>37</v>
      </c>
      <c r="D64" s="24">
        <v>37880</v>
      </c>
      <c r="E64" s="25">
        <v>30155</v>
      </c>
      <c r="F64" s="25">
        <v>17413</v>
      </c>
      <c r="G64" s="25">
        <v>56111</v>
      </c>
      <c r="H64" s="25">
        <v>51418</v>
      </c>
      <c r="I64" s="25">
        <v>215603</v>
      </c>
      <c r="J64" s="25">
        <v>235610</v>
      </c>
      <c r="K64" s="25">
        <v>215709</v>
      </c>
      <c r="L64" s="25">
        <v>573703</v>
      </c>
      <c r="M64" s="25">
        <v>188162</v>
      </c>
      <c r="N64" s="25">
        <v>147547</v>
      </c>
      <c r="O64" s="26">
        <v>69596</v>
      </c>
    </row>
    <row r="65" spans="2:15" hidden="1" x14ac:dyDescent="0.25">
      <c r="C65" s="35" t="s">
        <v>38</v>
      </c>
      <c r="D65" s="24"/>
      <c r="E65" s="25"/>
      <c r="F65" s="25"/>
      <c r="G65" s="25"/>
      <c r="H65" s="25"/>
      <c r="I65" s="25">
        <v>59914</v>
      </c>
      <c r="J65" s="25">
        <v>58081</v>
      </c>
      <c r="K65" s="25">
        <v>67742</v>
      </c>
      <c r="L65" s="25">
        <v>40376</v>
      </c>
      <c r="M65" s="25"/>
      <c r="N65" s="25"/>
      <c r="O65" s="26"/>
    </row>
    <row r="66" spans="2:15" hidden="1" x14ac:dyDescent="0.25">
      <c r="C66" s="52" t="s">
        <v>39</v>
      </c>
      <c r="D66" s="24">
        <f t="shared" ref="D66:O66" si="13">+D63+D64+D65</f>
        <v>318937</v>
      </c>
      <c r="E66" s="25">
        <f t="shared" si="13"/>
        <v>322593</v>
      </c>
      <c r="F66" s="25">
        <f t="shared" si="13"/>
        <v>250180</v>
      </c>
      <c r="G66" s="25">
        <f t="shared" si="13"/>
        <v>394000</v>
      </c>
      <c r="H66" s="25">
        <f t="shared" si="13"/>
        <v>481854</v>
      </c>
      <c r="I66" s="25">
        <f t="shared" si="13"/>
        <v>1165512</v>
      </c>
      <c r="J66" s="25">
        <f t="shared" si="13"/>
        <v>1205330</v>
      </c>
      <c r="K66" s="25">
        <f t="shared" si="13"/>
        <v>1112609</v>
      </c>
      <c r="L66" s="25">
        <f t="shared" si="13"/>
        <v>2231883</v>
      </c>
      <c r="M66" s="25">
        <f t="shared" si="13"/>
        <v>800408</v>
      </c>
      <c r="N66" s="25">
        <f t="shared" si="13"/>
        <v>632988</v>
      </c>
      <c r="O66" s="26">
        <f t="shared" si="13"/>
        <v>457095</v>
      </c>
    </row>
    <row r="67" spans="2:15" hidden="1" x14ac:dyDescent="0.25">
      <c r="C67" s="23" t="s">
        <v>40</v>
      </c>
      <c r="D67" s="20">
        <v>0.14834</v>
      </c>
      <c r="E67" s="38">
        <f t="shared" ref="E67:N69" si="14">+D67</f>
        <v>0.14834</v>
      </c>
      <c r="F67" s="38">
        <f t="shared" si="14"/>
        <v>0.14834</v>
      </c>
      <c r="G67" s="38">
        <f t="shared" si="14"/>
        <v>0.14834</v>
      </c>
      <c r="H67" s="38">
        <f t="shared" si="14"/>
        <v>0.14834</v>
      </c>
      <c r="I67" s="38">
        <f t="shared" si="14"/>
        <v>0.14834</v>
      </c>
      <c r="J67" s="38">
        <f t="shared" si="14"/>
        <v>0.14834</v>
      </c>
      <c r="K67" s="38">
        <f t="shared" si="14"/>
        <v>0.14834</v>
      </c>
      <c r="L67" s="38">
        <f t="shared" si="14"/>
        <v>0.14834</v>
      </c>
      <c r="M67" s="38">
        <f t="shared" si="14"/>
        <v>0.14834</v>
      </c>
      <c r="N67" s="38">
        <f t="shared" si="14"/>
        <v>0.14834</v>
      </c>
      <c r="O67" s="21">
        <f>+N67</f>
        <v>0.14834</v>
      </c>
    </row>
    <row r="68" spans="2:15" hidden="1" x14ac:dyDescent="0.25">
      <c r="C68" s="35" t="s">
        <v>41</v>
      </c>
      <c r="D68" s="20">
        <v>0.11294999999999999</v>
      </c>
      <c r="E68" s="38">
        <f t="shared" si="14"/>
        <v>0.11294999999999999</v>
      </c>
      <c r="F68" s="38">
        <f t="shared" si="14"/>
        <v>0.11294999999999999</v>
      </c>
      <c r="G68" s="38">
        <f t="shared" si="14"/>
        <v>0.11294999999999999</v>
      </c>
      <c r="H68" s="38">
        <f t="shared" si="14"/>
        <v>0.11294999999999999</v>
      </c>
      <c r="I68" s="38">
        <f t="shared" si="14"/>
        <v>0.11294999999999999</v>
      </c>
      <c r="J68" s="38">
        <f t="shared" si="14"/>
        <v>0.11294999999999999</v>
      </c>
      <c r="K68" s="38">
        <f t="shared" si="14"/>
        <v>0.11294999999999999</v>
      </c>
      <c r="L68" s="38">
        <f t="shared" si="14"/>
        <v>0.11294999999999999</v>
      </c>
      <c r="M68" s="38">
        <f t="shared" si="14"/>
        <v>0.11294999999999999</v>
      </c>
      <c r="N68" s="38">
        <f t="shared" si="14"/>
        <v>0.11294999999999999</v>
      </c>
      <c r="O68" s="21">
        <f>+N68</f>
        <v>0.11294999999999999</v>
      </c>
    </row>
    <row r="69" spans="2:15" hidden="1" x14ac:dyDescent="0.25">
      <c r="C69" s="35" t="s">
        <v>42</v>
      </c>
      <c r="D69" s="20">
        <v>2.5409999999999999E-2</v>
      </c>
      <c r="E69" s="38">
        <f t="shared" si="14"/>
        <v>2.5409999999999999E-2</v>
      </c>
      <c r="F69" s="38">
        <f t="shared" si="14"/>
        <v>2.5409999999999999E-2</v>
      </c>
      <c r="G69" s="38">
        <f t="shared" si="14"/>
        <v>2.5409999999999999E-2</v>
      </c>
      <c r="H69" s="38">
        <f t="shared" si="14"/>
        <v>2.5409999999999999E-2</v>
      </c>
      <c r="I69" s="38">
        <f t="shared" si="14"/>
        <v>2.5409999999999999E-2</v>
      </c>
      <c r="J69" s="38">
        <f t="shared" si="14"/>
        <v>2.5409999999999999E-2</v>
      </c>
      <c r="K69" s="38">
        <f t="shared" si="14"/>
        <v>2.5409999999999999E-2</v>
      </c>
      <c r="L69" s="38">
        <f t="shared" si="14"/>
        <v>2.5409999999999999E-2</v>
      </c>
      <c r="M69" s="38">
        <f t="shared" si="14"/>
        <v>2.5409999999999999E-2</v>
      </c>
      <c r="N69" s="38">
        <f t="shared" si="14"/>
        <v>2.5409999999999999E-2</v>
      </c>
      <c r="O69" s="21">
        <f>+N69</f>
        <v>2.5409999999999999E-2</v>
      </c>
    </row>
    <row r="70" spans="2:15" hidden="1" x14ac:dyDescent="0.25">
      <c r="C70" s="31" t="s">
        <v>43</v>
      </c>
      <c r="D70" s="15">
        <f>D67*D63</f>
        <v>41691.99538</v>
      </c>
      <c r="E70" s="17">
        <f t="shared" ref="E70:O72" si="15">E67*E63</f>
        <v>43380.252919999999</v>
      </c>
      <c r="F70" s="17">
        <f t="shared" si="15"/>
        <v>34528.656779999998</v>
      </c>
      <c r="G70" s="17">
        <f t="shared" si="15"/>
        <v>50122.454259999999</v>
      </c>
      <c r="H70" s="17">
        <f t="shared" si="15"/>
        <v>63850.876239999998</v>
      </c>
      <c r="I70" s="17">
        <f t="shared" si="15"/>
        <v>132021.85829999999</v>
      </c>
      <c r="J70" s="17">
        <f t="shared" si="15"/>
        <v>135232.52926000001</v>
      </c>
      <c r="K70" s="17">
        <f t="shared" si="15"/>
        <v>122997.29772</v>
      </c>
      <c r="L70" s="17">
        <f t="shared" si="15"/>
        <v>239985.04535999999</v>
      </c>
      <c r="M70" s="17">
        <f t="shared" si="15"/>
        <v>90820.571639999995</v>
      </c>
      <c r="N70" s="17">
        <f t="shared" si="15"/>
        <v>72010.317939999994</v>
      </c>
      <c r="O70" s="18">
        <f t="shared" si="15"/>
        <v>57481.60166</v>
      </c>
    </row>
    <row r="71" spans="2:15" hidden="1" x14ac:dyDescent="0.25">
      <c r="C71" s="31" t="s">
        <v>44</v>
      </c>
      <c r="D71" s="15">
        <f>D68*D64</f>
        <v>4278.5459999999994</v>
      </c>
      <c r="E71" s="17">
        <f t="shared" si="15"/>
        <v>3406.0072499999997</v>
      </c>
      <c r="F71" s="17">
        <f t="shared" si="15"/>
        <v>1966.7983499999998</v>
      </c>
      <c r="G71" s="17">
        <f t="shared" si="15"/>
        <v>6337.7374499999996</v>
      </c>
      <c r="H71" s="17">
        <f t="shared" si="15"/>
        <v>5807.6630999999998</v>
      </c>
      <c r="I71" s="17">
        <f t="shared" si="15"/>
        <v>24352.358850000001</v>
      </c>
      <c r="J71" s="17">
        <f t="shared" si="15"/>
        <v>26612.1495</v>
      </c>
      <c r="K71" s="17">
        <f t="shared" si="15"/>
        <v>24364.331549999999</v>
      </c>
      <c r="L71" s="17">
        <f t="shared" si="15"/>
        <v>64799.753849999994</v>
      </c>
      <c r="M71" s="17">
        <f t="shared" si="15"/>
        <v>21252.8979</v>
      </c>
      <c r="N71" s="17">
        <f t="shared" si="15"/>
        <v>16665.433649999999</v>
      </c>
      <c r="O71" s="18">
        <f t="shared" si="15"/>
        <v>7860.8681999999999</v>
      </c>
    </row>
    <row r="72" spans="2:15" hidden="1" x14ac:dyDescent="0.25">
      <c r="C72" s="31" t="s">
        <v>45</v>
      </c>
      <c r="D72" s="15">
        <f>D69*D65</f>
        <v>0</v>
      </c>
      <c r="E72" s="17">
        <f t="shared" si="15"/>
        <v>0</v>
      </c>
      <c r="F72" s="17">
        <f t="shared" si="15"/>
        <v>0</v>
      </c>
      <c r="G72" s="17">
        <f t="shared" si="15"/>
        <v>0</v>
      </c>
      <c r="H72" s="17">
        <f t="shared" si="15"/>
        <v>0</v>
      </c>
      <c r="I72" s="17">
        <f t="shared" si="15"/>
        <v>1522.4147399999999</v>
      </c>
      <c r="J72" s="17">
        <f t="shared" si="15"/>
        <v>1475.8382099999999</v>
      </c>
      <c r="K72" s="17">
        <f t="shared" si="15"/>
        <v>1721.32422</v>
      </c>
      <c r="L72" s="17">
        <f t="shared" si="15"/>
        <v>1025.95416</v>
      </c>
      <c r="M72" s="17">
        <f t="shared" si="15"/>
        <v>0</v>
      </c>
      <c r="N72" s="17">
        <f t="shared" si="15"/>
        <v>0</v>
      </c>
      <c r="O72" s="18">
        <f t="shared" si="15"/>
        <v>0</v>
      </c>
    </row>
    <row r="73" spans="2:15" x14ac:dyDescent="0.25">
      <c r="C73" s="31" t="s">
        <v>30</v>
      </c>
      <c r="D73" s="130">
        <f t="shared" ref="D73:O73" si="16">ROUND(SUM(D70:D72)/D62,2)</f>
        <v>560.62</v>
      </c>
      <c r="E73" s="131">
        <f t="shared" si="16"/>
        <v>584.83000000000004</v>
      </c>
      <c r="F73" s="131">
        <f t="shared" si="16"/>
        <v>456.19</v>
      </c>
      <c r="G73" s="131">
        <f t="shared" si="16"/>
        <v>697.04</v>
      </c>
      <c r="H73" s="131">
        <f t="shared" si="16"/>
        <v>881.75</v>
      </c>
      <c r="I73" s="131">
        <f t="shared" si="16"/>
        <v>1998.69</v>
      </c>
      <c r="J73" s="131">
        <f t="shared" si="16"/>
        <v>2041.51</v>
      </c>
      <c r="K73" s="131">
        <f t="shared" si="16"/>
        <v>1863.54</v>
      </c>
      <c r="L73" s="131">
        <f t="shared" si="16"/>
        <v>2265.2600000000002</v>
      </c>
      <c r="M73" s="131">
        <f t="shared" si="16"/>
        <v>1350.28</v>
      </c>
      <c r="N73" s="131">
        <f t="shared" si="16"/>
        <v>1081.4100000000001</v>
      </c>
      <c r="O73" s="132">
        <f t="shared" si="16"/>
        <v>768.73</v>
      </c>
    </row>
    <row r="74" spans="2:15" x14ac:dyDescent="0.25">
      <c r="C74" s="80" t="s">
        <v>47</v>
      </c>
      <c r="D74" s="58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60"/>
    </row>
    <row r="75" spans="2:15" hidden="1" x14ac:dyDescent="0.25">
      <c r="C75" s="23" t="s">
        <v>26</v>
      </c>
      <c r="D75" s="48">
        <v>1</v>
      </c>
      <c r="E75" s="49">
        <v>1</v>
      </c>
      <c r="F75" s="49">
        <v>1</v>
      </c>
      <c r="G75" s="49">
        <v>1</v>
      </c>
      <c r="H75" s="49">
        <v>1</v>
      </c>
      <c r="I75" s="49">
        <v>1</v>
      </c>
      <c r="J75" s="49">
        <v>1</v>
      </c>
      <c r="K75" s="49">
        <v>1</v>
      </c>
      <c r="L75" s="49">
        <v>1</v>
      </c>
      <c r="M75" s="49">
        <v>1</v>
      </c>
      <c r="N75" s="49">
        <v>1</v>
      </c>
      <c r="O75" s="50">
        <v>1</v>
      </c>
    </row>
    <row r="76" spans="2:15" hidden="1" x14ac:dyDescent="0.25">
      <c r="C76" s="23" t="s">
        <v>27</v>
      </c>
      <c r="D76" s="24">
        <v>3952</v>
      </c>
      <c r="E76" s="25">
        <v>3861</v>
      </c>
      <c r="F76" s="25">
        <v>4343</v>
      </c>
      <c r="G76" s="25">
        <v>4159</v>
      </c>
      <c r="H76" s="25">
        <v>3377</v>
      </c>
      <c r="I76" s="25">
        <v>3772</v>
      </c>
      <c r="J76" s="25">
        <v>3467</v>
      </c>
      <c r="K76" s="25">
        <v>3807</v>
      </c>
      <c r="L76" s="25">
        <v>4147</v>
      </c>
      <c r="M76" s="25">
        <v>3631</v>
      </c>
      <c r="N76" s="25">
        <v>4015</v>
      </c>
      <c r="O76" s="26">
        <v>4021</v>
      </c>
    </row>
    <row r="77" spans="2:15" hidden="1" x14ac:dyDescent="0.25">
      <c r="C77" s="23" t="s">
        <v>28</v>
      </c>
      <c r="D77" s="48">
        <v>0.21479000000000001</v>
      </c>
      <c r="E77" s="49">
        <f>+D77</f>
        <v>0.21479000000000001</v>
      </c>
      <c r="F77" s="38">
        <f>+E77</f>
        <v>0.21479000000000001</v>
      </c>
      <c r="G77" s="53">
        <f>+F77</f>
        <v>0.21479000000000001</v>
      </c>
      <c r="H77" s="53">
        <f t="shared" ref="H77:N77" si="17">+G77</f>
        <v>0.21479000000000001</v>
      </c>
      <c r="I77" s="53">
        <f t="shared" si="17"/>
        <v>0.21479000000000001</v>
      </c>
      <c r="J77" s="53">
        <f t="shared" si="17"/>
        <v>0.21479000000000001</v>
      </c>
      <c r="K77" s="53">
        <f t="shared" si="17"/>
        <v>0.21479000000000001</v>
      </c>
      <c r="L77" s="53">
        <f t="shared" si="17"/>
        <v>0.21479000000000001</v>
      </c>
      <c r="M77" s="53">
        <f t="shared" si="17"/>
        <v>0.21479000000000001</v>
      </c>
      <c r="N77" s="53">
        <f t="shared" si="17"/>
        <v>0.21479000000000001</v>
      </c>
      <c r="O77" s="50">
        <f>+N77</f>
        <v>0.21479000000000001</v>
      </c>
    </row>
    <row r="78" spans="2:15" hidden="1" x14ac:dyDescent="0.25">
      <c r="C78" s="35" t="s">
        <v>29</v>
      </c>
      <c r="D78" s="24">
        <f>D77*D76</f>
        <v>848.85008000000005</v>
      </c>
      <c r="E78" s="25">
        <f t="shared" ref="E78:O78" si="18">E77*E76</f>
        <v>829.30419000000006</v>
      </c>
      <c r="F78" s="25">
        <f t="shared" si="18"/>
        <v>932.83297000000005</v>
      </c>
      <c r="G78" s="25">
        <f t="shared" si="18"/>
        <v>893.31161000000009</v>
      </c>
      <c r="H78" s="25">
        <f t="shared" si="18"/>
        <v>725.34582999999998</v>
      </c>
      <c r="I78" s="25">
        <f t="shared" si="18"/>
        <v>810.18788000000006</v>
      </c>
      <c r="J78" s="25">
        <f t="shared" si="18"/>
        <v>744.67693000000008</v>
      </c>
      <c r="K78" s="25">
        <f t="shared" si="18"/>
        <v>817.70553000000007</v>
      </c>
      <c r="L78" s="25">
        <f t="shared" si="18"/>
        <v>890.73413000000005</v>
      </c>
      <c r="M78" s="25">
        <f t="shared" si="18"/>
        <v>779.90249000000006</v>
      </c>
      <c r="N78" s="25">
        <f t="shared" si="18"/>
        <v>862.38184999999999</v>
      </c>
      <c r="O78" s="26">
        <f t="shared" si="18"/>
        <v>863.67059000000006</v>
      </c>
    </row>
    <row r="79" spans="2:15" x14ac:dyDescent="0.25">
      <c r="C79" s="35" t="s">
        <v>30</v>
      </c>
      <c r="D79" s="159">
        <f t="shared" ref="D79:O79" si="19">ROUND(D78/D75,2)</f>
        <v>848.85</v>
      </c>
      <c r="E79" s="160">
        <f t="shared" si="19"/>
        <v>829.3</v>
      </c>
      <c r="F79" s="160">
        <f t="shared" si="19"/>
        <v>932.83</v>
      </c>
      <c r="G79" s="160">
        <f t="shared" si="19"/>
        <v>893.31</v>
      </c>
      <c r="H79" s="160">
        <f t="shared" si="19"/>
        <v>725.35</v>
      </c>
      <c r="I79" s="160">
        <f t="shared" si="19"/>
        <v>810.19</v>
      </c>
      <c r="J79" s="160">
        <f t="shared" si="19"/>
        <v>744.68</v>
      </c>
      <c r="K79" s="160">
        <f t="shared" si="19"/>
        <v>817.71</v>
      </c>
      <c r="L79" s="160">
        <f t="shared" si="19"/>
        <v>890.73</v>
      </c>
      <c r="M79" s="160">
        <f t="shared" si="19"/>
        <v>779.9</v>
      </c>
      <c r="N79" s="160">
        <f t="shared" si="19"/>
        <v>862.38</v>
      </c>
      <c r="O79" s="161">
        <f t="shared" si="19"/>
        <v>863.67</v>
      </c>
    </row>
    <row r="80" spans="2:15" hidden="1" x14ac:dyDescent="0.25">
      <c r="B80" t="s">
        <v>63</v>
      </c>
      <c r="C80" s="80" t="s">
        <v>48</v>
      </c>
      <c r="D80" s="58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60"/>
    </row>
    <row r="81" spans="3:15" hidden="1" x14ac:dyDescent="0.25">
      <c r="C81" s="23" t="s">
        <v>49</v>
      </c>
      <c r="D81" s="48">
        <v>1</v>
      </c>
      <c r="E81" s="49">
        <v>1</v>
      </c>
      <c r="F81" s="49">
        <v>1</v>
      </c>
      <c r="G81" s="49">
        <v>1</v>
      </c>
      <c r="H81" s="49">
        <v>1</v>
      </c>
      <c r="I81" s="49">
        <v>1</v>
      </c>
      <c r="J81" s="49">
        <v>1</v>
      </c>
      <c r="K81" s="49">
        <v>1</v>
      </c>
      <c r="L81" s="49">
        <v>1</v>
      </c>
      <c r="M81" s="49">
        <v>1</v>
      </c>
      <c r="N81" s="49">
        <v>1</v>
      </c>
      <c r="O81" s="50">
        <v>1</v>
      </c>
    </row>
    <row r="82" spans="3:15" hidden="1" x14ac:dyDescent="0.25">
      <c r="C82" s="31" t="s">
        <v>50</v>
      </c>
      <c r="D82" s="27">
        <v>1015.38</v>
      </c>
      <c r="E82" s="28">
        <v>788.38</v>
      </c>
      <c r="F82" s="28">
        <v>884.71</v>
      </c>
      <c r="G82" s="28">
        <v>1033.0999999999999</v>
      </c>
      <c r="H82" s="29">
        <v>1012.54</v>
      </c>
      <c r="I82" s="28">
        <v>993.42</v>
      </c>
      <c r="J82" s="28">
        <v>912.38</v>
      </c>
      <c r="K82" s="28">
        <v>1014.89</v>
      </c>
      <c r="L82" s="28">
        <v>1202.48</v>
      </c>
      <c r="M82" s="28">
        <v>753.32</v>
      </c>
      <c r="N82" s="28">
        <v>984.76</v>
      </c>
      <c r="O82" s="30">
        <v>1254.4000000000001</v>
      </c>
    </row>
    <row r="83" spans="3:15" hidden="1" x14ac:dyDescent="0.25">
      <c r="C83" s="31" t="s">
        <v>51</v>
      </c>
      <c r="D83" s="15">
        <v>2266.06</v>
      </c>
      <c r="E83" s="17">
        <v>1912.82</v>
      </c>
      <c r="F83" s="17">
        <v>1858.85</v>
      </c>
      <c r="G83" s="17">
        <v>2078.12</v>
      </c>
      <c r="H83" s="17">
        <v>3037.36</v>
      </c>
      <c r="I83" s="17">
        <v>6343.84</v>
      </c>
      <c r="J83" s="17">
        <v>7588.03</v>
      </c>
      <c r="K83" s="17">
        <v>7641.41</v>
      </c>
      <c r="L83" s="17">
        <v>5284.05</v>
      </c>
      <c r="M83" s="17">
        <v>5126.42</v>
      </c>
      <c r="N83" s="17">
        <v>4529.59</v>
      </c>
      <c r="O83" s="18">
        <v>2891.92</v>
      </c>
    </row>
    <row r="84" spans="3:15" hidden="1" x14ac:dyDescent="0.25">
      <c r="C84" s="31" t="s">
        <v>52</v>
      </c>
      <c r="D84" s="15">
        <f>D82/1</f>
        <v>1015.38</v>
      </c>
      <c r="E84" s="17">
        <f t="shared" ref="E84:O84" si="20">E82/1</f>
        <v>788.38</v>
      </c>
      <c r="F84" s="17">
        <f t="shared" si="20"/>
        <v>884.71</v>
      </c>
      <c r="G84" s="17">
        <f t="shared" si="20"/>
        <v>1033.0999999999999</v>
      </c>
      <c r="H84" s="17">
        <f t="shared" si="20"/>
        <v>1012.54</v>
      </c>
      <c r="I84" s="17">
        <f t="shared" si="20"/>
        <v>993.42</v>
      </c>
      <c r="J84" s="17">
        <f t="shared" si="20"/>
        <v>912.38</v>
      </c>
      <c r="K84" s="17">
        <f t="shared" si="20"/>
        <v>1014.89</v>
      </c>
      <c r="L84" s="17">
        <f t="shared" si="20"/>
        <v>1202.48</v>
      </c>
      <c r="M84" s="17">
        <f t="shared" si="20"/>
        <v>753.32</v>
      </c>
      <c r="N84" s="17">
        <f t="shared" si="20"/>
        <v>984.76</v>
      </c>
      <c r="O84" s="18">
        <f t="shared" si="20"/>
        <v>1254.4000000000001</v>
      </c>
    </row>
    <row r="85" spans="3:15" hidden="1" x14ac:dyDescent="0.25">
      <c r="C85" s="31" t="s">
        <v>53</v>
      </c>
      <c r="D85" s="17">
        <f t="shared" ref="D85:O85" si="21">D78/D75</f>
        <v>848.85008000000005</v>
      </c>
      <c r="E85" s="17">
        <f t="shared" si="21"/>
        <v>829.30419000000006</v>
      </c>
      <c r="F85" s="17">
        <f t="shared" si="21"/>
        <v>932.83297000000005</v>
      </c>
      <c r="G85" s="17">
        <f t="shared" si="21"/>
        <v>893.31161000000009</v>
      </c>
      <c r="H85" s="17">
        <f t="shared" si="21"/>
        <v>725.34582999999998</v>
      </c>
      <c r="I85" s="17">
        <f t="shared" si="21"/>
        <v>810.18788000000006</v>
      </c>
      <c r="J85" s="17">
        <f t="shared" si="21"/>
        <v>744.67693000000008</v>
      </c>
      <c r="K85" s="17">
        <f t="shared" si="21"/>
        <v>817.70553000000007</v>
      </c>
      <c r="L85" s="17">
        <f t="shared" si="21"/>
        <v>890.73413000000005</v>
      </c>
      <c r="M85" s="17">
        <f t="shared" si="21"/>
        <v>779.90249000000006</v>
      </c>
      <c r="N85" s="17">
        <f t="shared" si="21"/>
        <v>862.38184999999999</v>
      </c>
      <c r="O85" s="18">
        <f t="shared" si="21"/>
        <v>863.67059000000006</v>
      </c>
    </row>
    <row r="86" spans="3:15" x14ac:dyDescent="0.25">
      <c r="C86" s="80" t="s">
        <v>54</v>
      </c>
      <c r="D86" s="58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60"/>
    </row>
    <row r="87" spans="3:15" hidden="1" x14ac:dyDescent="0.25">
      <c r="C87" s="23" t="s">
        <v>26</v>
      </c>
      <c r="D87" s="48">
        <f>8+D81</f>
        <v>9</v>
      </c>
      <c r="E87" s="49">
        <f t="shared" ref="E87:O87" si="22">8+E81</f>
        <v>9</v>
      </c>
      <c r="F87" s="49">
        <f t="shared" si="22"/>
        <v>9</v>
      </c>
      <c r="G87" s="49">
        <f t="shared" si="22"/>
        <v>9</v>
      </c>
      <c r="H87" s="49">
        <f t="shared" si="22"/>
        <v>9</v>
      </c>
      <c r="I87" s="49">
        <f t="shared" si="22"/>
        <v>9</v>
      </c>
      <c r="J87" s="49">
        <f t="shared" si="22"/>
        <v>9</v>
      </c>
      <c r="K87" s="49">
        <f t="shared" si="22"/>
        <v>9</v>
      </c>
      <c r="L87" s="49">
        <f t="shared" si="22"/>
        <v>9</v>
      </c>
      <c r="M87" s="49">
        <f t="shared" si="22"/>
        <v>9</v>
      </c>
      <c r="N87" s="49">
        <f t="shared" si="22"/>
        <v>9</v>
      </c>
      <c r="O87" s="50">
        <f t="shared" si="22"/>
        <v>9</v>
      </c>
    </row>
    <row r="88" spans="3:15" hidden="1" x14ac:dyDescent="0.25">
      <c r="C88" s="35" t="s">
        <v>55</v>
      </c>
      <c r="D88" s="24">
        <v>126869</v>
      </c>
      <c r="E88" s="25">
        <v>137697</v>
      </c>
      <c r="F88" s="25">
        <v>120628</v>
      </c>
      <c r="G88" s="25">
        <v>152126</v>
      </c>
      <c r="H88" s="25">
        <v>153172</v>
      </c>
      <c r="I88" s="25">
        <v>164797</v>
      </c>
      <c r="J88" s="25">
        <v>171860</v>
      </c>
      <c r="K88" s="25">
        <v>172646</v>
      </c>
      <c r="L88" s="25">
        <v>161201</v>
      </c>
      <c r="M88" s="25">
        <v>152857</v>
      </c>
      <c r="N88" s="25">
        <v>151533</v>
      </c>
      <c r="O88" s="26">
        <v>138046</v>
      </c>
    </row>
    <row r="89" spans="3:15" hidden="1" x14ac:dyDescent="0.25">
      <c r="C89" s="35" t="s">
        <v>56</v>
      </c>
      <c r="D89" s="24">
        <v>100624</v>
      </c>
      <c r="E89" s="25">
        <v>84939</v>
      </c>
      <c r="F89" s="25">
        <v>82542</v>
      </c>
      <c r="G89" s="25">
        <v>92279</v>
      </c>
      <c r="H89" s="25">
        <v>131317</v>
      </c>
      <c r="I89" s="25">
        <v>274269</v>
      </c>
      <c r="J89" s="25">
        <v>328060</v>
      </c>
      <c r="K89" s="25">
        <v>330368</v>
      </c>
      <c r="L89" s="25">
        <v>228450</v>
      </c>
      <c r="M89" s="25">
        <v>221635</v>
      </c>
      <c r="N89" s="25">
        <v>195832</v>
      </c>
      <c r="O89" s="26">
        <v>125029</v>
      </c>
    </row>
    <row r="90" spans="3:15" hidden="1" x14ac:dyDescent="0.25">
      <c r="C90" s="52" t="s">
        <v>39</v>
      </c>
      <c r="D90" s="24">
        <f>+D88+D89</f>
        <v>227493</v>
      </c>
      <c r="E90" s="25">
        <f>+E88+E89</f>
        <v>222636</v>
      </c>
      <c r="F90" s="25">
        <f t="shared" ref="F90:N90" si="23">+F88+F89</f>
        <v>203170</v>
      </c>
      <c r="G90" s="25">
        <f t="shared" si="23"/>
        <v>244405</v>
      </c>
      <c r="H90" s="25">
        <f t="shared" si="23"/>
        <v>284489</v>
      </c>
      <c r="I90" s="25">
        <f t="shared" si="23"/>
        <v>439066</v>
      </c>
      <c r="J90" s="25">
        <f t="shared" si="23"/>
        <v>499920</v>
      </c>
      <c r="K90" s="25">
        <f t="shared" si="23"/>
        <v>503014</v>
      </c>
      <c r="L90" s="25">
        <f t="shared" si="23"/>
        <v>389651</v>
      </c>
      <c r="M90" s="25">
        <f t="shared" si="23"/>
        <v>374492</v>
      </c>
      <c r="N90" s="25">
        <f t="shared" si="23"/>
        <v>347365</v>
      </c>
      <c r="O90" s="26">
        <f>+O88+O89</f>
        <v>263075</v>
      </c>
    </row>
    <row r="91" spans="3:15" hidden="1" x14ac:dyDescent="0.25">
      <c r="C91" s="35" t="s">
        <v>57</v>
      </c>
      <c r="D91" s="20">
        <v>8.233E-2</v>
      </c>
      <c r="E91" s="38">
        <f t="shared" ref="E91:N92" si="24">+D91</f>
        <v>8.233E-2</v>
      </c>
      <c r="F91" s="38">
        <f t="shared" si="24"/>
        <v>8.233E-2</v>
      </c>
      <c r="G91" s="38">
        <f t="shared" si="24"/>
        <v>8.233E-2</v>
      </c>
      <c r="H91" s="38">
        <f t="shared" si="24"/>
        <v>8.233E-2</v>
      </c>
      <c r="I91" s="38">
        <f t="shared" si="24"/>
        <v>8.233E-2</v>
      </c>
      <c r="J91" s="38">
        <f t="shared" si="24"/>
        <v>8.233E-2</v>
      </c>
      <c r="K91" s="38">
        <f t="shared" si="24"/>
        <v>8.233E-2</v>
      </c>
      <c r="L91" s="38">
        <f t="shared" si="24"/>
        <v>8.233E-2</v>
      </c>
      <c r="M91" s="38">
        <f t="shared" si="24"/>
        <v>8.233E-2</v>
      </c>
      <c r="N91" s="38">
        <f t="shared" si="24"/>
        <v>8.233E-2</v>
      </c>
      <c r="O91" s="21">
        <f>+N91</f>
        <v>8.233E-2</v>
      </c>
    </row>
    <row r="92" spans="3:15" hidden="1" x14ac:dyDescent="0.25">
      <c r="C92" s="35" t="s">
        <v>58</v>
      </c>
      <c r="D92" s="20">
        <v>2.2509999999999999E-2</v>
      </c>
      <c r="E92" s="38">
        <f t="shared" si="24"/>
        <v>2.2509999999999999E-2</v>
      </c>
      <c r="F92" s="38">
        <f t="shared" si="24"/>
        <v>2.2509999999999999E-2</v>
      </c>
      <c r="G92" s="38">
        <f t="shared" si="24"/>
        <v>2.2509999999999999E-2</v>
      </c>
      <c r="H92" s="38">
        <f t="shared" si="24"/>
        <v>2.2509999999999999E-2</v>
      </c>
      <c r="I92" s="38">
        <f t="shared" si="24"/>
        <v>2.2509999999999999E-2</v>
      </c>
      <c r="J92" s="38">
        <f t="shared" si="24"/>
        <v>2.2509999999999999E-2</v>
      </c>
      <c r="K92" s="38">
        <f t="shared" si="24"/>
        <v>2.2509999999999999E-2</v>
      </c>
      <c r="L92" s="38">
        <f t="shared" si="24"/>
        <v>2.2509999999999999E-2</v>
      </c>
      <c r="M92" s="38">
        <f t="shared" si="24"/>
        <v>2.2509999999999999E-2</v>
      </c>
      <c r="N92" s="38">
        <f t="shared" si="24"/>
        <v>2.2509999999999999E-2</v>
      </c>
      <c r="O92" s="21">
        <f>+N92</f>
        <v>2.2509999999999999E-2</v>
      </c>
    </row>
    <row r="93" spans="3:15" hidden="1" x14ac:dyDescent="0.25">
      <c r="C93" s="22" t="s">
        <v>59</v>
      </c>
      <c r="D93" s="15">
        <f>D91*D88</f>
        <v>10445.12477</v>
      </c>
      <c r="E93" s="17">
        <f t="shared" ref="E93:O94" si="25">E91*E88</f>
        <v>11336.594010000001</v>
      </c>
      <c r="F93" s="17">
        <f t="shared" si="25"/>
        <v>9931.3032399999993</v>
      </c>
      <c r="G93" s="17">
        <f t="shared" si="25"/>
        <v>12524.533579999999</v>
      </c>
      <c r="H93" s="17">
        <f t="shared" si="25"/>
        <v>12610.65076</v>
      </c>
      <c r="I93" s="17">
        <f t="shared" si="25"/>
        <v>13567.737010000001</v>
      </c>
      <c r="J93" s="17">
        <f t="shared" si="25"/>
        <v>14149.2338</v>
      </c>
      <c r="K93" s="17">
        <f t="shared" si="25"/>
        <v>14213.945180000001</v>
      </c>
      <c r="L93" s="17">
        <f t="shared" si="25"/>
        <v>13271.678330000001</v>
      </c>
      <c r="M93" s="17">
        <f t="shared" si="25"/>
        <v>12584.71681</v>
      </c>
      <c r="N93" s="17">
        <f t="shared" si="25"/>
        <v>12475.71189</v>
      </c>
      <c r="O93" s="18">
        <f t="shared" si="25"/>
        <v>11365.32718</v>
      </c>
    </row>
    <row r="94" spans="3:15" hidden="1" x14ac:dyDescent="0.25">
      <c r="C94" s="22" t="s">
        <v>60</v>
      </c>
      <c r="D94" s="15">
        <f>D92*D89</f>
        <v>2265.0462399999997</v>
      </c>
      <c r="E94" s="17">
        <f t="shared" si="25"/>
        <v>1911.9768899999999</v>
      </c>
      <c r="F94" s="17">
        <f t="shared" si="25"/>
        <v>1858.0204199999998</v>
      </c>
      <c r="G94" s="17">
        <f t="shared" si="25"/>
        <v>2077.2002899999998</v>
      </c>
      <c r="H94" s="17">
        <f t="shared" si="25"/>
        <v>2955.9456700000001</v>
      </c>
      <c r="I94" s="17">
        <f t="shared" si="25"/>
        <v>6173.7951899999998</v>
      </c>
      <c r="J94" s="17">
        <f t="shared" si="25"/>
        <v>7384.6305999999995</v>
      </c>
      <c r="K94" s="17">
        <f t="shared" si="25"/>
        <v>7436.5836799999997</v>
      </c>
      <c r="L94" s="17">
        <f t="shared" si="25"/>
        <v>5142.4094999999998</v>
      </c>
      <c r="M94" s="17">
        <f t="shared" si="25"/>
        <v>4989.0038500000001</v>
      </c>
      <c r="N94" s="17">
        <f t="shared" si="25"/>
        <v>4408.17832</v>
      </c>
      <c r="O94" s="18">
        <f t="shared" si="25"/>
        <v>2814.4027899999996</v>
      </c>
    </row>
    <row r="95" spans="3:15" x14ac:dyDescent="0.25">
      <c r="C95" s="22" t="s">
        <v>53</v>
      </c>
      <c r="D95" s="130">
        <f t="shared" ref="D95:O95" si="26">ROUND(SUM(D93:D94)/D87,2)</f>
        <v>1412.24</v>
      </c>
      <c r="E95" s="131">
        <f t="shared" si="26"/>
        <v>1472.06</v>
      </c>
      <c r="F95" s="131">
        <f t="shared" si="26"/>
        <v>1309.92</v>
      </c>
      <c r="G95" s="131">
        <f t="shared" si="26"/>
        <v>1622.41</v>
      </c>
      <c r="H95" s="131">
        <f t="shared" si="26"/>
        <v>1729.62</v>
      </c>
      <c r="I95" s="131">
        <f t="shared" si="26"/>
        <v>2193.5</v>
      </c>
      <c r="J95" s="131">
        <f t="shared" si="26"/>
        <v>2392.65</v>
      </c>
      <c r="K95" s="131">
        <f t="shared" si="26"/>
        <v>2405.61</v>
      </c>
      <c r="L95" s="131">
        <f t="shared" si="26"/>
        <v>2046.01</v>
      </c>
      <c r="M95" s="131">
        <f t="shared" si="26"/>
        <v>1952.64</v>
      </c>
      <c r="N95" s="131">
        <f t="shared" si="26"/>
        <v>1875.99</v>
      </c>
      <c r="O95" s="132">
        <f t="shared" si="26"/>
        <v>1575.53</v>
      </c>
    </row>
    <row r="96" spans="3:15" x14ac:dyDescent="0.25">
      <c r="C96" s="80" t="s">
        <v>61</v>
      </c>
      <c r="D96" s="58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60"/>
    </row>
    <row r="97" spans="3:15" hidden="1" x14ac:dyDescent="0.25">
      <c r="C97" s="23" t="s">
        <v>26</v>
      </c>
      <c r="D97" s="48">
        <v>3</v>
      </c>
      <c r="E97" s="49">
        <v>3</v>
      </c>
      <c r="F97" s="49">
        <v>3</v>
      </c>
      <c r="G97" s="49">
        <v>3</v>
      </c>
      <c r="H97" s="49">
        <v>3</v>
      </c>
      <c r="I97" s="49">
        <v>3</v>
      </c>
      <c r="J97" s="49">
        <v>3</v>
      </c>
      <c r="K97" s="49">
        <v>3</v>
      </c>
      <c r="L97" s="49">
        <v>3</v>
      </c>
      <c r="M97" s="49">
        <v>3</v>
      </c>
      <c r="N97" s="49">
        <v>3</v>
      </c>
      <c r="O97" s="50">
        <v>3</v>
      </c>
    </row>
    <row r="98" spans="3:15" hidden="1" x14ac:dyDescent="0.25">
      <c r="C98" s="35" t="s">
        <v>55</v>
      </c>
      <c r="D98" s="73">
        <v>11878</v>
      </c>
      <c r="E98" s="74">
        <v>11315</v>
      </c>
      <c r="F98" s="74">
        <v>11210</v>
      </c>
      <c r="G98" s="74">
        <v>11675</v>
      </c>
      <c r="H98" s="74">
        <v>12000</v>
      </c>
      <c r="I98" s="74">
        <v>12000</v>
      </c>
      <c r="J98" s="74">
        <v>12000.000000000002</v>
      </c>
      <c r="K98" s="74">
        <v>12000.000000000002</v>
      </c>
      <c r="L98" s="74">
        <v>12000.000000000002</v>
      </c>
      <c r="M98" s="74">
        <v>12000.000000000002</v>
      </c>
      <c r="N98" s="74">
        <v>12000.000000000002</v>
      </c>
      <c r="O98" s="75">
        <v>11732</v>
      </c>
    </row>
    <row r="99" spans="3:15" hidden="1" x14ac:dyDescent="0.25">
      <c r="C99" s="35" t="s">
        <v>56</v>
      </c>
      <c r="D99" s="73">
        <v>9764</v>
      </c>
      <c r="E99" s="74">
        <v>5580</v>
      </c>
      <c r="F99" s="74">
        <v>5426</v>
      </c>
      <c r="G99" s="74">
        <v>7650</v>
      </c>
      <c r="H99" s="74">
        <v>11870</v>
      </c>
      <c r="I99" s="74">
        <v>21807</v>
      </c>
      <c r="J99" s="74">
        <v>26842</v>
      </c>
      <c r="K99" s="74">
        <v>26431</v>
      </c>
      <c r="L99" s="74">
        <v>17907</v>
      </c>
      <c r="M99" s="74">
        <v>16704</v>
      </c>
      <c r="N99" s="74">
        <v>13455</v>
      </c>
      <c r="O99" s="75">
        <v>8134</v>
      </c>
    </row>
    <row r="100" spans="3:15" hidden="1" x14ac:dyDescent="0.25">
      <c r="C100" s="52" t="s">
        <v>39</v>
      </c>
      <c r="D100" s="73">
        <f>+D98+D99</f>
        <v>21642</v>
      </c>
      <c r="E100" s="74">
        <f t="shared" ref="E100:O100" si="27">+E98+E99</f>
        <v>16895</v>
      </c>
      <c r="F100" s="74">
        <f t="shared" si="27"/>
        <v>16636</v>
      </c>
      <c r="G100" s="74">
        <f t="shared" si="27"/>
        <v>19325</v>
      </c>
      <c r="H100" s="74">
        <f t="shared" si="27"/>
        <v>23870</v>
      </c>
      <c r="I100" s="74">
        <f t="shared" si="27"/>
        <v>33807</v>
      </c>
      <c r="J100" s="74">
        <f t="shared" si="27"/>
        <v>38842</v>
      </c>
      <c r="K100" s="74">
        <f t="shared" si="27"/>
        <v>38431</v>
      </c>
      <c r="L100" s="74">
        <f t="shared" si="27"/>
        <v>29907</v>
      </c>
      <c r="M100" s="74">
        <f t="shared" si="27"/>
        <v>28704</v>
      </c>
      <c r="N100" s="74">
        <f t="shared" si="27"/>
        <v>25455</v>
      </c>
      <c r="O100" s="75">
        <f t="shared" si="27"/>
        <v>19866</v>
      </c>
    </row>
    <row r="101" spans="3:15" hidden="1" x14ac:dyDescent="0.25">
      <c r="C101" s="35" t="s">
        <v>57</v>
      </c>
      <c r="D101" s="20">
        <v>0.10401000000000001</v>
      </c>
      <c r="E101" s="38">
        <f t="shared" ref="E101:N102" si="28">+D101</f>
        <v>0.10401000000000001</v>
      </c>
      <c r="F101" s="38">
        <f t="shared" si="28"/>
        <v>0.10401000000000001</v>
      </c>
      <c r="G101" s="38">
        <f t="shared" si="28"/>
        <v>0.10401000000000001</v>
      </c>
      <c r="H101" s="38">
        <f t="shared" si="28"/>
        <v>0.10401000000000001</v>
      </c>
      <c r="I101" s="38">
        <f t="shared" si="28"/>
        <v>0.10401000000000001</v>
      </c>
      <c r="J101" s="38">
        <f t="shared" si="28"/>
        <v>0.10401000000000001</v>
      </c>
      <c r="K101" s="38">
        <f t="shared" si="28"/>
        <v>0.10401000000000001</v>
      </c>
      <c r="L101" s="38">
        <f t="shared" si="28"/>
        <v>0.10401000000000001</v>
      </c>
      <c r="M101" s="38">
        <f t="shared" si="28"/>
        <v>0.10401000000000001</v>
      </c>
      <c r="N101" s="38">
        <f t="shared" si="28"/>
        <v>0.10401000000000001</v>
      </c>
      <c r="O101" s="21">
        <f>+N101</f>
        <v>0.10401000000000001</v>
      </c>
    </row>
    <row r="102" spans="3:15" hidden="1" x14ac:dyDescent="0.25">
      <c r="C102" s="35" t="s">
        <v>58</v>
      </c>
      <c r="D102" s="20">
        <v>8.4459999999999993E-2</v>
      </c>
      <c r="E102" s="38">
        <f t="shared" si="28"/>
        <v>8.4459999999999993E-2</v>
      </c>
      <c r="F102" s="38">
        <f t="shared" si="28"/>
        <v>8.4459999999999993E-2</v>
      </c>
      <c r="G102" s="38">
        <f t="shared" si="28"/>
        <v>8.4459999999999993E-2</v>
      </c>
      <c r="H102" s="38">
        <f t="shared" si="28"/>
        <v>8.4459999999999993E-2</v>
      </c>
      <c r="I102" s="38">
        <f t="shared" si="28"/>
        <v>8.4459999999999993E-2</v>
      </c>
      <c r="J102" s="38">
        <f t="shared" si="28"/>
        <v>8.4459999999999993E-2</v>
      </c>
      <c r="K102" s="38">
        <f t="shared" si="28"/>
        <v>8.4459999999999993E-2</v>
      </c>
      <c r="L102" s="38">
        <f t="shared" si="28"/>
        <v>8.4459999999999993E-2</v>
      </c>
      <c r="M102" s="38">
        <f t="shared" si="28"/>
        <v>8.4459999999999993E-2</v>
      </c>
      <c r="N102" s="38">
        <f t="shared" si="28"/>
        <v>8.4459999999999993E-2</v>
      </c>
      <c r="O102" s="21">
        <f>+N102</f>
        <v>8.4459999999999993E-2</v>
      </c>
    </row>
    <row r="103" spans="3:15" hidden="1" x14ac:dyDescent="0.25">
      <c r="C103" s="22" t="s">
        <v>59</v>
      </c>
      <c r="D103" s="70">
        <f>D101*D98</f>
        <v>1235.4307800000001</v>
      </c>
      <c r="E103" s="71">
        <f t="shared" ref="E103:O104" si="29">E101*E98</f>
        <v>1176.8731500000001</v>
      </c>
      <c r="F103" s="71">
        <f t="shared" si="29"/>
        <v>1165.9521</v>
      </c>
      <c r="G103" s="71">
        <f t="shared" si="29"/>
        <v>1214.31675</v>
      </c>
      <c r="H103" s="71">
        <f t="shared" si="29"/>
        <v>1248.1200000000001</v>
      </c>
      <c r="I103" s="71">
        <f t="shared" si="29"/>
        <v>1248.1200000000001</v>
      </c>
      <c r="J103" s="71">
        <f t="shared" si="29"/>
        <v>1248.1200000000003</v>
      </c>
      <c r="K103" s="71">
        <f t="shared" si="29"/>
        <v>1248.1200000000003</v>
      </c>
      <c r="L103" s="71">
        <f t="shared" si="29"/>
        <v>1248.1200000000003</v>
      </c>
      <c r="M103" s="71">
        <f t="shared" si="29"/>
        <v>1248.1200000000003</v>
      </c>
      <c r="N103" s="71">
        <f t="shared" si="29"/>
        <v>1248.1200000000003</v>
      </c>
      <c r="O103" s="72">
        <f t="shared" si="29"/>
        <v>1220.24532</v>
      </c>
    </row>
    <row r="104" spans="3:15" hidden="1" x14ac:dyDescent="0.25">
      <c r="C104" s="22" t="s">
        <v>60</v>
      </c>
      <c r="D104" s="70">
        <f>D102*D99</f>
        <v>824.66743999999994</v>
      </c>
      <c r="E104" s="71">
        <f t="shared" si="29"/>
        <v>471.28679999999997</v>
      </c>
      <c r="F104" s="71">
        <f t="shared" si="29"/>
        <v>458.27995999999996</v>
      </c>
      <c r="G104" s="71">
        <f t="shared" si="29"/>
        <v>646.11899999999991</v>
      </c>
      <c r="H104" s="71">
        <f t="shared" si="29"/>
        <v>1002.5401999999999</v>
      </c>
      <c r="I104" s="71">
        <f t="shared" si="29"/>
        <v>1841.8192199999999</v>
      </c>
      <c r="J104" s="71">
        <f t="shared" si="29"/>
        <v>2267.0753199999999</v>
      </c>
      <c r="K104" s="71">
        <f t="shared" si="29"/>
        <v>2232.3622599999999</v>
      </c>
      <c r="L104" s="71">
        <f t="shared" si="29"/>
        <v>1512.4252199999999</v>
      </c>
      <c r="M104" s="71">
        <f t="shared" si="29"/>
        <v>1410.8198399999999</v>
      </c>
      <c r="N104" s="71">
        <f t="shared" si="29"/>
        <v>1136.4092999999998</v>
      </c>
      <c r="O104" s="72">
        <f t="shared" si="29"/>
        <v>686.99763999999993</v>
      </c>
    </row>
    <row r="105" spans="3:15" ht="15.75" thickBot="1" x14ac:dyDescent="0.3">
      <c r="C105" s="34" t="s">
        <v>53</v>
      </c>
      <c r="D105" s="173">
        <f t="shared" ref="D105:O105" si="30">ROUND(SUM(D103:D104)/D97,2)</f>
        <v>686.7</v>
      </c>
      <c r="E105" s="174">
        <f t="shared" si="30"/>
        <v>549.39</v>
      </c>
      <c r="F105" s="174">
        <f t="shared" si="30"/>
        <v>541.41</v>
      </c>
      <c r="G105" s="174">
        <f t="shared" si="30"/>
        <v>620.15</v>
      </c>
      <c r="H105" s="174">
        <f t="shared" si="30"/>
        <v>750.22</v>
      </c>
      <c r="I105" s="174">
        <f t="shared" si="30"/>
        <v>1029.98</v>
      </c>
      <c r="J105" s="174">
        <f t="shared" si="30"/>
        <v>1171.73</v>
      </c>
      <c r="K105" s="174">
        <f t="shared" si="30"/>
        <v>1160.1600000000001</v>
      </c>
      <c r="L105" s="174">
        <f t="shared" si="30"/>
        <v>920.18</v>
      </c>
      <c r="M105" s="174">
        <f t="shared" si="30"/>
        <v>886.31</v>
      </c>
      <c r="N105" s="174">
        <f t="shared" si="30"/>
        <v>794.84</v>
      </c>
      <c r="O105" s="175">
        <f t="shared" si="30"/>
        <v>635.75</v>
      </c>
    </row>
    <row r="106" spans="3:15" ht="15.75" thickTop="1" x14ac:dyDescent="0.25"/>
    <row r="116" spans="1:48" ht="15" customHeight="1" x14ac:dyDescent="0.25">
      <c r="C116" s="699" t="s">
        <v>62</v>
      </c>
      <c r="D116" s="699"/>
      <c r="E116" s="699"/>
      <c r="F116" s="699"/>
      <c r="G116" s="699"/>
      <c r="H116" s="699"/>
      <c r="I116" s="699"/>
      <c r="J116" s="699"/>
      <c r="K116" s="699"/>
      <c r="L116" s="699"/>
      <c r="M116" s="699"/>
      <c r="N116" s="699"/>
      <c r="O116" s="699"/>
    </row>
    <row r="117" spans="1:48" ht="15.75" thickBot="1" x14ac:dyDescent="0.3">
      <c r="C117" s="700"/>
      <c r="D117" s="700"/>
      <c r="E117" s="700"/>
      <c r="F117" s="700"/>
      <c r="G117" s="700"/>
      <c r="H117" s="700"/>
      <c r="I117" s="700"/>
      <c r="J117" s="700"/>
      <c r="K117" s="700"/>
      <c r="L117" s="700"/>
      <c r="M117" s="700"/>
      <c r="N117" s="700"/>
      <c r="O117" s="700"/>
    </row>
    <row r="118" spans="1:48" ht="15.75" thickTop="1" x14ac:dyDescent="0.25">
      <c r="C118" s="32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2"/>
    </row>
    <row r="119" spans="1:48" ht="15.75" thickBot="1" x14ac:dyDescent="0.3">
      <c r="C119" s="33"/>
      <c r="D119" s="36" t="s">
        <v>13</v>
      </c>
      <c r="E119" s="37" t="s">
        <v>14</v>
      </c>
      <c r="F119" s="37" t="s">
        <v>15</v>
      </c>
      <c r="G119" s="36" t="s">
        <v>16</v>
      </c>
      <c r="H119" s="37" t="s">
        <v>17</v>
      </c>
      <c r="I119" s="37" t="s">
        <v>18</v>
      </c>
      <c r="J119" s="36" t="s">
        <v>19</v>
      </c>
      <c r="K119" s="37" t="s">
        <v>20</v>
      </c>
      <c r="L119" s="37" t="s">
        <v>21</v>
      </c>
      <c r="M119" s="36" t="s">
        <v>22</v>
      </c>
      <c r="N119" s="37" t="s">
        <v>23</v>
      </c>
      <c r="O119" s="54" t="s">
        <v>24</v>
      </c>
    </row>
    <row r="120" spans="1:48" ht="15.75" thickTop="1" x14ac:dyDescent="0.25">
      <c r="C120" s="79" t="s">
        <v>25</v>
      </c>
      <c r="D120" s="55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7"/>
    </row>
    <row r="121" spans="1:48" hidden="1" x14ac:dyDescent="0.25">
      <c r="C121" s="23" t="s">
        <v>26</v>
      </c>
      <c r="D121" s="48">
        <v>465</v>
      </c>
      <c r="E121" s="49">
        <v>440</v>
      </c>
      <c r="F121" s="49">
        <v>455</v>
      </c>
      <c r="G121" s="49">
        <v>503</v>
      </c>
      <c r="H121" s="49">
        <v>519</v>
      </c>
      <c r="I121" s="49">
        <v>529</v>
      </c>
      <c r="J121" s="49">
        <v>482</v>
      </c>
      <c r="K121" s="49">
        <v>520</v>
      </c>
      <c r="L121" s="49">
        <v>524</v>
      </c>
      <c r="M121" s="49">
        <v>510</v>
      </c>
      <c r="N121" s="49">
        <v>495</v>
      </c>
      <c r="O121" s="50">
        <v>499</v>
      </c>
    </row>
    <row r="122" spans="1:48" hidden="1" x14ac:dyDescent="0.25">
      <c r="C122" s="23" t="s">
        <v>27</v>
      </c>
      <c r="D122" s="19">
        <v>4577</v>
      </c>
      <c r="E122" s="13">
        <v>3604</v>
      </c>
      <c r="F122" s="13">
        <v>3816</v>
      </c>
      <c r="G122" s="13">
        <v>7328</v>
      </c>
      <c r="H122" s="13">
        <v>22975</v>
      </c>
      <c r="I122" s="13">
        <v>55707</v>
      </c>
      <c r="J122" s="13">
        <v>54481</v>
      </c>
      <c r="K122" s="13">
        <v>48178</v>
      </c>
      <c r="L122" s="13">
        <v>42396</v>
      </c>
      <c r="M122" s="13">
        <v>26783</v>
      </c>
      <c r="N122" s="13">
        <v>15401</v>
      </c>
      <c r="O122" s="14">
        <v>8003</v>
      </c>
    </row>
    <row r="123" spans="1:48" hidden="1" x14ac:dyDescent="0.25">
      <c r="C123" s="23" t="s">
        <v>28</v>
      </c>
      <c r="D123" s="20">
        <v>9.1829999999999995E-2</v>
      </c>
      <c r="E123" s="16">
        <f>+D123</f>
        <v>9.1829999999999995E-2</v>
      </c>
      <c r="F123" s="16">
        <f t="shared" ref="F123" si="31">+E123</f>
        <v>9.1829999999999995E-2</v>
      </c>
      <c r="G123" s="16">
        <f t="shared" ref="G123" si="32">+F123</f>
        <v>9.1829999999999995E-2</v>
      </c>
      <c r="H123" s="16">
        <f t="shared" ref="H123" si="33">+G123</f>
        <v>9.1829999999999995E-2</v>
      </c>
      <c r="I123" s="16">
        <f t="shared" ref="I123" si="34">+H123</f>
        <v>9.1829999999999995E-2</v>
      </c>
      <c r="J123" s="16">
        <f t="shared" ref="J123" si="35">+I123</f>
        <v>9.1829999999999995E-2</v>
      </c>
      <c r="K123" s="16">
        <f t="shared" ref="K123" si="36">+J123</f>
        <v>9.1829999999999995E-2</v>
      </c>
      <c r="L123" s="16">
        <f t="shared" ref="L123" si="37">+K123</f>
        <v>9.1829999999999995E-2</v>
      </c>
      <c r="M123" s="16">
        <f t="shared" ref="M123" si="38">+L123</f>
        <v>9.1829999999999995E-2</v>
      </c>
      <c r="N123" s="16">
        <f t="shared" ref="N123" si="39">+M123</f>
        <v>9.1829999999999995E-2</v>
      </c>
      <c r="O123" s="21">
        <f>+N123</f>
        <v>9.1829999999999995E-2</v>
      </c>
    </row>
    <row r="124" spans="1:48" hidden="1" x14ac:dyDescent="0.25">
      <c r="C124" s="35" t="s">
        <v>29</v>
      </c>
      <c r="D124" s="15">
        <f>D122*D123</f>
        <v>420.30590999999998</v>
      </c>
      <c r="E124" s="17">
        <f t="shared" ref="E124:O124" si="40">E122*E123</f>
        <v>330.95531999999997</v>
      </c>
      <c r="F124" s="17">
        <f t="shared" si="40"/>
        <v>350.42327999999998</v>
      </c>
      <c r="G124" s="17">
        <f t="shared" si="40"/>
        <v>672.93023999999991</v>
      </c>
      <c r="H124" s="17">
        <f t="shared" si="40"/>
        <v>2109.7942499999999</v>
      </c>
      <c r="I124" s="17">
        <f t="shared" si="40"/>
        <v>5115.5738099999999</v>
      </c>
      <c r="J124" s="17">
        <f t="shared" si="40"/>
        <v>5002.9902299999994</v>
      </c>
      <c r="K124" s="17">
        <f t="shared" si="40"/>
        <v>4424.1857399999999</v>
      </c>
      <c r="L124" s="17">
        <f t="shared" si="40"/>
        <v>3893.2246799999998</v>
      </c>
      <c r="M124" s="17">
        <f t="shared" si="40"/>
        <v>2459.4828899999998</v>
      </c>
      <c r="N124" s="17">
        <f t="shared" si="40"/>
        <v>1414.2738299999999</v>
      </c>
      <c r="O124" s="18">
        <f t="shared" si="40"/>
        <v>734.91548999999998</v>
      </c>
    </row>
    <row r="125" spans="1:48" x14ac:dyDescent="0.25">
      <c r="C125" s="35" t="s">
        <v>30</v>
      </c>
      <c r="D125" s="15">
        <f t="shared" ref="D125:O125" si="41">D124/D121</f>
        <v>0.90388367741935483</v>
      </c>
      <c r="E125" s="17">
        <f t="shared" si="41"/>
        <v>0.75217118181818177</v>
      </c>
      <c r="F125" s="17">
        <f t="shared" si="41"/>
        <v>0.77016105494505493</v>
      </c>
      <c r="G125" s="17">
        <f t="shared" si="41"/>
        <v>1.3378334791252484</v>
      </c>
      <c r="H125" s="17">
        <f t="shared" si="41"/>
        <v>4.0651141618497109</v>
      </c>
      <c r="I125" s="17">
        <f t="shared" si="41"/>
        <v>9.6702718525519842</v>
      </c>
      <c r="J125" s="17">
        <f t="shared" si="41"/>
        <v>10.379647780082987</v>
      </c>
      <c r="K125" s="17">
        <f t="shared" si="41"/>
        <v>8.5080495000000003</v>
      </c>
      <c r="L125" s="17">
        <f t="shared" si="41"/>
        <v>7.4298180916030532</v>
      </c>
      <c r="M125" s="17">
        <f t="shared" si="41"/>
        <v>4.8225154705882352</v>
      </c>
      <c r="N125" s="17">
        <f t="shared" si="41"/>
        <v>2.857118848484848</v>
      </c>
      <c r="O125" s="18">
        <f t="shared" si="41"/>
        <v>1.4727765330661322</v>
      </c>
    </row>
    <row r="126" spans="1:48" x14ac:dyDescent="0.25">
      <c r="C126" s="80" t="s">
        <v>31</v>
      </c>
      <c r="D126" s="58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60"/>
    </row>
    <row r="127" spans="1:48" s="51" customFormat="1" hidden="1" x14ac:dyDescent="0.25">
      <c r="A127"/>
      <c r="B127"/>
      <c r="C127" s="23" t="s">
        <v>26</v>
      </c>
      <c r="D127" s="19">
        <v>177980</v>
      </c>
      <c r="E127" s="13">
        <v>177669</v>
      </c>
      <c r="F127" s="13">
        <v>177304</v>
      </c>
      <c r="G127" s="13">
        <v>177720</v>
      </c>
      <c r="H127" s="13">
        <v>178898</v>
      </c>
      <c r="I127" s="13">
        <v>179874</v>
      </c>
      <c r="J127" s="13">
        <v>179603</v>
      </c>
      <c r="K127" s="13">
        <v>180164</v>
      </c>
      <c r="L127" s="13">
        <v>180684</v>
      </c>
      <c r="M127" s="13">
        <v>180798</v>
      </c>
      <c r="N127" s="13">
        <v>180268</v>
      </c>
      <c r="O127" s="14">
        <v>180774</v>
      </c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</row>
    <row r="128" spans="1:48" s="51" customFormat="1" hidden="1" x14ac:dyDescent="0.25">
      <c r="A128"/>
      <c r="B128"/>
      <c r="C128" s="81" t="s">
        <v>32</v>
      </c>
      <c r="D128" s="44">
        <v>1926370.8012031163</v>
      </c>
      <c r="E128" s="39">
        <v>3087838.4997260855</v>
      </c>
      <c r="F128" s="39">
        <v>2730136.4566574288</v>
      </c>
      <c r="G128" s="39">
        <v>6361570.4791109003</v>
      </c>
      <c r="H128" s="39">
        <v>5904496.4865579642</v>
      </c>
      <c r="I128" s="39">
        <v>20664170.018954884</v>
      </c>
      <c r="J128" s="39">
        <v>18396503.298850786</v>
      </c>
      <c r="K128" s="39">
        <v>19402687.391299862</v>
      </c>
      <c r="L128" s="39">
        <v>15857798.886901071</v>
      </c>
      <c r="M128" s="39">
        <v>9068971.8027481232</v>
      </c>
      <c r="N128" s="39">
        <v>7178359.0558815384</v>
      </c>
      <c r="O128" s="45">
        <v>6112330.4476219099</v>
      </c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</row>
    <row r="129" spans="1:34" s="51" customFormat="1" hidden="1" x14ac:dyDescent="0.25">
      <c r="A129"/>
      <c r="B129"/>
      <c r="C129" s="81" t="s">
        <v>33</v>
      </c>
      <c r="D129" s="42">
        <v>0.29483999999999999</v>
      </c>
      <c r="E129" s="38">
        <f>+D129</f>
        <v>0.29483999999999999</v>
      </c>
      <c r="F129" s="38">
        <f t="shared" ref="F129" si="42">+E129</f>
        <v>0.29483999999999999</v>
      </c>
      <c r="G129" s="38">
        <f t="shared" ref="G129" si="43">+F129</f>
        <v>0.29483999999999999</v>
      </c>
      <c r="H129" s="38">
        <f t="shared" ref="H129" si="44">+G129</f>
        <v>0.29483999999999999</v>
      </c>
      <c r="I129" s="38">
        <f t="shared" ref="I129" si="45">+H129</f>
        <v>0.29483999999999999</v>
      </c>
      <c r="J129" s="38">
        <f t="shared" ref="J129" si="46">+I129</f>
        <v>0.29483999999999999</v>
      </c>
      <c r="K129" s="38">
        <f t="shared" ref="K129" si="47">+J129</f>
        <v>0.29483999999999999</v>
      </c>
      <c r="L129" s="38">
        <f t="shared" ref="L129" si="48">+K129</f>
        <v>0.29483999999999999</v>
      </c>
      <c r="M129" s="38">
        <f t="shared" ref="M129" si="49">+L129</f>
        <v>0.29483999999999999</v>
      </c>
      <c r="N129" s="38">
        <f t="shared" ref="N129" si="50">+M129</f>
        <v>0.29483999999999999</v>
      </c>
      <c r="O129" s="43">
        <f>+N129</f>
        <v>0.29483999999999999</v>
      </c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</row>
    <row r="130" spans="1:34" s="51" customFormat="1" hidden="1" x14ac:dyDescent="0.25">
      <c r="A130"/>
      <c r="B130"/>
      <c r="C130" s="40" t="s">
        <v>29</v>
      </c>
      <c r="D130" s="46">
        <f>D128*D129</f>
        <v>567971.16702672676</v>
      </c>
      <c r="E130" s="41">
        <f t="shared" ref="E130:O130" si="51">E128*E129</f>
        <v>910418.30325923907</v>
      </c>
      <c r="F130" s="41">
        <f t="shared" si="51"/>
        <v>804953.43288087624</v>
      </c>
      <c r="G130" s="41">
        <f t="shared" si="51"/>
        <v>1875645.4400610577</v>
      </c>
      <c r="H130" s="41">
        <f t="shared" si="51"/>
        <v>1740881.7440967502</v>
      </c>
      <c r="I130" s="41">
        <f t="shared" si="51"/>
        <v>6092623.8883886579</v>
      </c>
      <c r="J130" s="41">
        <f t="shared" si="51"/>
        <v>5424025.0326331658</v>
      </c>
      <c r="K130" s="41">
        <f t="shared" si="51"/>
        <v>5720688.350450851</v>
      </c>
      <c r="L130" s="41">
        <f t="shared" si="51"/>
        <v>4675513.4238139121</v>
      </c>
      <c r="M130" s="41">
        <f t="shared" si="51"/>
        <v>2673895.6463222564</v>
      </c>
      <c r="N130" s="41">
        <f t="shared" si="51"/>
        <v>2116467.3840361126</v>
      </c>
      <c r="O130" s="47">
        <f t="shared" si="51"/>
        <v>1802159.5091768438</v>
      </c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</row>
    <row r="131" spans="1:34" s="51" customFormat="1" x14ac:dyDescent="0.25">
      <c r="A131"/>
      <c r="B131"/>
      <c r="C131" s="40" t="s">
        <v>30</v>
      </c>
      <c r="D131" s="46">
        <f t="shared" ref="D131:O131" si="52">D130/D127</f>
        <v>3.1912078156350532</v>
      </c>
      <c r="E131" s="41">
        <f t="shared" si="52"/>
        <v>5.1242383491731198</v>
      </c>
      <c r="F131" s="41">
        <f t="shared" si="52"/>
        <v>4.5399620588417422</v>
      </c>
      <c r="G131" s="41">
        <f t="shared" si="52"/>
        <v>10.553935629423012</v>
      </c>
      <c r="H131" s="41">
        <f t="shared" si="52"/>
        <v>9.7311414554480766</v>
      </c>
      <c r="I131" s="41">
        <f t="shared" si="52"/>
        <v>33.871620625485939</v>
      </c>
      <c r="J131" s="41">
        <f t="shared" si="52"/>
        <v>30.20008035853057</v>
      </c>
      <c r="K131" s="41">
        <f t="shared" si="52"/>
        <v>31.752671734924018</v>
      </c>
      <c r="L131" s="41">
        <f t="shared" si="52"/>
        <v>25.876742953520576</v>
      </c>
      <c r="M131" s="41">
        <f t="shared" si="52"/>
        <v>14.789409431090258</v>
      </c>
      <c r="N131" s="41">
        <f t="shared" si="52"/>
        <v>11.740671578073272</v>
      </c>
      <c r="O131" s="47">
        <f t="shared" si="52"/>
        <v>9.9691300141438699</v>
      </c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</row>
    <row r="132" spans="1:34" s="51" customFormat="1" x14ac:dyDescent="0.25">
      <c r="A132"/>
      <c r="B132"/>
      <c r="C132" s="82" t="s">
        <v>34</v>
      </c>
      <c r="D132" s="61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3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</row>
    <row r="133" spans="1:34" s="51" customFormat="1" hidden="1" x14ac:dyDescent="0.25">
      <c r="A133"/>
      <c r="B133"/>
      <c r="C133" s="23" t="s">
        <v>26</v>
      </c>
      <c r="D133" s="44">
        <v>24961</v>
      </c>
      <c r="E133" s="39">
        <v>24881</v>
      </c>
      <c r="F133" s="39">
        <v>24865</v>
      </c>
      <c r="G133" s="39">
        <v>24861</v>
      </c>
      <c r="H133" s="39">
        <v>25091</v>
      </c>
      <c r="I133" s="39">
        <v>25302</v>
      </c>
      <c r="J133" s="39">
        <v>25365</v>
      </c>
      <c r="K133" s="39">
        <v>25351</v>
      </c>
      <c r="L133" s="39">
        <v>25379</v>
      </c>
      <c r="M133" s="39">
        <v>25375</v>
      </c>
      <c r="N133" s="39">
        <v>25329</v>
      </c>
      <c r="O133" s="45">
        <v>25230</v>
      </c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</row>
    <row r="134" spans="1:34" s="51" customFormat="1" hidden="1" x14ac:dyDescent="0.25">
      <c r="A134"/>
      <c r="B134"/>
      <c r="C134" s="81" t="s">
        <v>27</v>
      </c>
      <c r="D134" s="44">
        <v>1905225.7734383908</v>
      </c>
      <c r="E134" s="39">
        <v>2894675.7769112024</v>
      </c>
      <c r="F134" s="39">
        <v>2682898.1590451943</v>
      </c>
      <c r="G134" s="39">
        <v>4790046.6227956684</v>
      </c>
      <c r="H134" s="39">
        <v>2915543.318901618</v>
      </c>
      <c r="I134" s="39">
        <v>13047371.842566472</v>
      </c>
      <c r="J134" s="39">
        <v>12546895.555555115</v>
      </c>
      <c r="K134" s="39">
        <v>13404835.236278489</v>
      </c>
      <c r="L134" s="39">
        <v>10252256.733110037</v>
      </c>
      <c r="M134" s="39">
        <v>6116211.7327488791</v>
      </c>
      <c r="N134" s="39">
        <v>5144595.547229372</v>
      </c>
      <c r="O134" s="45">
        <v>5163425.3181568505</v>
      </c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</row>
    <row r="135" spans="1:34" s="51" customFormat="1" hidden="1" x14ac:dyDescent="0.25">
      <c r="A135"/>
      <c r="B135"/>
      <c r="C135" s="81" t="s">
        <v>28</v>
      </c>
      <c r="D135" s="42">
        <v>0.24607999999999999</v>
      </c>
      <c r="E135" s="38">
        <f>+D135</f>
        <v>0.24607999999999999</v>
      </c>
      <c r="F135" s="38">
        <f t="shared" ref="F135" si="53">+E135</f>
        <v>0.24607999999999999</v>
      </c>
      <c r="G135" s="38">
        <f t="shared" ref="G135" si="54">+F135</f>
        <v>0.24607999999999999</v>
      </c>
      <c r="H135" s="38">
        <f t="shared" ref="H135" si="55">+G135</f>
        <v>0.24607999999999999</v>
      </c>
      <c r="I135" s="38">
        <f t="shared" ref="I135" si="56">+H135</f>
        <v>0.24607999999999999</v>
      </c>
      <c r="J135" s="38">
        <f t="shared" ref="J135" si="57">+I135</f>
        <v>0.24607999999999999</v>
      </c>
      <c r="K135" s="38">
        <f t="shared" ref="K135" si="58">+J135</f>
        <v>0.24607999999999999</v>
      </c>
      <c r="L135" s="38">
        <f t="shared" ref="L135" si="59">+K135</f>
        <v>0.24607999999999999</v>
      </c>
      <c r="M135" s="38">
        <f t="shared" ref="M135" si="60">+L135</f>
        <v>0.24607999999999999</v>
      </c>
      <c r="N135" s="38">
        <f t="shared" ref="N135" si="61">+M135</f>
        <v>0.24607999999999999</v>
      </c>
      <c r="O135" s="43">
        <f>+N135</f>
        <v>0.24607999999999999</v>
      </c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</row>
    <row r="136" spans="1:34" s="51" customFormat="1" hidden="1" x14ac:dyDescent="0.25">
      <c r="A136"/>
      <c r="B136"/>
      <c r="C136" s="40" t="s">
        <v>29</v>
      </c>
      <c r="D136" s="46">
        <f>D134*D135</f>
        <v>468837.95832771919</v>
      </c>
      <c r="E136" s="41">
        <f t="shared" ref="E136:O136" si="62">E134*E135</f>
        <v>712321.81518230867</v>
      </c>
      <c r="F136" s="41">
        <f t="shared" si="62"/>
        <v>660207.57897784142</v>
      </c>
      <c r="G136" s="41">
        <f t="shared" si="62"/>
        <v>1178734.672937558</v>
      </c>
      <c r="H136" s="41">
        <f t="shared" si="62"/>
        <v>717456.89991531009</v>
      </c>
      <c r="I136" s="41">
        <f t="shared" si="62"/>
        <v>3210697.2630187571</v>
      </c>
      <c r="J136" s="41">
        <f t="shared" si="62"/>
        <v>3087540.0583110023</v>
      </c>
      <c r="K136" s="41">
        <f t="shared" si="62"/>
        <v>3298661.8549434105</v>
      </c>
      <c r="L136" s="41">
        <f t="shared" si="62"/>
        <v>2522875.3368837177</v>
      </c>
      <c r="M136" s="41">
        <f t="shared" si="62"/>
        <v>1505077.3831948442</v>
      </c>
      <c r="N136" s="41">
        <f t="shared" si="62"/>
        <v>1265982.0722622038</v>
      </c>
      <c r="O136" s="47">
        <f t="shared" si="62"/>
        <v>1270615.7022920377</v>
      </c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</row>
    <row r="137" spans="1:34" s="51" customFormat="1" x14ac:dyDescent="0.25">
      <c r="A137"/>
      <c r="B137"/>
      <c r="C137" s="40" t="s">
        <v>30</v>
      </c>
      <c r="D137" s="64">
        <f t="shared" ref="D137:O137" si="63">D136/D133</f>
        <v>18.782819531578028</v>
      </c>
      <c r="E137" s="65">
        <f t="shared" si="63"/>
        <v>28.629147348672024</v>
      </c>
      <c r="F137" s="65">
        <f t="shared" si="63"/>
        <v>26.551682243227084</v>
      </c>
      <c r="G137" s="65">
        <f t="shared" si="63"/>
        <v>47.413003215379831</v>
      </c>
      <c r="H137" s="65">
        <f t="shared" si="63"/>
        <v>28.594193133606076</v>
      </c>
      <c r="I137" s="65">
        <f t="shared" si="63"/>
        <v>126.89499893363201</v>
      </c>
      <c r="J137" s="65">
        <f t="shared" si="63"/>
        <v>121.72442571697229</v>
      </c>
      <c r="K137" s="65">
        <f t="shared" si="63"/>
        <v>130.11959508277428</v>
      </c>
      <c r="L137" s="65">
        <f t="shared" si="63"/>
        <v>99.40798837163473</v>
      </c>
      <c r="M137" s="65">
        <f t="shared" si="63"/>
        <v>59.313394411619477</v>
      </c>
      <c r="N137" s="65">
        <f t="shared" si="63"/>
        <v>49.98152600821998</v>
      </c>
      <c r="O137" s="66">
        <f t="shared" si="63"/>
        <v>50.361304094016553</v>
      </c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</row>
    <row r="138" spans="1:34" x14ac:dyDescent="0.25">
      <c r="C138" s="80" t="s">
        <v>35</v>
      </c>
      <c r="D138" s="58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60"/>
    </row>
    <row r="139" spans="1:34" hidden="1" x14ac:dyDescent="0.25">
      <c r="C139" s="23" t="s">
        <v>26</v>
      </c>
      <c r="D139" s="48">
        <v>405</v>
      </c>
      <c r="E139" s="49">
        <v>409</v>
      </c>
      <c r="F139" s="49">
        <v>413</v>
      </c>
      <c r="G139" s="49">
        <v>429</v>
      </c>
      <c r="H139" s="49">
        <v>432</v>
      </c>
      <c r="I139" s="49">
        <v>430</v>
      </c>
      <c r="J139" s="49">
        <v>429</v>
      </c>
      <c r="K139" s="49">
        <v>439</v>
      </c>
      <c r="L139" s="49">
        <v>440</v>
      </c>
      <c r="M139" s="49">
        <v>441</v>
      </c>
      <c r="N139" s="49">
        <v>445</v>
      </c>
      <c r="O139" s="50">
        <v>442</v>
      </c>
    </row>
    <row r="140" spans="1:34" hidden="1" x14ac:dyDescent="0.25">
      <c r="C140" s="83" t="s">
        <v>36</v>
      </c>
      <c r="D140" s="19">
        <v>78051</v>
      </c>
      <c r="E140" s="13">
        <v>75163</v>
      </c>
      <c r="F140" s="13">
        <v>83416</v>
      </c>
      <c r="G140" s="13">
        <v>102072</v>
      </c>
      <c r="H140" s="13">
        <v>119156</v>
      </c>
      <c r="I140" s="13">
        <v>166990</v>
      </c>
      <c r="J140" s="13">
        <v>166357</v>
      </c>
      <c r="K140" s="13">
        <v>163549</v>
      </c>
      <c r="L140" s="13">
        <v>153887</v>
      </c>
      <c r="M140" s="13">
        <v>138971</v>
      </c>
      <c r="N140" s="13">
        <v>121401</v>
      </c>
      <c r="O140" s="14">
        <v>96663</v>
      </c>
    </row>
    <row r="141" spans="1:34" hidden="1" x14ac:dyDescent="0.25">
      <c r="C141" s="83" t="s">
        <v>37</v>
      </c>
      <c r="D141" s="67">
        <v>243018</v>
      </c>
      <c r="E141" s="68">
        <v>218963</v>
      </c>
      <c r="F141" s="68">
        <v>274256</v>
      </c>
      <c r="G141" s="68">
        <v>360930</v>
      </c>
      <c r="H141" s="68">
        <v>397091</v>
      </c>
      <c r="I141" s="68">
        <v>602209</v>
      </c>
      <c r="J141" s="68">
        <v>605552</v>
      </c>
      <c r="K141" s="68">
        <v>596445</v>
      </c>
      <c r="L141" s="68">
        <v>537464</v>
      </c>
      <c r="M141" s="68">
        <v>443000</v>
      </c>
      <c r="N141" s="68">
        <v>368642</v>
      </c>
      <c r="O141" s="69">
        <v>300875</v>
      </c>
    </row>
    <row r="142" spans="1:34" hidden="1" x14ac:dyDescent="0.25">
      <c r="C142" s="84" t="s">
        <v>38</v>
      </c>
      <c r="D142" s="67">
        <v>199814</v>
      </c>
      <c r="E142" s="68">
        <v>128232</v>
      </c>
      <c r="F142" s="68">
        <v>227013</v>
      </c>
      <c r="G142" s="68">
        <v>906604</v>
      </c>
      <c r="H142" s="68">
        <v>410088</v>
      </c>
      <c r="I142" s="68">
        <v>627380</v>
      </c>
      <c r="J142" s="68">
        <v>518499</v>
      </c>
      <c r="K142" s="68">
        <v>741554</v>
      </c>
      <c r="L142" s="68">
        <v>497103</v>
      </c>
      <c r="M142" s="68">
        <v>279985</v>
      </c>
      <c r="N142" s="68">
        <v>254963</v>
      </c>
      <c r="O142" s="69">
        <v>200281</v>
      </c>
    </row>
    <row r="143" spans="1:34" hidden="1" x14ac:dyDescent="0.25">
      <c r="C143" s="85" t="s">
        <v>39</v>
      </c>
      <c r="D143" s="67">
        <f>+D140+D141+D142</f>
        <v>520883</v>
      </c>
      <c r="E143" s="68">
        <f>+E140+E141+E142</f>
        <v>422358</v>
      </c>
      <c r="F143" s="68">
        <f t="shared" ref="F143:O143" si="64">+F140+F141+F142</f>
        <v>584685</v>
      </c>
      <c r="G143" s="68">
        <f t="shared" si="64"/>
        <v>1369606</v>
      </c>
      <c r="H143" s="68">
        <f t="shared" si="64"/>
        <v>926335</v>
      </c>
      <c r="I143" s="68">
        <f t="shared" si="64"/>
        <v>1396579</v>
      </c>
      <c r="J143" s="68">
        <f t="shared" si="64"/>
        <v>1290408</v>
      </c>
      <c r="K143" s="68">
        <f t="shared" si="64"/>
        <v>1501548</v>
      </c>
      <c r="L143" s="68">
        <f t="shared" si="64"/>
        <v>1188454</v>
      </c>
      <c r="M143" s="68">
        <f t="shared" si="64"/>
        <v>861956</v>
      </c>
      <c r="N143" s="68">
        <f t="shared" si="64"/>
        <v>745006</v>
      </c>
      <c r="O143" s="69">
        <f t="shared" si="64"/>
        <v>597819</v>
      </c>
    </row>
    <row r="144" spans="1:34" hidden="1" x14ac:dyDescent="0.25">
      <c r="C144" s="23" t="s">
        <v>40</v>
      </c>
      <c r="D144" s="20">
        <v>0.18842999999999999</v>
      </c>
      <c r="E144" s="38">
        <f t="shared" ref="E144:E146" si="65">+D144</f>
        <v>0.18842999999999999</v>
      </c>
      <c r="F144" s="38">
        <f t="shared" ref="F144:F146" si="66">+E144</f>
        <v>0.18842999999999999</v>
      </c>
      <c r="G144" s="38">
        <f t="shared" ref="G144:G146" si="67">+F144</f>
        <v>0.18842999999999999</v>
      </c>
      <c r="H144" s="38">
        <f t="shared" ref="H144:H146" si="68">+G144</f>
        <v>0.18842999999999999</v>
      </c>
      <c r="I144" s="38">
        <f t="shared" ref="I144:I146" si="69">+H144</f>
        <v>0.18842999999999999</v>
      </c>
      <c r="J144" s="38">
        <f t="shared" ref="J144:J146" si="70">+I144</f>
        <v>0.18842999999999999</v>
      </c>
      <c r="K144" s="38">
        <f t="shared" ref="K144:K146" si="71">+J144</f>
        <v>0.18842999999999999</v>
      </c>
      <c r="L144" s="38">
        <f t="shared" ref="L144:L146" si="72">+K144</f>
        <v>0.18842999999999999</v>
      </c>
      <c r="M144" s="38">
        <f t="shared" ref="M144:M146" si="73">+L144</f>
        <v>0.18842999999999999</v>
      </c>
      <c r="N144" s="38">
        <f t="shared" ref="N144:N146" si="74">+M144</f>
        <v>0.18842999999999999</v>
      </c>
      <c r="O144" s="21">
        <f>+N144</f>
        <v>0.18842999999999999</v>
      </c>
    </row>
    <row r="145" spans="3:15" hidden="1" x14ac:dyDescent="0.25">
      <c r="C145" s="35" t="s">
        <v>41</v>
      </c>
      <c r="D145" s="20">
        <v>0.15175</v>
      </c>
      <c r="E145" s="38">
        <f t="shared" si="65"/>
        <v>0.15175</v>
      </c>
      <c r="F145" s="38">
        <f t="shared" si="66"/>
        <v>0.15175</v>
      </c>
      <c r="G145" s="38">
        <f t="shared" si="67"/>
        <v>0.15175</v>
      </c>
      <c r="H145" s="38">
        <f t="shared" si="68"/>
        <v>0.15175</v>
      </c>
      <c r="I145" s="38">
        <f t="shared" si="69"/>
        <v>0.15175</v>
      </c>
      <c r="J145" s="38">
        <f t="shared" si="70"/>
        <v>0.15175</v>
      </c>
      <c r="K145" s="38">
        <f t="shared" si="71"/>
        <v>0.15175</v>
      </c>
      <c r="L145" s="38">
        <f t="shared" si="72"/>
        <v>0.15175</v>
      </c>
      <c r="M145" s="38">
        <f t="shared" si="73"/>
        <v>0.15175</v>
      </c>
      <c r="N145" s="38">
        <f t="shared" si="74"/>
        <v>0.15175</v>
      </c>
      <c r="O145" s="21">
        <f>+N145</f>
        <v>0.15175</v>
      </c>
    </row>
    <row r="146" spans="3:15" hidden="1" x14ac:dyDescent="0.25">
      <c r="C146" s="35" t="s">
        <v>42</v>
      </c>
      <c r="D146" s="20">
        <v>0.1462</v>
      </c>
      <c r="E146" s="38">
        <f t="shared" si="65"/>
        <v>0.1462</v>
      </c>
      <c r="F146" s="38">
        <f t="shared" si="66"/>
        <v>0.1462</v>
      </c>
      <c r="G146" s="38">
        <f t="shared" si="67"/>
        <v>0.1462</v>
      </c>
      <c r="H146" s="38">
        <f t="shared" si="68"/>
        <v>0.1462</v>
      </c>
      <c r="I146" s="38">
        <f t="shared" si="69"/>
        <v>0.1462</v>
      </c>
      <c r="J146" s="38">
        <f t="shared" si="70"/>
        <v>0.1462</v>
      </c>
      <c r="K146" s="38">
        <f t="shared" si="71"/>
        <v>0.1462</v>
      </c>
      <c r="L146" s="38">
        <f t="shared" si="72"/>
        <v>0.1462</v>
      </c>
      <c r="M146" s="38">
        <f t="shared" si="73"/>
        <v>0.1462</v>
      </c>
      <c r="N146" s="38">
        <f t="shared" si="74"/>
        <v>0.1462</v>
      </c>
      <c r="O146" s="21">
        <f>+N146</f>
        <v>0.1462</v>
      </c>
    </row>
    <row r="147" spans="3:15" hidden="1" x14ac:dyDescent="0.25">
      <c r="C147" s="22" t="s">
        <v>43</v>
      </c>
      <c r="D147" s="15">
        <f>D144*D140</f>
        <v>14707.14993</v>
      </c>
      <c r="E147" s="17">
        <f t="shared" ref="E147:O147" si="75">E144*E140</f>
        <v>14162.964089999999</v>
      </c>
      <c r="F147" s="17">
        <f t="shared" si="75"/>
        <v>15718.076879999999</v>
      </c>
      <c r="G147" s="17">
        <f t="shared" si="75"/>
        <v>19233.426959999997</v>
      </c>
      <c r="H147" s="17">
        <f t="shared" si="75"/>
        <v>22452.565079999997</v>
      </c>
      <c r="I147" s="17">
        <f t="shared" si="75"/>
        <v>31465.925699999996</v>
      </c>
      <c r="J147" s="17">
        <f t="shared" si="75"/>
        <v>31346.649509999999</v>
      </c>
      <c r="K147" s="17">
        <f t="shared" si="75"/>
        <v>30817.538069999999</v>
      </c>
      <c r="L147" s="17">
        <f t="shared" si="75"/>
        <v>28996.927409999997</v>
      </c>
      <c r="M147" s="17">
        <f t="shared" si="75"/>
        <v>26186.305529999998</v>
      </c>
      <c r="N147" s="17">
        <f t="shared" si="75"/>
        <v>22875.590429999997</v>
      </c>
      <c r="O147" s="18">
        <f t="shared" si="75"/>
        <v>18214.20909</v>
      </c>
    </row>
    <row r="148" spans="3:15" hidden="1" x14ac:dyDescent="0.25">
      <c r="C148" s="22" t="s">
        <v>44</v>
      </c>
      <c r="D148" s="15">
        <f>D145*D141</f>
        <v>36877.981500000002</v>
      </c>
      <c r="E148" s="17">
        <f t="shared" ref="E148:O148" si="76">E145*E141</f>
        <v>33227.635249999999</v>
      </c>
      <c r="F148" s="17">
        <f t="shared" si="76"/>
        <v>41618.347999999998</v>
      </c>
      <c r="G148" s="17">
        <f t="shared" si="76"/>
        <v>54771.127499999995</v>
      </c>
      <c r="H148" s="17">
        <f t="shared" si="76"/>
        <v>60258.559249999998</v>
      </c>
      <c r="I148" s="17">
        <f t="shared" si="76"/>
        <v>91385.215750000003</v>
      </c>
      <c r="J148" s="17">
        <f t="shared" si="76"/>
        <v>91892.516000000003</v>
      </c>
      <c r="K148" s="17">
        <f t="shared" si="76"/>
        <v>90510.528749999998</v>
      </c>
      <c r="L148" s="17">
        <f t="shared" si="76"/>
        <v>81560.161999999997</v>
      </c>
      <c r="M148" s="17">
        <f t="shared" si="76"/>
        <v>67225.25</v>
      </c>
      <c r="N148" s="17">
        <f t="shared" si="76"/>
        <v>55941.423499999997</v>
      </c>
      <c r="O148" s="18">
        <f t="shared" si="76"/>
        <v>45657.78125</v>
      </c>
    </row>
    <row r="149" spans="3:15" hidden="1" x14ac:dyDescent="0.25">
      <c r="C149" s="22" t="s">
        <v>45</v>
      </c>
      <c r="D149" s="70">
        <f>D146*D142</f>
        <v>29212.806799999998</v>
      </c>
      <c r="E149" s="71">
        <f t="shared" ref="E149:O149" si="77">E146*E142</f>
        <v>18747.518400000001</v>
      </c>
      <c r="F149" s="71">
        <f t="shared" si="77"/>
        <v>33189.300600000002</v>
      </c>
      <c r="G149" s="71">
        <f t="shared" si="77"/>
        <v>132545.5048</v>
      </c>
      <c r="H149" s="71">
        <f t="shared" si="77"/>
        <v>59954.865599999997</v>
      </c>
      <c r="I149" s="71">
        <f t="shared" si="77"/>
        <v>91722.955999999991</v>
      </c>
      <c r="J149" s="71">
        <f t="shared" si="77"/>
        <v>75804.553799999994</v>
      </c>
      <c r="K149" s="71">
        <f t="shared" si="77"/>
        <v>108415.1948</v>
      </c>
      <c r="L149" s="71">
        <f t="shared" si="77"/>
        <v>72676.458599999998</v>
      </c>
      <c r="M149" s="71">
        <f t="shared" si="77"/>
        <v>40933.807000000001</v>
      </c>
      <c r="N149" s="71">
        <f t="shared" si="77"/>
        <v>37275.590599999996</v>
      </c>
      <c r="O149" s="72">
        <f t="shared" si="77"/>
        <v>29281.082200000001</v>
      </c>
    </row>
    <row r="150" spans="3:15" x14ac:dyDescent="0.25">
      <c r="C150" s="22" t="s">
        <v>30</v>
      </c>
      <c r="D150" s="70">
        <f t="shared" ref="D150:O150" si="78">(+D147+D148+D149)/D139</f>
        <v>199.50108204938272</v>
      </c>
      <c r="E150" s="71">
        <f t="shared" si="78"/>
        <v>161.70688933985329</v>
      </c>
      <c r="F150" s="71">
        <f t="shared" si="78"/>
        <v>219.19061859564164</v>
      </c>
      <c r="G150" s="71">
        <f t="shared" si="78"/>
        <v>481.46866960372955</v>
      </c>
      <c r="H150" s="71">
        <f t="shared" si="78"/>
        <v>330.24534706018517</v>
      </c>
      <c r="I150" s="71">
        <f t="shared" si="78"/>
        <v>499.00952895348837</v>
      </c>
      <c r="J150" s="71">
        <f t="shared" si="78"/>
        <v>463.97137368298371</v>
      </c>
      <c r="K150" s="71">
        <f t="shared" si="78"/>
        <v>523.33316997722102</v>
      </c>
      <c r="L150" s="71">
        <f t="shared" si="78"/>
        <v>416.43988184090904</v>
      </c>
      <c r="M150" s="71">
        <f t="shared" si="78"/>
        <v>304.63801027210883</v>
      </c>
      <c r="N150" s="71">
        <f t="shared" si="78"/>
        <v>260.88225737078648</v>
      </c>
      <c r="O150" s="72">
        <f t="shared" si="78"/>
        <v>210.75355778280544</v>
      </c>
    </row>
    <row r="151" spans="3:15" x14ac:dyDescent="0.25">
      <c r="C151" s="80" t="s">
        <v>46</v>
      </c>
      <c r="D151" s="58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60"/>
    </row>
    <row r="152" spans="3:15" hidden="1" x14ac:dyDescent="0.25">
      <c r="C152" s="23" t="s">
        <v>26</v>
      </c>
      <c r="D152" s="24">
        <v>82</v>
      </c>
      <c r="E152" s="25">
        <v>80</v>
      </c>
      <c r="F152" s="25">
        <v>80</v>
      </c>
      <c r="G152" s="25">
        <v>81</v>
      </c>
      <c r="H152" s="25">
        <v>79</v>
      </c>
      <c r="I152" s="25">
        <v>79</v>
      </c>
      <c r="J152" s="25">
        <v>80</v>
      </c>
      <c r="K152" s="25">
        <v>80</v>
      </c>
      <c r="L152" s="25">
        <v>135</v>
      </c>
      <c r="M152" s="25">
        <v>83</v>
      </c>
      <c r="N152" s="25">
        <v>82</v>
      </c>
      <c r="O152" s="26">
        <v>85</v>
      </c>
    </row>
    <row r="153" spans="3:15" hidden="1" x14ac:dyDescent="0.25">
      <c r="C153" s="23" t="s">
        <v>36</v>
      </c>
      <c r="D153" s="24">
        <v>281057</v>
      </c>
      <c r="E153" s="25">
        <v>292438</v>
      </c>
      <c r="F153" s="25">
        <v>232767</v>
      </c>
      <c r="G153" s="25">
        <v>337889</v>
      </c>
      <c r="H153" s="25">
        <v>430436</v>
      </c>
      <c r="I153" s="25">
        <v>889995</v>
      </c>
      <c r="J153" s="25">
        <v>911639</v>
      </c>
      <c r="K153" s="25">
        <v>829158</v>
      </c>
      <c r="L153" s="25">
        <v>1617804</v>
      </c>
      <c r="M153" s="25">
        <v>612246</v>
      </c>
      <c r="N153" s="25">
        <v>485441</v>
      </c>
      <c r="O153" s="26">
        <v>387499</v>
      </c>
    </row>
    <row r="154" spans="3:15" hidden="1" x14ac:dyDescent="0.25">
      <c r="C154" s="23" t="s">
        <v>37</v>
      </c>
      <c r="D154" s="24">
        <v>37880</v>
      </c>
      <c r="E154" s="25">
        <v>30155</v>
      </c>
      <c r="F154" s="25">
        <v>17413</v>
      </c>
      <c r="G154" s="25">
        <v>56111</v>
      </c>
      <c r="H154" s="25">
        <v>51418</v>
      </c>
      <c r="I154" s="25">
        <v>215603</v>
      </c>
      <c r="J154" s="25">
        <v>235610</v>
      </c>
      <c r="K154" s="25">
        <v>215709</v>
      </c>
      <c r="L154" s="25">
        <v>573703</v>
      </c>
      <c r="M154" s="25">
        <v>188162</v>
      </c>
      <c r="N154" s="25">
        <v>147547</v>
      </c>
      <c r="O154" s="26">
        <v>69596</v>
      </c>
    </row>
    <row r="155" spans="3:15" hidden="1" x14ac:dyDescent="0.25">
      <c r="C155" s="35" t="s">
        <v>38</v>
      </c>
      <c r="D155" s="24"/>
      <c r="E155" s="25"/>
      <c r="F155" s="25"/>
      <c r="G155" s="25"/>
      <c r="H155" s="25"/>
      <c r="I155" s="25">
        <v>59914</v>
      </c>
      <c r="J155" s="25">
        <v>58081</v>
      </c>
      <c r="K155" s="25">
        <v>67742</v>
      </c>
      <c r="L155" s="25">
        <v>40376</v>
      </c>
      <c r="M155" s="25"/>
      <c r="N155" s="25"/>
      <c r="O155" s="26"/>
    </row>
    <row r="156" spans="3:15" hidden="1" x14ac:dyDescent="0.25">
      <c r="C156" s="52" t="s">
        <v>39</v>
      </c>
      <c r="D156" s="24">
        <f t="shared" ref="D156:O156" si="79">+D153+D154+D155</f>
        <v>318937</v>
      </c>
      <c r="E156" s="25">
        <f t="shared" si="79"/>
        <v>322593</v>
      </c>
      <c r="F156" s="25">
        <f t="shared" si="79"/>
        <v>250180</v>
      </c>
      <c r="G156" s="25">
        <f t="shared" si="79"/>
        <v>394000</v>
      </c>
      <c r="H156" s="25">
        <f t="shared" si="79"/>
        <v>481854</v>
      </c>
      <c r="I156" s="25">
        <f t="shared" si="79"/>
        <v>1165512</v>
      </c>
      <c r="J156" s="25">
        <f t="shared" si="79"/>
        <v>1205330</v>
      </c>
      <c r="K156" s="25">
        <f t="shared" si="79"/>
        <v>1112609</v>
      </c>
      <c r="L156" s="25">
        <f t="shared" si="79"/>
        <v>2231883</v>
      </c>
      <c r="M156" s="25">
        <f t="shared" si="79"/>
        <v>800408</v>
      </c>
      <c r="N156" s="25">
        <f t="shared" si="79"/>
        <v>632988</v>
      </c>
      <c r="O156" s="26">
        <f t="shared" si="79"/>
        <v>457095</v>
      </c>
    </row>
    <row r="157" spans="3:15" hidden="1" x14ac:dyDescent="0.25">
      <c r="C157" s="23" t="s">
        <v>40</v>
      </c>
      <c r="D157" s="20">
        <v>0.14834</v>
      </c>
      <c r="E157" s="38">
        <f t="shared" ref="E157:E159" si="80">+D157</f>
        <v>0.14834</v>
      </c>
      <c r="F157" s="38">
        <f t="shared" ref="F157:F159" si="81">+E157</f>
        <v>0.14834</v>
      </c>
      <c r="G157" s="38">
        <f t="shared" ref="G157:G159" si="82">+F157</f>
        <v>0.14834</v>
      </c>
      <c r="H157" s="38">
        <f t="shared" ref="H157:H159" si="83">+G157</f>
        <v>0.14834</v>
      </c>
      <c r="I157" s="38">
        <f t="shared" ref="I157:I159" si="84">+H157</f>
        <v>0.14834</v>
      </c>
      <c r="J157" s="38">
        <f t="shared" ref="J157:J159" si="85">+I157</f>
        <v>0.14834</v>
      </c>
      <c r="K157" s="38">
        <f t="shared" ref="K157:K159" si="86">+J157</f>
        <v>0.14834</v>
      </c>
      <c r="L157" s="38">
        <f t="shared" ref="L157:L159" si="87">+K157</f>
        <v>0.14834</v>
      </c>
      <c r="M157" s="38">
        <f t="shared" ref="M157:M159" si="88">+L157</f>
        <v>0.14834</v>
      </c>
      <c r="N157" s="38">
        <f t="shared" ref="N157:N159" si="89">+M157</f>
        <v>0.14834</v>
      </c>
      <c r="O157" s="21">
        <f>+N157</f>
        <v>0.14834</v>
      </c>
    </row>
    <row r="158" spans="3:15" hidden="1" x14ac:dyDescent="0.25">
      <c r="C158" s="35" t="s">
        <v>41</v>
      </c>
      <c r="D158" s="20">
        <v>0.11294999999999999</v>
      </c>
      <c r="E158" s="38">
        <f t="shared" si="80"/>
        <v>0.11294999999999999</v>
      </c>
      <c r="F158" s="38">
        <f t="shared" si="81"/>
        <v>0.11294999999999999</v>
      </c>
      <c r="G158" s="38">
        <f t="shared" si="82"/>
        <v>0.11294999999999999</v>
      </c>
      <c r="H158" s="38">
        <f t="shared" si="83"/>
        <v>0.11294999999999999</v>
      </c>
      <c r="I158" s="38">
        <f t="shared" si="84"/>
        <v>0.11294999999999999</v>
      </c>
      <c r="J158" s="38">
        <f t="shared" si="85"/>
        <v>0.11294999999999999</v>
      </c>
      <c r="K158" s="38">
        <f t="shared" si="86"/>
        <v>0.11294999999999999</v>
      </c>
      <c r="L158" s="38">
        <f t="shared" si="87"/>
        <v>0.11294999999999999</v>
      </c>
      <c r="M158" s="38">
        <f t="shared" si="88"/>
        <v>0.11294999999999999</v>
      </c>
      <c r="N158" s="38">
        <f t="shared" si="89"/>
        <v>0.11294999999999999</v>
      </c>
      <c r="O158" s="21">
        <f>+N158</f>
        <v>0.11294999999999999</v>
      </c>
    </row>
    <row r="159" spans="3:15" hidden="1" x14ac:dyDescent="0.25">
      <c r="C159" s="35" t="s">
        <v>42</v>
      </c>
      <c r="D159" s="20">
        <v>2.5409999999999999E-2</v>
      </c>
      <c r="E159" s="38">
        <f t="shared" si="80"/>
        <v>2.5409999999999999E-2</v>
      </c>
      <c r="F159" s="38">
        <f t="shared" si="81"/>
        <v>2.5409999999999999E-2</v>
      </c>
      <c r="G159" s="38">
        <f t="shared" si="82"/>
        <v>2.5409999999999999E-2</v>
      </c>
      <c r="H159" s="38">
        <f t="shared" si="83"/>
        <v>2.5409999999999999E-2</v>
      </c>
      <c r="I159" s="38">
        <f t="shared" si="84"/>
        <v>2.5409999999999999E-2</v>
      </c>
      <c r="J159" s="38">
        <f t="shared" si="85"/>
        <v>2.5409999999999999E-2</v>
      </c>
      <c r="K159" s="38">
        <f t="shared" si="86"/>
        <v>2.5409999999999999E-2</v>
      </c>
      <c r="L159" s="38">
        <f t="shared" si="87"/>
        <v>2.5409999999999999E-2</v>
      </c>
      <c r="M159" s="38">
        <f t="shared" si="88"/>
        <v>2.5409999999999999E-2</v>
      </c>
      <c r="N159" s="38">
        <f t="shared" si="89"/>
        <v>2.5409999999999999E-2</v>
      </c>
      <c r="O159" s="21">
        <f>+N159</f>
        <v>2.5409999999999999E-2</v>
      </c>
    </row>
    <row r="160" spans="3:15" hidden="1" x14ac:dyDescent="0.25">
      <c r="C160" s="31" t="s">
        <v>43</v>
      </c>
      <c r="D160" s="15">
        <f>D157*D153</f>
        <v>41691.99538</v>
      </c>
      <c r="E160" s="17">
        <f t="shared" ref="E160:O160" si="90">E157*E153</f>
        <v>43380.252919999999</v>
      </c>
      <c r="F160" s="17">
        <f t="shared" si="90"/>
        <v>34528.656779999998</v>
      </c>
      <c r="G160" s="17">
        <f t="shared" si="90"/>
        <v>50122.454259999999</v>
      </c>
      <c r="H160" s="17">
        <f t="shared" si="90"/>
        <v>63850.876239999998</v>
      </c>
      <c r="I160" s="17">
        <f t="shared" si="90"/>
        <v>132021.85829999999</v>
      </c>
      <c r="J160" s="17">
        <f t="shared" si="90"/>
        <v>135232.52926000001</v>
      </c>
      <c r="K160" s="17">
        <f t="shared" si="90"/>
        <v>122997.29772</v>
      </c>
      <c r="L160" s="17">
        <f t="shared" si="90"/>
        <v>239985.04535999999</v>
      </c>
      <c r="M160" s="17">
        <f t="shared" si="90"/>
        <v>90820.571639999995</v>
      </c>
      <c r="N160" s="17">
        <f t="shared" si="90"/>
        <v>72010.317939999994</v>
      </c>
      <c r="O160" s="18">
        <f t="shared" si="90"/>
        <v>57481.60166</v>
      </c>
    </row>
    <row r="161" spans="2:15" hidden="1" x14ac:dyDescent="0.25">
      <c r="C161" s="31" t="s">
        <v>44</v>
      </c>
      <c r="D161" s="15">
        <f>D158*D154</f>
        <v>4278.5459999999994</v>
      </c>
      <c r="E161" s="17">
        <f t="shared" ref="E161:O161" si="91">E158*E154</f>
        <v>3406.0072499999997</v>
      </c>
      <c r="F161" s="17">
        <f t="shared" si="91"/>
        <v>1966.7983499999998</v>
      </c>
      <c r="G161" s="17">
        <f t="shared" si="91"/>
        <v>6337.7374499999996</v>
      </c>
      <c r="H161" s="17">
        <f t="shared" si="91"/>
        <v>5807.6630999999998</v>
      </c>
      <c r="I161" s="17">
        <f t="shared" si="91"/>
        <v>24352.358850000001</v>
      </c>
      <c r="J161" s="17">
        <f t="shared" si="91"/>
        <v>26612.1495</v>
      </c>
      <c r="K161" s="17">
        <f t="shared" si="91"/>
        <v>24364.331549999999</v>
      </c>
      <c r="L161" s="17">
        <f t="shared" si="91"/>
        <v>64799.753849999994</v>
      </c>
      <c r="M161" s="17">
        <f t="shared" si="91"/>
        <v>21252.8979</v>
      </c>
      <c r="N161" s="17">
        <f t="shared" si="91"/>
        <v>16665.433649999999</v>
      </c>
      <c r="O161" s="18">
        <f t="shared" si="91"/>
        <v>7860.8681999999999</v>
      </c>
    </row>
    <row r="162" spans="2:15" hidden="1" x14ac:dyDescent="0.25">
      <c r="C162" s="31" t="s">
        <v>45</v>
      </c>
      <c r="D162" s="15">
        <f>D159*D155</f>
        <v>0</v>
      </c>
      <c r="E162" s="17">
        <f t="shared" ref="E162:O162" si="92">E159*E155</f>
        <v>0</v>
      </c>
      <c r="F162" s="17">
        <f t="shared" si="92"/>
        <v>0</v>
      </c>
      <c r="G162" s="17">
        <f t="shared" si="92"/>
        <v>0</v>
      </c>
      <c r="H162" s="17">
        <f t="shared" si="92"/>
        <v>0</v>
      </c>
      <c r="I162" s="17">
        <f t="shared" si="92"/>
        <v>1522.4147399999999</v>
      </c>
      <c r="J162" s="17">
        <f t="shared" si="92"/>
        <v>1475.8382099999999</v>
      </c>
      <c r="K162" s="17">
        <f t="shared" si="92"/>
        <v>1721.32422</v>
      </c>
      <c r="L162" s="17">
        <f t="shared" si="92"/>
        <v>1025.95416</v>
      </c>
      <c r="M162" s="17">
        <f t="shared" si="92"/>
        <v>0</v>
      </c>
      <c r="N162" s="17">
        <f t="shared" si="92"/>
        <v>0</v>
      </c>
      <c r="O162" s="18">
        <f t="shared" si="92"/>
        <v>0</v>
      </c>
    </row>
    <row r="163" spans="2:15" x14ac:dyDescent="0.25">
      <c r="C163" s="31" t="s">
        <v>30</v>
      </c>
      <c r="D163" s="15">
        <f>SUM(D160:D162)/D152</f>
        <v>560.616358292683</v>
      </c>
      <c r="E163" s="17">
        <f t="shared" ref="E163:K163" si="93">SUM(E160:E162)/E152</f>
        <v>584.82825212500006</v>
      </c>
      <c r="F163" s="17">
        <f t="shared" si="93"/>
        <v>456.19318912499995</v>
      </c>
      <c r="G163" s="17">
        <f t="shared" si="93"/>
        <v>697.03940382716053</v>
      </c>
      <c r="H163" s="17">
        <f t="shared" si="93"/>
        <v>881.75366253164566</v>
      </c>
      <c r="I163" s="17">
        <f t="shared" si="93"/>
        <v>1998.6915429113922</v>
      </c>
      <c r="J163" s="17">
        <f t="shared" si="93"/>
        <v>2041.5064621249999</v>
      </c>
      <c r="K163" s="17">
        <f t="shared" si="93"/>
        <v>1863.5369186250002</v>
      </c>
      <c r="L163" s="17">
        <f>SUM(L160:L162)/L152</f>
        <v>2265.2648397777775</v>
      </c>
      <c r="M163" s="17">
        <f t="shared" ref="M163:O163" si="94">SUM(M160:M162)/M152</f>
        <v>1350.2827655421686</v>
      </c>
      <c r="N163" s="17">
        <f t="shared" si="94"/>
        <v>1081.4116047560976</v>
      </c>
      <c r="O163" s="18">
        <f t="shared" si="94"/>
        <v>768.73493952941169</v>
      </c>
    </row>
    <row r="164" spans="2:15" x14ac:dyDescent="0.25">
      <c r="C164" s="80" t="s">
        <v>47</v>
      </c>
      <c r="D164" s="58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60"/>
    </row>
    <row r="165" spans="2:15" hidden="1" x14ac:dyDescent="0.25">
      <c r="C165" s="23" t="s">
        <v>26</v>
      </c>
      <c r="D165" s="48">
        <v>1</v>
      </c>
      <c r="E165" s="49">
        <v>1</v>
      </c>
      <c r="F165" s="49">
        <v>1</v>
      </c>
      <c r="G165" s="49">
        <v>1</v>
      </c>
      <c r="H165" s="49">
        <v>1</v>
      </c>
      <c r="I165" s="49">
        <v>1</v>
      </c>
      <c r="J165" s="49">
        <v>1</v>
      </c>
      <c r="K165" s="49">
        <v>1</v>
      </c>
      <c r="L165" s="49">
        <v>1</v>
      </c>
      <c r="M165" s="49">
        <v>1</v>
      </c>
      <c r="N165" s="49">
        <v>1</v>
      </c>
      <c r="O165" s="50">
        <v>1</v>
      </c>
    </row>
    <row r="166" spans="2:15" hidden="1" x14ac:dyDescent="0.25">
      <c r="C166" s="23" t="s">
        <v>27</v>
      </c>
      <c r="D166" s="24">
        <v>3952</v>
      </c>
      <c r="E166" s="25">
        <v>3861</v>
      </c>
      <c r="F166" s="25">
        <v>4343</v>
      </c>
      <c r="G166" s="25">
        <v>4159</v>
      </c>
      <c r="H166" s="25">
        <v>3377</v>
      </c>
      <c r="I166" s="25">
        <v>3772</v>
      </c>
      <c r="J166" s="25">
        <v>3467</v>
      </c>
      <c r="K166" s="25">
        <v>3807</v>
      </c>
      <c r="L166" s="25">
        <v>4147</v>
      </c>
      <c r="M166" s="25">
        <v>3631</v>
      </c>
      <c r="N166" s="25">
        <v>4015</v>
      </c>
      <c r="O166" s="26">
        <v>4021</v>
      </c>
    </row>
    <row r="167" spans="2:15" hidden="1" x14ac:dyDescent="0.25">
      <c r="C167" s="23" t="s">
        <v>28</v>
      </c>
      <c r="D167" s="48">
        <v>0.21479000000000001</v>
      </c>
      <c r="E167" s="49">
        <f>+D167</f>
        <v>0.21479000000000001</v>
      </c>
      <c r="F167" s="38">
        <f>+E167</f>
        <v>0.21479000000000001</v>
      </c>
      <c r="G167" s="53">
        <f>+F167</f>
        <v>0.21479000000000001</v>
      </c>
      <c r="H167" s="53">
        <f t="shared" ref="H167" si="95">+G167</f>
        <v>0.21479000000000001</v>
      </c>
      <c r="I167" s="53">
        <f t="shared" ref="I167" si="96">+H167</f>
        <v>0.21479000000000001</v>
      </c>
      <c r="J167" s="53">
        <f t="shared" ref="J167" si="97">+I167</f>
        <v>0.21479000000000001</v>
      </c>
      <c r="K167" s="53">
        <f t="shared" ref="K167" si="98">+J167</f>
        <v>0.21479000000000001</v>
      </c>
      <c r="L167" s="53">
        <f t="shared" ref="L167" si="99">+K167</f>
        <v>0.21479000000000001</v>
      </c>
      <c r="M167" s="53">
        <f t="shared" ref="M167" si="100">+L167</f>
        <v>0.21479000000000001</v>
      </c>
      <c r="N167" s="53">
        <f t="shared" ref="N167" si="101">+M167</f>
        <v>0.21479000000000001</v>
      </c>
      <c r="O167" s="50">
        <f>+N167</f>
        <v>0.21479000000000001</v>
      </c>
    </row>
    <row r="168" spans="2:15" hidden="1" x14ac:dyDescent="0.25">
      <c r="C168" s="35" t="s">
        <v>29</v>
      </c>
      <c r="D168" s="24">
        <f>D167*D166</f>
        <v>848.85008000000005</v>
      </c>
      <c r="E168" s="25">
        <f t="shared" ref="E168:O168" si="102">E167*E166</f>
        <v>829.30419000000006</v>
      </c>
      <c r="F168" s="25">
        <f t="shared" si="102"/>
        <v>932.83297000000005</v>
      </c>
      <c r="G168" s="25">
        <f t="shared" si="102"/>
        <v>893.31161000000009</v>
      </c>
      <c r="H168" s="25">
        <f t="shared" si="102"/>
        <v>725.34582999999998</v>
      </c>
      <c r="I168" s="25">
        <f t="shared" si="102"/>
        <v>810.18788000000006</v>
      </c>
      <c r="J168" s="25">
        <f t="shared" si="102"/>
        <v>744.67693000000008</v>
      </c>
      <c r="K168" s="25">
        <f t="shared" si="102"/>
        <v>817.70553000000007</v>
      </c>
      <c r="L168" s="25">
        <f t="shared" si="102"/>
        <v>890.73413000000005</v>
      </c>
      <c r="M168" s="25">
        <f t="shared" si="102"/>
        <v>779.90249000000006</v>
      </c>
      <c r="N168" s="25">
        <f t="shared" si="102"/>
        <v>862.38184999999999</v>
      </c>
      <c r="O168" s="26">
        <f t="shared" si="102"/>
        <v>863.67059000000006</v>
      </c>
    </row>
    <row r="169" spans="2:15" x14ac:dyDescent="0.25">
      <c r="C169" s="35" t="s">
        <v>30</v>
      </c>
      <c r="D169" s="70">
        <f t="shared" ref="D169:O169" si="103">D168/D165</f>
        <v>848.85008000000005</v>
      </c>
      <c r="E169" s="71">
        <f t="shared" si="103"/>
        <v>829.30419000000006</v>
      </c>
      <c r="F169" s="71">
        <f t="shared" si="103"/>
        <v>932.83297000000005</v>
      </c>
      <c r="G169" s="71">
        <f t="shared" si="103"/>
        <v>893.31161000000009</v>
      </c>
      <c r="H169" s="71">
        <f t="shared" si="103"/>
        <v>725.34582999999998</v>
      </c>
      <c r="I169" s="71">
        <f t="shared" si="103"/>
        <v>810.18788000000006</v>
      </c>
      <c r="J169" s="71">
        <f t="shared" si="103"/>
        <v>744.67693000000008</v>
      </c>
      <c r="K169" s="71">
        <f t="shared" si="103"/>
        <v>817.70553000000007</v>
      </c>
      <c r="L169" s="71">
        <f t="shared" si="103"/>
        <v>890.73413000000005</v>
      </c>
      <c r="M169" s="71">
        <f t="shared" si="103"/>
        <v>779.90249000000006</v>
      </c>
      <c r="N169" s="71">
        <f t="shared" si="103"/>
        <v>862.38184999999999</v>
      </c>
      <c r="O169" s="72">
        <f t="shared" si="103"/>
        <v>863.67059000000006</v>
      </c>
    </row>
    <row r="170" spans="2:15" hidden="1" x14ac:dyDescent="0.25">
      <c r="B170" t="s">
        <v>63</v>
      </c>
      <c r="C170" s="80" t="s">
        <v>48</v>
      </c>
      <c r="D170" s="58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60"/>
    </row>
    <row r="171" spans="2:15" hidden="1" x14ac:dyDescent="0.25">
      <c r="C171" s="23" t="s">
        <v>49</v>
      </c>
      <c r="D171" s="48">
        <v>1</v>
      </c>
      <c r="E171" s="49">
        <v>1</v>
      </c>
      <c r="F171" s="49">
        <v>1</v>
      </c>
      <c r="G171" s="49">
        <v>1</v>
      </c>
      <c r="H171" s="49">
        <v>1</v>
      </c>
      <c r="I171" s="49">
        <v>1</v>
      </c>
      <c r="J171" s="49">
        <v>1</v>
      </c>
      <c r="K171" s="49">
        <v>1</v>
      </c>
      <c r="L171" s="49">
        <v>1</v>
      </c>
      <c r="M171" s="49">
        <v>1</v>
      </c>
      <c r="N171" s="49">
        <v>1</v>
      </c>
      <c r="O171" s="50">
        <v>1</v>
      </c>
    </row>
    <row r="172" spans="2:15" hidden="1" x14ac:dyDescent="0.25">
      <c r="C172" s="31" t="s">
        <v>50</v>
      </c>
      <c r="D172" s="27">
        <v>1015.38</v>
      </c>
      <c r="E172" s="28">
        <v>788.38</v>
      </c>
      <c r="F172" s="28">
        <v>884.71</v>
      </c>
      <c r="G172" s="28">
        <v>1033.0999999999999</v>
      </c>
      <c r="H172" s="29">
        <v>1012.54</v>
      </c>
      <c r="I172" s="28">
        <v>993.42</v>
      </c>
      <c r="J172" s="28">
        <v>912.38</v>
      </c>
      <c r="K172" s="28">
        <v>1014.89</v>
      </c>
      <c r="L172" s="28">
        <v>1202.48</v>
      </c>
      <c r="M172" s="28">
        <v>753.32</v>
      </c>
      <c r="N172" s="28">
        <v>984.76</v>
      </c>
      <c r="O172" s="30">
        <v>1254.4000000000001</v>
      </c>
    </row>
    <row r="173" spans="2:15" hidden="1" x14ac:dyDescent="0.25">
      <c r="C173" s="31" t="s">
        <v>51</v>
      </c>
      <c r="D173" s="15">
        <v>2266.06</v>
      </c>
      <c r="E173" s="17">
        <v>1912.82</v>
      </c>
      <c r="F173" s="17">
        <v>1858.85</v>
      </c>
      <c r="G173" s="17">
        <v>2078.12</v>
      </c>
      <c r="H173" s="17">
        <v>3037.36</v>
      </c>
      <c r="I173" s="17">
        <v>6343.84</v>
      </c>
      <c r="J173" s="17">
        <v>7588.03</v>
      </c>
      <c r="K173" s="17">
        <v>7641.41</v>
      </c>
      <c r="L173" s="17">
        <v>5284.05</v>
      </c>
      <c r="M173" s="17">
        <v>5126.42</v>
      </c>
      <c r="N173" s="17">
        <v>4529.59</v>
      </c>
      <c r="O173" s="18">
        <v>2891.92</v>
      </c>
    </row>
    <row r="174" spans="2:15" hidden="1" x14ac:dyDescent="0.25">
      <c r="C174" s="31" t="s">
        <v>52</v>
      </c>
      <c r="D174" s="15">
        <f>D172/1</f>
        <v>1015.38</v>
      </c>
      <c r="E174" s="17">
        <f t="shared" ref="E174:O174" si="104">E172/1</f>
        <v>788.38</v>
      </c>
      <c r="F174" s="17">
        <f t="shared" si="104"/>
        <v>884.71</v>
      </c>
      <c r="G174" s="17">
        <f t="shared" si="104"/>
        <v>1033.0999999999999</v>
      </c>
      <c r="H174" s="17">
        <f t="shared" si="104"/>
        <v>1012.54</v>
      </c>
      <c r="I174" s="17">
        <f t="shared" si="104"/>
        <v>993.42</v>
      </c>
      <c r="J174" s="17">
        <f t="shared" si="104"/>
        <v>912.38</v>
      </c>
      <c r="K174" s="17">
        <f t="shared" si="104"/>
        <v>1014.89</v>
      </c>
      <c r="L174" s="17">
        <f t="shared" si="104"/>
        <v>1202.48</v>
      </c>
      <c r="M174" s="17">
        <f t="shared" si="104"/>
        <v>753.32</v>
      </c>
      <c r="N174" s="17">
        <f t="shared" si="104"/>
        <v>984.76</v>
      </c>
      <c r="O174" s="18">
        <f t="shared" si="104"/>
        <v>1254.4000000000001</v>
      </c>
    </row>
    <row r="175" spans="2:15" hidden="1" x14ac:dyDescent="0.25">
      <c r="C175" s="31" t="s">
        <v>53</v>
      </c>
      <c r="D175" s="17">
        <f t="shared" ref="D175:O175" si="105">D168/D165</f>
        <v>848.85008000000005</v>
      </c>
      <c r="E175" s="17">
        <f t="shared" si="105"/>
        <v>829.30419000000006</v>
      </c>
      <c r="F175" s="17">
        <f t="shared" si="105"/>
        <v>932.83297000000005</v>
      </c>
      <c r="G175" s="17">
        <f t="shared" si="105"/>
        <v>893.31161000000009</v>
      </c>
      <c r="H175" s="17">
        <f t="shared" si="105"/>
        <v>725.34582999999998</v>
      </c>
      <c r="I175" s="17">
        <f t="shared" si="105"/>
        <v>810.18788000000006</v>
      </c>
      <c r="J175" s="17">
        <f t="shared" si="105"/>
        <v>744.67693000000008</v>
      </c>
      <c r="K175" s="17">
        <f t="shared" si="105"/>
        <v>817.70553000000007</v>
      </c>
      <c r="L175" s="17">
        <f t="shared" si="105"/>
        <v>890.73413000000005</v>
      </c>
      <c r="M175" s="17">
        <f t="shared" si="105"/>
        <v>779.90249000000006</v>
      </c>
      <c r="N175" s="17">
        <f t="shared" si="105"/>
        <v>862.38184999999999</v>
      </c>
      <c r="O175" s="18">
        <f t="shared" si="105"/>
        <v>863.67059000000006</v>
      </c>
    </row>
    <row r="176" spans="2:15" x14ac:dyDescent="0.25">
      <c r="C176" s="80" t="s">
        <v>54</v>
      </c>
      <c r="D176" s="58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60"/>
    </row>
    <row r="177" spans="3:15" hidden="1" x14ac:dyDescent="0.25">
      <c r="C177" s="23" t="s">
        <v>26</v>
      </c>
      <c r="D177" s="48">
        <f>8+D171</f>
        <v>9</v>
      </c>
      <c r="E177" s="49">
        <f t="shared" ref="E177:O177" si="106">8+E171</f>
        <v>9</v>
      </c>
      <c r="F177" s="49">
        <f t="shared" si="106"/>
        <v>9</v>
      </c>
      <c r="G177" s="49">
        <f t="shared" si="106"/>
        <v>9</v>
      </c>
      <c r="H177" s="49">
        <f t="shared" si="106"/>
        <v>9</v>
      </c>
      <c r="I177" s="49">
        <f t="shared" si="106"/>
        <v>9</v>
      </c>
      <c r="J177" s="49">
        <f t="shared" si="106"/>
        <v>9</v>
      </c>
      <c r="K177" s="49">
        <f t="shared" si="106"/>
        <v>9</v>
      </c>
      <c r="L177" s="49">
        <f t="shared" si="106"/>
        <v>9</v>
      </c>
      <c r="M177" s="49">
        <f t="shared" si="106"/>
        <v>9</v>
      </c>
      <c r="N177" s="49">
        <f t="shared" si="106"/>
        <v>9</v>
      </c>
      <c r="O177" s="50">
        <f t="shared" si="106"/>
        <v>9</v>
      </c>
    </row>
    <row r="178" spans="3:15" hidden="1" x14ac:dyDescent="0.25">
      <c r="C178" s="35" t="s">
        <v>55</v>
      </c>
      <c r="D178" s="24">
        <v>126869</v>
      </c>
      <c r="E178" s="25">
        <v>137697</v>
      </c>
      <c r="F178" s="25">
        <v>120628</v>
      </c>
      <c r="G178" s="25">
        <v>152126</v>
      </c>
      <c r="H178" s="25">
        <v>153172</v>
      </c>
      <c r="I178" s="25">
        <v>164797</v>
      </c>
      <c r="J178" s="25">
        <v>171860</v>
      </c>
      <c r="K178" s="25">
        <v>172646</v>
      </c>
      <c r="L178" s="25">
        <v>161201</v>
      </c>
      <c r="M178" s="25">
        <v>152857</v>
      </c>
      <c r="N178" s="25">
        <v>151533</v>
      </c>
      <c r="O178" s="26">
        <v>138046</v>
      </c>
    </row>
    <row r="179" spans="3:15" hidden="1" x14ac:dyDescent="0.25">
      <c r="C179" s="35" t="s">
        <v>56</v>
      </c>
      <c r="D179" s="24">
        <v>100624</v>
      </c>
      <c r="E179" s="25">
        <v>84939</v>
      </c>
      <c r="F179" s="25">
        <v>82542</v>
      </c>
      <c r="G179" s="25">
        <v>92279</v>
      </c>
      <c r="H179" s="25">
        <v>131317</v>
      </c>
      <c r="I179" s="25">
        <v>274269</v>
      </c>
      <c r="J179" s="25">
        <v>328060</v>
      </c>
      <c r="K179" s="25">
        <v>330368</v>
      </c>
      <c r="L179" s="25">
        <v>228450</v>
      </c>
      <c r="M179" s="25">
        <v>221635</v>
      </c>
      <c r="N179" s="25">
        <v>195832</v>
      </c>
      <c r="O179" s="26">
        <v>125029</v>
      </c>
    </row>
    <row r="180" spans="3:15" hidden="1" x14ac:dyDescent="0.25">
      <c r="C180" s="52" t="s">
        <v>39</v>
      </c>
      <c r="D180" s="24">
        <f>+D178+D179</f>
        <v>227493</v>
      </c>
      <c r="E180" s="25">
        <f>+E178+E179</f>
        <v>222636</v>
      </c>
      <c r="F180" s="25">
        <f t="shared" ref="F180:N180" si="107">+F178+F179</f>
        <v>203170</v>
      </c>
      <c r="G180" s="25">
        <f t="shared" si="107"/>
        <v>244405</v>
      </c>
      <c r="H180" s="25">
        <f t="shared" si="107"/>
        <v>284489</v>
      </c>
      <c r="I180" s="25">
        <f t="shared" si="107"/>
        <v>439066</v>
      </c>
      <c r="J180" s="25">
        <f t="shared" si="107"/>
        <v>499920</v>
      </c>
      <c r="K180" s="25">
        <f t="shared" si="107"/>
        <v>503014</v>
      </c>
      <c r="L180" s="25">
        <f t="shared" si="107"/>
        <v>389651</v>
      </c>
      <c r="M180" s="25">
        <f t="shared" si="107"/>
        <v>374492</v>
      </c>
      <c r="N180" s="25">
        <f t="shared" si="107"/>
        <v>347365</v>
      </c>
      <c r="O180" s="26">
        <f>+O178+O179</f>
        <v>263075</v>
      </c>
    </row>
    <row r="181" spans="3:15" hidden="1" x14ac:dyDescent="0.25">
      <c r="C181" s="35" t="s">
        <v>57</v>
      </c>
      <c r="D181" s="20">
        <v>8.233E-2</v>
      </c>
      <c r="E181" s="38">
        <f t="shared" ref="E181:E182" si="108">+D181</f>
        <v>8.233E-2</v>
      </c>
      <c r="F181" s="38">
        <f t="shared" ref="F181:F182" si="109">+E181</f>
        <v>8.233E-2</v>
      </c>
      <c r="G181" s="38">
        <f t="shared" ref="G181:G182" si="110">+F181</f>
        <v>8.233E-2</v>
      </c>
      <c r="H181" s="38">
        <f t="shared" ref="H181:H182" si="111">+G181</f>
        <v>8.233E-2</v>
      </c>
      <c r="I181" s="38">
        <f t="shared" ref="I181:I182" si="112">+H181</f>
        <v>8.233E-2</v>
      </c>
      <c r="J181" s="38">
        <f t="shared" ref="J181:J182" si="113">+I181</f>
        <v>8.233E-2</v>
      </c>
      <c r="K181" s="38">
        <f t="shared" ref="K181:K182" si="114">+J181</f>
        <v>8.233E-2</v>
      </c>
      <c r="L181" s="38">
        <f t="shared" ref="L181:L182" si="115">+K181</f>
        <v>8.233E-2</v>
      </c>
      <c r="M181" s="38">
        <f t="shared" ref="M181:M182" si="116">+L181</f>
        <v>8.233E-2</v>
      </c>
      <c r="N181" s="38">
        <f t="shared" ref="N181:N182" si="117">+M181</f>
        <v>8.233E-2</v>
      </c>
      <c r="O181" s="21">
        <f>+N181</f>
        <v>8.233E-2</v>
      </c>
    </row>
    <row r="182" spans="3:15" hidden="1" x14ac:dyDescent="0.25">
      <c r="C182" s="35" t="s">
        <v>58</v>
      </c>
      <c r="D182" s="20">
        <v>2.2509999999999999E-2</v>
      </c>
      <c r="E182" s="38">
        <f t="shared" si="108"/>
        <v>2.2509999999999999E-2</v>
      </c>
      <c r="F182" s="38">
        <f t="shared" si="109"/>
        <v>2.2509999999999999E-2</v>
      </c>
      <c r="G182" s="38">
        <f t="shared" si="110"/>
        <v>2.2509999999999999E-2</v>
      </c>
      <c r="H182" s="38">
        <f t="shared" si="111"/>
        <v>2.2509999999999999E-2</v>
      </c>
      <c r="I182" s="38">
        <f t="shared" si="112"/>
        <v>2.2509999999999999E-2</v>
      </c>
      <c r="J182" s="38">
        <f t="shared" si="113"/>
        <v>2.2509999999999999E-2</v>
      </c>
      <c r="K182" s="38">
        <f t="shared" si="114"/>
        <v>2.2509999999999999E-2</v>
      </c>
      <c r="L182" s="38">
        <f t="shared" si="115"/>
        <v>2.2509999999999999E-2</v>
      </c>
      <c r="M182" s="38">
        <f t="shared" si="116"/>
        <v>2.2509999999999999E-2</v>
      </c>
      <c r="N182" s="38">
        <f t="shared" si="117"/>
        <v>2.2509999999999999E-2</v>
      </c>
      <c r="O182" s="21">
        <f>+N182</f>
        <v>2.2509999999999999E-2</v>
      </c>
    </row>
    <row r="183" spans="3:15" hidden="1" x14ac:dyDescent="0.25">
      <c r="C183" s="22" t="s">
        <v>59</v>
      </c>
      <c r="D183" s="15">
        <f>D181*D178</f>
        <v>10445.12477</v>
      </c>
      <c r="E183" s="17">
        <f t="shared" ref="E183:O183" si="118">E181*E178</f>
        <v>11336.594010000001</v>
      </c>
      <c r="F183" s="17">
        <f t="shared" si="118"/>
        <v>9931.3032399999993</v>
      </c>
      <c r="G183" s="17">
        <f t="shared" si="118"/>
        <v>12524.533579999999</v>
      </c>
      <c r="H183" s="17">
        <f t="shared" si="118"/>
        <v>12610.65076</v>
      </c>
      <c r="I183" s="17">
        <f t="shared" si="118"/>
        <v>13567.737010000001</v>
      </c>
      <c r="J183" s="17">
        <f t="shared" si="118"/>
        <v>14149.2338</v>
      </c>
      <c r="K183" s="17">
        <f t="shared" si="118"/>
        <v>14213.945180000001</v>
      </c>
      <c r="L183" s="17">
        <f t="shared" si="118"/>
        <v>13271.678330000001</v>
      </c>
      <c r="M183" s="17">
        <f t="shared" si="118"/>
        <v>12584.71681</v>
      </c>
      <c r="N183" s="17">
        <f t="shared" si="118"/>
        <v>12475.71189</v>
      </c>
      <c r="O183" s="18">
        <f t="shared" si="118"/>
        <v>11365.32718</v>
      </c>
    </row>
    <row r="184" spans="3:15" hidden="1" x14ac:dyDescent="0.25">
      <c r="C184" s="22" t="s">
        <v>60</v>
      </c>
      <c r="D184" s="15">
        <f>D182*D179</f>
        <v>2265.0462399999997</v>
      </c>
      <c r="E184" s="17">
        <f t="shared" ref="E184:O184" si="119">E182*E179</f>
        <v>1911.9768899999999</v>
      </c>
      <c r="F184" s="17">
        <f t="shared" si="119"/>
        <v>1858.0204199999998</v>
      </c>
      <c r="G184" s="17">
        <f t="shared" si="119"/>
        <v>2077.2002899999998</v>
      </c>
      <c r="H184" s="17">
        <f t="shared" si="119"/>
        <v>2955.9456700000001</v>
      </c>
      <c r="I184" s="17">
        <f t="shared" si="119"/>
        <v>6173.7951899999998</v>
      </c>
      <c r="J184" s="17">
        <f t="shared" si="119"/>
        <v>7384.6305999999995</v>
      </c>
      <c r="K184" s="17">
        <f t="shared" si="119"/>
        <v>7436.5836799999997</v>
      </c>
      <c r="L184" s="17">
        <f t="shared" si="119"/>
        <v>5142.4094999999998</v>
      </c>
      <c r="M184" s="17">
        <f t="shared" si="119"/>
        <v>4989.0038500000001</v>
      </c>
      <c r="N184" s="17">
        <f t="shared" si="119"/>
        <v>4408.17832</v>
      </c>
      <c r="O184" s="18">
        <f t="shared" si="119"/>
        <v>2814.4027899999996</v>
      </c>
    </row>
    <row r="185" spans="3:15" x14ac:dyDescent="0.25">
      <c r="C185" s="22" t="s">
        <v>53</v>
      </c>
      <c r="D185" s="15">
        <f t="shared" ref="D185:O185" si="120">SUM(D183:D184)/D177</f>
        <v>1412.2412233333334</v>
      </c>
      <c r="E185" s="17">
        <f t="shared" si="120"/>
        <v>1472.0634333333335</v>
      </c>
      <c r="F185" s="17">
        <f t="shared" si="120"/>
        <v>1309.9248511111109</v>
      </c>
      <c r="G185" s="17">
        <f t="shared" si="120"/>
        <v>1622.4148744444444</v>
      </c>
      <c r="H185" s="17">
        <f t="shared" si="120"/>
        <v>1729.6218255555557</v>
      </c>
      <c r="I185" s="17">
        <f t="shared" si="120"/>
        <v>2193.503577777778</v>
      </c>
      <c r="J185" s="17">
        <f t="shared" si="120"/>
        <v>2392.6515999999997</v>
      </c>
      <c r="K185" s="17">
        <f t="shared" si="120"/>
        <v>2405.6143177777776</v>
      </c>
      <c r="L185" s="17">
        <f t="shared" si="120"/>
        <v>2046.0097588888889</v>
      </c>
      <c r="M185" s="17">
        <f t="shared" si="120"/>
        <v>1952.6356288888887</v>
      </c>
      <c r="N185" s="17">
        <f t="shared" si="120"/>
        <v>1875.9878011111114</v>
      </c>
      <c r="O185" s="18">
        <f t="shared" si="120"/>
        <v>1575.5255522222224</v>
      </c>
    </row>
    <row r="186" spans="3:15" x14ac:dyDescent="0.25">
      <c r="C186" s="80" t="s">
        <v>61</v>
      </c>
      <c r="D186" s="58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60"/>
    </row>
    <row r="187" spans="3:15" hidden="1" x14ac:dyDescent="0.25">
      <c r="C187" s="23" t="s">
        <v>26</v>
      </c>
      <c r="D187" s="48">
        <v>3</v>
      </c>
      <c r="E187" s="49">
        <v>3</v>
      </c>
      <c r="F187" s="49">
        <v>3</v>
      </c>
      <c r="G187" s="49">
        <v>3</v>
      </c>
      <c r="H187" s="49">
        <v>3</v>
      </c>
      <c r="I187" s="49">
        <v>3</v>
      </c>
      <c r="J187" s="49">
        <v>3</v>
      </c>
      <c r="K187" s="49">
        <v>3</v>
      </c>
      <c r="L187" s="49">
        <v>3</v>
      </c>
      <c r="M187" s="49">
        <v>3</v>
      </c>
      <c r="N187" s="49">
        <v>3</v>
      </c>
      <c r="O187" s="50">
        <v>3</v>
      </c>
    </row>
    <row r="188" spans="3:15" hidden="1" x14ac:dyDescent="0.25">
      <c r="C188" s="35" t="s">
        <v>55</v>
      </c>
      <c r="D188" s="73">
        <v>11878</v>
      </c>
      <c r="E188" s="74">
        <v>11315</v>
      </c>
      <c r="F188" s="74">
        <v>11210</v>
      </c>
      <c r="G188" s="74">
        <v>11675</v>
      </c>
      <c r="H188" s="74">
        <v>12000</v>
      </c>
      <c r="I188" s="74">
        <v>12000</v>
      </c>
      <c r="J188" s="74">
        <v>12000.000000000002</v>
      </c>
      <c r="K188" s="74">
        <v>12000.000000000002</v>
      </c>
      <c r="L188" s="74">
        <v>12000.000000000002</v>
      </c>
      <c r="M188" s="74">
        <v>12000.000000000002</v>
      </c>
      <c r="N188" s="74">
        <v>12000.000000000002</v>
      </c>
      <c r="O188" s="75">
        <v>11732</v>
      </c>
    </row>
    <row r="189" spans="3:15" hidden="1" x14ac:dyDescent="0.25">
      <c r="C189" s="35" t="s">
        <v>56</v>
      </c>
      <c r="D189" s="73">
        <v>9764</v>
      </c>
      <c r="E189" s="74">
        <v>5580</v>
      </c>
      <c r="F189" s="74">
        <v>5426</v>
      </c>
      <c r="G189" s="74">
        <v>7650</v>
      </c>
      <c r="H189" s="74">
        <v>11870</v>
      </c>
      <c r="I189" s="74">
        <v>21807</v>
      </c>
      <c r="J189" s="74">
        <v>26842</v>
      </c>
      <c r="K189" s="74">
        <v>26431</v>
      </c>
      <c r="L189" s="74">
        <v>17907</v>
      </c>
      <c r="M189" s="74">
        <v>16704</v>
      </c>
      <c r="N189" s="74">
        <v>13455</v>
      </c>
      <c r="O189" s="75">
        <v>8134</v>
      </c>
    </row>
    <row r="190" spans="3:15" hidden="1" x14ac:dyDescent="0.25">
      <c r="C190" s="52" t="s">
        <v>39</v>
      </c>
      <c r="D190" s="73">
        <f>+D188+D189</f>
        <v>21642</v>
      </c>
      <c r="E190" s="74">
        <f t="shared" ref="E190:O190" si="121">+E188+E189</f>
        <v>16895</v>
      </c>
      <c r="F190" s="74">
        <f t="shared" si="121"/>
        <v>16636</v>
      </c>
      <c r="G190" s="74">
        <f t="shared" si="121"/>
        <v>19325</v>
      </c>
      <c r="H190" s="74">
        <f t="shared" si="121"/>
        <v>23870</v>
      </c>
      <c r="I190" s="74">
        <f t="shared" si="121"/>
        <v>33807</v>
      </c>
      <c r="J190" s="74">
        <f t="shared" si="121"/>
        <v>38842</v>
      </c>
      <c r="K190" s="74">
        <f t="shared" si="121"/>
        <v>38431</v>
      </c>
      <c r="L190" s="74">
        <f t="shared" si="121"/>
        <v>29907</v>
      </c>
      <c r="M190" s="74">
        <f t="shared" si="121"/>
        <v>28704</v>
      </c>
      <c r="N190" s="74">
        <f t="shared" si="121"/>
        <v>25455</v>
      </c>
      <c r="O190" s="75">
        <f t="shared" si="121"/>
        <v>19866</v>
      </c>
    </row>
    <row r="191" spans="3:15" hidden="1" x14ac:dyDescent="0.25">
      <c r="C191" s="35" t="s">
        <v>57</v>
      </c>
      <c r="D191" s="20">
        <v>0.10401000000000001</v>
      </c>
      <c r="E191" s="38">
        <f t="shared" ref="E191:E192" si="122">+D191</f>
        <v>0.10401000000000001</v>
      </c>
      <c r="F191" s="38">
        <f t="shared" ref="F191:F192" si="123">+E191</f>
        <v>0.10401000000000001</v>
      </c>
      <c r="G191" s="38">
        <f t="shared" ref="G191:G192" si="124">+F191</f>
        <v>0.10401000000000001</v>
      </c>
      <c r="H191" s="38">
        <f t="shared" ref="H191:H192" si="125">+G191</f>
        <v>0.10401000000000001</v>
      </c>
      <c r="I191" s="38">
        <f t="shared" ref="I191:I192" si="126">+H191</f>
        <v>0.10401000000000001</v>
      </c>
      <c r="J191" s="38">
        <f t="shared" ref="J191:J192" si="127">+I191</f>
        <v>0.10401000000000001</v>
      </c>
      <c r="K191" s="38">
        <f t="shared" ref="K191:K192" si="128">+J191</f>
        <v>0.10401000000000001</v>
      </c>
      <c r="L191" s="38">
        <f t="shared" ref="L191:L192" si="129">+K191</f>
        <v>0.10401000000000001</v>
      </c>
      <c r="M191" s="38">
        <f t="shared" ref="M191:M192" si="130">+L191</f>
        <v>0.10401000000000001</v>
      </c>
      <c r="N191" s="38">
        <f t="shared" ref="N191:N192" si="131">+M191</f>
        <v>0.10401000000000001</v>
      </c>
      <c r="O191" s="21">
        <f>+N191</f>
        <v>0.10401000000000001</v>
      </c>
    </row>
    <row r="192" spans="3:15" hidden="1" x14ac:dyDescent="0.25">
      <c r="C192" s="35" t="s">
        <v>58</v>
      </c>
      <c r="D192" s="20">
        <v>8.4459999999999993E-2</v>
      </c>
      <c r="E192" s="38">
        <f t="shared" si="122"/>
        <v>8.4459999999999993E-2</v>
      </c>
      <c r="F192" s="38">
        <f t="shared" si="123"/>
        <v>8.4459999999999993E-2</v>
      </c>
      <c r="G192" s="38">
        <f t="shared" si="124"/>
        <v>8.4459999999999993E-2</v>
      </c>
      <c r="H192" s="38">
        <f t="shared" si="125"/>
        <v>8.4459999999999993E-2</v>
      </c>
      <c r="I192" s="38">
        <f t="shared" si="126"/>
        <v>8.4459999999999993E-2</v>
      </c>
      <c r="J192" s="38">
        <f t="shared" si="127"/>
        <v>8.4459999999999993E-2</v>
      </c>
      <c r="K192" s="38">
        <f t="shared" si="128"/>
        <v>8.4459999999999993E-2</v>
      </c>
      <c r="L192" s="38">
        <f t="shared" si="129"/>
        <v>8.4459999999999993E-2</v>
      </c>
      <c r="M192" s="38">
        <f t="shared" si="130"/>
        <v>8.4459999999999993E-2</v>
      </c>
      <c r="N192" s="38">
        <f t="shared" si="131"/>
        <v>8.4459999999999993E-2</v>
      </c>
      <c r="O192" s="21">
        <f>+N192</f>
        <v>8.4459999999999993E-2</v>
      </c>
    </row>
    <row r="193" spans="3:15" hidden="1" x14ac:dyDescent="0.25">
      <c r="C193" s="22" t="s">
        <v>59</v>
      </c>
      <c r="D193" s="70">
        <f>D191*D188</f>
        <v>1235.4307800000001</v>
      </c>
      <c r="E193" s="71">
        <f t="shared" ref="E193:O193" si="132">E191*E188</f>
        <v>1176.8731500000001</v>
      </c>
      <c r="F193" s="71">
        <f t="shared" si="132"/>
        <v>1165.9521</v>
      </c>
      <c r="G193" s="71">
        <f t="shared" si="132"/>
        <v>1214.31675</v>
      </c>
      <c r="H193" s="71">
        <f t="shared" si="132"/>
        <v>1248.1200000000001</v>
      </c>
      <c r="I193" s="71">
        <f t="shared" si="132"/>
        <v>1248.1200000000001</v>
      </c>
      <c r="J193" s="71">
        <f t="shared" si="132"/>
        <v>1248.1200000000003</v>
      </c>
      <c r="K193" s="71">
        <f t="shared" si="132"/>
        <v>1248.1200000000003</v>
      </c>
      <c r="L193" s="71">
        <f t="shared" si="132"/>
        <v>1248.1200000000003</v>
      </c>
      <c r="M193" s="71">
        <f t="shared" si="132"/>
        <v>1248.1200000000003</v>
      </c>
      <c r="N193" s="71">
        <f t="shared" si="132"/>
        <v>1248.1200000000003</v>
      </c>
      <c r="O193" s="72">
        <f t="shared" si="132"/>
        <v>1220.24532</v>
      </c>
    </row>
    <row r="194" spans="3:15" hidden="1" x14ac:dyDescent="0.25">
      <c r="C194" s="22" t="s">
        <v>60</v>
      </c>
      <c r="D194" s="70">
        <f>D192*D189</f>
        <v>824.66743999999994</v>
      </c>
      <c r="E194" s="71">
        <f t="shared" ref="E194:O194" si="133">E192*E189</f>
        <v>471.28679999999997</v>
      </c>
      <c r="F194" s="71">
        <f t="shared" si="133"/>
        <v>458.27995999999996</v>
      </c>
      <c r="G194" s="71">
        <f t="shared" si="133"/>
        <v>646.11899999999991</v>
      </c>
      <c r="H194" s="71">
        <f t="shared" si="133"/>
        <v>1002.5401999999999</v>
      </c>
      <c r="I194" s="71">
        <f t="shared" si="133"/>
        <v>1841.8192199999999</v>
      </c>
      <c r="J194" s="71">
        <f t="shared" si="133"/>
        <v>2267.0753199999999</v>
      </c>
      <c r="K194" s="71">
        <f t="shared" si="133"/>
        <v>2232.3622599999999</v>
      </c>
      <c r="L194" s="71">
        <f t="shared" si="133"/>
        <v>1512.4252199999999</v>
      </c>
      <c r="M194" s="71">
        <f t="shared" si="133"/>
        <v>1410.8198399999999</v>
      </c>
      <c r="N194" s="71">
        <f t="shared" si="133"/>
        <v>1136.4092999999998</v>
      </c>
      <c r="O194" s="72">
        <f t="shared" si="133"/>
        <v>686.99763999999993</v>
      </c>
    </row>
    <row r="195" spans="3:15" ht="15.75" thickBot="1" x14ac:dyDescent="0.3">
      <c r="C195" s="34" t="s">
        <v>53</v>
      </c>
      <c r="D195" s="76">
        <f>SUM(D193:D194)/D187</f>
        <v>686.69940666666662</v>
      </c>
      <c r="E195" s="77">
        <f t="shared" ref="E195:O195" si="134">SUM(E193:E194)/E187</f>
        <v>549.38665000000003</v>
      </c>
      <c r="F195" s="77">
        <f t="shared" si="134"/>
        <v>541.41068666666661</v>
      </c>
      <c r="G195" s="77">
        <f t="shared" si="134"/>
        <v>620.14524999999992</v>
      </c>
      <c r="H195" s="77">
        <f t="shared" si="134"/>
        <v>750.22006666666675</v>
      </c>
      <c r="I195" s="77">
        <f t="shared" si="134"/>
        <v>1029.97974</v>
      </c>
      <c r="J195" s="77">
        <f t="shared" si="134"/>
        <v>1171.7317733333334</v>
      </c>
      <c r="K195" s="77">
        <f t="shared" si="134"/>
        <v>1160.1607533333333</v>
      </c>
      <c r="L195" s="77">
        <f t="shared" si="134"/>
        <v>920.18173999999999</v>
      </c>
      <c r="M195" s="77">
        <f t="shared" si="134"/>
        <v>886.31327999999996</v>
      </c>
      <c r="N195" s="77">
        <f t="shared" si="134"/>
        <v>794.84310000000005</v>
      </c>
      <c r="O195" s="78">
        <f t="shared" si="134"/>
        <v>635.74765333333335</v>
      </c>
    </row>
    <row r="196" spans="3:15" ht="15.75" thickTop="1" x14ac:dyDescent="0.25"/>
  </sheetData>
  <mergeCells count="4">
    <mergeCell ref="A1:C1"/>
    <mergeCell ref="C26:O27"/>
    <mergeCell ref="D23:K25"/>
    <mergeCell ref="C116:O117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131"/>
  <sheetViews>
    <sheetView workbookViewId="0">
      <selection sqref="A1:N1"/>
    </sheetView>
  </sheetViews>
  <sheetFormatPr defaultColWidth="9.140625" defaultRowHeight="15" x14ac:dyDescent="0.25"/>
  <cols>
    <col min="1" max="1" width="24.7109375" bestFit="1" customWidth="1"/>
    <col min="2" max="2" width="65.7109375" bestFit="1" customWidth="1"/>
    <col min="3" max="5" width="14" bestFit="1" customWidth="1"/>
    <col min="6" max="6" width="13.28515625" bestFit="1" customWidth="1"/>
    <col min="7" max="8" width="14" bestFit="1" customWidth="1"/>
    <col min="9" max="9" width="12.28515625" bestFit="1" customWidth="1"/>
    <col min="10" max="10" width="13.28515625" bestFit="1" customWidth="1"/>
    <col min="11" max="14" width="14" bestFit="1" customWidth="1"/>
    <col min="15" max="15" width="12.28515625" bestFit="1" customWidth="1"/>
    <col min="17" max="17" width="11.5703125" bestFit="1" customWidth="1"/>
    <col min="18" max="18" width="13.28515625" bestFit="1" customWidth="1"/>
    <col min="19" max="20" width="11.5703125" bestFit="1" customWidth="1"/>
    <col min="21" max="21" width="10.5703125" bestFit="1" customWidth="1"/>
    <col min="22" max="22" width="3.140625" customWidth="1"/>
    <col min="24" max="24" width="3.85546875" customWidth="1"/>
    <col min="25" max="25" width="9.7109375" bestFit="1" customWidth="1"/>
  </cols>
  <sheetData>
    <row r="1" spans="1:25" ht="18.75" x14ac:dyDescent="0.3">
      <c r="A1" s="676" t="s">
        <v>67</v>
      </c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676"/>
      <c r="N1" s="676"/>
    </row>
    <row r="2" spans="1:25" ht="21" x14ac:dyDescent="0.35">
      <c r="A2" s="681" t="s">
        <v>69</v>
      </c>
      <c r="B2" s="681"/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  <c r="N2" s="681"/>
    </row>
    <row r="3" spans="1:25" ht="18" thickBot="1" x14ac:dyDescent="0.35">
      <c r="A3" s="693" t="s">
        <v>68</v>
      </c>
      <c r="B3" s="693"/>
      <c r="C3" s="693"/>
      <c r="D3" s="693"/>
      <c r="E3" s="693"/>
      <c r="F3" s="693"/>
      <c r="G3" s="693"/>
      <c r="H3" s="693"/>
      <c r="I3" s="693"/>
      <c r="J3" s="693"/>
      <c r="K3" s="693"/>
      <c r="L3" s="693"/>
      <c r="M3" s="693"/>
      <c r="N3" s="693"/>
    </row>
    <row r="4" spans="1:25" ht="24.95" customHeight="1" x14ac:dyDescent="0.25">
      <c r="A4" s="101" t="s">
        <v>66</v>
      </c>
      <c r="B4" s="102"/>
      <c r="C4" s="103">
        <v>42643</v>
      </c>
      <c r="D4" s="103">
        <v>42674</v>
      </c>
      <c r="E4" s="103">
        <v>42704</v>
      </c>
      <c r="F4" s="103">
        <v>42735</v>
      </c>
      <c r="G4" s="103">
        <v>42766</v>
      </c>
      <c r="H4" s="103">
        <v>42794</v>
      </c>
      <c r="I4" s="103">
        <v>42825</v>
      </c>
      <c r="J4" s="103">
        <v>42855</v>
      </c>
      <c r="K4" s="103">
        <v>42886</v>
      </c>
      <c r="L4" s="103">
        <v>42916</v>
      </c>
      <c r="M4" s="103">
        <v>42947</v>
      </c>
      <c r="N4" s="103">
        <v>42978</v>
      </c>
    </row>
    <row r="5" spans="1:25" x14ac:dyDescent="0.25">
      <c r="A5" s="86">
        <v>502</v>
      </c>
      <c r="B5" s="104" t="s">
        <v>84</v>
      </c>
      <c r="N5" s="6"/>
      <c r="R5">
        <v>502</v>
      </c>
      <c r="S5" t="s">
        <v>15</v>
      </c>
      <c r="W5" t="s">
        <v>93</v>
      </c>
      <c r="Y5" t="s">
        <v>94</v>
      </c>
    </row>
    <row r="6" spans="1:25" x14ac:dyDescent="0.25">
      <c r="A6" s="87" t="s">
        <v>64</v>
      </c>
      <c r="B6" t="s">
        <v>65</v>
      </c>
      <c r="C6" s="105">
        <v>527</v>
      </c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6"/>
      <c r="S6" s="113">
        <v>4336</v>
      </c>
      <c r="T6" t="s">
        <v>92</v>
      </c>
      <c r="U6" s="113">
        <v>4336</v>
      </c>
    </row>
    <row r="7" spans="1:25" x14ac:dyDescent="0.25">
      <c r="A7" s="87" t="s">
        <v>71</v>
      </c>
      <c r="B7" t="s">
        <v>70</v>
      </c>
      <c r="C7" s="95">
        <f>ROUND(1822*0.07717,2)+ROUND(2514*0.09183,2)</f>
        <v>371.46000000000004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107"/>
      <c r="Q7" s="122" t="s">
        <v>90</v>
      </c>
      <c r="R7" s="108">
        <v>389.92</v>
      </c>
      <c r="S7" s="112">
        <f>R7/S6</f>
        <v>8.992619926199262E-2</v>
      </c>
      <c r="U7" s="112">
        <f>R7/U6</f>
        <v>8.992619926199262E-2</v>
      </c>
      <c r="W7">
        <v>8.7459999999999996E-2</v>
      </c>
      <c r="Y7" s="112">
        <f>W7-U7</f>
        <v>-2.4661992619926243E-3</v>
      </c>
    </row>
    <row r="8" spans="1:25" x14ac:dyDescent="0.25">
      <c r="A8" s="87"/>
      <c r="B8" s="89" t="s">
        <v>74</v>
      </c>
      <c r="C8" s="108">
        <f>C7</f>
        <v>371.46000000000004</v>
      </c>
      <c r="D8" s="108">
        <f t="shared" ref="D8:N8" si="0">D7</f>
        <v>0</v>
      </c>
      <c r="E8" s="108">
        <f t="shared" si="0"/>
        <v>0</v>
      </c>
      <c r="F8" s="108">
        <f t="shared" si="0"/>
        <v>0</v>
      </c>
      <c r="G8" s="108">
        <f t="shared" si="0"/>
        <v>0</v>
      </c>
      <c r="H8" s="108">
        <f t="shared" si="0"/>
        <v>0</v>
      </c>
      <c r="I8" s="108">
        <f t="shared" si="0"/>
        <v>0</v>
      </c>
      <c r="J8" s="108">
        <f t="shared" si="0"/>
        <v>0</v>
      </c>
      <c r="K8" s="108">
        <f t="shared" si="0"/>
        <v>0</v>
      </c>
      <c r="L8" s="108">
        <f t="shared" si="0"/>
        <v>0</v>
      </c>
      <c r="M8" s="108">
        <f t="shared" si="0"/>
        <v>0</v>
      </c>
      <c r="N8" s="109">
        <f t="shared" si="0"/>
        <v>0</v>
      </c>
      <c r="Q8" s="122" t="s">
        <v>91</v>
      </c>
      <c r="R8" s="108">
        <v>2183.1799999999998</v>
      </c>
      <c r="S8" s="112">
        <f>R8/S6</f>
        <v>0.50350092250922507</v>
      </c>
      <c r="U8" s="112">
        <f>R8/U6</f>
        <v>0.50350092250922507</v>
      </c>
      <c r="W8">
        <v>0.55423</v>
      </c>
      <c r="Y8" s="112">
        <f>W8-U8</f>
        <v>5.0729077490774932E-2</v>
      </c>
    </row>
    <row r="9" spans="1:25" x14ac:dyDescent="0.25">
      <c r="A9" s="87"/>
      <c r="B9" s="89" t="s">
        <v>116</v>
      </c>
      <c r="C9" s="108">
        <f>ROUND(C8*-0.00417,2)</f>
        <v>-1.55</v>
      </c>
      <c r="D9" s="108">
        <f t="shared" ref="D9:N9" si="1">ROUND(D8*-0.00417,2)</f>
        <v>0</v>
      </c>
      <c r="E9" s="108">
        <f t="shared" si="1"/>
        <v>0</v>
      </c>
      <c r="F9" s="108">
        <f t="shared" si="1"/>
        <v>0</v>
      </c>
      <c r="G9" s="108">
        <f t="shared" si="1"/>
        <v>0</v>
      </c>
      <c r="H9" s="108">
        <f t="shared" si="1"/>
        <v>0</v>
      </c>
      <c r="I9" s="108">
        <f t="shared" si="1"/>
        <v>0</v>
      </c>
      <c r="J9" s="108">
        <f t="shared" si="1"/>
        <v>0</v>
      </c>
      <c r="K9" s="108">
        <f t="shared" si="1"/>
        <v>0</v>
      </c>
      <c r="L9" s="108">
        <f t="shared" si="1"/>
        <v>0</v>
      </c>
      <c r="M9" s="108">
        <f t="shared" si="1"/>
        <v>0</v>
      </c>
      <c r="N9" s="109">
        <f t="shared" si="1"/>
        <v>0</v>
      </c>
      <c r="Q9" s="122"/>
      <c r="R9" s="108"/>
      <c r="S9" s="112"/>
      <c r="U9" s="112"/>
      <c r="Y9" s="112"/>
    </row>
    <row r="10" spans="1:25" x14ac:dyDescent="0.25">
      <c r="A10" s="87"/>
      <c r="B10" s="89" t="s">
        <v>73</v>
      </c>
      <c r="C10" s="88">
        <f>-'Authorized Margins (original)'!F35*'WACAP2016 (original)'!C6</f>
        <v>-405.79</v>
      </c>
      <c r="D10" s="88">
        <f>-'Authorized Margins (original)'!G35*'WACAP2016 (original)'!D6</f>
        <v>0</v>
      </c>
      <c r="E10" s="88">
        <f>-'Authorized Margins (original)'!H35*'WACAP2016 (original)'!E6</f>
        <v>0</v>
      </c>
      <c r="F10" s="88">
        <f>-'Authorized Margins (original)'!I35*'WACAP2016 (original)'!F6</f>
        <v>0</v>
      </c>
      <c r="G10" s="88">
        <f>-'Authorized Margins (original)'!J35*'WACAP2016 (original)'!G6</f>
        <v>0</v>
      </c>
      <c r="H10" s="88">
        <f>-'Authorized Margins (original)'!K35*'WACAP2016 (original)'!H6</f>
        <v>0</v>
      </c>
      <c r="I10" s="88">
        <f>-'Authorized Margins (original)'!L35*'WACAP2016 (original)'!I6</f>
        <v>0</v>
      </c>
      <c r="J10" s="88">
        <f>-'Authorized Margins (original)'!M35*'WACAP2016 (original)'!J6</f>
        <v>0</v>
      </c>
      <c r="K10" s="88">
        <f>-'Authorized Margins (original)'!N35*'WACAP2016 (original)'!K6</f>
        <v>0</v>
      </c>
      <c r="L10" s="88">
        <f>-'Authorized Margins (original)'!O35*'WACAP2016 (original)'!L6</f>
        <v>0</v>
      </c>
      <c r="M10" s="88">
        <f>-'Authorized Margins (original)'!D35*'WACAP2016 (original)'!M6</f>
        <v>0</v>
      </c>
      <c r="N10" s="110">
        <f>-'Authorized Margins (original)'!E35*'WACAP2016 (original)'!N6</f>
        <v>0</v>
      </c>
    </row>
    <row r="11" spans="1:25" x14ac:dyDescent="0.25">
      <c r="A11" s="87"/>
      <c r="B11" s="89" t="s">
        <v>75</v>
      </c>
      <c r="C11" s="90">
        <f>SUM(C8:C10)</f>
        <v>-35.879999999999995</v>
      </c>
      <c r="D11" s="90">
        <f t="shared" ref="D11:N11" si="2">SUM(D8:D10)</f>
        <v>0</v>
      </c>
      <c r="E11" s="90">
        <f t="shared" si="2"/>
        <v>0</v>
      </c>
      <c r="F11" s="90">
        <f t="shared" si="2"/>
        <v>0</v>
      </c>
      <c r="G11" s="90">
        <f t="shared" si="2"/>
        <v>0</v>
      </c>
      <c r="H11" s="90">
        <f t="shared" si="2"/>
        <v>0</v>
      </c>
      <c r="I11" s="90">
        <f t="shared" si="2"/>
        <v>0</v>
      </c>
      <c r="J11" s="90">
        <f t="shared" si="2"/>
        <v>0</v>
      </c>
      <c r="K11" s="90">
        <f t="shared" si="2"/>
        <v>0</v>
      </c>
      <c r="L11" s="90">
        <f t="shared" si="2"/>
        <v>0</v>
      </c>
      <c r="M11" s="90">
        <f t="shared" si="2"/>
        <v>0</v>
      </c>
      <c r="N11" s="111">
        <f t="shared" si="2"/>
        <v>0</v>
      </c>
    </row>
    <row r="12" spans="1:25" x14ac:dyDescent="0.25">
      <c r="A12" s="86"/>
      <c r="C12" s="112"/>
      <c r="D12" s="113"/>
      <c r="E12" s="113"/>
      <c r="F12" s="113"/>
      <c r="G12" s="113"/>
      <c r="H12" s="113"/>
      <c r="I12" s="113"/>
      <c r="J12" s="112"/>
      <c r="K12" s="112"/>
      <c r="L12" s="112"/>
      <c r="M12" s="112"/>
      <c r="N12" s="114"/>
      <c r="O12" s="113"/>
      <c r="R12">
        <v>503</v>
      </c>
    </row>
    <row r="13" spans="1:25" x14ac:dyDescent="0.25">
      <c r="A13" s="86">
        <v>503</v>
      </c>
      <c r="B13" s="104" t="s">
        <v>84</v>
      </c>
      <c r="C13" s="113"/>
      <c r="D13" s="113"/>
      <c r="E13" s="113"/>
      <c r="F13" s="113"/>
      <c r="G13" s="113"/>
      <c r="H13" s="113"/>
      <c r="I13" s="113"/>
      <c r="J13" s="108"/>
      <c r="K13" s="113"/>
      <c r="L13" s="113"/>
      <c r="M13" s="113"/>
      <c r="N13" s="115"/>
      <c r="O13" s="113"/>
      <c r="S13" s="113">
        <v>2690440</v>
      </c>
      <c r="T13" t="s">
        <v>92</v>
      </c>
      <c r="U13" s="113">
        <v>2690440</v>
      </c>
    </row>
    <row r="14" spans="1:25" x14ac:dyDescent="0.25">
      <c r="A14" s="87" t="s">
        <v>64</v>
      </c>
      <c r="B14" t="s">
        <v>65</v>
      </c>
      <c r="C14" s="105">
        <v>180561</v>
      </c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6"/>
      <c r="O14" s="123"/>
      <c r="Q14" s="122" t="s">
        <v>90</v>
      </c>
      <c r="R14" s="108">
        <v>733829.58</v>
      </c>
      <c r="S14" s="112">
        <f>R14/S13</f>
        <v>0.27275448625503634</v>
      </c>
      <c r="U14" s="112">
        <f>R14/U13</f>
        <v>0.27275448625503634</v>
      </c>
      <c r="W14">
        <v>0.27277000000000001</v>
      </c>
      <c r="Y14" s="112">
        <f>W14-U14</f>
        <v>1.5513744963668863E-5</v>
      </c>
    </row>
    <row r="15" spans="1:25" x14ac:dyDescent="0.25">
      <c r="A15" s="87" t="s">
        <v>71</v>
      </c>
      <c r="B15" t="s">
        <v>70</v>
      </c>
      <c r="C15" s="116">
        <f>ROUND(1704721*0.26248,2)+ROUND(1252302*0.29484,2)</f>
        <v>816683.8899999999</v>
      </c>
      <c r="D15" s="105"/>
      <c r="E15" s="105"/>
      <c r="F15" s="105"/>
      <c r="G15" s="105"/>
      <c r="H15" s="105"/>
      <c r="I15" s="105"/>
      <c r="J15" s="116"/>
      <c r="K15" s="116"/>
      <c r="L15" s="116"/>
      <c r="M15" s="116"/>
      <c r="N15" s="106"/>
      <c r="O15" s="108"/>
      <c r="Q15" s="122" t="s">
        <v>91</v>
      </c>
      <c r="R15" s="108">
        <v>1498969.69</v>
      </c>
      <c r="S15" s="112">
        <f>R15/S13</f>
        <v>0.55714667117646177</v>
      </c>
      <c r="U15" s="112">
        <f>R15/U13</f>
        <v>0.55714667117646177</v>
      </c>
      <c r="W15">
        <v>0.55713000000000001</v>
      </c>
      <c r="Y15" s="112">
        <f>W15-U15</f>
        <v>-1.6671176461757753E-5</v>
      </c>
    </row>
    <row r="16" spans="1:25" x14ac:dyDescent="0.25">
      <c r="A16" s="87" t="s">
        <v>72</v>
      </c>
      <c r="B16" t="s">
        <v>114</v>
      </c>
      <c r="C16" s="124">
        <f>ROUND(1932887*0.29484,2)</f>
        <v>569892.4</v>
      </c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5"/>
      <c r="O16" s="108"/>
      <c r="Q16" s="122"/>
      <c r="R16" s="108"/>
      <c r="S16" s="112"/>
      <c r="U16" s="112"/>
      <c r="Y16" s="112"/>
    </row>
    <row r="17" spans="1:25" x14ac:dyDescent="0.25">
      <c r="A17" s="87" t="s">
        <v>72</v>
      </c>
      <c r="B17" t="s">
        <v>115</v>
      </c>
      <c r="C17" s="95">
        <f>-ROUND(1375271*0.26248,2)</f>
        <v>-360981.13</v>
      </c>
      <c r="D17" s="95">
        <f t="shared" ref="D17:I17" si="3">-C16</f>
        <v>-569892.4</v>
      </c>
      <c r="E17" s="95">
        <f t="shared" si="3"/>
        <v>0</v>
      </c>
      <c r="F17" s="95">
        <f t="shared" si="3"/>
        <v>0</v>
      </c>
      <c r="G17" s="95">
        <f t="shared" si="3"/>
        <v>0</v>
      </c>
      <c r="H17" s="95">
        <f t="shared" si="3"/>
        <v>0</v>
      </c>
      <c r="I17" s="95">
        <f t="shared" si="3"/>
        <v>0</v>
      </c>
      <c r="J17" s="95">
        <f>-I16</f>
        <v>0</v>
      </c>
      <c r="K17" s="95">
        <f>-J16</f>
        <v>0</v>
      </c>
      <c r="L17" s="95">
        <f>-K16</f>
        <v>0</v>
      </c>
      <c r="M17" s="95">
        <f>-L16</f>
        <v>0</v>
      </c>
      <c r="N17" s="107">
        <f>-M16</f>
        <v>0</v>
      </c>
    </row>
    <row r="18" spans="1:25" x14ac:dyDescent="0.25">
      <c r="A18" s="87"/>
      <c r="B18" s="89" t="s">
        <v>74</v>
      </c>
      <c r="C18" s="108">
        <f>SUM(C15:C17)</f>
        <v>1025595.16</v>
      </c>
      <c r="D18" s="108">
        <f t="shared" ref="D18:N18" si="4">SUM(D15:D17)</f>
        <v>-569892.4</v>
      </c>
      <c r="E18" s="108">
        <f t="shared" si="4"/>
        <v>0</v>
      </c>
      <c r="F18" s="108">
        <f t="shared" si="4"/>
        <v>0</v>
      </c>
      <c r="G18" s="108">
        <f t="shared" si="4"/>
        <v>0</v>
      </c>
      <c r="H18" s="108">
        <f t="shared" si="4"/>
        <v>0</v>
      </c>
      <c r="I18" s="108">
        <f t="shared" si="4"/>
        <v>0</v>
      </c>
      <c r="J18" s="108">
        <f t="shared" si="4"/>
        <v>0</v>
      </c>
      <c r="K18" s="108">
        <f t="shared" si="4"/>
        <v>0</v>
      </c>
      <c r="L18" s="108">
        <f t="shared" si="4"/>
        <v>0</v>
      </c>
      <c r="M18" s="108">
        <f t="shared" si="4"/>
        <v>0</v>
      </c>
      <c r="N18" s="109">
        <f t="shared" si="4"/>
        <v>0</v>
      </c>
      <c r="Q18" s="122"/>
      <c r="R18" s="108"/>
    </row>
    <row r="19" spans="1:25" x14ac:dyDescent="0.25">
      <c r="A19" s="87"/>
      <c r="B19" s="89" t="s">
        <v>116</v>
      </c>
      <c r="C19" s="108">
        <f>ROUND(C18*-0.00417,2)</f>
        <v>-4276.7299999999996</v>
      </c>
      <c r="D19" s="108">
        <f t="shared" ref="D19:N19" si="5">ROUND(D18*-0.00417,2)</f>
        <v>2376.4499999999998</v>
      </c>
      <c r="E19" s="108">
        <f t="shared" si="5"/>
        <v>0</v>
      </c>
      <c r="F19" s="108">
        <f t="shared" si="5"/>
        <v>0</v>
      </c>
      <c r="G19" s="108">
        <f t="shared" si="5"/>
        <v>0</v>
      </c>
      <c r="H19" s="108">
        <f t="shared" si="5"/>
        <v>0</v>
      </c>
      <c r="I19" s="108">
        <f t="shared" si="5"/>
        <v>0</v>
      </c>
      <c r="J19" s="108">
        <f t="shared" si="5"/>
        <v>0</v>
      </c>
      <c r="K19" s="108">
        <f t="shared" si="5"/>
        <v>0</v>
      </c>
      <c r="L19" s="108">
        <f t="shared" si="5"/>
        <v>0</v>
      </c>
      <c r="M19" s="108">
        <f t="shared" si="5"/>
        <v>0</v>
      </c>
      <c r="N19" s="109">
        <f t="shared" si="5"/>
        <v>0</v>
      </c>
      <c r="Q19" s="122"/>
      <c r="R19" s="108"/>
    </row>
    <row r="20" spans="1:25" x14ac:dyDescent="0.25">
      <c r="A20" s="87"/>
      <c r="B20" s="89" t="s">
        <v>73</v>
      </c>
      <c r="C20" s="88">
        <f>-'Authorized Margins (original)'!F41*'WACAP2016 (original)'!C14</f>
        <v>-819746.94000000006</v>
      </c>
      <c r="D20" s="88">
        <f>-'Authorized Margins (original)'!G41*'WACAP2016 (original)'!D14</f>
        <v>0</v>
      </c>
      <c r="E20" s="88">
        <f>-'Authorized Margins (original)'!H41*'WACAP2016 (original)'!E14</f>
        <v>0</v>
      </c>
      <c r="F20" s="88">
        <f>-'Authorized Margins (original)'!I41*'WACAP2016 (original)'!F14</f>
        <v>0</v>
      </c>
      <c r="G20" s="88">
        <f>-'Authorized Margins (original)'!J41*'WACAP2016 (original)'!G14</f>
        <v>0</v>
      </c>
      <c r="H20" s="88">
        <f>-'Authorized Margins (original)'!K41*'WACAP2016 (original)'!H14</f>
        <v>0</v>
      </c>
      <c r="I20" s="88">
        <f>-'Authorized Margins (original)'!L41*'WACAP2016 (original)'!I14</f>
        <v>0</v>
      </c>
      <c r="J20" s="88">
        <f>-'Authorized Margins (original)'!M41*'WACAP2016 (original)'!J14</f>
        <v>0</v>
      </c>
      <c r="K20" s="88">
        <f>-'Authorized Margins (original)'!N41*'WACAP2016 (original)'!K14</f>
        <v>0</v>
      </c>
      <c r="L20" s="88">
        <f>-'Authorized Margins (original)'!O41*'WACAP2016 (original)'!L14</f>
        <v>0</v>
      </c>
      <c r="M20" s="88">
        <f>-'Authorized Margins (original)'!D41*'WACAP2016 (original)'!M14</f>
        <v>0</v>
      </c>
      <c r="N20" s="110">
        <f>-'Authorized Margins (original)'!E41*'WACAP2016 (original)'!N14</f>
        <v>0</v>
      </c>
    </row>
    <row r="21" spans="1:25" x14ac:dyDescent="0.25">
      <c r="A21" s="87"/>
      <c r="B21" s="89" t="s">
        <v>75</v>
      </c>
      <c r="C21" s="90">
        <f>SUM(C18:C20)</f>
        <v>201571.49</v>
      </c>
      <c r="D21" s="90">
        <f t="shared" ref="D21:N21" si="6">SUM(D18:D20)</f>
        <v>-567515.95000000007</v>
      </c>
      <c r="E21" s="90">
        <f t="shared" si="6"/>
        <v>0</v>
      </c>
      <c r="F21" s="90">
        <f t="shared" si="6"/>
        <v>0</v>
      </c>
      <c r="G21" s="90">
        <f t="shared" si="6"/>
        <v>0</v>
      </c>
      <c r="H21" s="90">
        <f t="shared" si="6"/>
        <v>0</v>
      </c>
      <c r="I21" s="90">
        <f t="shared" si="6"/>
        <v>0</v>
      </c>
      <c r="J21" s="90">
        <f t="shared" si="6"/>
        <v>0</v>
      </c>
      <c r="K21" s="90">
        <f t="shared" si="6"/>
        <v>0</v>
      </c>
      <c r="L21" s="90">
        <f t="shared" si="6"/>
        <v>0</v>
      </c>
      <c r="M21" s="90">
        <f t="shared" si="6"/>
        <v>0</v>
      </c>
      <c r="N21" s="111">
        <f t="shared" si="6"/>
        <v>0</v>
      </c>
      <c r="S21" s="108">
        <f>ROUND(R26/W26,0)</f>
        <v>91095</v>
      </c>
    </row>
    <row r="22" spans="1:25" x14ac:dyDescent="0.25">
      <c r="A22" s="87"/>
      <c r="B22" s="89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111"/>
      <c r="Q22" s="122"/>
      <c r="R22" s="108"/>
      <c r="S22" s="108">
        <f>ROUND(R27/W27,0)</f>
        <v>302698</v>
      </c>
    </row>
    <row r="23" spans="1:25" x14ac:dyDescent="0.25">
      <c r="A23" s="86">
        <v>505</v>
      </c>
      <c r="B23" s="104" t="s">
        <v>85</v>
      </c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5"/>
      <c r="R23">
        <v>505</v>
      </c>
      <c r="S23" s="108">
        <f>ROUND(R28/W28,0)</f>
        <v>254801</v>
      </c>
      <c r="T23" s="108">
        <f>SUM(S21:S23)</f>
        <v>648594</v>
      </c>
    </row>
    <row r="24" spans="1:25" x14ac:dyDescent="0.25">
      <c r="A24" s="87" t="s">
        <v>64</v>
      </c>
      <c r="B24" t="s">
        <v>65</v>
      </c>
      <c r="C24" s="105">
        <v>449</v>
      </c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6"/>
      <c r="S24" s="113">
        <v>625251</v>
      </c>
      <c r="T24" t="s">
        <v>92</v>
      </c>
      <c r="U24" s="113">
        <v>625251</v>
      </c>
    </row>
    <row r="25" spans="1:25" x14ac:dyDescent="0.25">
      <c r="A25" s="87" t="s">
        <v>71</v>
      </c>
      <c r="B25" t="s">
        <v>117</v>
      </c>
      <c r="C25" s="116">
        <f>-ROUND(432396*0.00817,2)</f>
        <v>-3532.68</v>
      </c>
      <c r="D25" s="105"/>
      <c r="E25" s="105"/>
      <c r="F25" s="105"/>
      <c r="G25" s="105"/>
      <c r="H25" s="105"/>
      <c r="I25" s="105"/>
      <c r="J25" s="116"/>
      <c r="K25" s="105"/>
      <c r="L25" s="105"/>
      <c r="M25" s="105"/>
      <c r="N25" s="106"/>
      <c r="Q25" s="122" t="s">
        <v>90</v>
      </c>
      <c r="R25" s="108">
        <v>17165.09</v>
      </c>
      <c r="S25" s="112" t="e">
        <f>R25/S20</f>
        <v>#DIV/0!</v>
      </c>
      <c r="U25" s="112" t="e">
        <f>R25/S20</f>
        <v>#DIV/0!</v>
      </c>
      <c r="W25">
        <v>0.18842999999999999</v>
      </c>
      <c r="Y25" s="112" t="e">
        <f>W25-U25</f>
        <v>#DIV/0!</v>
      </c>
    </row>
    <row r="26" spans="1:25" x14ac:dyDescent="0.25">
      <c r="A26" s="87" t="s">
        <v>71</v>
      </c>
      <c r="B26" t="s">
        <v>95</v>
      </c>
      <c r="C26" s="116">
        <v>17165.09</v>
      </c>
      <c r="D26" s="105"/>
      <c r="E26" s="105"/>
      <c r="F26" s="105"/>
      <c r="G26" s="105"/>
      <c r="H26" s="105"/>
      <c r="I26" s="105"/>
      <c r="J26" s="116"/>
      <c r="K26" s="105"/>
      <c r="L26" s="105"/>
      <c r="M26" s="105"/>
      <c r="N26" s="106"/>
      <c r="Q26" s="122" t="s">
        <v>90</v>
      </c>
      <c r="R26" s="108">
        <v>17165.09</v>
      </c>
      <c r="S26" s="112">
        <f>R26/S21</f>
        <v>0.18843064932213624</v>
      </c>
      <c r="U26" s="112">
        <f>R26/S21</f>
        <v>0.18843064932213624</v>
      </c>
      <c r="W26">
        <v>0.18842999999999999</v>
      </c>
      <c r="Y26" s="112">
        <f>W26-U26</f>
        <v>-6.4932213625357171E-7</v>
      </c>
    </row>
    <row r="27" spans="1:25" x14ac:dyDescent="0.25">
      <c r="A27" s="87" t="s">
        <v>71</v>
      </c>
      <c r="B27" t="s">
        <v>97</v>
      </c>
      <c r="C27" s="116">
        <v>45934.49</v>
      </c>
      <c r="D27" s="105"/>
      <c r="E27" s="105"/>
      <c r="F27" s="105"/>
      <c r="G27" s="105"/>
      <c r="H27" s="105"/>
      <c r="I27" s="105"/>
      <c r="J27" s="116"/>
      <c r="K27" s="105"/>
      <c r="L27" s="105"/>
      <c r="M27" s="105"/>
      <c r="N27" s="106"/>
      <c r="Q27" s="122" t="s">
        <v>90</v>
      </c>
      <c r="R27" s="108">
        <v>45934.49</v>
      </c>
      <c r="S27" s="112">
        <f>R27/S22</f>
        <v>0.15175022629815854</v>
      </c>
      <c r="U27" s="112">
        <f>R27/S22</f>
        <v>0.15175022629815854</v>
      </c>
      <c r="W27">
        <v>0.15175</v>
      </c>
      <c r="Y27" s="112">
        <f>W27-U27</f>
        <v>-2.262981585454682E-7</v>
      </c>
    </row>
    <row r="28" spans="1:25" x14ac:dyDescent="0.25">
      <c r="A28" s="87" t="s">
        <v>71</v>
      </c>
      <c r="B28" t="s">
        <v>96</v>
      </c>
      <c r="C28" s="95">
        <v>37251.839999999997</v>
      </c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107"/>
      <c r="Q28" s="122" t="s">
        <v>90</v>
      </c>
      <c r="R28" s="108">
        <v>37251.839999999997</v>
      </c>
      <c r="S28" s="112">
        <f>R28/S23</f>
        <v>0.14619974018940271</v>
      </c>
      <c r="U28" s="112">
        <f>R28/S23</f>
        <v>0.14619974018940271</v>
      </c>
      <c r="W28">
        <v>0.1462</v>
      </c>
      <c r="Y28" s="112">
        <f>W28-U28</f>
        <v>2.5981059728619194E-7</v>
      </c>
    </row>
    <row r="29" spans="1:25" x14ac:dyDescent="0.25">
      <c r="A29" s="86"/>
      <c r="B29" s="89" t="s">
        <v>74</v>
      </c>
      <c r="C29" s="108">
        <f>SUM(C25:C28)</f>
        <v>96818.739999999991</v>
      </c>
      <c r="D29" s="108">
        <f t="shared" ref="D29:N29" si="7">SUM(D25:D28)</f>
        <v>0</v>
      </c>
      <c r="E29" s="108">
        <f t="shared" si="7"/>
        <v>0</v>
      </c>
      <c r="F29" s="108">
        <f t="shared" si="7"/>
        <v>0</v>
      </c>
      <c r="G29" s="108">
        <f t="shared" si="7"/>
        <v>0</v>
      </c>
      <c r="H29" s="108">
        <f t="shared" si="7"/>
        <v>0</v>
      </c>
      <c r="I29" s="108">
        <f t="shared" si="7"/>
        <v>0</v>
      </c>
      <c r="J29" s="108">
        <f t="shared" si="7"/>
        <v>0</v>
      </c>
      <c r="K29" s="108">
        <f t="shared" si="7"/>
        <v>0</v>
      </c>
      <c r="L29" s="108">
        <f t="shared" si="7"/>
        <v>0</v>
      </c>
      <c r="M29" s="108">
        <f t="shared" si="7"/>
        <v>0</v>
      </c>
      <c r="N29" s="126">
        <f t="shared" si="7"/>
        <v>0</v>
      </c>
      <c r="Q29" s="122" t="s">
        <v>91</v>
      </c>
      <c r="R29" s="108">
        <v>320937.03000000003</v>
      </c>
      <c r="S29" s="112">
        <f>R29/S24</f>
        <v>0.51329310948722995</v>
      </c>
      <c r="U29" s="112">
        <f>R29/U24</f>
        <v>0.51329310948722995</v>
      </c>
      <c r="W29">
        <v>0.45366000000000001</v>
      </c>
      <c r="Y29" s="112">
        <f>W29-U29</f>
        <v>-5.9633109487229941E-2</v>
      </c>
    </row>
    <row r="30" spans="1:25" x14ac:dyDescent="0.25">
      <c r="A30" s="86"/>
      <c r="B30" s="89" t="s">
        <v>116</v>
      </c>
      <c r="C30" s="108">
        <f>ROUND(C29*-0.00417,2)</f>
        <v>-403.73</v>
      </c>
      <c r="D30" s="108">
        <f t="shared" ref="D30:N30" si="8">ROUND(D29*-0.00417,2)</f>
        <v>0</v>
      </c>
      <c r="E30" s="108">
        <f t="shared" si="8"/>
        <v>0</v>
      </c>
      <c r="F30" s="108">
        <f t="shared" si="8"/>
        <v>0</v>
      </c>
      <c r="G30" s="108">
        <f t="shared" si="8"/>
        <v>0</v>
      </c>
      <c r="H30" s="108">
        <f t="shared" si="8"/>
        <v>0</v>
      </c>
      <c r="I30" s="108">
        <f t="shared" si="8"/>
        <v>0</v>
      </c>
      <c r="J30" s="108">
        <f t="shared" si="8"/>
        <v>0</v>
      </c>
      <c r="K30" s="108">
        <f t="shared" si="8"/>
        <v>0</v>
      </c>
      <c r="L30" s="108">
        <f t="shared" si="8"/>
        <v>0</v>
      </c>
      <c r="M30" s="108">
        <f t="shared" si="8"/>
        <v>0</v>
      </c>
      <c r="N30" s="109">
        <f t="shared" si="8"/>
        <v>0</v>
      </c>
      <c r="Q30" s="122"/>
      <c r="R30" s="108"/>
      <c r="S30" s="112"/>
      <c r="U30" s="112"/>
      <c r="Y30" s="112"/>
    </row>
    <row r="31" spans="1:25" x14ac:dyDescent="0.25">
      <c r="A31" s="86"/>
      <c r="B31" s="89" t="s">
        <v>73</v>
      </c>
      <c r="C31" s="88">
        <f>-'Authorized Margins (original)'!F60*'WACAP2016 (original)'!C24</f>
        <v>-98416.31</v>
      </c>
      <c r="D31" s="88">
        <f>-'Authorized Margins (original)'!G60*'WACAP2016 (original)'!D24</f>
        <v>0</v>
      </c>
      <c r="E31" s="88">
        <f>-'Authorized Margins (original)'!H60*'WACAP2016 (original)'!E24</f>
        <v>0</v>
      </c>
      <c r="F31" s="88">
        <f>-'Authorized Margins (original)'!I60*'WACAP2016 (original)'!F24</f>
        <v>0</v>
      </c>
      <c r="G31" s="88">
        <f>-'Authorized Margins (original)'!J60*'WACAP2016 (original)'!G24</f>
        <v>0</v>
      </c>
      <c r="H31" s="88">
        <f>-'Authorized Margins (original)'!K60*'WACAP2016 (original)'!H24</f>
        <v>0</v>
      </c>
      <c r="I31" s="88">
        <f>-'Authorized Margins (original)'!L60*'WACAP2016 (original)'!I24</f>
        <v>0</v>
      </c>
      <c r="J31" s="88">
        <f>-'Authorized Margins (original)'!M60*'WACAP2016 (original)'!J24</f>
        <v>0</v>
      </c>
      <c r="K31" s="88">
        <f>-'Authorized Margins (original)'!N60*'WACAP2016 (original)'!K24</f>
        <v>0</v>
      </c>
      <c r="L31" s="88">
        <f>-'Authorized Margins (original)'!O60*'WACAP2016 (original)'!L24</f>
        <v>0</v>
      </c>
      <c r="M31" s="88">
        <f>-'Authorized Margins (original)'!D60*'WACAP2016 (original)'!M24</f>
        <v>0</v>
      </c>
      <c r="N31" s="110">
        <f>-'Authorized Margins (original)'!E60*'WACAP2016 (original)'!N24</f>
        <v>0</v>
      </c>
    </row>
    <row r="32" spans="1:25" x14ac:dyDescent="0.25">
      <c r="A32" s="86"/>
      <c r="B32" s="89" t="s">
        <v>75</v>
      </c>
      <c r="C32" s="90">
        <f>SUM(C29:C31)</f>
        <v>-2001.3000000000029</v>
      </c>
      <c r="D32" s="90">
        <f t="shared" ref="D32:N32" si="9">SUM(D29:D31)</f>
        <v>0</v>
      </c>
      <c r="E32" s="90">
        <f t="shared" si="9"/>
        <v>0</v>
      </c>
      <c r="F32" s="90">
        <f t="shared" si="9"/>
        <v>0</v>
      </c>
      <c r="G32" s="90">
        <f t="shared" si="9"/>
        <v>0</v>
      </c>
      <c r="H32" s="90">
        <f t="shared" si="9"/>
        <v>0</v>
      </c>
      <c r="I32" s="90">
        <f t="shared" si="9"/>
        <v>0</v>
      </c>
      <c r="J32" s="90">
        <f t="shared" si="9"/>
        <v>0</v>
      </c>
      <c r="K32" s="90">
        <f t="shared" si="9"/>
        <v>0</v>
      </c>
      <c r="L32" s="90">
        <f t="shared" si="9"/>
        <v>0</v>
      </c>
      <c r="M32" s="90">
        <f t="shared" si="9"/>
        <v>0</v>
      </c>
      <c r="N32" s="111">
        <f t="shared" si="9"/>
        <v>0</v>
      </c>
      <c r="S32" s="108">
        <f>ROUND(R37/W37,0)</f>
        <v>106749</v>
      </c>
    </row>
    <row r="33" spans="1:25" x14ac:dyDescent="0.25">
      <c r="A33" s="86"/>
      <c r="B33" s="89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111"/>
      <c r="Q33" s="122"/>
      <c r="R33" s="108"/>
      <c r="S33" s="108">
        <f>ROUND(R38/W38,0)</f>
        <v>228106</v>
      </c>
    </row>
    <row r="34" spans="1:25" x14ac:dyDescent="0.25">
      <c r="A34" s="86">
        <v>511</v>
      </c>
      <c r="B34" s="104" t="s">
        <v>85</v>
      </c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5"/>
      <c r="R34">
        <v>511</v>
      </c>
      <c r="S34" s="108">
        <f>ROUND(R39/W39,0)</f>
        <v>16885</v>
      </c>
      <c r="T34" s="108">
        <f>SUM(S32:S34)</f>
        <v>351740</v>
      </c>
    </row>
    <row r="35" spans="1:25" x14ac:dyDescent="0.25">
      <c r="A35" s="87" t="s">
        <v>64</v>
      </c>
      <c r="B35" t="s">
        <v>65</v>
      </c>
      <c r="C35" s="105">
        <v>12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S35" s="113">
        <v>351740</v>
      </c>
      <c r="T35" t="s">
        <v>92</v>
      </c>
      <c r="U35" s="113">
        <v>351740</v>
      </c>
    </row>
    <row r="36" spans="1:25" x14ac:dyDescent="0.25">
      <c r="A36" s="87" t="s">
        <v>71</v>
      </c>
      <c r="B36" t="s">
        <v>117</v>
      </c>
      <c r="C36" s="116">
        <f>-ROUND(104727*0.00647,2)</f>
        <v>-677.58</v>
      </c>
      <c r="D36" s="105"/>
      <c r="E36" s="105"/>
      <c r="F36" s="105"/>
      <c r="G36" s="105"/>
      <c r="H36" s="105"/>
      <c r="I36" s="105"/>
      <c r="J36" s="116"/>
      <c r="K36" s="105"/>
      <c r="L36" s="105"/>
      <c r="M36" s="105"/>
      <c r="N36" s="106"/>
      <c r="Q36" s="122" t="s">
        <v>90</v>
      </c>
      <c r="R36" s="108">
        <v>17165.09</v>
      </c>
      <c r="S36" s="112" t="e">
        <f>R36/S31</f>
        <v>#DIV/0!</v>
      </c>
      <c r="U36" s="112" t="e">
        <f>R36/S31</f>
        <v>#DIV/0!</v>
      </c>
      <c r="W36">
        <v>0.18842999999999999</v>
      </c>
      <c r="Y36" s="112" t="e">
        <f>W36-U36</f>
        <v>#DIV/0!</v>
      </c>
    </row>
    <row r="37" spans="1:25" x14ac:dyDescent="0.25">
      <c r="A37" s="87" t="s">
        <v>71</v>
      </c>
      <c r="B37" t="s">
        <v>98</v>
      </c>
      <c r="C37" s="116">
        <v>14678.8</v>
      </c>
      <c r="D37" s="105"/>
      <c r="E37" s="105"/>
      <c r="F37" s="105"/>
      <c r="G37" s="105"/>
      <c r="H37" s="105"/>
      <c r="I37" s="105"/>
      <c r="J37" s="116"/>
      <c r="K37" s="105"/>
      <c r="L37" s="105"/>
      <c r="M37" s="105"/>
      <c r="N37" s="106"/>
      <c r="Q37" s="122" t="s">
        <v>90</v>
      </c>
      <c r="R37" s="108">
        <v>16276.01</v>
      </c>
      <c r="S37" s="112">
        <f>R37/S32</f>
        <v>0.15246990604127439</v>
      </c>
      <c r="U37" s="112">
        <f>R37/S32</f>
        <v>0.15246990604127439</v>
      </c>
      <c r="W37">
        <v>0.15246999999999999</v>
      </c>
      <c r="Y37" s="112">
        <f>W37-U37</f>
        <v>9.3958725605469695E-8</v>
      </c>
    </row>
    <row r="38" spans="1:25" x14ac:dyDescent="0.25">
      <c r="A38" s="87" t="s">
        <v>71</v>
      </c>
      <c r="B38" t="s">
        <v>99</v>
      </c>
      <c r="C38" s="116">
        <v>18361.490000000002</v>
      </c>
      <c r="D38" s="105"/>
      <c r="E38" s="105"/>
      <c r="F38" s="105"/>
      <c r="G38" s="105"/>
      <c r="H38" s="105"/>
      <c r="I38" s="105"/>
      <c r="J38" s="116"/>
      <c r="K38" s="105"/>
      <c r="L38" s="105"/>
      <c r="M38" s="105"/>
      <c r="N38" s="106"/>
      <c r="Q38" s="122" t="s">
        <v>90</v>
      </c>
      <c r="R38" s="108">
        <v>26567.51</v>
      </c>
      <c r="S38" s="112">
        <f>R38/S33</f>
        <v>0.11647001832481389</v>
      </c>
      <c r="U38" s="112">
        <f>R38/S33</f>
        <v>0.11647001832481389</v>
      </c>
      <c r="W38">
        <v>0.11647</v>
      </c>
      <c r="Y38" s="112">
        <f>W38-U38</f>
        <v>-1.8324813888526137E-8</v>
      </c>
    </row>
    <row r="39" spans="1:25" x14ac:dyDescent="0.25">
      <c r="A39" s="87" t="s">
        <v>71</v>
      </c>
      <c r="B39" t="s">
        <v>100</v>
      </c>
      <c r="C39" s="95">
        <v>49.12</v>
      </c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107"/>
      <c r="Q39" s="122" t="s">
        <v>90</v>
      </c>
      <c r="R39" s="108">
        <v>462.99</v>
      </c>
      <c r="S39" s="112">
        <f>R39/S34</f>
        <v>2.7420195439739413E-2</v>
      </c>
      <c r="U39" s="112">
        <f>R39/S34</f>
        <v>2.7420195439739413E-2</v>
      </c>
      <c r="W39">
        <v>2.742E-2</v>
      </c>
      <c r="Y39" s="112">
        <f>W39-U39</f>
        <v>-1.9543973941299475E-7</v>
      </c>
    </row>
    <row r="40" spans="1:25" x14ac:dyDescent="0.25">
      <c r="A40" s="87"/>
      <c r="B40" s="89" t="s">
        <v>74</v>
      </c>
      <c r="C40" s="108">
        <f>SUM(C36:C39)</f>
        <v>32411.829999999998</v>
      </c>
      <c r="D40" s="108">
        <f t="shared" ref="D40:N40" si="10">SUM(D36:D39)</f>
        <v>0</v>
      </c>
      <c r="E40" s="108">
        <f t="shared" si="10"/>
        <v>0</v>
      </c>
      <c r="F40" s="108">
        <f t="shared" si="10"/>
        <v>0</v>
      </c>
      <c r="G40" s="108">
        <f t="shared" si="10"/>
        <v>0</v>
      </c>
      <c r="H40" s="108">
        <f t="shared" si="10"/>
        <v>0</v>
      </c>
      <c r="I40" s="108">
        <f t="shared" si="10"/>
        <v>0</v>
      </c>
      <c r="J40" s="108">
        <f t="shared" si="10"/>
        <v>0</v>
      </c>
      <c r="K40" s="108">
        <f t="shared" si="10"/>
        <v>0</v>
      </c>
      <c r="L40" s="108">
        <f t="shared" si="10"/>
        <v>0</v>
      </c>
      <c r="M40" s="108">
        <f t="shared" si="10"/>
        <v>0</v>
      </c>
      <c r="N40" s="126">
        <f t="shared" si="10"/>
        <v>0</v>
      </c>
      <c r="Q40" s="122" t="s">
        <v>91</v>
      </c>
      <c r="R40" s="108">
        <v>189900.92</v>
      </c>
      <c r="S40" s="112">
        <f>R40/S35</f>
        <v>0.53989003241030309</v>
      </c>
      <c r="U40" s="112">
        <f>R40/U35</f>
        <v>0.53989003241030309</v>
      </c>
      <c r="W40">
        <v>0.53988999999999998</v>
      </c>
      <c r="Y40" s="112">
        <f>W40-U40</f>
        <v>-3.2410303107965888E-8</v>
      </c>
    </row>
    <row r="41" spans="1:25" x14ac:dyDescent="0.25">
      <c r="A41" s="87"/>
      <c r="B41" s="89" t="s">
        <v>116</v>
      </c>
      <c r="C41" s="108">
        <f>ROUND(C40*-0.00417,2)</f>
        <v>-135.16</v>
      </c>
      <c r="D41" s="108">
        <f t="shared" ref="D41:N41" si="11">ROUND(D40*-0.00417,2)</f>
        <v>0</v>
      </c>
      <c r="E41" s="108">
        <f t="shared" si="11"/>
        <v>0</v>
      </c>
      <c r="F41" s="108">
        <f t="shared" si="11"/>
        <v>0</v>
      </c>
      <c r="G41" s="108">
        <f t="shared" si="11"/>
        <v>0</v>
      </c>
      <c r="H41" s="108">
        <f t="shared" si="11"/>
        <v>0</v>
      </c>
      <c r="I41" s="108">
        <f t="shared" si="11"/>
        <v>0</v>
      </c>
      <c r="J41" s="108">
        <f t="shared" si="11"/>
        <v>0</v>
      </c>
      <c r="K41" s="108">
        <f t="shared" si="11"/>
        <v>0</v>
      </c>
      <c r="L41" s="108">
        <f t="shared" si="11"/>
        <v>0</v>
      </c>
      <c r="M41" s="108">
        <f t="shared" si="11"/>
        <v>0</v>
      </c>
      <c r="N41" s="109">
        <f t="shared" si="11"/>
        <v>0</v>
      </c>
      <c r="Q41" s="122"/>
      <c r="R41" s="108"/>
      <c r="S41" s="112"/>
      <c r="U41" s="112"/>
      <c r="Y41" s="112"/>
    </row>
    <row r="42" spans="1:25" x14ac:dyDescent="0.25">
      <c r="A42" s="87"/>
      <c r="B42" s="89" t="s">
        <v>73</v>
      </c>
      <c r="C42" s="88">
        <f>-'Authorized Margins (original)'!F73*'WACAP2016 (original)'!C35</f>
        <v>-5474.28</v>
      </c>
      <c r="D42" s="88">
        <f>-'Authorized Margins (original)'!G73*'WACAP2016 (original)'!D35</f>
        <v>0</v>
      </c>
      <c r="E42" s="88">
        <f>-'Authorized Margins (original)'!H73*'WACAP2016 (original)'!E35</f>
        <v>0</v>
      </c>
      <c r="F42" s="88">
        <f>-'Authorized Margins (original)'!I73*'WACAP2016 (original)'!F35</f>
        <v>0</v>
      </c>
      <c r="G42" s="88">
        <f>-'Authorized Margins (original)'!J73*'WACAP2016 (original)'!G35</f>
        <v>0</v>
      </c>
      <c r="H42" s="88">
        <f>-'Authorized Margins (original)'!K73*'WACAP2016 (original)'!H35</f>
        <v>0</v>
      </c>
      <c r="I42" s="88">
        <f>-'Authorized Margins (original)'!L73*'WACAP2016 (original)'!I35</f>
        <v>0</v>
      </c>
      <c r="J42" s="88">
        <f>-'Authorized Margins (original)'!M73*'WACAP2016 (original)'!J35</f>
        <v>0</v>
      </c>
      <c r="K42" s="88">
        <f>-'Authorized Margins (original)'!N73*'WACAP2016 (original)'!K35</f>
        <v>0</v>
      </c>
      <c r="L42" s="88">
        <f>-'Authorized Margins (original)'!O73*'WACAP2016 (original)'!L35</f>
        <v>0</v>
      </c>
      <c r="M42" s="88">
        <f>-'Authorized Margins (original)'!D73*'WACAP2016 (original)'!M35</f>
        <v>0</v>
      </c>
      <c r="N42" s="110">
        <f>-'Authorized Margins (original)'!E73*'WACAP2016 (original)'!N35</f>
        <v>0</v>
      </c>
    </row>
    <row r="43" spans="1:25" x14ac:dyDescent="0.25">
      <c r="A43" s="87"/>
      <c r="B43" s="89" t="s">
        <v>75</v>
      </c>
      <c r="C43" s="90">
        <f>SUM(C40:C42)</f>
        <v>26802.39</v>
      </c>
      <c r="D43" s="90">
        <f t="shared" ref="D43:N43" si="12">SUM(D40:D42)</f>
        <v>0</v>
      </c>
      <c r="E43" s="90">
        <f t="shared" si="12"/>
        <v>0</v>
      </c>
      <c r="F43" s="90">
        <f t="shared" si="12"/>
        <v>0</v>
      </c>
      <c r="G43" s="90">
        <f t="shared" si="12"/>
        <v>0</v>
      </c>
      <c r="H43" s="90">
        <f t="shared" si="12"/>
        <v>0</v>
      </c>
      <c r="I43" s="90">
        <f t="shared" si="12"/>
        <v>0</v>
      </c>
      <c r="J43" s="90">
        <f t="shared" si="12"/>
        <v>0</v>
      </c>
      <c r="K43" s="90">
        <f t="shared" si="12"/>
        <v>0</v>
      </c>
      <c r="L43" s="90">
        <f t="shared" si="12"/>
        <v>0</v>
      </c>
      <c r="M43" s="90">
        <f t="shared" si="12"/>
        <v>0</v>
      </c>
      <c r="N43" s="111">
        <f t="shared" si="12"/>
        <v>0</v>
      </c>
    </row>
    <row r="44" spans="1:25" x14ac:dyDescent="0.25">
      <c r="A44" s="86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5"/>
    </row>
    <row r="45" spans="1:25" x14ac:dyDescent="0.25">
      <c r="A45" s="86">
        <v>504</v>
      </c>
      <c r="B45" s="104" t="s">
        <v>86</v>
      </c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5"/>
      <c r="R45">
        <v>504</v>
      </c>
    </row>
    <row r="46" spans="1:25" x14ac:dyDescent="0.25">
      <c r="A46" s="87" t="s">
        <v>64</v>
      </c>
      <c r="B46" t="s">
        <v>65</v>
      </c>
      <c r="C46" s="105">
        <v>25279</v>
      </c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6"/>
      <c r="S46" s="113">
        <v>2616972</v>
      </c>
      <c r="T46" t="s">
        <v>92</v>
      </c>
      <c r="U46" s="113">
        <v>2616972</v>
      </c>
    </row>
    <row r="47" spans="1:25" x14ac:dyDescent="0.25">
      <c r="A47" s="87" t="s">
        <v>71</v>
      </c>
      <c r="B47" t="s">
        <v>70</v>
      </c>
      <c r="C47" s="116">
        <f>ROUND(1732644*0.23179,2)+ROUND(1112650*0.24608,2)</f>
        <v>675410.46</v>
      </c>
      <c r="D47" s="105"/>
      <c r="E47" s="105"/>
      <c r="F47" s="105"/>
      <c r="G47" s="105"/>
      <c r="H47" s="105"/>
      <c r="I47" s="105"/>
      <c r="J47" s="116"/>
      <c r="K47" s="105"/>
      <c r="L47" s="105"/>
      <c r="M47" s="105"/>
      <c r="N47" s="106"/>
      <c r="Q47" s="122" t="s">
        <v>90</v>
      </c>
      <c r="R47" s="108">
        <v>633203.47</v>
      </c>
      <c r="S47" s="112">
        <f>R47/S46</f>
        <v>0.24196035341608546</v>
      </c>
      <c r="U47" s="112">
        <f>R47/U46</f>
        <v>0.24196035341608546</v>
      </c>
      <c r="W47">
        <v>0.24196000000000001</v>
      </c>
      <c r="Y47" s="112">
        <f t="shared" ref="Y47" si="13">W47-U47</f>
        <v>-3.5341608545236269E-7</v>
      </c>
    </row>
    <row r="48" spans="1:25" x14ac:dyDescent="0.25">
      <c r="A48" s="87" t="s">
        <v>72</v>
      </c>
      <c r="B48" t="s">
        <v>114</v>
      </c>
      <c r="C48" s="124">
        <f>ROUND(ROUND(1995442*0.9152,0)*0.24608,2)</f>
        <v>449398.43</v>
      </c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5"/>
      <c r="Q48" s="122" t="s">
        <v>91</v>
      </c>
      <c r="R48" s="108">
        <v>1450398.59</v>
      </c>
      <c r="S48" s="112">
        <f>R48/S46</f>
        <v>0.55422778310199727</v>
      </c>
      <c r="U48" s="112">
        <f>R48/U46</f>
        <v>0.55422778310199727</v>
      </c>
      <c r="W48">
        <v>0.55423</v>
      </c>
      <c r="Y48" s="112">
        <f>W48-U48</f>
        <v>2.2168980027270635E-6</v>
      </c>
    </row>
    <row r="49" spans="1:25" x14ac:dyDescent="0.25">
      <c r="A49" s="87" t="s">
        <v>72</v>
      </c>
      <c r="B49" t="s">
        <v>115</v>
      </c>
      <c r="C49" s="95">
        <f>-ROUND(ROUND(1415857*0.9262,0)*0.23179,2)</f>
        <v>-303961.76</v>
      </c>
      <c r="D49" s="95">
        <f t="shared" ref="D49:I49" si="14">-C48</f>
        <v>-449398.43</v>
      </c>
      <c r="E49" s="95">
        <f t="shared" si="14"/>
        <v>0</v>
      </c>
      <c r="F49" s="95">
        <f t="shared" si="14"/>
        <v>0</v>
      </c>
      <c r="G49" s="95">
        <f t="shared" si="14"/>
        <v>0</v>
      </c>
      <c r="H49" s="95">
        <f t="shared" si="14"/>
        <v>0</v>
      </c>
      <c r="I49" s="95">
        <f t="shared" si="14"/>
        <v>0</v>
      </c>
      <c r="J49" s="95">
        <f>-I48</f>
        <v>0</v>
      </c>
      <c r="K49" s="95">
        <f>-J48</f>
        <v>0</v>
      </c>
      <c r="L49" s="95">
        <f>-K48</f>
        <v>0</v>
      </c>
      <c r="M49" s="95">
        <f>-L48</f>
        <v>0</v>
      </c>
      <c r="N49" s="107">
        <f>-M48</f>
        <v>0</v>
      </c>
      <c r="Q49" s="122"/>
      <c r="R49" s="108"/>
      <c r="S49" s="112"/>
      <c r="U49" s="112"/>
      <c r="Y49" s="112"/>
    </row>
    <row r="50" spans="1:25" x14ac:dyDescent="0.25">
      <c r="A50" s="87"/>
      <c r="B50" s="89" t="s">
        <v>74</v>
      </c>
      <c r="C50" s="108">
        <f>SUM(C47:C49)</f>
        <v>820847.12999999989</v>
      </c>
      <c r="D50" s="108">
        <f t="shared" ref="D50:N50" si="15">SUM(D47:D49)</f>
        <v>-449398.43</v>
      </c>
      <c r="E50" s="108">
        <f t="shared" si="15"/>
        <v>0</v>
      </c>
      <c r="F50" s="108">
        <f t="shared" si="15"/>
        <v>0</v>
      </c>
      <c r="G50" s="108">
        <f t="shared" si="15"/>
        <v>0</v>
      </c>
      <c r="H50" s="108">
        <f t="shared" si="15"/>
        <v>0</v>
      </c>
      <c r="I50" s="108">
        <f t="shared" si="15"/>
        <v>0</v>
      </c>
      <c r="J50" s="108">
        <f>SUM(J47:J49)</f>
        <v>0</v>
      </c>
      <c r="K50" s="108">
        <f t="shared" si="15"/>
        <v>0</v>
      </c>
      <c r="L50" s="108">
        <f t="shared" si="15"/>
        <v>0</v>
      </c>
      <c r="M50" s="108">
        <f t="shared" si="15"/>
        <v>0</v>
      </c>
      <c r="N50" s="109">
        <f t="shared" si="15"/>
        <v>0</v>
      </c>
    </row>
    <row r="51" spans="1:25" x14ac:dyDescent="0.25">
      <c r="A51" s="87"/>
      <c r="B51" s="89" t="s">
        <v>116</v>
      </c>
      <c r="C51" s="108">
        <f>ROUND(C50*-0.00417,2)</f>
        <v>-3422.93</v>
      </c>
      <c r="D51" s="108">
        <f t="shared" ref="D51:N51" si="16">ROUND(D50*-0.00417,2)</f>
        <v>1873.99</v>
      </c>
      <c r="E51" s="108">
        <f t="shared" si="16"/>
        <v>0</v>
      </c>
      <c r="F51" s="108">
        <f t="shared" si="16"/>
        <v>0</v>
      </c>
      <c r="G51" s="108">
        <f t="shared" si="16"/>
        <v>0</v>
      </c>
      <c r="H51" s="108">
        <f t="shared" si="16"/>
        <v>0</v>
      </c>
      <c r="I51" s="108">
        <f t="shared" si="16"/>
        <v>0</v>
      </c>
      <c r="J51" s="108">
        <f t="shared" si="16"/>
        <v>0</v>
      </c>
      <c r="K51" s="108">
        <f t="shared" si="16"/>
        <v>0</v>
      </c>
      <c r="L51" s="108">
        <f t="shared" si="16"/>
        <v>0</v>
      </c>
      <c r="M51" s="108">
        <f t="shared" si="16"/>
        <v>0</v>
      </c>
      <c r="N51" s="109">
        <f t="shared" si="16"/>
        <v>0</v>
      </c>
    </row>
    <row r="52" spans="1:25" x14ac:dyDescent="0.25">
      <c r="A52" s="87"/>
      <c r="B52" s="89" t="s">
        <v>73</v>
      </c>
      <c r="C52" s="88">
        <f>-'Authorized Margins (original)'!F47*'WACAP2016 (original)'!C46</f>
        <v>-671157.45000000007</v>
      </c>
      <c r="D52" s="88">
        <f>-'Authorized Margins (original)'!G47*'WACAP2016 (original)'!D46</f>
        <v>0</v>
      </c>
      <c r="E52" s="88">
        <f>-'Authorized Margins (original)'!H47*'WACAP2016 (original)'!E46</f>
        <v>0</v>
      </c>
      <c r="F52" s="88">
        <f>-'Authorized Margins (original)'!I47*'WACAP2016 (original)'!F46</f>
        <v>0</v>
      </c>
      <c r="G52" s="88">
        <f>-'Authorized Margins (original)'!J47*'WACAP2016 (original)'!G46</f>
        <v>0</v>
      </c>
      <c r="H52" s="88">
        <f>-'Authorized Margins (original)'!K47*'WACAP2016 (original)'!H46</f>
        <v>0</v>
      </c>
      <c r="I52" s="88">
        <f>-'Authorized Margins (original)'!L47*'WACAP2016 (original)'!I46</f>
        <v>0</v>
      </c>
      <c r="J52" s="88">
        <f>-'Authorized Margins (original)'!M47*'WACAP2016 (original)'!J46</f>
        <v>0</v>
      </c>
      <c r="K52" s="88">
        <f>-'Authorized Margins (original)'!N47*'WACAP2016 (original)'!K46</f>
        <v>0</v>
      </c>
      <c r="L52" s="88">
        <f>-'Authorized Margins (original)'!O47*'WACAP2016 (original)'!L46</f>
        <v>0</v>
      </c>
      <c r="M52" s="88">
        <f>-'Authorized Margins (original)'!D47*'WACAP2016 (original)'!M46</f>
        <v>0</v>
      </c>
      <c r="N52" s="110">
        <f>-'Authorized Margins (original)'!E47*'WACAP2016 (original)'!N46</f>
        <v>0</v>
      </c>
    </row>
    <row r="53" spans="1:25" x14ac:dyDescent="0.25">
      <c r="A53" s="87"/>
      <c r="B53" s="89" t="s">
        <v>75</v>
      </c>
      <c r="C53" s="90">
        <f>SUM(C50:C52)</f>
        <v>146266.74999999977</v>
      </c>
      <c r="D53" s="90">
        <f t="shared" ref="D53:N53" si="17">SUM(D50:D52)</f>
        <v>-447524.44</v>
      </c>
      <c r="E53" s="90">
        <f t="shared" si="17"/>
        <v>0</v>
      </c>
      <c r="F53" s="90">
        <f t="shared" si="17"/>
        <v>0</v>
      </c>
      <c r="G53" s="90">
        <f t="shared" si="17"/>
        <v>0</v>
      </c>
      <c r="H53" s="90">
        <f t="shared" si="17"/>
        <v>0</v>
      </c>
      <c r="I53" s="90">
        <f t="shared" si="17"/>
        <v>0</v>
      </c>
      <c r="J53" s="90">
        <f t="shared" si="17"/>
        <v>0</v>
      </c>
      <c r="K53" s="90">
        <f t="shared" si="17"/>
        <v>0</v>
      </c>
      <c r="L53" s="90">
        <f t="shared" si="17"/>
        <v>0</v>
      </c>
      <c r="M53" s="90">
        <f t="shared" si="17"/>
        <v>0</v>
      </c>
      <c r="N53" s="111">
        <f t="shared" si="17"/>
        <v>0</v>
      </c>
      <c r="S53" s="108">
        <f>ROUND(R58/W58,0)</f>
        <v>194529</v>
      </c>
    </row>
    <row r="54" spans="1:25" x14ac:dyDescent="0.25">
      <c r="A54" s="87"/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111"/>
      <c r="Q54" s="122"/>
      <c r="R54" s="108"/>
      <c r="S54" s="108">
        <f>ROUND(R59/W59,0)</f>
        <v>13854</v>
      </c>
    </row>
    <row r="55" spans="1:25" x14ac:dyDescent="0.25">
      <c r="A55" s="86">
        <v>511</v>
      </c>
      <c r="B55" s="104" t="s">
        <v>86</v>
      </c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5"/>
      <c r="R55">
        <v>511</v>
      </c>
      <c r="S55" s="108">
        <f>ROUND(R60/W60,0)</f>
        <v>0</v>
      </c>
      <c r="T55" s="108">
        <f>SUM(S53:S55)</f>
        <v>208383</v>
      </c>
    </row>
    <row r="56" spans="1:25" x14ac:dyDescent="0.25">
      <c r="A56" s="87" t="s">
        <v>64</v>
      </c>
      <c r="B56" t="s">
        <v>65</v>
      </c>
      <c r="C56" s="105">
        <v>74</v>
      </c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6"/>
      <c r="S56" s="113">
        <v>208383</v>
      </c>
      <c r="T56" t="s">
        <v>92</v>
      </c>
      <c r="U56" s="113">
        <v>208383</v>
      </c>
    </row>
    <row r="57" spans="1:25" x14ac:dyDescent="0.25">
      <c r="A57" s="87" t="s">
        <v>71</v>
      </c>
      <c r="B57" t="s">
        <v>117</v>
      </c>
      <c r="C57" s="116">
        <f>-ROUND(105563*0.00647,2)</f>
        <v>-682.99</v>
      </c>
      <c r="D57" s="105"/>
      <c r="E57" s="105"/>
      <c r="F57" s="105"/>
      <c r="G57" s="105"/>
      <c r="H57" s="105"/>
      <c r="I57" s="105"/>
      <c r="J57" s="116"/>
      <c r="K57" s="105"/>
      <c r="L57" s="105"/>
      <c r="M57" s="105"/>
      <c r="N57" s="106"/>
      <c r="Q57" s="122" t="s">
        <v>90</v>
      </c>
      <c r="R57" s="108">
        <v>17165.09</v>
      </c>
      <c r="S57" s="112" t="e">
        <f>R57/S52</f>
        <v>#DIV/0!</v>
      </c>
      <c r="U57" s="112" t="e">
        <f>R57/S52</f>
        <v>#DIV/0!</v>
      </c>
      <c r="W57">
        <v>0.18842999999999999</v>
      </c>
      <c r="Y57" s="112" t="e">
        <f>W57-U57</f>
        <v>#DIV/0!</v>
      </c>
    </row>
    <row r="58" spans="1:25" x14ac:dyDescent="0.25">
      <c r="A58" s="87" t="s">
        <v>71</v>
      </c>
      <c r="B58" t="s">
        <v>98</v>
      </c>
      <c r="C58" s="116">
        <v>33970.879999999997</v>
      </c>
      <c r="D58" s="105"/>
      <c r="E58" s="105"/>
      <c r="F58" s="105"/>
      <c r="G58" s="105"/>
      <c r="H58" s="105"/>
      <c r="I58" s="105"/>
      <c r="J58" s="116"/>
      <c r="K58" s="105"/>
      <c r="L58" s="105"/>
      <c r="M58" s="105"/>
      <c r="N58" s="106"/>
      <c r="Q58" s="122" t="s">
        <v>90</v>
      </c>
      <c r="R58" s="108">
        <v>29659.85</v>
      </c>
      <c r="S58" s="112">
        <f>R58/S53</f>
        <v>0.15247006873011221</v>
      </c>
      <c r="U58" s="112">
        <f>R58/S53</f>
        <v>0.15247006873011221</v>
      </c>
      <c r="W58">
        <v>0.15246999999999999</v>
      </c>
      <c r="Y58" s="112">
        <f>W58-U58</f>
        <v>-6.8730112212644912E-8</v>
      </c>
    </row>
    <row r="59" spans="1:25" x14ac:dyDescent="0.25">
      <c r="A59" s="87" t="s">
        <v>71</v>
      </c>
      <c r="B59" t="s">
        <v>99</v>
      </c>
      <c r="C59" s="116">
        <v>4356.18</v>
      </c>
      <c r="D59" s="105"/>
      <c r="E59" s="105"/>
      <c r="F59" s="105"/>
      <c r="G59" s="105"/>
      <c r="H59" s="105"/>
      <c r="I59" s="105"/>
      <c r="J59" s="116"/>
      <c r="K59" s="105"/>
      <c r="L59" s="105"/>
      <c r="M59" s="105"/>
      <c r="N59" s="106"/>
      <c r="Q59" s="122" t="s">
        <v>90</v>
      </c>
      <c r="R59" s="108">
        <v>1613.58</v>
      </c>
      <c r="S59" s="112">
        <f>R59/S54</f>
        <v>0.11647033347769596</v>
      </c>
      <c r="U59" s="112">
        <f>R59/S54</f>
        <v>0.11647033347769596</v>
      </c>
      <c r="W59">
        <v>0.11647</v>
      </c>
      <c r="Y59" s="112">
        <f>W59-U59</f>
        <v>-3.3347769595737375E-7</v>
      </c>
    </row>
    <row r="60" spans="1:25" x14ac:dyDescent="0.25">
      <c r="A60" s="87" t="s">
        <v>71</v>
      </c>
      <c r="B60" t="s">
        <v>100</v>
      </c>
      <c r="C60" s="116">
        <v>0</v>
      </c>
      <c r="D60" s="105"/>
      <c r="E60" s="105"/>
      <c r="F60" s="105"/>
      <c r="G60" s="105"/>
      <c r="H60" s="105"/>
      <c r="I60" s="105"/>
      <c r="J60" s="116"/>
      <c r="K60" s="105"/>
      <c r="L60" s="105"/>
      <c r="M60" s="105"/>
      <c r="N60" s="106"/>
      <c r="Q60" s="122" t="s">
        <v>90</v>
      </c>
      <c r="R60" s="108">
        <v>0</v>
      </c>
      <c r="S60" s="112" t="e">
        <f>R60/S55</f>
        <v>#DIV/0!</v>
      </c>
      <c r="U60" s="112" t="e">
        <f>R60/S55</f>
        <v>#DIV/0!</v>
      </c>
      <c r="W60">
        <v>2.742E-2</v>
      </c>
      <c r="Y60" s="112" t="e">
        <f t="shared" ref="Y60" si="18">W60-U60</f>
        <v>#DIV/0!</v>
      </c>
    </row>
    <row r="61" spans="1:25" x14ac:dyDescent="0.25">
      <c r="A61" s="87" t="s">
        <v>72</v>
      </c>
      <c r="B61" t="s">
        <v>114</v>
      </c>
      <c r="C61" s="124">
        <f>ROUND(ROUND(1995442*0.0848,0)*0.11295,2)</f>
        <v>19112.61</v>
      </c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5"/>
      <c r="Q61" s="122" t="s">
        <v>91</v>
      </c>
      <c r="R61" s="108">
        <v>112503.84</v>
      </c>
      <c r="S61" s="112">
        <f>R61/S56</f>
        <v>0.53988972229020604</v>
      </c>
      <c r="U61" s="112">
        <f>R61/U56</f>
        <v>0.53988972229020604</v>
      </c>
      <c r="W61">
        <v>0.53988999999999998</v>
      </c>
      <c r="Y61" s="112">
        <f>W61-U61</f>
        <v>2.7770979393881845E-7</v>
      </c>
    </row>
    <row r="62" spans="1:25" x14ac:dyDescent="0.25">
      <c r="A62" s="87" t="s">
        <v>72</v>
      </c>
      <c r="B62" t="s">
        <v>115</v>
      </c>
      <c r="C62" s="95">
        <f>-ROUND(ROUND(1415857*0.0738,0)*0.11,2)</f>
        <v>-11493.9</v>
      </c>
      <c r="D62" s="95">
        <f t="shared" ref="D62:I62" si="19">-C61</f>
        <v>-19112.61</v>
      </c>
      <c r="E62" s="95">
        <f t="shared" si="19"/>
        <v>0</v>
      </c>
      <c r="F62" s="95">
        <f t="shared" si="19"/>
        <v>0</v>
      </c>
      <c r="G62" s="95">
        <f t="shared" si="19"/>
        <v>0</v>
      </c>
      <c r="H62" s="95">
        <f t="shared" si="19"/>
        <v>0</v>
      </c>
      <c r="I62" s="95">
        <f t="shared" si="19"/>
        <v>0</v>
      </c>
      <c r="J62" s="95">
        <f>-I61</f>
        <v>0</v>
      </c>
      <c r="K62" s="95">
        <f>-J61</f>
        <v>0</v>
      </c>
      <c r="L62" s="95">
        <f>-K61</f>
        <v>0</v>
      </c>
      <c r="M62" s="95">
        <f>-L61</f>
        <v>0</v>
      </c>
      <c r="N62" s="107">
        <f>-M61</f>
        <v>0</v>
      </c>
      <c r="Q62" s="122"/>
      <c r="R62" s="108"/>
      <c r="S62" s="112"/>
      <c r="U62" s="112"/>
      <c r="Y62" s="112"/>
    </row>
    <row r="63" spans="1:25" x14ac:dyDescent="0.25">
      <c r="A63" s="87"/>
      <c r="B63" s="89" t="s">
        <v>74</v>
      </c>
      <c r="C63" s="108">
        <f>SUM(C57:C62)</f>
        <v>45262.78</v>
      </c>
      <c r="D63" s="108">
        <f t="shared" ref="D63:N63" si="20">SUM(D57:D62)</f>
        <v>-19112.61</v>
      </c>
      <c r="E63" s="108">
        <f t="shared" si="20"/>
        <v>0</v>
      </c>
      <c r="F63" s="108">
        <f t="shared" si="20"/>
        <v>0</v>
      </c>
      <c r="G63" s="108">
        <f t="shared" si="20"/>
        <v>0</v>
      </c>
      <c r="H63" s="108">
        <f t="shared" si="20"/>
        <v>0</v>
      </c>
      <c r="I63" s="108">
        <f t="shared" si="20"/>
        <v>0</v>
      </c>
      <c r="J63" s="108">
        <f t="shared" si="20"/>
        <v>0</v>
      </c>
      <c r="K63" s="108">
        <f t="shared" si="20"/>
        <v>0</v>
      </c>
      <c r="L63" s="108">
        <f t="shared" si="20"/>
        <v>0</v>
      </c>
      <c r="M63" s="108">
        <f t="shared" si="20"/>
        <v>0</v>
      </c>
      <c r="N63" s="126">
        <f t="shared" si="20"/>
        <v>0</v>
      </c>
    </row>
    <row r="64" spans="1:25" x14ac:dyDescent="0.25">
      <c r="A64" s="87"/>
      <c r="B64" s="89" t="s">
        <v>116</v>
      </c>
      <c r="C64" s="108">
        <f>ROUND(C63*-0.00417,2)</f>
        <v>-188.75</v>
      </c>
      <c r="D64" s="108">
        <f t="shared" ref="D64:N64" si="21">ROUND(D63*-0.00417,2)</f>
        <v>79.7</v>
      </c>
      <c r="E64" s="108">
        <f t="shared" si="21"/>
        <v>0</v>
      </c>
      <c r="F64" s="108">
        <f t="shared" si="21"/>
        <v>0</v>
      </c>
      <c r="G64" s="108">
        <f t="shared" si="21"/>
        <v>0</v>
      </c>
      <c r="H64" s="108">
        <f t="shared" si="21"/>
        <v>0</v>
      </c>
      <c r="I64" s="108">
        <f t="shared" si="21"/>
        <v>0</v>
      </c>
      <c r="J64" s="108">
        <f t="shared" si="21"/>
        <v>0</v>
      </c>
      <c r="K64" s="108">
        <f t="shared" si="21"/>
        <v>0</v>
      </c>
      <c r="L64" s="108">
        <f t="shared" si="21"/>
        <v>0</v>
      </c>
      <c r="M64" s="108">
        <f t="shared" si="21"/>
        <v>0</v>
      </c>
      <c r="N64" s="109">
        <f t="shared" si="21"/>
        <v>0</v>
      </c>
    </row>
    <row r="65" spans="1:25" x14ac:dyDescent="0.25">
      <c r="A65" s="87"/>
      <c r="B65" s="89" t="s">
        <v>73</v>
      </c>
      <c r="C65" s="88">
        <f>-'Authorized Margins (original)'!F73*'WACAP2016 (original)'!C56</f>
        <v>-33758.06</v>
      </c>
      <c r="D65" s="88">
        <f>-'Authorized Margins (original)'!G73*'WACAP2016 (original)'!D56</f>
        <v>0</v>
      </c>
      <c r="E65" s="88">
        <f>-'Authorized Margins (original)'!H73*'WACAP2016 (original)'!E56</f>
        <v>0</v>
      </c>
      <c r="F65" s="88">
        <f>-'Authorized Margins (original)'!I73*'WACAP2016 (original)'!F56</f>
        <v>0</v>
      </c>
      <c r="G65" s="88">
        <f>-'Authorized Margins (original)'!J73*'WACAP2016 (original)'!G56</f>
        <v>0</v>
      </c>
      <c r="H65" s="88">
        <f>-'Authorized Margins (original)'!K73*'WACAP2016 (original)'!H56</f>
        <v>0</v>
      </c>
      <c r="I65" s="88">
        <f>-'Authorized Margins (original)'!L73*'WACAP2016 (original)'!I56</f>
        <v>0</v>
      </c>
      <c r="J65" s="88">
        <f>-'Authorized Margins (original)'!M73*'WACAP2016 (original)'!J56</f>
        <v>0</v>
      </c>
      <c r="K65" s="88">
        <f>-'Authorized Margins (original)'!N73*'WACAP2016 (original)'!K56</f>
        <v>0</v>
      </c>
      <c r="L65" s="88">
        <f>-'Authorized Margins (original)'!O73*'WACAP2016 (original)'!L56</f>
        <v>0</v>
      </c>
      <c r="M65" s="88">
        <f>-'Authorized Margins (original)'!D73*'WACAP2016 (original)'!M56</f>
        <v>0</v>
      </c>
      <c r="N65" s="110">
        <f>-'Authorized Margins (original)'!D73*'WACAP2016 (original)'!N56</f>
        <v>0</v>
      </c>
    </row>
    <row r="66" spans="1:25" x14ac:dyDescent="0.25">
      <c r="A66" s="87"/>
      <c r="B66" s="89" t="s">
        <v>75</v>
      </c>
      <c r="C66" s="90">
        <f>SUM(C63:C65)</f>
        <v>11315.970000000001</v>
      </c>
      <c r="D66" s="90">
        <f t="shared" ref="D66:N66" si="22">SUM(D63:D65)</f>
        <v>-19032.91</v>
      </c>
      <c r="E66" s="90">
        <f t="shared" si="22"/>
        <v>0</v>
      </c>
      <c r="F66" s="90">
        <f t="shared" si="22"/>
        <v>0</v>
      </c>
      <c r="G66" s="90">
        <f t="shared" si="22"/>
        <v>0</v>
      </c>
      <c r="H66" s="90">
        <f t="shared" si="22"/>
        <v>0</v>
      </c>
      <c r="I66" s="90">
        <f t="shared" si="22"/>
        <v>0</v>
      </c>
      <c r="J66" s="90">
        <f t="shared" si="22"/>
        <v>0</v>
      </c>
      <c r="K66" s="90">
        <f t="shared" si="22"/>
        <v>0</v>
      </c>
      <c r="L66" s="90">
        <f t="shared" si="22"/>
        <v>0</v>
      </c>
      <c r="M66" s="90">
        <f t="shared" si="22"/>
        <v>0</v>
      </c>
      <c r="N66" s="111">
        <f t="shared" si="22"/>
        <v>0</v>
      </c>
    </row>
    <row r="67" spans="1:25" x14ac:dyDescent="0.25">
      <c r="A67" s="86"/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5"/>
    </row>
    <row r="68" spans="1:25" x14ac:dyDescent="0.25">
      <c r="A68" s="86">
        <v>512</v>
      </c>
      <c r="B68" s="104" t="s">
        <v>86</v>
      </c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5"/>
      <c r="R68">
        <v>512</v>
      </c>
    </row>
    <row r="69" spans="1:25" x14ac:dyDescent="0.25">
      <c r="A69" s="87" t="s">
        <v>64</v>
      </c>
      <c r="B69" t="s">
        <v>65</v>
      </c>
      <c r="C69" s="105">
        <v>1</v>
      </c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6"/>
      <c r="S69" s="113">
        <v>4066</v>
      </c>
      <c r="T69" t="s">
        <v>92</v>
      </c>
      <c r="U69" s="113">
        <v>4066</v>
      </c>
    </row>
    <row r="70" spans="1:25" x14ac:dyDescent="0.25">
      <c r="A70" s="87" t="s">
        <v>71</v>
      </c>
      <c r="B70" t="s">
        <v>70</v>
      </c>
      <c r="C70" s="95">
        <f>ROUND(2134*0.20456,2)+ROUND(2134*0.21479,2)</f>
        <v>894.89</v>
      </c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107"/>
      <c r="Q70" s="122" t="s">
        <v>90</v>
      </c>
      <c r="R70" s="108">
        <v>860.41</v>
      </c>
      <c r="S70" s="112">
        <f>R70/S69</f>
        <v>0.21161091982292179</v>
      </c>
      <c r="U70" s="112">
        <f>R70/U69</f>
        <v>0.21161091982292179</v>
      </c>
      <c r="W70">
        <v>0.21160999999999999</v>
      </c>
      <c r="Y70" s="112">
        <f>W70-U70</f>
        <v>-9.198229218021492E-7</v>
      </c>
    </row>
    <row r="71" spans="1:25" x14ac:dyDescent="0.25">
      <c r="A71" s="87"/>
      <c r="B71" s="89" t="s">
        <v>74</v>
      </c>
      <c r="C71" s="108">
        <f>C70</f>
        <v>894.89</v>
      </c>
      <c r="D71" s="108">
        <f t="shared" ref="D71:N71" si="23">D70</f>
        <v>0</v>
      </c>
      <c r="E71" s="108">
        <f t="shared" si="23"/>
        <v>0</v>
      </c>
      <c r="F71" s="108">
        <f t="shared" si="23"/>
        <v>0</v>
      </c>
      <c r="G71" s="108">
        <f t="shared" si="23"/>
        <v>0</v>
      </c>
      <c r="H71" s="108">
        <f t="shared" si="23"/>
        <v>0</v>
      </c>
      <c r="I71" s="108">
        <f t="shared" si="23"/>
        <v>0</v>
      </c>
      <c r="J71" s="108">
        <f t="shared" si="23"/>
        <v>0</v>
      </c>
      <c r="K71" s="108">
        <f t="shared" si="23"/>
        <v>0</v>
      </c>
      <c r="L71" s="108">
        <f t="shared" si="23"/>
        <v>0</v>
      </c>
      <c r="M71" s="108">
        <f t="shared" si="23"/>
        <v>0</v>
      </c>
      <c r="N71" s="109">
        <f t="shared" si="23"/>
        <v>0</v>
      </c>
      <c r="Q71" s="122" t="s">
        <v>91</v>
      </c>
      <c r="R71" s="108">
        <v>2253.5</v>
      </c>
      <c r="S71" s="112">
        <f>R71/S69</f>
        <v>0.55423020167240533</v>
      </c>
      <c r="U71" s="112">
        <f>R71/U69</f>
        <v>0.55423020167240533</v>
      </c>
      <c r="W71">
        <v>0.55423</v>
      </c>
      <c r="Y71" s="112">
        <f>W71-U71</f>
        <v>-2.016724053310881E-7</v>
      </c>
    </row>
    <row r="72" spans="1:25" x14ac:dyDescent="0.25">
      <c r="A72" s="87"/>
      <c r="B72" s="89" t="s">
        <v>116</v>
      </c>
      <c r="C72" s="108">
        <f>ROUND(C71*-0.00417,2)</f>
        <v>-3.73</v>
      </c>
      <c r="D72" s="108">
        <f t="shared" ref="D72:N72" si="24">ROUND(D71*-0.00417,2)</f>
        <v>0</v>
      </c>
      <c r="E72" s="108">
        <f t="shared" si="24"/>
        <v>0</v>
      </c>
      <c r="F72" s="108">
        <f t="shared" si="24"/>
        <v>0</v>
      </c>
      <c r="G72" s="108">
        <f t="shared" si="24"/>
        <v>0</v>
      </c>
      <c r="H72" s="108">
        <f t="shared" si="24"/>
        <v>0</v>
      </c>
      <c r="I72" s="108">
        <f t="shared" si="24"/>
        <v>0</v>
      </c>
      <c r="J72" s="108">
        <f t="shared" si="24"/>
        <v>0</v>
      </c>
      <c r="K72" s="108">
        <f t="shared" si="24"/>
        <v>0</v>
      </c>
      <c r="L72" s="108">
        <f t="shared" si="24"/>
        <v>0</v>
      </c>
      <c r="M72" s="108">
        <f t="shared" si="24"/>
        <v>0</v>
      </c>
      <c r="N72" s="109">
        <f t="shared" si="24"/>
        <v>0</v>
      </c>
      <c r="Q72" s="122"/>
      <c r="R72" s="108"/>
      <c r="S72" s="112"/>
      <c r="U72" s="112"/>
      <c r="Y72" s="112"/>
    </row>
    <row r="73" spans="1:25" x14ac:dyDescent="0.25">
      <c r="A73" s="87"/>
      <c r="B73" s="89" t="s">
        <v>73</v>
      </c>
      <c r="C73" s="88">
        <f>-'Authorized Margins (original)'!F79*'WACAP2016 (original)'!C69</f>
        <v>-932.83</v>
      </c>
      <c r="D73" s="88">
        <f>-'Authorized Margins (original)'!G79*'WACAP2016 (original)'!D69</f>
        <v>0</v>
      </c>
      <c r="E73" s="88">
        <f>-'Authorized Margins (original)'!H79*'WACAP2016 (original)'!E69</f>
        <v>0</v>
      </c>
      <c r="F73" s="88">
        <f>-'Authorized Margins (original)'!I79*'WACAP2016 (original)'!F69</f>
        <v>0</v>
      </c>
      <c r="G73" s="88">
        <f>-'Authorized Margins (original)'!J79*'WACAP2016 (original)'!G69</f>
        <v>0</v>
      </c>
      <c r="H73" s="88">
        <f>-'Authorized Margins (original)'!K79*'WACAP2016 (original)'!H69</f>
        <v>0</v>
      </c>
      <c r="I73" s="88">
        <f>-'Authorized Margins (original)'!L79*'WACAP2016 (original)'!I69</f>
        <v>0</v>
      </c>
      <c r="J73" s="88">
        <f>-'Authorized Margins (original)'!M79*'WACAP2016 (original)'!J69</f>
        <v>0</v>
      </c>
      <c r="K73" s="88">
        <f>-'Authorized Margins (original)'!N79*'WACAP2016 (original)'!K69</f>
        <v>0</v>
      </c>
      <c r="L73" s="88">
        <f>-'Authorized Margins (original)'!O79*'WACAP2016 (original)'!L69</f>
        <v>0</v>
      </c>
      <c r="M73" s="88">
        <f>-'Authorized Margins (original)'!D79*'WACAP2016 (original)'!M69</f>
        <v>0</v>
      </c>
      <c r="N73" s="110">
        <f>-'Authorized Margins (original)'!E79*'WACAP2016 (original)'!N69</f>
        <v>0</v>
      </c>
    </row>
    <row r="74" spans="1:25" x14ac:dyDescent="0.25">
      <c r="A74" s="87"/>
      <c r="B74" s="89" t="s">
        <v>75</v>
      </c>
      <c r="C74" s="90">
        <f>SUM(C71:C73)</f>
        <v>-41.670000000000073</v>
      </c>
      <c r="D74" s="90">
        <f t="shared" ref="D74:N74" si="25">SUM(D71:D73)</f>
        <v>0</v>
      </c>
      <c r="E74" s="90">
        <f t="shared" si="25"/>
        <v>0</v>
      </c>
      <c r="F74" s="90">
        <f t="shared" si="25"/>
        <v>0</v>
      </c>
      <c r="G74" s="90">
        <f t="shared" si="25"/>
        <v>0</v>
      </c>
      <c r="H74" s="90">
        <f t="shared" si="25"/>
        <v>0</v>
      </c>
      <c r="I74" s="90">
        <f t="shared" si="25"/>
        <v>0</v>
      </c>
      <c r="J74" s="90">
        <f t="shared" si="25"/>
        <v>0</v>
      </c>
      <c r="K74" s="90">
        <f t="shared" si="25"/>
        <v>0</v>
      </c>
      <c r="L74" s="90">
        <f t="shared" si="25"/>
        <v>0</v>
      </c>
      <c r="M74" s="90">
        <f t="shared" si="25"/>
        <v>0</v>
      </c>
      <c r="N74" s="111">
        <f t="shared" si="25"/>
        <v>0</v>
      </c>
    </row>
    <row r="75" spans="1:25" x14ac:dyDescent="0.25">
      <c r="A75" s="86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5"/>
    </row>
    <row r="76" spans="1:25" x14ac:dyDescent="0.25">
      <c r="A76" s="86" t="s">
        <v>83</v>
      </c>
      <c r="B76" s="104" t="s">
        <v>87</v>
      </c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5"/>
      <c r="R76">
        <v>505</v>
      </c>
    </row>
    <row r="77" spans="1:25" x14ac:dyDescent="0.25">
      <c r="A77" s="87" t="s">
        <v>64</v>
      </c>
      <c r="B77" t="s">
        <v>65</v>
      </c>
      <c r="C77" s="105">
        <v>1</v>
      </c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106"/>
      <c r="S77" s="113">
        <v>473</v>
      </c>
      <c r="T77" t="s">
        <v>92</v>
      </c>
      <c r="U77" s="113">
        <v>473</v>
      </c>
    </row>
    <row r="78" spans="1:25" x14ac:dyDescent="0.25">
      <c r="A78" s="87" t="s">
        <v>71</v>
      </c>
      <c r="B78" t="s">
        <v>95</v>
      </c>
      <c r="C78" s="116">
        <f>ROUND(473*0.19,2)</f>
        <v>89.87</v>
      </c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7"/>
      <c r="Q78" s="122" t="s">
        <v>90</v>
      </c>
      <c r="R78" s="108">
        <v>93.73</v>
      </c>
      <c r="S78" s="112">
        <f>R78/S77</f>
        <v>0.19816067653276956</v>
      </c>
      <c r="U78" s="112">
        <f>R78/U77</f>
        <v>0.19816067653276956</v>
      </c>
      <c r="W78">
        <v>0.19817000000000001</v>
      </c>
      <c r="Y78" s="112">
        <f>W78-U78</f>
        <v>9.3234672304542965E-6</v>
      </c>
    </row>
    <row r="79" spans="1:25" x14ac:dyDescent="0.25">
      <c r="A79" s="87" t="s">
        <v>72</v>
      </c>
      <c r="B79" t="s">
        <v>101</v>
      </c>
      <c r="C79" s="116">
        <v>76.69</v>
      </c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7"/>
      <c r="Q79" s="122" t="s">
        <v>91</v>
      </c>
      <c r="R79" s="108">
        <v>255.37</v>
      </c>
      <c r="S79" s="112">
        <f>R79/S77</f>
        <v>0.53989429175475689</v>
      </c>
      <c r="U79" s="112">
        <f>R79/U77</f>
        <v>0.53989429175475689</v>
      </c>
      <c r="W79">
        <v>0.53988999999999998</v>
      </c>
      <c r="Y79" s="112">
        <f>W79-U79</f>
        <v>-4.2917547569132353E-6</v>
      </c>
    </row>
    <row r="80" spans="1:25" x14ac:dyDescent="0.25">
      <c r="A80" s="87" t="s">
        <v>72</v>
      </c>
      <c r="B80" t="s">
        <v>102</v>
      </c>
      <c r="C80" s="95">
        <f>-ROUND(473*0.19,2)</f>
        <v>-89.87</v>
      </c>
      <c r="D80" s="95">
        <f>-C79</f>
        <v>-76.69</v>
      </c>
      <c r="E80" s="95">
        <f t="shared" ref="E80:N80" si="26">-D79</f>
        <v>0</v>
      </c>
      <c r="F80" s="95">
        <f t="shared" si="26"/>
        <v>0</v>
      </c>
      <c r="G80" s="95">
        <f t="shared" si="26"/>
        <v>0</v>
      </c>
      <c r="H80" s="95">
        <f t="shared" si="26"/>
        <v>0</v>
      </c>
      <c r="I80" s="95">
        <f t="shared" si="26"/>
        <v>0</v>
      </c>
      <c r="J80" s="95">
        <f t="shared" si="26"/>
        <v>0</v>
      </c>
      <c r="K80" s="95">
        <f t="shared" si="26"/>
        <v>0</v>
      </c>
      <c r="L80" s="95">
        <f t="shared" si="26"/>
        <v>0</v>
      </c>
      <c r="M80" s="95">
        <f t="shared" si="26"/>
        <v>0</v>
      </c>
      <c r="N80" s="107">
        <f t="shared" si="26"/>
        <v>0</v>
      </c>
    </row>
    <row r="81" spans="1:25" x14ac:dyDescent="0.25">
      <c r="A81" s="86"/>
      <c r="B81" s="89" t="s">
        <v>74</v>
      </c>
      <c r="C81" s="108">
        <f>SUM(C78:C80)</f>
        <v>76.69</v>
      </c>
      <c r="D81" s="108">
        <f t="shared" ref="D81:N81" si="27">SUM(D78:D80)</f>
        <v>-76.69</v>
      </c>
      <c r="E81" s="108">
        <f t="shared" si="27"/>
        <v>0</v>
      </c>
      <c r="F81" s="108">
        <f t="shared" si="27"/>
        <v>0</v>
      </c>
      <c r="G81" s="108">
        <f t="shared" si="27"/>
        <v>0</v>
      </c>
      <c r="H81" s="108">
        <f t="shared" si="27"/>
        <v>0</v>
      </c>
      <c r="I81" s="108">
        <f t="shared" si="27"/>
        <v>0</v>
      </c>
      <c r="J81" s="108">
        <f t="shared" si="27"/>
        <v>0</v>
      </c>
      <c r="K81" s="108">
        <f t="shared" si="27"/>
        <v>0</v>
      </c>
      <c r="L81" s="108">
        <f t="shared" si="27"/>
        <v>0</v>
      </c>
      <c r="M81" s="108">
        <f t="shared" si="27"/>
        <v>0</v>
      </c>
      <c r="N81" s="109">
        <f t="shared" si="27"/>
        <v>0</v>
      </c>
    </row>
    <row r="82" spans="1:25" x14ac:dyDescent="0.25">
      <c r="A82" s="86"/>
      <c r="B82" s="89" t="s">
        <v>116</v>
      </c>
      <c r="C82" s="108">
        <f>ROUND(C81*-0.00417,2)</f>
        <v>-0.32</v>
      </c>
      <c r="D82" s="108">
        <f t="shared" ref="D82:N82" si="28">ROUND(D81*-0.00417,2)</f>
        <v>0.32</v>
      </c>
      <c r="E82" s="108">
        <f t="shared" si="28"/>
        <v>0</v>
      </c>
      <c r="F82" s="108">
        <f t="shared" si="28"/>
        <v>0</v>
      </c>
      <c r="G82" s="108">
        <f t="shared" si="28"/>
        <v>0</v>
      </c>
      <c r="H82" s="108">
        <f t="shared" si="28"/>
        <v>0</v>
      </c>
      <c r="I82" s="108">
        <f t="shared" si="28"/>
        <v>0</v>
      </c>
      <c r="J82" s="108">
        <f t="shared" si="28"/>
        <v>0</v>
      </c>
      <c r="K82" s="108">
        <f t="shared" si="28"/>
        <v>0</v>
      </c>
      <c r="L82" s="108">
        <f t="shared" si="28"/>
        <v>0</v>
      </c>
      <c r="M82" s="108">
        <f t="shared" si="28"/>
        <v>0</v>
      </c>
      <c r="N82" s="109">
        <f t="shared" si="28"/>
        <v>0</v>
      </c>
    </row>
    <row r="83" spans="1:25" x14ac:dyDescent="0.25">
      <c r="A83" s="86"/>
      <c r="B83" s="89" t="s">
        <v>73</v>
      </c>
      <c r="C83" s="88">
        <f>-'Authorized Margins (original)'!F60*'WACAP2016 (original)'!C77</f>
        <v>-219.19</v>
      </c>
      <c r="D83" s="88">
        <f>-'Authorized Margins (original)'!G60*'WACAP2016 (original)'!D77</f>
        <v>0</v>
      </c>
      <c r="E83" s="88">
        <f>-'Authorized Margins (original)'!H60*'WACAP2016 (original)'!E77</f>
        <v>0</v>
      </c>
      <c r="F83" s="88">
        <f>-'Authorized Margins (original)'!I60*'WACAP2016 (original)'!F77</f>
        <v>0</v>
      </c>
      <c r="G83" s="88">
        <f>-'Authorized Margins (original)'!J60*'WACAP2016 (original)'!G77</f>
        <v>0</v>
      </c>
      <c r="H83" s="88">
        <f>-'Authorized Margins (original)'!K60*'WACAP2016 (original)'!H77</f>
        <v>0</v>
      </c>
      <c r="I83" s="88">
        <f>-'Authorized Margins (original)'!L60*'WACAP2016 (original)'!I77</f>
        <v>0</v>
      </c>
      <c r="J83" s="88">
        <f>-'Authorized Margins (original)'!M60*'WACAP2016 (original)'!J77</f>
        <v>0</v>
      </c>
      <c r="K83" s="88">
        <f>-'Authorized Margins (original)'!N60*'WACAP2016 (original)'!K77</f>
        <v>0</v>
      </c>
      <c r="L83" s="88">
        <f>-'Authorized Margins (original)'!O60*'WACAP2016 (original)'!L77</f>
        <v>0</v>
      </c>
      <c r="M83" s="88">
        <f>-'Authorized Margins (original)'!D60*'WACAP2016 (original)'!M77</f>
        <v>0</v>
      </c>
      <c r="N83" s="110">
        <f>-'Authorized Margins (original)'!E60*'WACAP2016 (original)'!N77</f>
        <v>0</v>
      </c>
    </row>
    <row r="84" spans="1:25" x14ac:dyDescent="0.25">
      <c r="A84" s="86"/>
      <c r="B84" s="89" t="s">
        <v>75</v>
      </c>
      <c r="C84" s="90">
        <f>SUM(C81:C83)</f>
        <v>-142.82</v>
      </c>
      <c r="D84" s="90">
        <f t="shared" ref="D84:N84" si="29">SUM(D81:D83)</f>
        <v>-76.37</v>
      </c>
      <c r="E84" s="90">
        <f t="shared" si="29"/>
        <v>0</v>
      </c>
      <c r="F84" s="90">
        <f t="shared" si="29"/>
        <v>0</v>
      </c>
      <c r="G84" s="90">
        <f t="shared" si="29"/>
        <v>0</v>
      </c>
      <c r="H84" s="90">
        <f t="shared" si="29"/>
        <v>0</v>
      </c>
      <c r="I84" s="90">
        <f t="shared" si="29"/>
        <v>0</v>
      </c>
      <c r="J84" s="90">
        <f t="shared" si="29"/>
        <v>0</v>
      </c>
      <c r="K84" s="90">
        <f t="shared" si="29"/>
        <v>0</v>
      </c>
      <c r="L84" s="90">
        <f t="shared" si="29"/>
        <v>0</v>
      </c>
      <c r="M84" s="90">
        <f t="shared" si="29"/>
        <v>0</v>
      </c>
      <c r="N84" s="111">
        <f t="shared" si="29"/>
        <v>0</v>
      </c>
    </row>
    <row r="85" spans="1:25" x14ac:dyDescent="0.25">
      <c r="A85" s="86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111"/>
      <c r="Q85" s="122"/>
      <c r="R85" s="108"/>
      <c r="S85" s="108">
        <f>ROUND(R88/W88,0)</f>
        <v>136493</v>
      </c>
    </row>
    <row r="86" spans="1:25" x14ac:dyDescent="0.25">
      <c r="A86" s="86">
        <v>570</v>
      </c>
      <c r="B86" s="104" t="s">
        <v>88</v>
      </c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5"/>
      <c r="R86">
        <v>570</v>
      </c>
      <c r="S86" s="108">
        <f>ROUND(R89/W89,0)</f>
        <v>86504</v>
      </c>
      <c r="T86" s="108">
        <f>SUM(S85:S86)</f>
        <v>222997</v>
      </c>
    </row>
    <row r="87" spans="1:25" x14ac:dyDescent="0.25">
      <c r="A87" s="87" t="s">
        <v>64</v>
      </c>
      <c r="B87" t="s">
        <v>65</v>
      </c>
      <c r="C87" s="105">
        <v>8</v>
      </c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6"/>
      <c r="S87" s="113">
        <v>222997</v>
      </c>
      <c r="T87" t="s">
        <v>92</v>
      </c>
      <c r="U87" s="113">
        <v>222997</v>
      </c>
    </row>
    <row r="88" spans="1:25" x14ac:dyDescent="0.25">
      <c r="A88" s="87" t="s">
        <v>71</v>
      </c>
      <c r="B88" t="s">
        <v>103</v>
      </c>
      <c r="C88" s="116">
        <f>ROUND(102793*0.083,2)</f>
        <v>8531.82</v>
      </c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7"/>
      <c r="Q88" s="122" t="s">
        <v>90</v>
      </c>
      <c r="R88" s="108">
        <v>11237.47</v>
      </c>
      <c r="S88" s="112">
        <f>R88/S85</f>
        <v>8.2330009597561774E-2</v>
      </c>
      <c r="U88" s="112">
        <f>R88/S85</f>
        <v>8.2330009597561774E-2</v>
      </c>
      <c r="W88">
        <v>8.233E-2</v>
      </c>
      <c r="Y88" s="112">
        <f>W88-U88</f>
        <v>-9.5975617731003382E-9</v>
      </c>
    </row>
    <row r="89" spans="1:25" x14ac:dyDescent="0.25">
      <c r="A89" s="87" t="s">
        <v>71</v>
      </c>
      <c r="B89" t="s">
        <v>104</v>
      </c>
      <c r="C89" s="116">
        <f>ROUND(68239*0.02197,2)</f>
        <v>1499.21</v>
      </c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7"/>
      <c r="Q89" s="122" t="s">
        <v>90</v>
      </c>
      <c r="R89" s="108">
        <v>1947.2</v>
      </c>
      <c r="S89" s="112">
        <f>R89/S86</f>
        <v>2.2509941736798298E-2</v>
      </c>
      <c r="U89" s="112">
        <f>R89/S86</f>
        <v>2.2509941736798298E-2</v>
      </c>
      <c r="W89">
        <v>2.2509999999999999E-2</v>
      </c>
      <c r="Y89" s="112">
        <f>W89-U89</f>
        <v>5.8263201700714529E-8</v>
      </c>
    </row>
    <row r="90" spans="1:25" x14ac:dyDescent="0.25">
      <c r="A90" s="87" t="s">
        <v>72</v>
      </c>
      <c r="B90" t="s">
        <v>105</v>
      </c>
      <c r="C90" s="116">
        <v>11237.47</v>
      </c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7"/>
      <c r="Q90" s="122" t="s">
        <v>91</v>
      </c>
      <c r="R90" s="108">
        <v>98252.47</v>
      </c>
      <c r="S90" s="112">
        <f>R90/S87</f>
        <v>0.44059996322820488</v>
      </c>
      <c r="U90" s="112">
        <f>R90/U87</f>
        <v>0.44059996322820488</v>
      </c>
      <c r="W90">
        <v>0.44059999999999999</v>
      </c>
      <c r="Y90" s="112">
        <f>W90-U90</f>
        <v>3.677179510885864E-8</v>
      </c>
    </row>
    <row r="91" spans="1:25" x14ac:dyDescent="0.25">
      <c r="A91" s="87" t="s">
        <v>72</v>
      </c>
      <c r="B91" t="s">
        <v>106</v>
      </c>
      <c r="C91" s="116">
        <v>1947.2</v>
      </c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7"/>
      <c r="Y91" s="112"/>
    </row>
    <row r="92" spans="1:25" x14ac:dyDescent="0.25">
      <c r="A92" s="87" t="s">
        <v>72</v>
      </c>
      <c r="B92" t="s">
        <v>107</v>
      </c>
      <c r="C92" s="116">
        <f>-ROUND(102793*0.083,2)</f>
        <v>-8531.82</v>
      </c>
      <c r="D92" s="116">
        <f>-C90</f>
        <v>-11237.47</v>
      </c>
      <c r="E92" s="116">
        <f t="shared" ref="E92:M93" si="30">-D90</f>
        <v>0</v>
      </c>
      <c r="F92" s="116">
        <f t="shared" si="30"/>
        <v>0</v>
      </c>
      <c r="G92" s="116">
        <f t="shared" si="30"/>
        <v>0</v>
      </c>
      <c r="H92" s="116">
        <f t="shared" si="30"/>
        <v>0</v>
      </c>
      <c r="I92" s="116">
        <f t="shared" si="30"/>
        <v>0</v>
      </c>
      <c r="J92" s="116">
        <f t="shared" si="30"/>
        <v>0</v>
      </c>
      <c r="K92" s="116">
        <f t="shared" si="30"/>
        <v>0</v>
      </c>
      <c r="L92" s="116">
        <f t="shared" si="30"/>
        <v>0</v>
      </c>
      <c r="M92" s="116">
        <f t="shared" si="30"/>
        <v>0</v>
      </c>
      <c r="N92" s="117">
        <f>-M90</f>
        <v>0</v>
      </c>
    </row>
    <row r="93" spans="1:25" x14ac:dyDescent="0.25">
      <c r="A93" s="87" t="s">
        <v>72</v>
      </c>
      <c r="B93" t="s">
        <v>108</v>
      </c>
      <c r="C93" s="95">
        <f>-ROUND(68239*0.02197,2)</f>
        <v>-1499.21</v>
      </c>
      <c r="D93" s="95">
        <f>-C91</f>
        <v>-1947.2</v>
      </c>
      <c r="E93" s="95">
        <f t="shared" si="30"/>
        <v>0</v>
      </c>
      <c r="F93" s="95">
        <f t="shared" si="30"/>
        <v>0</v>
      </c>
      <c r="G93" s="95">
        <f t="shared" si="30"/>
        <v>0</v>
      </c>
      <c r="H93" s="95">
        <f t="shared" si="30"/>
        <v>0</v>
      </c>
      <c r="I93" s="95">
        <f t="shared" si="30"/>
        <v>0</v>
      </c>
      <c r="J93" s="95">
        <f t="shared" si="30"/>
        <v>0</v>
      </c>
      <c r="K93" s="95">
        <f t="shared" si="30"/>
        <v>0</v>
      </c>
      <c r="L93" s="95">
        <f t="shared" si="30"/>
        <v>0</v>
      </c>
      <c r="M93" s="95">
        <f t="shared" si="30"/>
        <v>0</v>
      </c>
      <c r="N93" s="107">
        <f>-M91</f>
        <v>0</v>
      </c>
    </row>
    <row r="94" spans="1:25" x14ac:dyDescent="0.25">
      <c r="A94" s="87"/>
      <c r="B94" s="89" t="s">
        <v>74</v>
      </c>
      <c r="C94" s="108">
        <f t="shared" ref="C94:I94" si="31">SUM(C88:C93)</f>
        <v>13184.670000000002</v>
      </c>
      <c r="D94" s="108">
        <f t="shared" si="31"/>
        <v>-13184.67</v>
      </c>
      <c r="E94" s="108">
        <f t="shared" si="31"/>
        <v>0</v>
      </c>
      <c r="F94" s="108">
        <f t="shared" si="31"/>
        <v>0</v>
      </c>
      <c r="G94" s="108">
        <f t="shared" si="31"/>
        <v>0</v>
      </c>
      <c r="H94" s="108">
        <f t="shared" si="31"/>
        <v>0</v>
      </c>
      <c r="I94" s="108">
        <f t="shared" si="31"/>
        <v>0</v>
      </c>
      <c r="J94" s="108">
        <f>SUM(J88:J93)</f>
        <v>0</v>
      </c>
      <c r="K94" s="108">
        <f t="shared" ref="K94:N94" si="32">SUM(K88:K93)</f>
        <v>0</v>
      </c>
      <c r="L94" s="108">
        <f t="shared" si="32"/>
        <v>0</v>
      </c>
      <c r="M94" s="108">
        <f t="shared" si="32"/>
        <v>0</v>
      </c>
      <c r="N94" s="111">
        <f t="shared" si="32"/>
        <v>0</v>
      </c>
    </row>
    <row r="95" spans="1:25" x14ac:dyDescent="0.25">
      <c r="A95" s="87"/>
      <c r="B95" s="89" t="s">
        <v>116</v>
      </c>
      <c r="C95" s="108">
        <f>ROUND(C94*-0.00417,2)</f>
        <v>-54.98</v>
      </c>
      <c r="D95" s="108">
        <f t="shared" ref="D95:N95" si="33">ROUND(D94*-0.00417,2)</f>
        <v>54.98</v>
      </c>
      <c r="E95" s="108">
        <f t="shared" si="33"/>
        <v>0</v>
      </c>
      <c r="F95" s="108">
        <f t="shared" si="33"/>
        <v>0</v>
      </c>
      <c r="G95" s="108">
        <f t="shared" si="33"/>
        <v>0</v>
      </c>
      <c r="H95" s="108">
        <f t="shared" si="33"/>
        <v>0</v>
      </c>
      <c r="I95" s="108">
        <f t="shared" si="33"/>
        <v>0</v>
      </c>
      <c r="J95" s="108">
        <f t="shared" si="33"/>
        <v>0</v>
      </c>
      <c r="K95" s="108">
        <f t="shared" si="33"/>
        <v>0</v>
      </c>
      <c r="L95" s="108">
        <f t="shared" si="33"/>
        <v>0</v>
      </c>
      <c r="M95" s="108">
        <f t="shared" si="33"/>
        <v>0</v>
      </c>
      <c r="N95" s="109">
        <f t="shared" si="33"/>
        <v>0</v>
      </c>
    </row>
    <row r="96" spans="1:25" x14ac:dyDescent="0.25">
      <c r="A96" s="87"/>
      <c r="B96" s="89" t="s">
        <v>73</v>
      </c>
      <c r="C96" s="88">
        <f>-'Authorized Margins (original)'!F95*'WACAP2016 (original)'!C87</f>
        <v>-10479.36</v>
      </c>
      <c r="D96" s="88">
        <f>-'Authorized Margins (original)'!G95*'WACAP2016 (original)'!D87</f>
        <v>0</v>
      </c>
      <c r="E96" s="88">
        <f>-'Authorized Margins (original)'!H95*'WACAP2016 (original)'!E87</f>
        <v>0</v>
      </c>
      <c r="F96" s="88">
        <f>-'Authorized Margins (original)'!I95*'WACAP2016 (original)'!F87</f>
        <v>0</v>
      </c>
      <c r="G96" s="88">
        <f>-'Authorized Margins (original)'!J95*'WACAP2016 (original)'!G87</f>
        <v>0</v>
      </c>
      <c r="H96" s="88">
        <f>-'Authorized Margins (original)'!K95*'WACAP2016 (original)'!H87</f>
        <v>0</v>
      </c>
      <c r="I96" s="88">
        <f>-'Authorized Margins (original)'!L95*'WACAP2016 (original)'!I87</f>
        <v>0</v>
      </c>
      <c r="J96" s="88">
        <f>-'Authorized Margins (original)'!M95*'WACAP2016 (original)'!J87</f>
        <v>0</v>
      </c>
      <c r="K96" s="88">
        <f>-'Authorized Margins (original)'!N95*'WACAP2016 (original)'!K87</f>
        <v>0</v>
      </c>
      <c r="L96" s="88">
        <f>-'Authorized Margins (original)'!O95*'WACAP2016 (original)'!L87</f>
        <v>0</v>
      </c>
      <c r="M96" s="88">
        <f>-'Authorized Margins (original)'!D95*'WACAP2016 (original)'!M87</f>
        <v>0</v>
      </c>
      <c r="N96" s="110">
        <f>-'Authorized Margins (original)'!E95*'WACAP2016 (original)'!N87</f>
        <v>0</v>
      </c>
    </row>
    <row r="97" spans="1:25" x14ac:dyDescent="0.25">
      <c r="A97" s="87"/>
      <c r="B97" s="89" t="s">
        <v>75</v>
      </c>
      <c r="C97" s="90">
        <f>SUM(C94:C96)</f>
        <v>2650.3300000000017</v>
      </c>
      <c r="D97" s="90">
        <f t="shared" ref="D97:N97" si="34">SUM(D94:D96)</f>
        <v>-13129.69</v>
      </c>
      <c r="E97" s="90">
        <f t="shared" si="34"/>
        <v>0</v>
      </c>
      <c r="F97" s="90">
        <f t="shared" si="34"/>
        <v>0</v>
      </c>
      <c r="G97" s="90">
        <f t="shared" si="34"/>
        <v>0</v>
      </c>
      <c r="H97" s="90">
        <f t="shared" si="34"/>
        <v>0</v>
      </c>
      <c r="I97" s="90">
        <f t="shared" si="34"/>
        <v>0</v>
      </c>
      <c r="J97" s="90">
        <f t="shared" si="34"/>
        <v>0</v>
      </c>
      <c r="K97" s="90">
        <f t="shared" si="34"/>
        <v>0</v>
      </c>
      <c r="L97" s="90">
        <f t="shared" si="34"/>
        <v>0</v>
      </c>
      <c r="M97" s="90">
        <f t="shared" si="34"/>
        <v>0</v>
      </c>
      <c r="N97" s="111">
        <f t="shared" si="34"/>
        <v>0</v>
      </c>
    </row>
    <row r="98" spans="1:25" x14ac:dyDescent="0.25">
      <c r="A98" s="86"/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5"/>
      <c r="Q98" s="122"/>
      <c r="R98" s="108"/>
      <c r="S98" s="108">
        <f>ROUND(R101/W101,0)</f>
        <v>7613</v>
      </c>
    </row>
    <row r="99" spans="1:25" x14ac:dyDescent="0.25">
      <c r="A99" s="86">
        <v>577</v>
      </c>
      <c r="B99" s="104" t="s">
        <v>88</v>
      </c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5"/>
      <c r="R99">
        <v>577</v>
      </c>
      <c r="S99" s="108">
        <f>ROUND(R102/W102,0)</f>
        <v>2388</v>
      </c>
      <c r="T99" s="108">
        <f>SUM(S98:S99)</f>
        <v>10001</v>
      </c>
    </row>
    <row r="100" spans="1:25" x14ac:dyDescent="0.25">
      <c r="A100" s="87" t="s">
        <v>64</v>
      </c>
      <c r="B100" t="s">
        <v>65</v>
      </c>
      <c r="C100" s="105">
        <v>2</v>
      </c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6"/>
      <c r="S100" s="113">
        <v>10001</v>
      </c>
      <c r="T100" t="s">
        <v>92</v>
      </c>
      <c r="U100" s="113">
        <v>10001</v>
      </c>
    </row>
    <row r="101" spans="1:25" x14ac:dyDescent="0.25">
      <c r="A101" s="87" t="s">
        <v>71</v>
      </c>
      <c r="B101" t="s">
        <v>109</v>
      </c>
      <c r="C101" s="116">
        <f>ROUND(7272*0.11,2)</f>
        <v>799.92</v>
      </c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7"/>
      <c r="Q101" s="122" t="s">
        <v>90</v>
      </c>
      <c r="R101" s="108">
        <v>791.83</v>
      </c>
      <c r="S101" s="112">
        <f>R101/S98</f>
        <v>0.10401024563247079</v>
      </c>
      <c r="U101" s="112">
        <f>R101/S98</f>
        <v>0.10401024563247079</v>
      </c>
      <c r="W101">
        <v>0.10401000000000001</v>
      </c>
      <c r="Y101" s="112">
        <f>W101-U101</f>
        <v>-2.4563247078002171E-7</v>
      </c>
    </row>
    <row r="102" spans="1:25" x14ac:dyDescent="0.25">
      <c r="A102" s="87" t="s">
        <v>71</v>
      </c>
      <c r="B102" t="s">
        <v>96</v>
      </c>
      <c r="C102" s="116">
        <f>ROUND(1235*0.08896,2)</f>
        <v>109.87</v>
      </c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7"/>
      <c r="Q102" s="122" t="s">
        <v>90</v>
      </c>
      <c r="R102" s="108">
        <v>201.69</v>
      </c>
      <c r="S102" s="112">
        <f>R102/S99</f>
        <v>8.4459798994974869E-2</v>
      </c>
      <c r="U102" s="112">
        <f>R102/S99</f>
        <v>8.4459798994974869E-2</v>
      </c>
      <c r="W102">
        <v>8.4459999999999993E-2</v>
      </c>
      <c r="Y102" s="112">
        <f>W102-U102</f>
        <v>2.0100502512443441E-7</v>
      </c>
    </row>
    <row r="103" spans="1:25" x14ac:dyDescent="0.25">
      <c r="A103" s="87" t="s">
        <v>72</v>
      </c>
      <c r="B103" t="s">
        <v>110</v>
      </c>
      <c r="C103" s="116">
        <v>791.83</v>
      </c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7"/>
      <c r="Q103" s="122" t="s">
        <v>91</v>
      </c>
      <c r="R103" s="108">
        <v>4406.4399999999996</v>
      </c>
      <c r="S103" s="112">
        <f>R103/S100</f>
        <v>0.44059994000599934</v>
      </c>
      <c r="U103" s="112">
        <f>R103/U100</f>
        <v>0.44059994000599934</v>
      </c>
      <c r="W103">
        <v>0.44059999999999999</v>
      </c>
      <c r="Y103" s="112">
        <f>W103-U103</f>
        <v>5.9994000656260482E-8</v>
      </c>
    </row>
    <row r="104" spans="1:25" x14ac:dyDescent="0.25">
      <c r="A104" s="87" t="s">
        <v>72</v>
      </c>
      <c r="B104" t="s">
        <v>111</v>
      </c>
      <c r="C104" s="116">
        <v>201.69</v>
      </c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7"/>
      <c r="Y104" s="112"/>
    </row>
    <row r="105" spans="1:25" x14ac:dyDescent="0.25">
      <c r="A105" s="87" t="s">
        <v>72</v>
      </c>
      <c r="B105" t="s">
        <v>112</v>
      </c>
      <c r="C105" s="116">
        <f>-ROUND(7272*0.11,2)</f>
        <v>-799.92</v>
      </c>
      <c r="D105" s="116">
        <f>-C103</f>
        <v>-791.83</v>
      </c>
      <c r="E105" s="116">
        <f t="shared" ref="E105:N106" si="35">-D103</f>
        <v>0</v>
      </c>
      <c r="F105" s="116">
        <f t="shared" si="35"/>
        <v>0</v>
      </c>
      <c r="G105" s="116">
        <f t="shared" si="35"/>
        <v>0</v>
      </c>
      <c r="H105" s="116">
        <f t="shared" si="35"/>
        <v>0</v>
      </c>
      <c r="I105" s="116">
        <f t="shared" si="35"/>
        <v>0</v>
      </c>
      <c r="J105" s="116">
        <f t="shared" si="35"/>
        <v>0</v>
      </c>
      <c r="K105" s="116">
        <f t="shared" si="35"/>
        <v>0</v>
      </c>
      <c r="L105" s="116">
        <f t="shared" si="35"/>
        <v>0</v>
      </c>
      <c r="M105" s="116">
        <f t="shared" si="35"/>
        <v>0</v>
      </c>
      <c r="N105" s="117">
        <f>-M103</f>
        <v>0</v>
      </c>
    </row>
    <row r="106" spans="1:25" x14ac:dyDescent="0.25">
      <c r="A106" s="87" t="s">
        <v>72</v>
      </c>
      <c r="B106" t="s">
        <v>113</v>
      </c>
      <c r="C106" s="95">
        <f>-ROUND(1235*0.08896,2)</f>
        <v>-109.87</v>
      </c>
      <c r="D106" s="95">
        <f>-C104</f>
        <v>-201.69</v>
      </c>
      <c r="E106" s="95">
        <f t="shared" si="35"/>
        <v>0</v>
      </c>
      <c r="F106" s="95">
        <f t="shared" si="35"/>
        <v>0</v>
      </c>
      <c r="G106" s="95">
        <f t="shared" si="35"/>
        <v>0</v>
      </c>
      <c r="H106" s="95">
        <f t="shared" si="35"/>
        <v>0</v>
      </c>
      <c r="I106" s="95">
        <f t="shared" si="35"/>
        <v>0</v>
      </c>
      <c r="J106" s="95">
        <f t="shared" si="35"/>
        <v>0</v>
      </c>
      <c r="K106" s="95">
        <f t="shared" si="35"/>
        <v>0</v>
      </c>
      <c r="L106" s="95">
        <f t="shared" si="35"/>
        <v>0</v>
      </c>
      <c r="M106" s="95">
        <f t="shared" si="35"/>
        <v>0</v>
      </c>
      <c r="N106" s="107">
        <f t="shared" si="35"/>
        <v>0</v>
      </c>
    </row>
    <row r="107" spans="1:25" x14ac:dyDescent="0.25">
      <c r="A107" s="4"/>
      <c r="B107" s="89" t="s">
        <v>74</v>
      </c>
      <c r="C107" s="108">
        <f t="shared" ref="C107:I107" si="36">SUM(C101:C106)</f>
        <v>993.51999999999987</v>
      </c>
      <c r="D107" s="108">
        <f t="shared" si="36"/>
        <v>-993.52</v>
      </c>
      <c r="E107" s="108">
        <f t="shared" si="36"/>
        <v>0</v>
      </c>
      <c r="F107" s="108">
        <f t="shared" si="36"/>
        <v>0</v>
      </c>
      <c r="G107" s="108">
        <f t="shared" si="36"/>
        <v>0</v>
      </c>
      <c r="H107" s="108">
        <f t="shared" si="36"/>
        <v>0</v>
      </c>
      <c r="I107" s="108">
        <f t="shared" si="36"/>
        <v>0</v>
      </c>
      <c r="J107" s="108">
        <f>SUM(J101:J106)</f>
        <v>0</v>
      </c>
      <c r="K107" s="108">
        <f t="shared" ref="K107:N107" si="37">SUM(K101:K106)</f>
        <v>0</v>
      </c>
      <c r="L107" s="108">
        <f t="shared" si="37"/>
        <v>0</v>
      </c>
      <c r="M107" s="108">
        <f t="shared" si="37"/>
        <v>0</v>
      </c>
      <c r="N107" s="111">
        <f t="shared" si="37"/>
        <v>0</v>
      </c>
    </row>
    <row r="108" spans="1:25" x14ac:dyDescent="0.25">
      <c r="A108" s="4"/>
      <c r="B108" s="89" t="s">
        <v>116</v>
      </c>
      <c r="C108" s="108">
        <f>ROUND(C107*-0.00417,2)</f>
        <v>-4.1399999999999997</v>
      </c>
      <c r="D108" s="108">
        <f t="shared" ref="D108:N108" si="38">ROUND(D107*-0.00417,2)</f>
        <v>4.1399999999999997</v>
      </c>
      <c r="E108" s="108">
        <f t="shared" si="38"/>
        <v>0</v>
      </c>
      <c r="F108" s="108">
        <f t="shared" si="38"/>
        <v>0</v>
      </c>
      <c r="G108" s="108">
        <f t="shared" si="38"/>
        <v>0</v>
      </c>
      <c r="H108" s="108">
        <f t="shared" si="38"/>
        <v>0</v>
      </c>
      <c r="I108" s="108">
        <f t="shared" si="38"/>
        <v>0</v>
      </c>
      <c r="J108" s="108">
        <f t="shared" si="38"/>
        <v>0</v>
      </c>
      <c r="K108" s="108">
        <f t="shared" si="38"/>
        <v>0</v>
      </c>
      <c r="L108" s="108">
        <f t="shared" si="38"/>
        <v>0</v>
      </c>
      <c r="M108" s="108">
        <f t="shared" si="38"/>
        <v>0</v>
      </c>
      <c r="N108" s="109">
        <f t="shared" si="38"/>
        <v>0</v>
      </c>
    </row>
    <row r="109" spans="1:25" x14ac:dyDescent="0.25">
      <c r="A109" s="4"/>
      <c r="B109" s="89" t="s">
        <v>73</v>
      </c>
      <c r="C109" s="88">
        <f>-'Authorized Margins (original)'!F105*'WACAP2016 (original)'!C100</f>
        <v>-1082.82</v>
      </c>
      <c r="D109" s="88">
        <f>-'Authorized Margins (original)'!G105*'WACAP2016 (original)'!D100</f>
        <v>0</v>
      </c>
      <c r="E109" s="88">
        <f>-'Authorized Margins (original)'!H105*'WACAP2016 (original)'!E100</f>
        <v>0</v>
      </c>
      <c r="F109" s="88">
        <f>-'Authorized Margins (original)'!I105*'WACAP2016 (original)'!F100</f>
        <v>0</v>
      </c>
      <c r="G109" s="88">
        <f>-'Authorized Margins (original)'!J105*'WACAP2016 (original)'!G100</f>
        <v>0</v>
      </c>
      <c r="H109" s="88">
        <f>-'Authorized Margins (original)'!K105*'WACAP2016 (original)'!H100</f>
        <v>0</v>
      </c>
      <c r="I109" s="88">
        <f>-'Authorized Margins (original)'!L105*'WACAP2016 (original)'!I100</f>
        <v>0</v>
      </c>
      <c r="J109" s="88">
        <f>-'Authorized Margins (original)'!M105*'WACAP2016 (original)'!J100</f>
        <v>0</v>
      </c>
      <c r="K109" s="88">
        <f>-'Authorized Margins (original)'!N105*'WACAP2016 (original)'!K100</f>
        <v>0</v>
      </c>
      <c r="L109" s="88">
        <f>-'Authorized Margins (original)'!O105*'WACAP2016 (original)'!L100</f>
        <v>0</v>
      </c>
      <c r="M109" s="88">
        <f>-'Authorized Margins (original)'!D105*'WACAP2016 (original)'!M100</f>
        <v>0</v>
      </c>
      <c r="N109" s="110">
        <f>-'Authorized Margins (original)'!E105*'WACAP2016 (original)'!N100</f>
        <v>0</v>
      </c>
    </row>
    <row r="110" spans="1:25" x14ac:dyDescent="0.25">
      <c r="A110" s="4"/>
      <c r="B110" s="89" t="s">
        <v>75</v>
      </c>
      <c r="C110" s="90">
        <f>SUM(C107:C109)</f>
        <v>-93.440000000000055</v>
      </c>
      <c r="D110" s="90">
        <f t="shared" ref="D110:N110" si="39">SUM(D107:D109)</f>
        <v>-989.38</v>
      </c>
      <c r="E110" s="90">
        <f t="shared" si="39"/>
        <v>0</v>
      </c>
      <c r="F110" s="90">
        <f t="shared" si="39"/>
        <v>0</v>
      </c>
      <c r="G110" s="90">
        <f t="shared" si="39"/>
        <v>0</v>
      </c>
      <c r="H110" s="90">
        <f t="shared" si="39"/>
        <v>0</v>
      </c>
      <c r="I110" s="90">
        <f t="shared" si="39"/>
        <v>0</v>
      </c>
      <c r="J110" s="90">
        <f t="shared" si="39"/>
        <v>0</v>
      </c>
      <c r="K110" s="90">
        <f t="shared" si="39"/>
        <v>0</v>
      </c>
      <c r="L110" s="90">
        <f t="shared" si="39"/>
        <v>0</v>
      </c>
      <c r="M110" s="90">
        <f t="shared" si="39"/>
        <v>0</v>
      </c>
      <c r="N110" s="111">
        <f t="shared" si="39"/>
        <v>0</v>
      </c>
    </row>
    <row r="111" spans="1:25" ht="15.75" thickBot="1" x14ac:dyDescent="0.3">
      <c r="A111" s="118"/>
      <c r="B111" s="119"/>
      <c r="C111" s="119"/>
      <c r="D111" s="119"/>
      <c r="E111" s="119"/>
      <c r="F111" s="119"/>
      <c r="G111" s="119"/>
      <c r="H111" s="119"/>
      <c r="I111" s="119"/>
      <c r="J111" s="119"/>
      <c r="K111" s="119"/>
      <c r="L111" s="119"/>
      <c r="M111" s="119"/>
      <c r="N111" s="120"/>
    </row>
    <row r="113" spans="1:14" x14ac:dyDescent="0.25">
      <c r="B113" s="89" t="s">
        <v>89</v>
      </c>
      <c r="C113" s="90">
        <f t="shared" ref="C113:N113" si="40">C11+C21+C53+C32+C84+C43+C66+C74+C97+C110</f>
        <v>386291.81999999977</v>
      </c>
      <c r="D113" s="90">
        <f t="shared" si="40"/>
        <v>-1048268.7400000001</v>
      </c>
      <c r="E113" s="90">
        <f t="shared" si="40"/>
        <v>0</v>
      </c>
      <c r="F113" s="90">
        <f t="shared" si="40"/>
        <v>0</v>
      </c>
      <c r="G113" s="90">
        <f t="shared" si="40"/>
        <v>0</v>
      </c>
      <c r="H113" s="90">
        <f t="shared" si="40"/>
        <v>0</v>
      </c>
      <c r="I113" s="90">
        <f t="shared" si="40"/>
        <v>0</v>
      </c>
      <c r="J113" s="90">
        <f t="shared" si="40"/>
        <v>0</v>
      </c>
      <c r="K113" s="90">
        <f t="shared" si="40"/>
        <v>0</v>
      </c>
      <c r="L113" s="90">
        <f t="shared" si="40"/>
        <v>0</v>
      </c>
      <c r="M113" s="90">
        <f t="shared" si="40"/>
        <v>0</v>
      </c>
      <c r="N113" s="90">
        <f t="shared" si="40"/>
        <v>0</v>
      </c>
    </row>
    <row r="114" spans="1:14" x14ac:dyDescent="0.25">
      <c r="B114" s="89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</row>
    <row r="115" spans="1:14" ht="15.75" customHeight="1" x14ac:dyDescent="0.25">
      <c r="A115" s="696" t="s">
        <v>76</v>
      </c>
    </row>
    <row r="116" spans="1:14" ht="15.75" x14ac:dyDescent="0.25">
      <c r="A116" s="697"/>
      <c r="B116" s="93"/>
      <c r="C116" s="121">
        <v>42643</v>
      </c>
      <c r="D116" s="121">
        <v>42674</v>
      </c>
      <c r="E116" s="121">
        <v>42704</v>
      </c>
      <c r="F116" s="121">
        <v>42735</v>
      </c>
      <c r="G116" s="121">
        <v>42766</v>
      </c>
      <c r="H116" s="121">
        <v>42794</v>
      </c>
      <c r="I116" s="121">
        <v>42825</v>
      </c>
      <c r="J116" s="121">
        <v>42855</v>
      </c>
      <c r="K116" s="121">
        <v>42886</v>
      </c>
      <c r="L116" s="121">
        <v>42916</v>
      </c>
      <c r="M116" s="121">
        <v>42947</v>
      </c>
      <c r="N116" s="121">
        <v>42978</v>
      </c>
    </row>
    <row r="117" spans="1:14" ht="15.75" x14ac:dyDescent="0.25">
      <c r="A117" s="96" t="s">
        <v>118</v>
      </c>
      <c r="B117" s="97" t="s">
        <v>79</v>
      </c>
      <c r="C117" s="99">
        <f t="shared" ref="C117:N117" si="41">-C113</f>
        <v>-386291.81999999977</v>
      </c>
      <c r="D117" s="99">
        <f t="shared" si="41"/>
        <v>1048268.7400000001</v>
      </c>
      <c r="E117" s="99">
        <f t="shared" si="41"/>
        <v>0</v>
      </c>
      <c r="F117" s="99">
        <f t="shared" si="41"/>
        <v>0</v>
      </c>
      <c r="G117" s="99">
        <f t="shared" si="41"/>
        <v>0</v>
      </c>
      <c r="H117" s="99">
        <f t="shared" si="41"/>
        <v>0</v>
      </c>
      <c r="I117" s="99">
        <f t="shared" si="41"/>
        <v>0</v>
      </c>
      <c r="J117" s="99">
        <f t="shared" si="41"/>
        <v>0</v>
      </c>
      <c r="K117" s="99">
        <f t="shared" si="41"/>
        <v>0</v>
      </c>
      <c r="L117" s="99">
        <f t="shared" si="41"/>
        <v>0</v>
      </c>
      <c r="M117" s="99">
        <f t="shared" si="41"/>
        <v>0</v>
      </c>
      <c r="N117" s="99">
        <f t="shared" si="41"/>
        <v>0</v>
      </c>
    </row>
    <row r="118" spans="1:14" ht="15.75" x14ac:dyDescent="0.25">
      <c r="A118" s="92" t="s">
        <v>119</v>
      </c>
      <c r="B118" s="94" t="s">
        <v>77</v>
      </c>
      <c r="C118" s="99">
        <f t="shared" ref="C118:N118" si="42">C11+C21</f>
        <v>201535.61</v>
      </c>
      <c r="D118" s="99">
        <f t="shared" si="42"/>
        <v>-567515.95000000007</v>
      </c>
      <c r="E118" s="99">
        <f t="shared" si="42"/>
        <v>0</v>
      </c>
      <c r="F118" s="99">
        <f t="shared" si="42"/>
        <v>0</v>
      </c>
      <c r="G118" s="99">
        <f t="shared" si="42"/>
        <v>0</v>
      </c>
      <c r="H118" s="99">
        <f t="shared" si="42"/>
        <v>0</v>
      </c>
      <c r="I118" s="99">
        <f t="shared" si="42"/>
        <v>0</v>
      </c>
      <c r="J118" s="99">
        <f t="shared" si="42"/>
        <v>0</v>
      </c>
      <c r="K118" s="99">
        <f t="shared" si="42"/>
        <v>0</v>
      </c>
      <c r="L118" s="99">
        <f t="shared" si="42"/>
        <v>0</v>
      </c>
      <c r="M118" s="99">
        <f t="shared" si="42"/>
        <v>0</v>
      </c>
      <c r="N118" s="99">
        <f t="shared" si="42"/>
        <v>0</v>
      </c>
    </row>
    <row r="119" spans="1:14" ht="15.75" x14ac:dyDescent="0.25">
      <c r="A119" s="92" t="s">
        <v>120</v>
      </c>
      <c r="B119" s="94" t="s">
        <v>80</v>
      </c>
      <c r="C119" s="99">
        <f>C32+C43</f>
        <v>24801.089999999997</v>
      </c>
      <c r="D119" s="99">
        <f t="shared" ref="D119:N119" si="43">D32+D43</f>
        <v>0</v>
      </c>
      <c r="E119" s="99">
        <f t="shared" si="43"/>
        <v>0</v>
      </c>
      <c r="F119" s="99">
        <f t="shared" si="43"/>
        <v>0</v>
      </c>
      <c r="G119" s="99">
        <f t="shared" si="43"/>
        <v>0</v>
      </c>
      <c r="H119" s="99">
        <f t="shared" si="43"/>
        <v>0</v>
      </c>
      <c r="I119" s="99">
        <f t="shared" si="43"/>
        <v>0</v>
      </c>
      <c r="J119" s="99">
        <f t="shared" si="43"/>
        <v>0</v>
      </c>
      <c r="K119" s="99">
        <f t="shared" si="43"/>
        <v>0</v>
      </c>
      <c r="L119" s="99">
        <f t="shared" si="43"/>
        <v>0</v>
      </c>
      <c r="M119" s="99">
        <f t="shared" si="43"/>
        <v>0</v>
      </c>
      <c r="N119" s="99">
        <f t="shared" si="43"/>
        <v>0</v>
      </c>
    </row>
    <row r="120" spans="1:14" ht="15.75" x14ac:dyDescent="0.25">
      <c r="A120" s="92" t="s">
        <v>121</v>
      </c>
      <c r="B120" s="94" t="s">
        <v>78</v>
      </c>
      <c r="C120" s="99">
        <f t="shared" ref="C120:N120" si="44">C53+C66+C74</f>
        <v>157541.04999999976</v>
      </c>
      <c r="D120" s="99">
        <f t="shared" si="44"/>
        <v>-466557.35</v>
      </c>
      <c r="E120" s="99">
        <f t="shared" si="44"/>
        <v>0</v>
      </c>
      <c r="F120" s="99">
        <f t="shared" si="44"/>
        <v>0</v>
      </c>
      <c r="G120" s="99">
        <f t="shared" si="44"/>
        <v>0</v>
      </c>
      <c r="H120" s="99">
        <f t="shared" si="44"/>
        <v>0</v>
      </c>
      <c r="I120" s="99">
        <f t="shared" si="44"/>
        <v>0</v>
      </c>
      <c r="J120" s="99">
        <f t="shared" si="44"/>
        <v>0</v>
      </c>
      <c r="K120" s="99">
        <f t="shared" si="44"/>
        <v>0</v>
      </c>
      <c r="L120" s="99">
        <f t="shared" si="44"/>
        <v>0</v>
      </c>
      <c r="M120" s="99">
        <f t="shared" si="44"/>
        <v>0</v>
      </c>
      <c r="N120" s="99">
        <f t="shared" si="44"/>
        <v>0</v>
      </c>
    </row>
    <row r="121" spans="1:14" ht="15.75" x14ac:dyDescent="0.25">
      <c r="A121" s="92" t="s">
        <v>122</v>
      </c>
      <c r="B121" s="94" t="s">
        <v>81</v>
      </c>
      <c r="C121" s="99">
        <f>C84</f>
        <v>-142.82</v>
      </c>
      <c r="D121" s="99">
        <f t="shared" ref="D121:N121" si="45">D84</f>
        <v>-76.37</v>
      </c>
      <c r="E121" s="99">
        <f t="shared" si="45"/>
        <v>0</v>
      </c>
      <c r="F121" s="99">
        <f t="shared" si="45"/>
        <v>0</v>
      </c>
      <c r="G121" s="99">
        <f t="shared" si="45"/>
        <v>0</v>
      </c>
      <c r="H121" s="99">
        <f t="shared" si="45"/>
        <v>0</v>
      </c>
      <c r="I121" s="99">
        <f t="shared" si="45"/>
        <v>0</v>
      </c>
      <c r="J121" s="99">
        <f t="shared" si="45"/>
        <v>0</v>
      </c>
      <c r="K121" s="99">
        <f t="shared" si="45"/>
        <v>0</v>
      </c>
      <c r="L121" s="99">
        <f t="shared" si="45"/>
        <v>0</v>
      </c>
      <c r="M121" s="99">
        <f t="shared" si="45"/>
        <v>0</v>
      </c>
      <c r="N121" s="99">
        <f t="shared" si="45"/>
        <v>0</v>
      </c>
    </row>
    <row r="122" spans="1:14" ht="15.75" x14ac:dyDescent="0.25">
      <c r="A122" s="98" t="s">
        <v>123</v>
      </c>
      <c r="B122" s="91" t="s">
        <v>82</v>
      </c>
      <c r="C122" s="100">
        <f t="shared" ref="C122:N122" si="46">C97+C110</f>
        <v>2556.8900000000017</v>
      </c>
      <c r="D122" s="100">
        <f t="shared" si="46"/>
        <v>-14119.07</v>
      </c>
      <c r="E122" s="100">
        <f t="shared" si="46"/>
        <v>0</v>
      </c>
      <c r="F122" s="100">
        <f t="shared" si="46"/>
        <v>0</v>
      </c>
      <c r="G122" s="100">
        <f t="shared" si="46"/>
        <v>0</v>
      </c>
      <c r="H122" s="100">
        <f t="shared" si="46"/>
        <v>0</v>
      </c>
      <c r="I122" s="100">
        <f t="shared" si="46"/>
        <v>0</v>
      </c>
      <c r="J122" s="100">
        <f t="shared" si="46"/>
        <v>0</v>
      </c>
      <c r="K122" s="100">
        <f t="shared" si="46"/>
        <v>0</v>
      </c>
      <c r="L122" s="100">
        <f t="shared" si="46"/>
        <v>0</v>
      </c>
      <c r="M122" s="100">
        <f t="shared" si="46"/>
        <v>0</v>
      </c>
      <c r="N122" s="100">
        <f t="shared" si="46"/>
        <v>0</v>
      </c>
    </row>
    <row r="123" spans="1:14" ht="15.75" x14ac:dyDescent="0.25">
      <c r="A123" s="92"/>
      <c r="B123" s="94"/>
    </row>
    <row r="125" spans="1:14" ht="15.75" x14ac:dyDescent="0.25">
      <c r="B125" s="127" t="s">
        <v>124</v>
      </c>
      <c r="C125" s="128">
        <f>'WACAP 2016'!C141-'WACAP2016 (original)'!C117</f>
        <v>398279.0299999998</v>
      </c>
      <c r="D125" s="129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</row>
    <row r="126" spans="1:14" x14ac:dyDescent="0.25">
      <c r="B126" s="129"/>
      <c r="C126" s="128">
        <f>'WACAP 2016'!C142-'WACAP2016 (original)'!C118</f>
        <v>-225034.18999999989</v>
      </c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</row>
    <row r="127" spans="1:14" x14ac:dyDescent="0.25">
      <c r="B127" s="129"/>
      <c r="C127" s="128">
        <f>'WACAP 2016'!C143-'WACAP2016 (original)'!C119</f>
        <v>538.88999999999578</v>
      </c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</row>
    <row r="128" spans="1:14" x14ac:dyDescent="0.25">
      <c r="B128" s="129"/>
      <c r="C128" s="128">
        <f>'WACAP 2016'!C144-'WACAP2016 (original)'!C120</f>
        <v>-173843.1699999999</v>
      </c>
      <c r="D128" s="129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</row>
    <row r="129" spans="2:14" x14ac:dyDescent="0.25">
      <c r="B129" s="129"/>
      <c r="C129" s="128">
        <f>'WACAP 2016'!C145-'WACAP2016 (original)'!C121</f>
        <v>0.31999999999999318</v>
      </c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</row>
    <row r="130" spans="2:14" x14ac:dyDescent="0.25">
      <c r="B130" s="129"/>
      <c r="C130" s="128">
        <f>'WACAP 2016'!C146-'WACAP2016 (original)'!C122</f>
        <v>59.119999999999436</v>
      </c>
      <c r="D130" s="129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</row>
    <row r="131" spans="2:14" x14ac:dyDescent="0.25">
      <c r="B131" s="129"/>
      <c r="C131" s="128">
        <f>'WACAP 2016'!C147-'WACAP2016 (original)'!C123</f>
        <v>0</v>
      </c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</row>
  </sheetData>
  <mergeCells count="4">
    <mergeCell ref="A1:N1"/>
    <mergeCell ref="A2:N2"/>
    <mergeCell ref="A3:N3"/>
    <mergeCell ref="A115:A116"/>
  </mergeCells>
  <pageMargins left="0.7" right="0.7" top="0.75" bottom="0.75" header="0.3" footer="0.3"/>
  <pageSetup scale="47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ED9E5-5162-4F5C-936B-E11CAAD3E6BC}">
  <dimension ref="A1:AB149"/>
  <sheetViews>
    <sheetView topLeftCell="C1" workbookViewId="0">
      <selection activeCell="D9" sqref="D9"/>
    </sheetView>
  </sheetViews>
  <sheetFormatPr defaultColWidth="9.140625" defaultRowHeight="15" x14ac:dyDescent="0.25"/>
  <cols>
    <col min="1" max="1" width="1.85546875" customWidth="1"/>
    <col min="2" max="2" width="2.85546875" hidden="1" customWidth="1"/>
    <col min="3" max="3" width="51.7109375" customWidth="1"/>
    <col min="4" max="4" width="17.7109375" customWidth="1"/>
    <col min="5" max="5" width="15.7109375" customWidth="1"/>
    <col min="6" max="6" width="15.85546875" customWidth="1"/>
    <col min="7" max="7" width="15" customWidth="1"/>
    <col min="8" max="8" width="16" customWidth="1"/>
    <col min="9" max="9" width="14.7109375" customWidth="1"/>
    <col min="10" max="14" width="14.7109375" bestFit="1" customWidth="1"/>
    <col min="15" max="15" width="14.5703125" customWidth="1"/>
    <col min="16" max="16" width="14.42578125" customWidth="1"/>
    <col min="17" max="18" width="16.85546875" bestFit="1" customWidth="1"/>
    <col min="19" max="19" width="2" customWidth="1"/>
    <col min="20" max="20" width="15.42578125" customWidth="1"/>
    <col min="21" max="21" width="16.85546875" customWidth="1"/>
    <col min="22" max="22" width="14" bestFit="1" customWidth="1"/>
    <col min="23" max="23" width="10" customWidth="1"/>
    <col min="24" max="24" width="9.140625" customWidth="1"/>
    <col min="25" max="25" width="0.7109375" customWidth="1"/>
    <col min="26" max="26" width="10.140625" customWidth="1"/>
    <col min="27" max="27" width="9.140625" customWidth="1"/>
  </cols>
  <sheetData>
    <row r="1" spans="1:27" ht="7.5" customHeight="1" x14ac:dyDescent="0.3"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676"/>
      <c r="N1" s="676"/>
      <c r="O1" s="676"/>
      <c r="P1" s="676"/>
      <c r="Q1" s="676"/>
      <c r="T1" s="333"/>
      <c r="U1" s="333"/>
      <c r="V1" s="333"/>
      <c r="W1" s="333"/>
      <c r="X1" s="333"/>
      <c r="Y1" s="333"/>
      <c r="Z1" s="333"/>
      <c r="AA1" s="333"/>
    </row>
    <row r="2" spans="1:27" ht="19.5" x14ac:dyDescent="0.3">
      <c r="C2" s="677" t="s">
        <v>260</v>
      </c>
      <c r="D2" s="677"/>
      <c r="E2" s="677"/>
      <c r="F2" s="677"/>
      <c r="G2" s="677"/>
      <c r="H2" s="677"/>
      <c r="I2" s="677"/>
      <c r="J2" s="677"/>
      <c r="K2" s="677"/>
      <c r="L2" s="677"/>
      <c r="M2" s="677"/>
      <c r="N2" s="677"/>
      <c r="O2" s="677"/>
      <c r="P2" s="677"/>
      <c r="Q2" s="677"/>
      <c r="R2" s="677"/>
      <c r="T2" s="678" t="s">
        <v>213</v>
      </c>
      <c r="U2" s="679"/>
      <c r="V2" s="679"/>
      <c r="W2" s="679"/>
      <c r="X2" s="679"/>
      <c r="Y2" s="679"/>
      <c r="Z2" s="679"/>
      <c r="AA2" s="330"/>
    </row>
    <row r="3" spans="1:27" ht="19.5" x14ac:dyDescent="0.3">
      <c r="C3" s="677" t="s">
        <v>261</v>
      </c>
      <c r="D3" s="677"/>
      <c r="E3" s="677"/>
      <c r="F3" s="677"/>
      <c r="G3" s="677"/>
      <c r="H3" s="677"/>
      <c r="I3" s="677"/>
      <c r="J3" s="677"/>
      <c r="K3" s="677"/>
      <c r="L3" s="677"/>
      <c r="M3" s="677"/>
      <c r="N3" s="677"/>
      <c r="O3" s="677"/>
      <c r="P3" s="677"/>
      <c r="Q3" s="677"/>
      <c r="R3" s="677"/>
      <c r="T3" s="330">
        <v>1501</v>
      </c>
      <c r="U3" s="330" t="s">
        <v>216</v>
      </c>
      <c r="V3" s="330"/>
      <c r="W3" s="330"/>
      <c r="X3" s="330"/>
      <c r="Y3" s="330"/>
      <c r="Z3" s="330"/>
      <c r="AA3" s="330"/>
    </row>
    <row r="4" spans="1:27" ht="19.5" x14ac:dyDescent="0.3">
      <c r="B4" s="293"/>
      <c r="C4" s="680">
        <f>Q6</f>
        <v>45291</v>
      </c>
      <c r="D4" s="680"/>
      <c r="E4" s="680"/>
      <c r="F4" s="680"/>
      <c r="G4" s="680"/>
      <c r="H4" s="680"/>
      <c r="I4" s="680"/>
      <c r="J4" s="680"/>
      <c r="K4" s="680"/>
      <c r="L4" s="680"/>
      <c r="M4" s="680"/>
      <c r="N4" s="680"/>
      <c r="O4" s="680"/>
      <c r="P4" s="680"/>
      <c r="Q4" s="680"/>
      <c r="R4" s="680"/>
      <c r="T4" s="334" t="s">
        <v>253</v>
      </c>
      <c r="U4" s="330" t="s">
        <v>217</v>
      </c>
      <c r="V4" s="330"/>
      <c r="W4" s="330"/>
      <c r="X4" s="330"/>
      <c r="Y4" s="330"/>
      <c r="Z4" s="330"/>
      <c r="AA4" s="330"/>
    </row>
    <row r="5" spans="1:27" ht="9" customHeight="1" thickBot="1" x14ac:dyDescent="0.35">
      <c r="B5" s="293"/>
      <c r="C5" s="355"/>
      <c r="D5" s="355"/>
      <c r="E5" s="565"/>
      <c r="F5" s="355"/>
      <c r="G5" s="355"/>
      <c r="H5" s="355"/>
      <c r="I5" s="355"/>
      <c r="J5" s="355"/>
      <c r="K5" s="355"/>
      <c r="L5" s="355"/>
      <c r="M5" s="355"/>
      <c r="N5" s="355"/>
      <c r="O5" s="355"/>
      <c r="P5" s="355"/>
      <c r="Q5" s="355"/>
      <c r="R5" s="356"/>
      <c r="T5" s="330"/>
      <c r="U5" s="330"/>
      <c r="V5" s="330"/>
      <c r="W5" s="330"/>
      <c r="X5" s="330"/>
      <c r="Y5" s="330"/>
      <c r="Z5" s="330"/>
      <c r="AA5" s="330"/>
    </row>
    <row r="6" spans="1:27" ht="15.75" x14ac:dyDescent="0.25">
      <c r="A6" s="313"/>
      <c r="B6" s="470" t="s">
        <v>66</v>
      </c>
      <c r="C6" s="471"/>
      <c r="D6" s="472">
        <v>44926</v>
      </c>
      <c r="E6" s="566">
        <v>44957</v>
      </c>
      <c r="F6" s="472">
        <f>+E6+28</f>
        <v>44985</v>
      </c>
      <c r="G6" s="472">
        <f>+F6+31</f>
        <v>45016</v>
      </c>
      <c r="H6" s="472">
        <f>+G6+30</f>
        <v>45046</v>
      </c>
      <c r="I6" s="472">
        <f>+H6+31</f>
        <v>45077</v>
      </c>
      <c r="J6" s="472">
        <f>+I6+30</f>
        <v>45107</v>
      </c>
      <c r="K6" s="472">
        <f>+J6+31</f>
        <v>45138</v>
      </c>
      <c r="L6" s="472">
        <f>+K6+31</f>
        <v>45169</v>
      </c>
      <c r="M6" s="472">
        <f>+L6+30</f>
        <v>45199</v>
      </c>
      <c r="N6" s="472">
        <f>+M6+31</f>
        <v>45230</v>
      </c>
      <c r="O6" s="473" t="s">
        <v>234</v>
      </c>
      <c r="P6" s="472">
        <f>+N6+30</f>
        <v>45260</v>
      </c>
      <c r="Q6" s="472">
        <f>+P6+31</f>
        <v>45291</v>
      </c>
      <c r="R6" s="474" t="s">
        <v>135</v>
      </c>
      <c r="S6" s="358"/>
      <c r="T6" s="330"/>
      <c r="U6" s="330"/>
      <c r="V6" s="330"/>
      <c r="W6" s="330"/>
      <c r="X6" s="330"/>
      <c r="Y6" s="330"/>
      <c r="Z6" s="330"/>
      <c r="AA6" s="330"/>
    </row>
    <row r="7" spans="1:27" x14ac:dyDescent="0.25">
      <c r="A7" s="313"/>
      <c r="B7" s="360"/>
      <c r="C7" s="364" t="s">
        <v>136</v>
      </c>
      <c r="D7" s="469">
        <v>4.9099999999999998E-2</v>
      </c>
      <c r="E7" s="469">
        <v>6.3100000000000003E-2</v>
      </c>
      <c r="F7" s="469">
        <v>6.3100000000000003E-2</v>
      </c>
      <c r="G7" s="469">
        <v>6.3100000000000003E-2</v>
      </c>
      <c r="H7" s="469">
        <v>7.4999999999999997E-2</v>
      </c>
      <c r="I7" s="469">
        <v>7.4999999999999997E-2</v>
      </c>
      <c r="J7" s="469">
        <v>7.4999999999999997E-2</v>
      </c>
      <c r="K7" s="469">
        <v>8.0199999999999994E-2</v>
      </c>
      <c r="L7" s="469">
        <v>8.0199999999999994E-2</v>
      </c>
      <c r="M7" s="469">
        <v>8.0199999999999994E-2</v>
      </c>
      <c r="N7" s="469">
        <v>8.3500000000000005E-2</v>
      </c>
      <c r="O7" s="469"/>
      <c r="P7" s="469">
        <f>+N7</f>
        <v>8.3500000000000005E-2</v>
      </c>
      <c r="Q7" s="469">
        <f>+N7</f>
        <v>8.3500000000000005E-2</v>
      </c>
      <c r="R7" s="451"/>
      <c r="S7" s="358"/>
      <c r="T7" s="330"/>
      <c r="U7" s="330"/>
      <c r="V7" s="330"/>
      <c r="W7" s="330"/>
      <c r="X7" s="330"/>
      <c r="Y7" s="330"/>
      <c r="Z7" s="330"/>
      <c r="AA7" s="330"/>
    </row>
    <row r="8" spans="1:27" ht="15.75" x14ac:dyDescent="0.25">
      <c r="A8" s="313"/>
      <c r="B8" s="361"/>
      <c r="C8" s="364" t="s">
        <v>140</v>
      </c>
      <c r="D8" s="341">
        <v>31</v>
      </c>
      <c r="E8" s="491">
        <v>31</v>
      </c>
      <c r="F8" s="396">
        <v>28</v>
      </c>
      <c r="G8" s="341">
        <v>31</v>
      </c>
      <c r="H8" s="341">
        <v>30</v>
      </c>
      <c r="I8" s="341">
        <v>31</v>
      </c>
      <c r="J8" s="341">
        <v>30</v>
      </c>
      <c r="K8" s="341">
        <v>31</v>
      </c>
      <c r="L8" s="341">
        <v>31</v>
      </c>
      <c r="M8" s="341">
        <v>30</v>
      </c>
      <c r="N8" s="341">
        <v>31</v>
      </c>
      <c r="O8" s="341"/>
      <c r="P8" s="341">
        <v>30</v>
      </c>
      <c r="Q8" s="396">
        <v>31</v>
      </c>
      <c r="R8" s="451"/>
      <c r="T8" s="330"/>
      <c r="U8" s="330"/>
      <c r="V8" s="444" t="s">
        <v>92</v>
      </c>
      <c r="W8" s="330"/>
      <c r="X8" s="330"/>
      <c r="Y8" s="330"/>
      <c r="Z8" s="330"/>
      <c r="AA8" s="330"/>
    </row>
    <row r="9" spans="1:27" ht="15.75" x14ac:dyDescent="0.25">
      <c r="A9" s="313"/>
      <c r="B9" s="295" t="s">
        <v>64</v>
      </c>
      <c r="C9" s="362" t="s">
        <v>262</v>
      </c>
      <c r="D9" s="250">
        <v>202833</v>
      </c>
      <c r="E9" s="250">
        <v>203011</v>
      </c>
      <c r="F9" s="250">
        <v>203089</v>
      </c>
      <c r="G9" s="250">
        <v>203120</v>
      </c>
      <c r="H9" s="250">
        <v>203170</v>
      </c>
      <c r="I9" s="250">
        <v>202875</v>
      </c>
      <c r="J9" s="250">
        <v>202861</v>
      </c>
      <c r="K9" s="250">
        <v>202740</v>
      </c>
      <c r="L9" s="250">
        <v>202614</v>
      </c>
      <c r="M9" s="250">
        <v>202849</v>
      </c>
      <c r="N9" s="250">
        <v>203699</v>
      </c>
      <c r="O9" s="533" t="s">
        <v>249</v>
      </c>
      <c r="P9" s="250">
        <v>204249</v>
      </c>
      <c r="Q9" s="250">
        <v>204516</v>
      </c>
      <c r="R9" s="99"/>
      <c r="T9" s="330">
        <v>4800</v>
      </c>
      <c r="U9" s="461">
        <v>503</v>
      </c>
      <c r="V9" s="332">
        <v>17129779</v>
      </c>
      <c r="W9" s="333" t="s">
        <v>263</v>
      </c>
      <c r="X9" s="444" t="s">
        <v>90</v>
      </c>
      <c r="Y9" s="330"/>
      <c r="Z9" s="444" t="s">
        <v>214</v>
      </c>
      <c r="AA9" s="330"/>
    </row>
    <row r="10" spans="1:27" ht="15.75" x14ac:dyDescent="0.25">
      <c r="A10" s="313"/>
      <c r="B10" s="295" t="s">
        <v>71</v>
      </c>
      <c r="C10" s="366" t="s">
        <v>210</v>
      </c>
      <c r="D10" s="252">
        <v>7799168.5599999996</v>
      </c>
      <c r="E10" s="252">
        <v>8418907.7100000009</v>
      </c>
      <c r="F10" s="252">
        <v>6244744.7699999996</v>
      </c>
      <c r="G10" s="252">
        <v>7271699.6200000001</v>
      </c>
      <c r="H10" s="252">
        <v>4531356.08</v>
      </c>
      <c r="I10" s="252">
        <v>3059513.81</v>
      </c>
      <c r="J10" s="252">
        <v>1418310.71</v>
      </c>
      <c r="K10" s="252">
        <v>1057706.96</v>
      </c>
      <c r="L10" s="252">
        <v>938528.14</v>
      </c>
      <c r="M10" s="252">
        <v>906430.94</v>
      </c>
      <c r="N10" s="252">
        <v>1524072.22</v>
      </c>
      <c r="O10" s="567" t="s">
        <v>264</v>
      </c>
      <c r="P10" s="252">
        <v>3219253.03</v>
      </c>
      <c r="Q10" s="568">
        <v>5815745.7800000003</v>
      </c>
      <c r="R10" s="362"/>
      <c r="T10" s="334" t="s">
        <v>90</v>
      </c>
      <c r="U10" s="335">
        <v>5815745.7800000003</v>
      </c>
      <c r="V10" s="336">
        <f>U10/V9</f>
        <v>0.33951084716271007</v>
      </c>
      <c r="W10" s="336">
        <f>U10/V9</f>
        <v>0.33951084716271007</v>
      </c>
      <c r="X10" s="330">
        <v>0.33950999999999998</v>
      </c>
      <c r="Y10" s="330"/>
      <c r="Z10" s="492">
        <f>X10-W10</f>
        <v>-8.4716271009366295E-7</v>
      </c>
      <c r="AA10" s="330"/>
    </row>
    <row r="11" spans="1:27" ht="15.75" x14ac:dyDescent="0.25">
      <c r="A11" s="313"/>
      <c r="B11" s="295" t="s">
        <v>72</v>
      </c>
      <c r="C11" s="366" t="s">
        <v>223</v>
      </c>
      <c r="D11" s="569">
        <v>18523640</v>
      </c>
      <c r="E11" s="569">
        <v>15091506</v>
      </c>
      <c r="F11" s="569">
        <v>15248940</v>
      </c>
      <c r="G11" s="569">
        <v>10648476</v>
      </c>
      <c r="H11" s="569">
        <v>7415515</v>
      </c>
      <c r="I11" s="569">
        <v>3255618</v>
      </c>
      <c r="J11" s="569">
        <v>2725143</v>
      </c>
      <c r="K11" s="569">
        <v>1455032</v>
      </c>
      <c r="L11" s="569">
        <v>1221686</v>
      </c>
      <c r="M11" s="569">
        <v>2536149</v>
      </c>
      <c r="N11" s="569">
        <v>6349296</v>
      </c>
      <c r="O11" s="480"/>
      <c r="P11" s="569">
        <v>13431914</v>
      </c>
      <c r="Q11" s="569">
        <v>14067230</v>
      </c>
      <c r="R11" s="99"/>
      <c r="T11" s="334" t="s">
        <v>239</v>
      </c>
      <c r="U11" s="335">
        <v>10840658.550000001</v>
      </c>
      <c r="V11" s="336">
        <f>U11/V9</f>
        <v>0.63285454821104237</v>
      </c>
      <c r="W11" s="336">
        <f>U11/V9</f>
        <v>0.63285454821104237</v>
      </c>
      <c r="X11" s="433">
        <v>0.63026000000000004</v>
      </c>
      <c r="Y11" s="330"/>
      <c r="Z11" s="492">
        <f>X11-W11</f>
        <v>-2.5945482110423246E-3</v>
      </c>
      <c r="AA11" s="330"/>
    </row>
    <row r="12" spans="1:27" ht="15.75" x14ac:dyDescent="0.25">
      <c r="A12" s="313"/>
      <c r="B12" s="295"/>
      <c r="C12" s="366" t="s">
        <v>265</v>
      </c>
      <c r="D12" s="570">
        <v>0.34623999999999999</v>
      </c>
      <c r="E12" s="570">
        <v>0.34623999999999999</v>
      </c>
      <c r="F12" s="570">
        <v>0.34623999999999999</v>
      </c>
      <c r="G12" s="570">
        <v>0.33950999999999998</v>
      </c>
      <c r="H12" s="570">
        <v>0.33950999999999998</v>
      </c>
      <c r="I12" s="570">
        <v>0.33950999999999998</v>
      </c>
      <c r="J12" s="570">
        <v>0.33950999999999998</v>
      </c>
      <c r="K12" s="570">
        <v>0.33950999999999998</v>
      </c>
      <c r="L12" s="570">
        <v>0.33950999999999998</v>
      </c>
      <c r="M12" s="570">
        <v>0.33950999999999998</v>
      </c>
      <c r="N12" s="570">
        <v>0.33950999999999998</v>
      </c>
      <c r="O12" s="480"/>
      <c r="P12" s="570">
        <v>0.33950999999999998</v>
      </c>
      <c r="Q12" s="570">
        <v>0.33950999999999998</v>
      </c>
      <c r="R12" s="99"/>
      <c r="T12" s="334"/>
      <c r="U12" s="335"/>
      <c r="V12" s="336"/>
      <c r="W12" s="336"/>
      <c r="X12" s="330"/>
      <c r="Y12" s="330"/>
      <c r="Z12" s="492"/>
      <c r="AA12" s="330"/>
    </row>
    <row r="13" spans="1:27" ht="15.75" x14ac:dyDescent="0.25">
      <c r="A13" s="313"/>
      <c r="B13" s="295"/>
      <c r="C13" s="366" t="s">
        <v>224</v>
      </c>
      <c r="D13" s="310">
        <v>6413625.1100000003</v>
      </c>
      <c r="E13" s="310">
        <f>ROUND(E11*E12,2)</f>
        <v>5225283.04</v>
      </c>
      <c r="F13" s="310">
        <f t="shared" ref="F13:Q13" si="0">ROUND(F11*F12,2)</f>
        <v>5279792.99</v>
      </c>
      <c r="G13" s="310">
        <f t="shared" si="0"/>
        <v>3615264.09</v>
      </c>
      <c r="H13" s="310">
        <f t="shared" si="0"/>
        <v>2517641.5</v>
      </c>
      <c r="I13" s="310">
        <f t="shared" si="0"/>
        <v>1105314.8700000001</v>
      </c>
      <c r="J13" s="310">
        <f t="shared" si="0"/>
        <v>925213.3</v>
      </c>
      <c r="K13" s="310">
        <f t="shared" si="0"/>
        <v>493997.91</v>
      </c>
      <c r="L13" s="310">
        <f t="shared" si="0"/>
        <v>414774.61</v>
      </c>
      <c r="M13" s="310">
        <f t="shared" si="0"/>
        <v>861047.95</v>
      </c>
      <c r="N13" s="310">
        <f t="shared" si="0"/>
        <v>2155649.48</v>
      </c>
      <c r="O13" s="480"/>
      <c r="P13" s="310">
        <f t="shared" si="0"/>
        <v>4560269.12</v>
      </c>
      <c r="Q13" s="310">
        <f t="shared" si="0"/>
        <v>4775965.26</v>
      </c>
      <c r="R13" s="99"/>
      <c r="T13" s="445"/>
      <c r="U13" s="460"/>
      <c r="V13" s="336"/>
      <c r="W13" s="336"/>
      <c r="X13" s="330"/>
      <c r="Y13" s="330"/>
      <c r="Z13" s="336"/>
      <c r="AA13" s="330"/>
    </row>
    <row r="14" spans="1:27" x14ac:dyDescent="0.25">
      <c r="A14" s="313"/>
      <c r="B14" s="295" t="s">
        <v>72</v>
      </c>
      <c r="C14" s="366" t="s">
        <v>184</v>
      </c>
      <c r="D14" s="88">
        <v>-5296006.0199999996</v>
      </c>
      <c r="E14" s="88">
        <f t="shared" ref="E14:N14" si="1">-D13</f>
        <v>-6413625.1100000003</v>
      </c>
      <c r="F14" s="88">
        <f t="shared" si="1"/>
        <v>-5225283.04</v>
      </c>
      <c r="G14" s="88">
        <f t="shared" si="1"/>
        <v>-5279792.99</v>
      </c>
      <c r="H14" s="88">
        <f t="shared" si="1"/>
        <v>-3615264.09</v>
      </c>
      <c r="I14" s="88">
        <f t="shared" si="1"/>
        <v>-2517641.5</v>
      </c>
      <c r="J14" s="88">
        <f t="shared" si="1"/>
        <v>-1105314.8700000001</v>
      </c>
      <c r="K14" s="88">
        <f t="shared" si="1"/>
        <v>-925213.3</v>
      </c>
      <c r="L14" s="88">
        <f t="shared" si="1"/>
        <v>-493997.91</v>
      </c>
      <c r="M14" s="88">
        <f t="shared" si="1"/>
        <v>-414774.61</v>
      </c>
      <c r="N14" s="88">
        <f t="shared" si="1"/>
        <v>-861047.95</v>
      </c>
      <c r="O14" s="205"/>
      <c r="P14" s="88">
        <f>-N13</f>
        <v>-2155649.48</v>
      </c>
      <c r="Q14" s="88">
        <f>-P13</f>
        <v>-4560269.12</v>
      </c>
      <c r="R14" s="99"/>
      <c r="T14" s="333"/>
      <c r="U14" s="330"/>
      <c r="V14" s="333"/>
      <c r="W14" s="333"/>
      <c r="X14" s="330"/>
      <c r="Y14" s="330"/>
      <c r="Z14" s="330"/>
      <c r="AA14" s="330"/>
    </row>
    <row r="15" spans="1:27" x14ac:dyDescent="0.25">
      <c r="A15" s="313"/>
      <c r="B15" s="295"/>
      <c r="C15" s="364" t="s">
        <v>74</v>
      </c>
      <c r="D15" s="108">
        <v>8916787.6500000004</v>
      </c>
      <c r="E15" s="108">
        <f t="shared" ref="E15:N15" si="2">E13+E10+E14</f>
        <v>7230565.6399999997</v>
      </c>
      <c r="F15" s="108">
        <f t="shared" si="2"/>
        <v>6299254.7199999997</v>
      </c>
      <c r="G15" s="108">
        <f t="shared" si="2"/>
        <v>5607170.7200000007</v>
      </c>
      <c r="H15" s="108">
        <f t="shared" si="2"/>
        <v>3433733.49</v>
      </c>
      <c r="I15" s="108">
        <f t="shared" si="2"/>
        <v>1647187.1800000002</v>
      </c>
      <c r="J15" s="108">
        <f t="shared" si="2"/>
        <v>1238209.1399999997</v>
      </c>
      <c r="K15" s="108">
        <f t="shared" si="2"/>
        <v>626491.56999999983</v>
      </c>
      <c r="L15" s="108">
        <f t="shared" si="2"/>
        <v>859304.84000000008</v>
      </c>
      <c r="M15" s="108">
        <f t="shared" si="2"/>
        <v>1352704.2799999998</v>
      </c>
      <c r="N15" s="108">
        <f t="shared" si="2"/>
        <v>2818673.75</v>
      </c>
      <c r="O15" s="206"/>
      <c r="P15" s="108">
        <f>P13+P10+P14</f>
        <v>5623872.6699999999</v>
      </c>
      <c r="Q15" s="108">
        <f>Q13+Q10+Q14</f>
        <v>6031441.919999999</v>
      </c>
      <c r="R15" s="362"/>
      <c r="T15" s="464"/>
      <c r="U15" s="337"/>
      <c r="V15" s="336"/>
      <c r="W15" s="336"/>
      <c r="X15" s="330"/>
      <c r="Y15" s="330"/>
      <c r="Z15" s="336"/>
      <c r="AA15" s="330"/>
    </row>
    <row r="16" spans="1:27" ht="15.75" x14ac:dyDescent="0.25">
      <c r="A16" s="313"/>
      <c r="B16" s="295"/>
      <c r="C16" s="487" t="s">
        <v>73</v>
      </c>
      <c r="D16" s="571">
        <v>-7567699.2300000004</v>
      </c>
      <c r="E16" s="572">
        <f>ROUND(-'[2]Authorized Margins 2022'!D7*'WA CAP 2023'!E9,2)</f>
        <v>-7403811.1699999999</v>
      </c>
      <c r="F16" s="572">
        <f>ROUND(-'[2]Authorized Margins 2022'!E7*'WA CAP 2023'!F9,2)</f>
        <v>-6025650.6299999999</v>
      </c>
      <c r="G16" s="572">
        <f>ROUND(-'Authorized Margins 2023'!G7*'WA CAP 2023'!G9,2)</f>
        <v>-5010970.4000000004</v>
      </c>
      <c r="H16" s="572">
        <f>ROUND(-'Authorized Margins 2023'!H7*'WA CAP 2023'!H9,2)</f>
        <v>-3269005.3</v>
      </c>
      <c r="I16" s="572">
        <f>ROUND(-'Authorized Margins 2023'!I7*'WA CAP 2023'!I9,2)</f>
        <v>-2091641.25</v>
      </c>
      <c r="J16" s="572">
        <f>ROUND(-'Authorized Margins 2023'!J7*'WA CAP 2023'!J9,2)</f>
        <v>-1338882.6000000001</v>
      </c>
      <c r="K16" s="572">
        <f>ROUND(-'Authorized Margins 2023'!K7*'WA CAP 2023'!K9,2)</f>
        <v>-1094796</v>
      </c>
      <c r="L16" s="572">
        <f>ROUND(-'Authorized Margins 2023'!L7*'WA CAP 2023'!L9,2)</f>
        <v>-1096141.74</v>
      </c>
      <c r="M16" s="572">
        <f>ROUND(-'Authorized Margins 2023'!M7*'WA CAP 2023'!M9,2)</f>
        <v>-1328660.95</v>
      </c>
      <c r="N16" s="572">
        <f>ROUND(-'Authorized Margins 2023'!N7*'WA CAP 2023'!N9,2)</f>
        <v>-3047337.04</v>
      </c>
      <c r="O16" s="208"/>
      <c r="P16" s="572">
        <f>ROUND(-'Authorized Margins 2023'!P7*'WA CAP 2023'!P9,2)</f>
        <v>-5761864.29</v>
      </c>
      <c r="Q16" s="573">
        <f>ROUND(-'Authorized Margins 2023'!Q7*'WA CAP 2023'!Q9,2)</f>
        <v>-7481195.2800000003</v>
      </c>
      <c r="R16" s="362"/>
      <c r="T16" s="330"/>
      <c r="U16" s="330"/>
      <c r="V16" s="330"/>
      <c r="W16" s="330"/>
      <c r="X16" s="330"/>
      <c r="Y16" s="330"/>
      <c r="Z16" s="330"/>
      <c r="AA16" s="330"/>
    </row>
    <row r="17" spans="1:27" x14ac:dyDescent="0.25">
      <c r="A17" s="313"/>
      <c r="B17" s="295"/>
      <c r="C17" s="364" t="s">
        <v>201</v>
      </c>
      <c r="D17" s="187">
        <v>1349088.42</v>
      </c>
      <c r="E17" s="108">
        <f t="shared" ref="E17:Q17" si="3">SUM(E15:E16)</f>
        <v>-173245.53000000026</v>
      </c>
      <c r="F17" s="187">
        <f t="shared" si="3"/>
        <v>273604.08999999985</v>
      </c>
      <c r="G17" s="216">
        <f>SUM(G15:G16)</f>
        <v>596200.3200000003</v>
      </c>
      <c r="H17" s="216">
        <f>SUM(H15:H16)</f>
        <v>164728.19000000041</v>
      </c>
      <c r="I17" s="187">
        <f t="shared" si="3"/>
        <v>-444454.06999999983</v>
      </c>
      <c r="J17" s="187">
        <f t="shared" si="3"/>
        <v>-100673.46000000043</v>
      </c>
      <c r="K17" s="187">
        <f t="shared" si="3"/>
        <v>-468304.43000000017</v>
      </c>
      <c r="L17" s="187">
        <f>SUM(L15:L16)</f>
        <v>-236836.89999999991</v>
      </c>
      <c r="M17" s="216">
        <f>SUM(M15:M16)</f>
        <v>24043.329999999842</v>
      </c>
      <c r="N17" s="216">
        <f>SUM(N15:N16)</f>
        <v>-228663.29000000004</v>
      </c>
      <c r="O17" s="532">
        <f>-'[2]WA CAP 2022'!Q19+0.02</f>
        <v>-1316503.82</v>
      </c>
      <c r="P17" s="108">
        <f t="shared" si="3"/>
        <v>-137991.62000000011</v>
      </c>
      <c r="Q17" s="108">
        <f t="shared" si="3"/>
        <v>-1449753.3600000013</v>
      </c>
      <c r="R17" s="99">
        <f>SUM(E17:Q17)-O17</f>
        <v>-2181346.7300000014</v>
      </c>
      <c r="T17" s="330"/>
      <c r="U17" s="330"/>
      <c r="V17" s="330"/>
      <c r="W17" s="330"/>
      <c r="X17" s="330"/>
      <c r="Y17" s="330"/>
      <c r="Z17" s="330"/>
      <c r="AA17" s="330"/>
    </row>
    <row r="18" spans="1:27" ht="15.75" x14ac:dyDescent="0.25">
      <c r="A18" s="313"/>
      <c r="B18" s="295"/>
      <c r="C18" s="574" t="s">
        <v>137</v>
      </c>
      <c r="D18" s="187">
        <v>-135.32</v>
      </c>
      <c r="E18" s="108">
        <f>ROUND(ROUND(D20*E$7,2)/365*E$8,2)</f>
        <v>7055.38</v>
      </c>
      <c r="F18" s="187">
        <f>ROUND(ROUND(E20*F$7,2)/365*F$8,2)</f>
        <v>5568.15</v>
      </c>
      <c r="G18" s="187">
        <f t="shared" ref="G18:J18" si="4">ROUND(ROUND(F20*G$7,2)/365*G$8,2)</f>
        <v>7660.87</v>
      </c>
      <c r="H18" s="187">
        <f t="shared" si="4"/>
        <v>12534.33</v>
      </c>
      <c r="I18" s="187">
        <f t="shared" si="4"/>
        <v>14081.28</v>
      </c>
      <c r="J18" s="187">
        <f t="shared" si="4"/>
        <v>10974.06</v>
      </c>
      <c r="K18" s="187">
        <f>ROUND(ROUND(J20*K$7,2)/365*K$8,2)</f>
        <v>11515.11</v>
      </c>
      <c r="L18" s="187">
        <f>ROUND(ROUND(K20*L$7,2)/365*L$8,2)</f>
        <v>8403.68</v>
      </c>
      <c r="M18" s="187">
        <f>ROUND(ROUND(L20*M$7,2)/365*M$8,2)</f>
        <v>6626.82</v>
      </c>
      <c r="N18" s="187">
        <f>ROUND(ROUND(M20*N$7,2)/365*N$8,2)</f>
        <v>7346.98</v>
      </c>
      <c r="O18" s="231">
        <f>'[2]Ammort Split 2023'!N15</f>
        <v>-83328.58</v>
      </c>
      <c r="P18" s="187">
        <f>ROUND(ROUND(O20*P$7,2)/365*P$8,2)</f>
        <v>-4015.99</v>
      </c>
      <c r="Q18" s="187">
        <f t="shared" ref="Q18" si="5">ROUND(ROUND(P20*Q$7,2)/365*Q$8,2)</f>
        <v>-5156.9399999999996</v>
      </c>
      <c r="R18" s="100">
        <f>SUM(E18:Q18)</f>
        <v>-734.85000000001219</v>
      </c>
      <c r="T18" s="330"/>
      <c r="U18" s="330"/>
      <c r="V18" s="330"/>
      <c r="W18" s="330"/>
      <c r="X18" s="330"/>
      <c r="Y18" s="330"/>
      <c r="Z18" s="330"/>
      <c r="AA18" s="330"/>
    </row>
    <row r="19" spans="1:27" x14ac:dyDescent="0.25">
      <c r="A19" s="313"/>
      <c r="B19" s="295"/>
      <c r="C19" s="364" t="s">
        <v>138</v>
      </c>
      <c r="D19" s="189">
        <v>1348953.0999999999</v>
      </c>
      <c r="E19" s="88">
        <f t="shared" ref="E19:Q19" si="6">SUM(E17:E18)</f>
        <v>-166190.15000000026</v>
      </c>
      <c r="F19" s="189">
        <f t="shared" si="6"/>
        <v>279172.23999999987</v>
      </c>
      <c r="G19" s="189">
        <f t="shared" si="6"/>
        <v>603861.19000000029</v>
      </c>
      <c r="H19" s="189">
        <f t="shared" si="6"/>
        <v>177262.5200000004</v>
      </c>
      <c r="I19" s="189">
        <f t="shared" si="6"/>
        <v>-430372.7899999998</v>
      </c>
      <c r="J19" s="189">
        <f t="shared" si="6"/>
        <v>-89699.400000000431</v>
      </c>
      <c r="K19" s="189">
        <f t="shared" si="6"/>
        <v>-456789.32000000018</v>
      </c>
      <c r="L19" s="189">
        <f t="shared" si="6"/>
        <v>-228433.21999999991</v>
      </c>
      <c r="M19" s="189">
        <f t="shared" si="6"/>
        <v>30670.149999999841</v>
      </c>
      <c r="N19" s="189">
        <f t="shared" si="6"/>
        <v>-221316.31000000003</v>
      </c>
      <c r="O19" s="209">
        <f>SUM(O17:O18)</f>
        <v>-1399832.4000000001</v>
      </c>
      <c r="P19" s="189">
        <f t="shared" si="6"/>
        <v>-142007.6100000001</v>
      </c>
      <c r="Q19" s="189">
        <f t="shared" si="6"/>
        <v>-1454910.3000000012</v>
      </c>
      <c r="R19" s="453">
        <f>SUM(R17:R18)</f>
        <v>-2182081.5800000015</v>
      </c>
      <c r="T19" s="330"/>
      <c r="U19" s="330"/>
      <c r="V19" s="330"/>
      <c r="W19" s="330"/>
      <c r="X19" s="330"/>
      <c r="Y19" s="330"/>
      <c r="Z19" s="330"/>
      <c r="AA19" s="330"/>
    </row>
    <row r="20" spans="1:27" s="584" customFormat="1" ht="21" customHeight="1" x14ac:dyDescent="0.25">
      <c r="A20" s="575"/>
      <c r="B20" s="576"/>
      <c r="C20" s="577" t="s">
        <v>139</v>
      </c>
      <c r="D20" s="578">
        <v>1316503.8899999999</v>
      </c>
      <c r="E20" s="579">
        <f t="shared" ref="E20:Q20" si="7">D20+E19</f>
        <v>1150313.7399999998</v>
      </c>
      <c r="F20" s="580">
        <f t="shared" si="7"/>
        <v>1429485.9799999995</v>
      </c>
      <c r="G20" s="580">
        <f t="shared" si="7"/>
        <v>2033347.17</v>
      </c>
      <c r="H20" s="580">
        <f t="shared" si="7"/>
        <v>2210609.6900000004</v>
      </c>
      <c r="I20" s="580">
        <f t="shared" si="7"/>
        <v>1780236.9000000006</v>
      </c>
      <c r="J20" s="580">
        <f t="shared" si="7"/>
        <v>1690537.5000000002</v>
      </c>
      <c r="K20" s="580">
        <f t="shared" si="7"/>
        <v>1233748.1800000002</v>
      </c>
      <c r="L20" s="580">
        <f t="shared" si="7"/>
        <v>1005314.9600000002</v>
      </c>
      <c r="M20" s="580">
        <f t="shared" si="7"/>
        <v>1035985.11</v>
      </c>
      <c r="N20" s="580">
        <f t="shared" si="7"/>
        <v>814668.79999999993</v>
      </c>
      <c r="O20" s="581">
        <f t="shared" si="7"/>
        <v>-585163.60000000021</v>
      </c>
      <c r="P20" s="580">
        <f t="shared" si="7"/>
        <v>-727171.21000000031</v>
      </c>
      <c r="Q20" s="582">
        <f t="shared" si="7"/>
        <v>-2182081.5100000016</v>
      </c>
      <c r="R20" s="583"/>
      <c r="T20" s="585"/>
      <c r="U20" s="585"/>
      <c r="V20" s="586" t="s">
        <v>92</v>
      </c>
      <c r="W20" s="585"/>
      <c r="X20" s="585"/>
      <c r="Y20" s="585"/>
      <c r="Z20" s="585"/>
      <c r="AA20" s="585"/>
    </row>
    <row r="21" spans="1:27" ht="15.75" x14ac:dyDescent="0.25">
      <c r="A21" s="313"/>
      <c r="B21" s="295" t="s">
        <v>64</v>
      </c>
      <c r="C21" s="362" t="s">
        <v>266</v>
      </c>
      <c r="D21" s="250">
        <v>497</v>
      </c>
      <c r="E21" s="250">
        <v>496</v>
      </c>
      <c r="F21" s="250">
        <v>496</v>
      </c>
      <c r="G21" s="250">
        <v>495</v>
      </c>
      <c r="H21" s="250">
        <v>491</v>
      </c>
      <c r="I21" s="250">
        <v>490</v>
      </c>
      <c r="J21" s="250">
        <v>490</v>
      </c>
      <c r="K21" s="250">
        <v>489</v>
      </c>
      <c r="L21" s="250">
        <v>488</v>
      </c>
      <c r="M21" s="250">
        <v>488</v>
      </c>
      <c r="N21" s="250">
        <v>490</v>
      </c>
      <c r="O21" s="479"/>
      <c r="P21" s="250">
        <v>493</v>
      </c>
      <c r="Q21" s="250">
        <v>495</v>
      </c>
      <c r="R21" s="99"/>
      <c r="T21" s="330">
        <v>4809</v>
      </c>
      <c r="U21" s="461">
        <v>505</v>
      </c>
      <c r="V21" s="332">
        <v>1357607</v>
      </c>
      <c r="W21" s="333" t="s">
        <v>263</v>
      </c>
      <c r="X21" s="444" t="s">
        <v>90</v>
      </c>
      <c r="Y21" s="330"/>
      <c r="Z21" s="444" t="s">
        <v>214</v>
      </c>
      <c r="AA21" s="330"/>
    </row>
    <row r="22" spans="1:27" ht="15.75" x14ac:dyDescent="0.25">
      <c r="A22" s="313"/>
      <c r="B22" s="295" t="s">
        <v>71</v>
      </c>
      <c r="C22" s="366" t="s">
        <v>180</v>
      </c>
      <c r="D22" s="251">
        <v>45777.09</v>
      </c>
      <c r="E22" s="251">
        <v>47038.8</v>
      </c>
      <c r="F22" s="251">
        <v>43869.85</v>
      </c>
      <c r="G22" s="251">
        <v>45576.39</v>
      </c>
      <c r="H22" s="251">
        <v>41136.94</v>
      </c>
      <c r="I22" s="251">
        <v>34769.050000000003</v>
      </c>
      <c r="J22" s="251">
        <v>22284.560000000001</v>
      </c>
      <c r="K22" s="251">
        <v>19034.98</v>
      </c>
      <c r="L22" s="251">
        <v>18178.150000000001</v>
      </c>
      <c r="M22" s="251">
        <v>19222.650000000001</v>
      </c>
      <c r="N22" s="251">
        <v>23927.71</v>
      </c>
      <c r="O22" s="480"/>
      <c r="P22" s="251">
        <v>35063.43</v>
      </c>
      <c r="Q22" s="251">
        <v>42196.17</v>
      </c>
      <c r="R22" s="99"/>
      <c r="T22" s="334" t="s">
        <v>227</v>
      </c>
      <c r="U22" s="335">
        <v>42196.17</v>
      </c>
      <c r="V22" s="336">
        <f>U22/V26</f>
        <v>0.21928973817962602</v>
      </c>
      <c r="W22" s="336">
        <f>U22/V26</f>
        <v>0.21928973817962602</v>
      </c>
      <c r="X22" s="330">
        <v>0.21929000000000001</v>
      </c>
      <c r="Y22" s="330"/>
      <c r="Z22" s="492">
        <f>X22-W22</f>
        <v>2.618203739923608E-7</v>
      </c>
      <c r="AA22" s="330"/>
    </row>
    <row r="23" spans="1:27" ht="15.75" x14ac:dyDescent="0.25">
      <c r="A23" s="313"/>
      <c r="B23" s="295" t="s">
        <v>71</v>
      </c>
      <c r="C23" s="366" t="s">
        <v>181</v>
      </c>
      <c r="D23" s="251">
        <v>144243.93</v>
      </c>
      <c r="E23" s="251">
        <v>150373.01</v>
      </c>
      <c r="F23" s="251">
        <v>124402.68</v>
      </c>
      <c r="G23" s="251">
        <v>134946.5</v>
      </c>
      <c r="H23" s="251">
        <v>102389.75999999999</v>
      </c>
      <c r="I23" s="251">
        <v>80783.490000000005</v>
      </c>
      <c r="J23" s="251">
        <v>49807.9</v>
      </c>
      <c r="K23" s="251">
        <v>39990.129999999997</v>
      </c>
      <c r="L23" s="251">
        <v>41769.21</v>
      </c>
      <c r="M23" s="251">
        <v>43571.21</v>
      </c>
      <c r="N23" s="251">
        <v>56793.7</v>
      </c>
      <c r="O23" s="480"/>
      <c r="P23" s="251">
        <v>79895.78</v>
      </c>
      <c r="Q23" s="251">
        <v>114871.87</v>
      </c>
      <c r="R23" s="99"/>
      <c r="T23" s="334" t="s">
        <v>228</v>
      </c>
      <c r="U23" s="335">
        <v>114871.87</v>
      </c>
      <c r="V23" s="336">
        <f>U23/V27</f>
        <v>0.179979992103383</v>
      </c>
      <c r="W23" s="336">
        <f>U23/V27</f>
        <v>0.179979992103383</v>
      </c>
      <c r="X23" s="330">
        <v>0.17998</v>
      </c>
      <c r="Y23" s="330"/>
      <c r="Z23" s="492">
        <f>X23-W23</f>
        <v>7.8966169991812052E-9</v>
      </c>
      <c r="AA23" s="330"/>
    </row>
    <row r="24" spans="1:27" ht="15.75" x14ac:dyDescent="0.25">
      <c r="A24" s="313"/>
      <c r="B24" s="295" t="s">
        <v>71</v>
      </c>
      <c r="C24" s="366" t="s">
        <v>182</v>
      </c>
      <c r="D24" s="252">
        <v>169577.3</v>
      </c>
      <c r="E24" s="252">
        <v>145242.72</v>
      </c>
      <c r="F24" s="252">
        <v>81823.83</v>
      </c>
      <c r="G24" s="252">
        <v>124291.53</v>
      </c>
      <c r="H24" s="252">
        <v>66366.37</v>
      </c>
      <c r="I24" s="252">
        <v>48788.65</v>
      </c>
      <c r="J24" s="252">
        <v>28048.63</v>
      </c>
      <c r="K24" s="252">
        <v>22744.42</v>
      </c>
      <c r="L24" s="252">
        <v>29658.17</v>
      </c>
      <c r="M24" s="252">
        <v>35686.06</v>
      </c>
      <c r="N24" s="252">
        <v>86129.74</v>
      </c>
      <c r="O24" s="481"/>
      <c r="P24" s="252">
        <v>67109.81</v>
      </c>
      <c r="Q24" s="251">
        <v>91709.51</v>
      </c>
      <c r="R24" s="99"/>
      <c r="T24" s="334" t="s">
        <v>229</v>
      </c>
      <c r="U24" s="335">
        <v>91709.51</v>
      </c>
      <c r="V24" s="336">
        <f>U24/V28</f>
        <v>0.17404000417500876</v>
      </c>
      <c r="W24" s="336">
        <f>U24/V28</f>
        <v>0.17404000417500876</v>
      </c>
      <c r="X24" s="330">
        <v>0.17404</v>
      </c>
      <c r="Y24" s="330"/>
      <c r="Z24" s="492">
        <f>X24-W24</f>
        <v>-4.1750087553804605E-9</v>
      </c>
      <c r="AA24" s="330"/>
    </row>
    <row r="25" spans="1:27" ht="15.75" x14ac:dyDescent="0.25">
      <c r="A25" s="313"/>
      <c r="B25" s="271"/>
      <c r="C25" s="364" t="s">
        <v>74</v>
      </c>
      <c r="D25" s="108">
        <v>359598.31999999995</v>
      </c>
      <c r="E25" s="108">
        <f t="shared" ref="E25:N25" si="8">SUM(E22:E24)</f>
        <v>342654.53</v>
      </c>
      <c r="F25" s="108">
        <f t="shared" si="8"/>
        <v>250096.36</v>
      </c>
      <c r="G25" s="108">
        <f t="shared" si="8"/>
        <v>304814.42000000004</v>
      </c>
      <c r="H25" s="108">
        <f t="shared" si="8"/>
        <v>209893.07</v>
      </c>
      <c r="I25" s="108">
        <f t="shared" si="8"/>
        <v>164341.19</v>
      </c>
      <c r="J25" s="108">
        <f t="shared" si="8"/>
        <v>100141.09000000001</v>
      </c>
      <c r="K25" s="108">
        <f t="shared" si="8"/>
        <v>81769.53</v>
      </c>
      <c r="L25" s="108">
        <f t="shared" si="8"/>
        <v>89605.53</v>
      </c>
      <c r="M25" s="108">
        <f t="shared" si="8"/>
        <v>98479.92</v>
      </c>
      <c r="N25" s="108">
        <f t="shared" si="8"/>
        <v>166851.15000000002</v>
      </c>
      <c r="O25" s="206"/>
      <c r="P25" s="108">
        <f>SUM(P22:P24)</f>
        <v>182069.02</v>
      </c>
      <c r="Q25" s="423">
        <f>SUM(Q22:Q24)</f>
        <v>248777.55</v>
      </c>
      <c r="R25" s="362"/>
      <c r="T25" s="334" t="s">
        <v>239</v>
      </c>
      <c r="U25" s="335">
        <v>839610.98</v>
      </c>
      <c r="V25" s="336">
        <f>U25/V21</f>
        <v>0.61844921247459683</v>
      </c>
      <c r="W25" s="336">
        <f>U25/V21</f>
        <v>0.61844921247459683</v>
      </c>
      <c r="X25" s="338">
        <v>0.61394000000000004</v>
      </c>
      <c r="Y25" s="330"/>
      <c r="Z25" s="492">
        <f>X25-W25</f>
        <v>-4.509212474596791E-3</v>
      </c>
      <c r="AA25" s="330"/>
    </row>
    <row r="26" spans="1:27" ht="15.75" x14ac:dyDescent="0.25">
      <c r="A26" s="313"/>
      <c r="B26" s="271"/>
      <c r="C26" s="487" t="s">
        <v>73</v>
      </c>
      <c r="D26" s="571">
        <v>-257933.06</v>
      </c>
      <c r="E26" s="572">
        <f>ROUND(-'[2]Authorized Margins 2022'!D11*'WA CAP 2023'!E21,2)</f>
        <v>-292640</v>
      </c>
      <c r="F26" s="572">
        <f>ROUND(-'[2]Authorized Margins 2022'!E11*'WA CAP 2023'!F21,2)</f>
        <v>-254656.32</v>
      </c>
      <c r="G26" s="572">
        <f>ROUND(-'Authorized Margins 2023'!G11*'WA CAP 2023'!G21,2)</f>
        <v>-248895.9</v>
      </c>
      <c r="H26" s="572">
        <f>ROUND(-'Authorized Margins 2023'!H11*'WA CAP 2023'!H21,2)</f>
        <v>-212706.11</v>
      </c>
      <c r="I26" s="572">
        <f>ROUND(-'Authorized Margins 2023'!I11*'WA CAP 2023'!I21,2)</f>
        <v>-133343.70000000001</v>
      </c>
      <c r="J26" s="572">
        <f>ROUND(-'Authorized Margins 2023'!J11*'WA CAP 2023'!J21,2)</f>
        <v>-119104.3</v>
      </c>
      <c r="K26" s="572">
        <f>ROUND(-'Authorized Margins 2023'!K11*'WA CAP 2023'!K21,2)</f>
        <v>-104919.84</v>
      </c>
      <c r="L26" s="572">
        <f>ROUND(-'Authorized Margins 2023'!L11*'WA CAP 2023'!L21,2)</f>
        <v>-92388.160000000003</v>
      </c>
      <c r="M26" s="572">
        <f>ROUND(-'Authorized Margins 2023'!M11*'WA CAP 2023'!M21,2)</f>
        <v>-115085.04</v>
      </c>
      <c r="N26" s="572">
        <f>ROUND(-'Authorized Margins 2023'!N11*'WA CAP 2023'!N21,2)</f>
        <v>-185509.1</v>
      </c>
      <c r="O26" s="208"/>
      <c r="P26" s="572">
        <f>ROUND(-'Authorized Margins 2023'!P11*'WA CAP 2023'!P21,2)</f>
        <v>-160984.22</v>
      </c>
      <c r="Q26" s="573">
        <f>ROUND(-'Authorized Margins 2023'!Q11*'WA CAP 2023'!Q21,2)</f>
        <v>-251910.45</v>
      </c>
      <c r="R26" s="362"/>
      <c r="T26" s="330"/>
      <c r="U26" s="330"/>
      <c r="V26" s="337">
        <f>ROUND(U22/X22,0)</f>
        <v>192422</v>
      </c>
      <c r="W26" s="330"/>
      <c r="X26" s="330"/>
      <c r="Y26" s="330"/>
      <c r="Z26" s="330"/>
      <c r="AA26" s="330"/>
    </row>
    <row r="27" spans="1:27" x14ac:dyDescent="0.25">
      <c r="A27" s="313"/>
      <c r="B27" s="271"/>
      <c r="C27" s="364" t="s">
        <v>201</v>
      </c>
      <c r="D27" s="187">
        <v>101665.25999999995</v>
      </c>
      <c r="E27" s="108">
        <f t="shared" ref="E27:Q27" si="9">SUM(E25:E26)</f>
        <v>50014.530000000028</v>
      </c>
      <c r="F27" s="187">
        <f t="shared" si="9"/>
        <v>-4559.960000000021</v>
      </c>
      <c r="G27" s="187">
        <f t="shared" si="9"/>
        <v>55918.520000000048</v>
      </c>
      <c r="H27" s="187">
        <f t="shared" si="9"/>
        <v>-2813.039999999979</v>
      </c>
      <c r="I27" s="187">
        <f t="shared" si="9"/>
        <v>30997.489999999991</v>
      </c>
      <c r="J27" s="187">
        <f t="shared" si="9"/>
        <v>-18963.209999999992</v>
      </c>
      <c r="K27" s="187">
        <f t="shared" si="9"/>
        <v>-23150.309999999998</v>
      </c>
      <c r="L27" s="187">
        <f t="shared" si="9"/>
        <v>-2782.6300000000047</v>
      </c>
      <c r="M27" s="187">
        <f t="shared" si="9"/>
        <v>-16605.119999999995</v>
      </c>
      <c r="N27" s="187">
        <f t="shared" si="9"/>
        <v>-18657.949999999983</v>
      </c>
      <c r="O27" s="302">
        <f>-'[2]WA CAP 2022'!Q31</f>
        <v>-12557.009999999893</v>
      </c>
      <c r="P27" s="187">
        <f t="shared" si="9"/>
        <v>21084.799999999988</v>
      </c>
      <c r="Q27" s="187">
        <f t="shared" si="9"/>
        <v>-3132.9000000000233</v>
      </c>
      <c r="R27" s="99">
        <f>SUM(E27:Q27)-O27</f>
        <v>67350.220000000059</v>
      </c>
      <c r="T27" s="330"/>
      <c r="U27" s="330"/>
      <c r="V27" s="337">
        <f>ROUND(U23/X23,0)</f>
        <v>638248</v>
      </c>
      <c r="W27" s="330"/>
      <c r="X27" s="330"/>
      <c r="Y27" s="330"/>
      <c r="Z27" s="330"/>
      <c r="AA27" s="330"/>
    </row>
    <row r="28" spans="1:27" ht="15.75" x14ac:dyDescent="0.25">
      <c r="A28" s="313"/>
      <c r="B28" s="295"/>
      <c r="C28" s="574" t="s">
        <v>137</v>
      </c>
      <c r="D28" s="187">
        <v>-370.05</v>
      </c>
      <c r="E28" s="108">
        <f>ROUND(ROUND(D30*E$7,2)/365*E$8,2)</f>
        <v>67.3</v>
      </c>
      <c r="F28" s="187">
        <f>ROUND(ROUND(E30*F$7,2)/365*F$8,2)</f>
        <v>303.20999999999998</v>
      </c>
      <c r="G28" s="187">
        <f t="shared" ref="G28:Q28" si="10">ROUND(ROUND(F30*G$7,2)/365*G$8,2)</f>
        <v>312.88</v>
      </c>
      <c r="H28" s="187">
        <f t="shared" si="10"/>
        <v>706.52</v>
      </c>
      <c r="I28" s="187">
        <f t="shared" si="10"/>
        <v>716.65</v>
      </c>
      <c r="J28" s="187">
        <f t="shared" si="10"/>
        <v>889.03</v>
      </c>
      <c r="K28" s="187">
        <f t="shared" si="10"/>
        <v>859.25</v>
      </c>
      <c r="L28" s="187">
        <f t="shared" si="10"/>
        <v>707.41</v>
      </c>
      <c r="M28" s="187">
        <f t="shared" si="10"/>
        <v>670.92</v>
      </c>
      <c r="N28" s="187">
        <f t="shared" si="10"/>
        <v>608.79999999999995</v>
      </c>
      <c r="O28" s="231">
        <f>'[2]Ammort Split 2023'!N28</f>
        <v>-794.81</v>
      </c>
      <c r="P28" s="187">
        <f>ROUND(ROUND(O30*P$7,2)/365*P$8,2)</f>
        <v>373.66</v>
      </c>
      <c r="Q28" s="187">
        <f t="shared" si="10"/>
        <v>538.29</v>
      </c>
      <c r="R28" s="100">
        <f>SUM(E28:Q28)</f>
        <v>5959.11</v>
      </c>
      <c r="T28" s="330"/>
      <c r="U28" s="330"/>
      <c r="V28" s="337">
        <f>ROUND(U24/X24,0)</f>
        <v>526945</v>
      </c>
      <c r="W28" s="330"/>
      <c r="X28" s="330"/>
      <c r="Y28" s="330"/>
      <c r="Z28" s="330"/>
      <c r="AA28" s="330"/>
    </row>
    <row r="29" spans="1:27" x14ac:dyDescent="0.25">
      <c r="A29" s="313"/>
      <c r="B29" s="295"/>
      <c r="C29" s="364" t="s">
        <v>138</v>
      </c>
      <c r="D29" s="189">
        <v>101295.20999999995</v>
      </c>
      <c r="E29" s="88">
        <f t="shared" ref="E29:Q29" si="11">SUM(E27:E28)</f>
        <v>50081.830000000031</v>
      </c>
      <c r="F29" s="189">
        <f t="shared" si="11"/>
        <v>-4256.7500000000209</v>
      </c>
      <c r="G29" s="189">
        <f t="shared" si="11"/>
        <v>56231.400000000045</v>
      </c>
      <c r="H29" s="189">
        <f t="shared" si="11"/>
        <v>-2106.5199999999791</v>
      </c>
      <c r="I29" s="189">
        <f t="shared" si="11"/>
        <v>31714.139999999992</v>
      </c>
      <c r="J29" s="189">
        <f t="shared" si="11"/>
        <v>-18074.179999999993</v>
      </c>
      <c r="K29" s="189">
        <f t="shared" si="11"/>
        <v>-22291.059999999998</v>
      </c>
      <c r="L29" s="189">
        <f t="shared" si="11"/>
        <v>-2075.2200000000048</v>
      </c>
      <c r="M29" s="189">
        <f t="shared" si="11"/>
        <v>-15934.199999999995</v>
      </c>
      <c r="N29" s="189">
        <f t="shared" si="11"/>
        <v>-18049.149999999983</v>
      </c>
      <c r="O29" s="209">
        <f>SUM(O27:O28)</f>
        <v>-13351.819999999892</v>
      </c>
      <c r="P29" s="189">
        <f t="shared" si="11"/>
        <v>21458.459999999988</v>
      </c>
      <c r="Q29" s="189">
        <f t="shared" si="11"/>
        <v>-2594.6100000000233</v>
      </c>
      <c r="R29" s="453">
        <f>SUM(R27:R28)</f>
        <v>73309.33000000006</v>
      </c>
      <c r="T29" s="330"/>
      <c r="U29" s="330"/>
      <c r="V29" s="330"/>
      <c r="W29" s="330"/>
      <c r="X29" s="330"/>
      <c r="Y29" s="330"/>
      <c r="Z29" s="330"/>
      <c r="AA29" s="330"/>
    </row>
    <row r="30" spans="1:27" s="584" customFormat="1" ht="21" customHeight="1" x14ac:dyDescent="0.25">
      <c r="A30" s="575"/>
      <c r="B30" s="576"/>
      <c r="C30" s="577" t="s">
        <v>139</v>
      </c>
      <c r="D30" s="587">
        <v>12557.009999999849</v>
      </c>
      <c r="E30" s="588">
        <f>D30+E29</f>
        <v>62638.83999999988</v>
      </c>
      <c r="F30" s="587">
        <f t="shared" ref="F30:Q30" si="12">E30+F29</f>
        <v>58382.089999999858</v>
      </c>
      <c r="G30" s="587">
        <f t="shared" si="12"/>
        <v>114613.4899999999</v>
      </c>
      <c r="H30" s="587">
        <f t="shared" si="12"/>
        <v>112506.96999999993</v>
      </c>
      <c r="I30" s="587">
        <f t="shared" si="12"/>
        <v>144221.10999999993</v>
      </c>
      <c r="J30" s="587">
        <f t="shared" si="12"/>
        <v>126146.92999999993</v>
      </c>
      <c r="K30" s="587">
        <f t="shared" si="12"/>
        <v>103855.86999999994</v>
      </c>
      <c r="L30" s="587">
        <f t="shared" si="12"/>
        <v>101780.64999999994</v>
      </c>
      <c r="M30" s="587">
        <f t="shared" si="12"/>
        <v>85846.449999999939</v>
      </c>
      <c r="N30" s="587">
        <f t="shared" si="12"/>
        <v>67797.299999999959</v>
      </c>
      <c r="O30" s="589">
        <f>N30+O29</f>
        <v>54445.480000000069</v>
      </c>
      <c r="P30" s="587">
        <f t="shared" si="12"/>
        <v>75903.940000000061</v>
      </c>
      <c r="Q30" s="582">
        <f t="shared" si="12"/>
        <v>73309.330000000031</v>
      </c>
      <c r="R30" s="583"/>
      <c r="T30" s="585"/>
      <c r="U30" s="585"/>
      <c r="V30" s="585"/>
      <c r="W30" s="585"/>
      <c r="X30" s="585"/>
      <c r="Y30" s="585"/>
      <c r="Z30" s="585"/>
      <c r="AA30" s="585"/>
    </row>
    <row r="31" spans="1:27" ht="15.75" x14ac:dyDescent="0.25">
      <c r="A31" s="313"/>
      <c r="B31" s="295" t="s">
        <v>64</v>
      </c>
      <c r="C31" s="362" t="s">
        <v>267</v>
      </c>
      <c r="D31" s="250">
        <v>24</v>
      </c>
      <c r="E31" s="250">
        <v>26</v>
      </c>
      <c r="F31" s="250">
        <v>26</v>
      </c>
      <c r="G31" s="250">
        <v>26</v>
      </c>
      <c r="H31" s="250">
        <v>26</v>
      </c>
      <c r="I31" s="250">
        <v>26</v>
      </c>
      <c r="J31" s="250">
        <v>26</v>
      </c>
      <c r="K31" s="250">
        <v>26</v>
      </c>
      <c r="L31" s="250">
        <v>26</v>
      </c>
      <c r="M31" s="250">
        <v>26</v>
      </c>
      <c r="N31" s="250">
        <v>25</v>
      </c>
      <c r="O31" s="479"/>
      <c r="P31" s="250">
        <v>25</v>
      </c>
      <c r="Q31" s="250">
        <v>27</v>
      </c>
      <c r="R31" s="99"/>
      <c r="T31" s="330">
        <v>4809</v>
      </c>
      <c r="U31" s="461">
        <v>511</v>
      </c>
      <c r="V31" s="332">
        <v>374879</v>
      </c>
      <c r="W31" s="333" t="s">
        <v>263</v>
      </c>
      <c r="X31" s="444" t="s">
        <v>90</v>
      </c>
      <c r="Y31" s="330"/>
      <c r="Z31" s="444" t="s">
        <v>214</v>
      </c>
      <c r="AA31" s="330"/>
    </row>
    <row r="32" spans="1:27" ht="15.75" x14ac:dyDescent="0.25">
      <c r="A32" s="313"/>
      <c r="B32" s="295" t="s">
        <v>71</v>
      </c>
      <c r="C32" s="366" t="s">
        <v>175</v>
      </c>
      <c r="D32" s="251">
        <v>46762.33</v>
      </c>
      <c r="E32" s="251">
        <v>54431.61</v>
      </c>
      <c r="F32" s="251">
        <v>51763.22</v>
      </c>
      <c r="G32" s="251">
        <v>50880.02</v>
      </c>
      <c r="H32" s="251">
        <v>39815.61</v>
      </c>
      <c r="I32" s="251">
        <v>35872.71</v>
      </c>
      <c r="J32" s="251">
        <v>25955.32</v>
      </c>
      <c r="K32" s="251">
        <v>25402.45</v>
      </c>
      <c r="L32" s="251">
        <v>22617.4</v>
      </c>
      <c r="M32" s="251">
        <v>20664.86</v>
      </c>
      <c r="N32" s="251">
        <v>31163.52</v>
      </c>
      <c r="O32" s="480"/>
      <c r="P32" s="251">
        <v>39524.589999999997</v>
      </c>
      <c r="Q32" s="251">
        <v>48860.02</v>
      </c>
      <c r="R32" s="99"/>
      <c r="T32" s="334" t="s">
        <v>230</v>
      </c>
      <c r="U32" s="335">
        <v>48860.02</v>
      </c>
      <c r="V32" s="336">
        <f>U32/V36</f>
        <v>0.21929006777074636</v>
      </c>
      <c r="W32" s="336">
        <f>U32/V36</f>
        <v>0.21929006777074636</v>
      </c>
      <c r="X32" s="338">
        <v>0.21929000000000001</v>
      </c>
      <c r="Y32" s="330"/>
      <c r="Z32" s="492">
        <f>X32-W32</f>
        <v>-6.7770746348116973E-8</v>
      </c>
      <c r="AA32" s="330"/>
    </row>
    <row r="33" spans="1:27" ht="15.75" x14ac:dyDescent="0.25">
      <c r="B33" s="87" t="s">
        <v>71</v>
      </c>
      <c r="C33" s="366" t="s">
        <v>176</v>
      </c>
      <c r="D33" s="251">
        <v>18644.45</v>
      </c>
      <c r="E33" s="251">
        <v>29364.28</v>
      </c>
      <c r="F33" s="251">
        <v>26820.34</v>
      </c>
      <c r="G33" s="251">
        <v>24339.45</v>
      </c>
      <c r="H33" s="251">
        <v>10684.29</v>
      </c>
      <c r="I33" s="251">
        <v>12782.25</v>
      </c>
      <c r="J33" s="251">
        <v>15041.34</v>
      </c>
      <c r="K33" s="251">
        <v>24329.05</v>
      </c>
      <c r="L33" s="251">
        <v>22624.89</v>
      </c>
      <c r="M33" s="251">
        <v>10840.8</v>
      </c>
      <c r="N33" s="251">
        <v>21738.39</v>
      </c>
      <c r="O33" s="480"/>
      <c r="P33" s="251">
        <v>8371.5300000000007</v>
      </c>
      <c r="Q33" s="251">
        <v>12800.41</v>
      </c>
      <c r="R33" s="99"/>
      <c r="T33" s="334" t="s">
        <v>231</v>
      </c>
      <c r="U33" s="335">
        <v>12800.41</v>
      </c>
      <c r="V33" s="336">
        <f>U33/V37</f>
        <v>0.17998073705375345</v>
      </c>
      <c r="W33" s="336">
        <f>U33/V37</f>
        <v>0.17998073705375345</v>
      </c>
      <c r="X33" s="330">
        <v>0.17998</v>
      </c>
      <c r="Y33" s="330"/>
      <c r="Z33" s="492">
        <f>X33-W33</f>
        <v>-7.3705375344679247E-7</v>
      </c>
      <c r="AA33" s="330"/>
    </row>
    <row r="34" spans="1:27" ht="15.75" x14ac:dyDescent="0.25">
      <c r="A34" s="313"/>
      <c r="B34" s="295" t="s">
        <v>71</v>
      </c>
      <c r="C34" s="366" t="s">
        <v>177</v>
      </c>
      <c r="D34" s="252"/>
      <c r="E34" s="252">
        <v>1272.48</v>
      </c>
      <c r="F34" s="252">
        <v>7289.98</v>
      </c>
      <c r="G34" s="252">
        <v>399.16</v>
      </c>
      <c r="H34" s="252"/>
      <c r="I34" s="252">
        <v>34.42</v>
      </c>
      <c r="J34" s="252">
        <v>920.05</v>
      </c>
      <c r="K34" s="252">
        <v>11268.96</v>
      </c>
      <c r="L34" s="252">
        <v>12153.08</v>
      </c>
      <c r="M34" s="252">
        <v>872.33</v>
      </c>
      <c r="N34" s="252"/>
      <c r="O34" s="481"/>
      <c r="P34" s="252"/>
      <c r="Q34" s="252"/>
      <c r="R34" s="99"/>
      <c r="T34" s="334" t="s">
        <v>232</v>
      </c>
      <c r="U34" s="335"/>
      <c r="V34" s="336" t="e">
        <f>U34/V38</f>
        <v>#DIV/0!</v>
      </c>
      <c r="W34" s="336" t="e">
        <f>U34/V38</f>
        <v>#DIV/0!</v>
      </c>
      <c r="X34" s="330">
        <v>0.17404</v>
      </c>
      <c r="Y34" s="330"/>
      <c r="Z34" s="336" t="e">
        <f>X34-W34</f>
        <v>#DIV/0!</v>
      </c>
      <c r="AA34" s="330"/>
    </row>
    <row r="35" spans="1:27" ht="15.75" x14ac:dyDescent="0.25">
      <c r="A35" s="313"/>
      <c r="B35" s="295"/>
      <c r="C35" s="364" t="s">
        <v>74</v>
      </c>
      <c r="D35" s="108">
        <v>65406.78</v>
      </c>
      <c r="E35" s="108">
        <f t="shared" ref="E35:N35" si="13">SUM(E32:E34)</f>
        <v>85068.37</v>
      </c>
      <c r="F35" s="108">
        <f t="shared" si="13"/>
        <v>85873.54</v>
      </c>
      <c r="G35" s="108">
        <f t="shared" si="13"/>
        <v>75618.63</v>
      </c>
      <c r="H35" s="108">
        <f t="shared" si="13"/>
        <v>50499.9</v>
      </c>
      <c r="I35" s="108">
        <f t="shared" si="13"/>
        <v>48689.38</v>
      </c>
      <c r="J35" s="108">
        <f t="shared" si="13"/>
        <v>41916.710000000006</v>
      </c>
      <c r="K35" s="108">
        <f t="shared" si="13"/>
        <v>61000.46</v>
      </c>
      <c r="L35" s="108">
        <f t="shared" si="13"/>
        <v>57395.37</v>
      </c>
      <c r="M35" s="108">
        <f t="shared" si="13"/>
        <v>32377.99</v>
      </c>
      <c r="N35" s="108">
        <f t="shared" si="13"/>
        <v>52901.91</v>
      </c>
      <c r="O35" s="206"/>
      <c r="P35" s="108">
        <f>SUM(P32:P34)</f>
        <v>47896.119999999995</v>
      </c>
      <c r="Q35" s="423">
        <f>SUM(Q32:Q34)</f>
        <v>61660.429999999993</v>
      </c>
      <c r="R35" s="362"/>
      <c r="T35" s="334" t="s">
        <v>239</v>
      </c>
      <c r="U35" s="335">
        <v>230819.49</v>
      </c>
      <c r="V35" s="336">
        <f>U35/V31</f>
        <v>0.61571731145249531</v>
      </c>
      <c r="W35" s="336">
        <f>U35/V31</f>
        <v>0.61571731145249531</v>
      </c>
      <c r="X35" s="338">
        <v>0.61393999999999993</v>
      </c>
      <c r="Y35" s="330"/>
      <c r="Z35" s="492">
        <f>X35-W35</f>
        <v>-1.7773114524953781E-3</v>
      </c>
      <c r="AA35" s="330"/>
    </row>
    <row r="36" spans="1:27" ht="15.75" x14ac:dyDescent="0.25">
      <c r="A36" s="313"/>
      <c r="B36" s="295"/>
      <c r="C36" s="487" t="s">
        <v>73</v>
      </c>
      <c r="D36" s="571">
        <v>-70172.399999999994</v>
      </c>
      <c r="E36" s="572">
        <f>ROUND(-'[2]Authorized Margins 2022'!D13*'WA CAP 2023'!E31,2)</f>
        <v>-99730.8</v>
      </c>
      <c r="F36" s="572">
        <f>ROUND(-'[2]Authorized Margins 2022'!E13*'WA CAP 2023'!F31,2)</f>
        <v>-91279.76</v>
      </c>
      <c r="G36" s="572">
        <f>ROUND(-'Authorized Margins 2023'!G13*'WA CAP 2023'!G31,2)</f>
        <v>-87004.84</v>
      </c>
      <c r="H36" s="572">
        <f>ROUND(-'Authorized Margins 2023'!H13*'WA CAP 2023'!H31,2)</f>
        <v>-83029.179999999993</v>
      </c>
      <c r="I36" s="572">
        <f>ROUND(-'Authorized Margins 2023'!I13*'WA CAP 2023'!I31,2)</f>
        <v>-49651.68</v>
      </c>
      <c r="J36" s="572">
        <f>ROUND(-'Authorized Margins 2023'!J13*'WA CAP 2023'!J31,2)</f>
        <v>-48238.84</v>
      </c>
      <c r="K36" s="572">
        <f>ROUND(-'Authorized Margins 2023'!K13*'WA CAP 2023'!K31,2)</f>
        <v>-41588.04</v>
      </c>
      <c r="L36" s="572">
        <f>ROUND(-'Authorized Margins 2023'!L13*'WA CAP 2023'!L31,2)</f>
        <v>-33727.72</v>
      </c>
      <c r="M36" s="572">
        <f>ROUND(-'Authorized Margins 2023'!M13*'WA CAP 2023'!M31,2)</f>
        <v>-33694.18</v>
      </c>
      <c r="N36" s="572">
        <f>ROUND(-'Authorized Margins 2023'!N13*'WA CAP 2023'!N31,2)</f>
        <v>-38742</v>
      </c>
      <c r="O36" s="208"/>
      <c r="P36" s="572">
        <f>ROUND(-'Authorized Margins 2023'!P13*'WA CAP 2023'!P31,2)</f>
        <v>-45073.75</v>
      </c>
      <c r="Q36" s="573">
        <f>ROUND(-'Authorized Margins 2023'!Q13*'WA CAP 2023'!Q31,2)</f>
        <v>-77410.62</v>
      </c>
      <c r="R36" s="362"/>
      <c r="T36" s="330"/>
      <c r="U36" s="330"/>
      <c r="V36" s="337">
        <f>ROUND(U32/X32,0)</f>
        <v>222810</v>
      </c>
      <c r="W36" s="330"/>
      <c r="X36" s="330"/>
      <c r="Y36" s="330"/>
      <c r="Z36" s="330"/>
      <c r="AA36" s="330"/>
    </row>
    <row r="37" spans="1:27" x14ac:dyDescent="0.25">
      <c r="A37" s="313"/>
      <c r="B37" s="295"/>
      <c r="C37" s="364" t="s">
        <v>201</v>
      </c>
      <c r="D37" s="187">
        <v>-4765.6199999999953</v>
      </c>
      <c r="E37" s="108">
        <f t="shared" ref="E37:Q37" si="14">SUM(E35:E36)</f>
        <v>-14662.430000000008</v>
      </c>
      <c r="F37" s="187">
        <f t="shared" si="14"/>
        <v>-5406.2200000000012</v>
      </c>
      <c r="G37" s="187">
        <f t="shared" si="14"/>
        <v>-11386.209999999992</v>
      </c>
      <c r="H37" s="187">
        <f t="shared" si="14"/>
        <v>-32529.279999999992</v>
      </c>
      <c r="I37" s="187">
        <f t="shared" si="14"/>
        <v>-962.30000000000291</v>
      </c>
      <c r="J37" s="187">
        <f t="shared" si="14"/>
        <v>-6322.1299999999901</v>
      </c>
      <c r="K37" s="187">
        <f t="shared" si="14"/>
        <v>19412.419999999998</v>
      </c>
      <c r="L37" s="187">
        <f t="shared" si="14"/>
        <v>23667.65</v>
      </c>
      <c r="M37" s="187">
        <f t="shared" si="14"/>
        <v>-1316.1899999999987</v>
      </c>
      <c r="N37" s="187">
        <f t="shared" si="14"/>
        <v>14159.910000000003</v>
      </c>
      <c r="O37" s="302">
        <f>-'[2]WA CAP 2022'!Q43</f>
        <v>-126616.79000000001</v>
      </c>
      <c r="P37" s="187">
        <f t="shared" si="14"/>
        <v>2822.3699999999953</v>
      </c>
      <c r="Q37" s="187">
        <f t="shared" si="14"/>
        <v>-15750.190000000002</v>
      </c>
      <c r="R37" s="99">
        <f>SUM(E37:Q37)-O37</f>
        <v>-28272.599999999977</v>
      </c>
      <c r="T37" s="330"/>
      <c r="U37" s="330"/>
      <c r="V37" s="337">
        <f>ROUND(U33/X33,0)</f>
        <v>71121</v>
      </c>
      <c r="W37" s="330"/>
      <c r="X37" s="330"/>
      <c r="Y37" s="330"/>
      <c r="Z37" s="330"/>
      <c r="AA37" s="330"/>
    </row>
    <row r="38" spans="1:27" ht="15.75" x14ac:dyDescent="0.25">
      <c r="A38" s="313"/>
      <c r="B38" s="295"/>
      <c r="C38" s="574" t="s">
        <v>137</v>
      </c>
      <c r="D38" s="187">
        <v>545.61</v>
      </c>
      <c r="E38" s="108">
        <f>ROUND(ROUND(D40*E$7,2)/365*E$8,2)</f>
        <v>678.56</v>
      </c>
      <c r="F38" s="187">
        <f>ROUND(ROUND(E40*F$7,2)/365*F$8,2)</f>
        <v>545.21</v>
      </c>
      <c r="G38" s="187">
        <f t="shared" ref="G38:Q38" si="15">ROUND(ROUND(F40*G$7,2)/365*G$8,2)</f>
        <v>577.57000000000005</v>
      </c>
      <c r="H38" s="187">
        <f t="shared" si="15"/>
        <v>597.72</v>
      </c>
      <c r="I38" s="187">
        <f t="shared" si="15"/>
        <v>414.24</v>
      </c>
      <c r="J38" s="187">
        <f t="shared" si="15"/>
        <v>397.5</v>
      </c>
      <c r="K38" s="187">
        <f t="shared" si="15"/>
        <v>398.87</v>
      </c>
      <c r="L38" s="187">
        <f t="shared" si="15"/>
        <v>533.82000000000005</v>
      </c>
      <c r="M38" s="187">
        <f t="shared" si="15"/>
        <v>676.13</v>
      </c>
      <c r="N38" s="187">
        <f t="shared" si="15"/>
        <v>722.88</v>
      </c>
      <c r="O38" s="231">
        <f>'[2]Ammort Split 2023'!N41</f>
        <v>-8014.2500000000009</v>
      </c>
      <c r="P38" s="187">
        <f>ROUND(ROUND(O40*P$7,2)/365*P$8,2)</f>
        <v>-122.28</v>
      </c>
      <c r="Q38" s="187">
        <f t="shared" si="15"/>
        <v>-107.2</v>
      </c>
      <c r="R38" s="100">
        <f>SUM(E38:Q38)</f>
        <v>-2701.2300000000009</v>
      </c>
      <c r="T38" s="330"/>
      <c r="U38" s="330"/>
      <c r="V38" s="337">
        <f>ROUND(U34/X34,0)</f>
        <v>0</v>
      </c>
      <c r="W38" s="330"/>
      <c r="X38" s="330"/>
      <c r="Y38" s="330"/>
      <c r="Z38" s="330"/>
      <c r="AA38" s="330"/>
    </row>
    <row r="39" spans="1:27" x14ac:dyDescent="0.25">
      <c r="A39" s="313"/>
      <c r="B39" s="295"/>
      <c r="C39" s="364" t="s">
        <v>138</v>
      </c>
      <c r="D39" s="189">
        <v>-4220.0099999999957</v>
      </c>
      <c r="E39" s="88">
        <f t="shared" ref="E39:Q39" si="16">SUM(E37:E38)</f>
        <v>-13983.870000000008</v>
      </c>
      <c r="F39" s="189">
        <f t="shared" si="16"/>
        <v>-4861.0100000000011</v>
      </c>
      <c r="G39" s="189">
        <f t="shared" si="16"/>
        <v>-10808.639999999992</v>
      </c>
      <c r="H39" s="189">
        <f t="shared" si="16"/>
        <v>-31931.55999999999</v>
      </c>
      <c r="I39" s="189">
        <f t="shared" si="16"/>
        <v>-548.0600000000029</v>
      </c>
      <c r="J39" s="189">
        <f t="shared" si="16"/>
        <v>-5924.6299999999901</v>
      </c>
      <c r="K39" s="189">
        <f t="shared" si="16"/>
        <v>19811.289999999997</v>
      </c>
      <c r="L39" s="189">
        <f t="shared" si="16"/>
        <v>24201.47</v>
      </c>
      <c r="M39" s="189">
        <f t="shared" si="16"/>
        <v>-640.05999999999869</v>
      </c>
      <c r="N39" s="189">
        <f t="shared" si="16"/>
        <v>14882.790000000003</v>
      </c>
      <c r="O39" s="209">
        <f>SUM(O37:O38)</f>
        <v>-134631.04000000001</v>
      </c>
      <c r="P39" s="189">
        <f t="shared" si="16"/>
        <v>2700.0899999999951</v>
      </c>
      <c r="Q39" s="189">
        <f t="shared" si="16"/>
        <v>-15857.390000000003</v>
      </c>
      <c r="R39" s="453">
        <f>SUM(R37:R38)</f>
        <v>-30973.829999999976</v>
      </c>
      <c r="T39" s="330"/>
      <c r="U39" s="330"/>
      <c r="V39" s="330"/>
      <c r="W39" s="330"/>
      <c r="X39" s="330"/>
      <c r="Y39" s="330"/>
      <c r="Z39" s="330"/>
      <c r="AA39" s="330"/>
    </row>
    <row r="40" spans="1:27" s="584" customFormat="1" ht="21" customHeight="1" x14ac:dyDescent="0.25">
      <c r="A40" s="575"/>
      <c r="B40" s="576"/>
      <c r="C40" s="577" t="s">
        <v>139</v>
      </c>
      <c r="D40" s="580">
        <v>126616.78999999994</v>
      </c>
      <c r="E40" s="579">
        <f t="shared" ref="E40:Q40" si="17">D40+E39</f>
        <v>112632.91999999993</v>
      </c>
      <c r="F40" s="580">
        <f t="shared" si="17"/>
        <v>107771.90999999993</v>
      </c>
      <c r="G40" s="580">
        <f t="shared" si="17"/>
        <v>96963.269999999931</v>
      </c>
      <c r="H40" s="580">
        <f t="shared" si="17"/>
        <v>65031.709999999941</v>
      </c>
      <c r="I40" s="580">
        <f t="shared" si="17"/>
        <v>64483.649999999936</v>
      </c>
      <c r="J40" s="580">
        <f t="shared" si="17"/>
        <v>58559.019999999946</v>
      </c>
      <c r="K40" s="580">
        <f t="shared" si="17"/>
        <v>78370.309999999939</v>
      </c>
      <c r="L40" s="580">
        <f t="shared" si="17"/>
        <v>102571.77999999994</v>
      </c>
      <c r="M40" s="580">
        <f t="shared" si="17"/>
        <v>101931.71999999994</v>
      </c>
      <c r="N40" s="580">
        <f t="shared" si="17"/>
        <v>116814.50999999995</v>
      </c>
      <c r="O40" s="581">
        <f t="shared" si="17"/>
        <v>-17816.530000000057</v>
      </c>
      <c r="P40" s="580">
        <f t="shared" si="17"/>
        <v>-15116.440000000062</v>
      </c>
      <c r="Q40" s="582">
        <f t="shared" si="17"/>
        <v>-30973.830000000067</v>
      </c>
      <c r="R40" s="583"/>
      <c r="T40" s="585"/>
      <c r="U40" s="585"/>
      <c r="V40" s="585"/>
      <c r="W40" s="585"/>
      <c r="X40" s="585"/>
      <c r="Y40" s="585"/>
      <c r="Z40" s="585"/>
      <c r="AA40" s="585"/>
    </row>
    <row r="41" spans="1:27" ht="15.75" x14ac:dyDescent="0.25">
      <c r="A41" s="313"/>
      <c r="B41" s="295" t="s">
        <v>64</v>
      </c>
      <c r="C41" s="362" t="s">
        <v>268</v>
      </c>
      <c r="D41" s="250">
        <v>1</v>
      </c>
      <c r="E41" s="250">
        <v>1</v>
      </c>
      <c r="F41" s="250">
        <v>1</v>
      </c>
      <c r="G41" s="250">
        <v>1</v>
      </c>
      <c r="H41" s="250">
        <v>1</v>
      </c>
      <c r="I41" s="250">
        <v>1</v>
      </c>
      <c r="J41" s="250">
        <v>1</v>
      </c>
      <c r="K41" s="250">
        <v>1</v>
      </c>
      <c r="L41" s="250">
        <v>1</v>
      </c>
      <c r="M41" s="250">
        <v>1</v>
      </c>
      <c r="N41" s="250">
        <v>1</v>
      </c>
      <c r="O41" s="480"/>
      <c r="P41" s="250">
        <v>1</v>
      </c>
      <c r="Q41" s="250">
        <v>1</v>
      </c>
      <c r="R41" s="452"/>
      <c r="T41" s="437">
        <v>4810</v>
      </c>
      <c r="U41" s="461" t="s">
        <v>154</v>
      </c>
      <c r="V41" s="332">
        <v>6637</v>
      </c>
      <c r="W41" s="333" t="s">
        <v>263</v>
      </c>
      <c r="X41" s="444" t="s">
        <v>90</v>
      </c>
      <c r="Y41" s="330"/>
      <c r="Z41" s="444" t="s">
        <v>214</v>
      </c>
      <c r="AA41" s="330"/>
    </row>
    <row r="42" spans="1:27" ht="15.75" x14ac:dyDescent="0.25">
      <c r="A42" s="313"/>
      <c r="B42" s="295" t="s">
        <v>71</v>
      </c>
      <c r="C42" s="366" t="s">
        <v>199</v>
      </c>
      <c r="D42" s="251">
        <v>2565.48</v>
      </c>
      <c r="E42" s="251">
        <v>2659.13</v>
      </c>
      <c r="F42" s="251">
        <v>2273.21</v>
      </c>
      <c r="G42" s="251">
        <v>2287.71</v>
      </c>
      <c r="H42" s="251">
        <v>2427.2399999999998</v>
      </c>
      <c r="I42" s="251">
        <v>1290.53</v>
      </c>
      <c r="J42" s="251">
        <v>686.35</v>
      </c>
      <c r="K42" s="251">
        <v>269.82</v>
      </c>
      <c r="L42" s="251">
        <v>481.07</v>
      </c>
      <c r="M42" s="251">
        <v>379.57</v>
      </c>
      <c r="N42" s="251">
        <v>414.54</v>
      </c>
      <c r="O42" s="480"/>
      <c r="P42" s="251">
        <v>1710.18</v>
      </c>
      <c r="Q42" s="251">
        <v>1887.03</v>
      </c>
      <c r="R42" s="99"/>
      <c r="T42" s="334" t="s">
        <v>90</v>
      </c>
      <c r="U42" s="335">
        <v>1887.03</v>
      </c>
      <c r="V42" s="336">
        <f>U42/V41</f>
        <v>0.28431972276631007</v>
      </c>
      <c r="W42" s="336">
        <f>U42/V41</f>
        <v>0.28431972276631007</v>
      </c>
      <c r="X42" s="330">
        <v>0.28432000000000002</v>
      </c>
      <c r="Y42" s="330"/>
      <c r="Z42" s="492">
        <f>X42-W42</f>
        <v>2.7723368994925224E-7</v>
      </c>
      <c r="AA42" s="330"/>
    </row>
    <row r="43" spans="1:27" ht="15.75" x14ac:dyDescent="0.25">
      <c r="A43" s="313"/>
      <c r="B43" s="295" t="s">
        <v>72</v>
      </c>
      <c r="C43" s="377" t="s">
        <v>269</v>
      </c>
      <c r="D43" s="276">
        <v>2659.13</v>
      </c>
      <c r="E43" s="276">
        <v>2273.21</v>
      </c>
      <c r="F43" s="276">
        <v>2287.71</v>
      </c>
      <c r="G43" s="276">
        <v>2427.2399999999998</v>
      </c>
      <c r="H43" s="276">
        <v>1290.53</v>
      </c>
      <c r="I43" s="276">
        <v>686.35</v>
      </c>
      <c r="J43" s="276">
        <v>269.82</v>
      </c>
      <c r="K43" s="276">
        <v>481.07</v>
      </c>
      <c r="L43" s="276">
        <v>379.57</v>
      </c>
      <c r="M43" s="276">
        <v>414.54</v>
      </c>
      <c r="N43" s="276">
        <v>1710.18</v>
      </c>
      <c r="O43" s="480"/>
      <c r="P43" s="276">
        <v>1887.03</v>
      </c>
      <c r="Q43" s="276">
        <v>1984.55</v>
      </c>
      <c r="R43" s="99"/>
      <c r="T43" s="334" t="s">
        <v>239</v>
      </c>
      <c r="U43" s="335">
        <v>4164.78</v>
      </c>
      <c r="V43" s="336">
        <f>U43/V41</f>
        <v>0.62750941690522821</v>
      </c>
      <c r="W43" s="336">
        <f>U43/V41</f>
        <v>0.62750941690522821</v>
      </c>
      <c r="X43" s="330">
        <v>0.62751000000000001</v>
      </c>
      <c r="Y43" s="330"/>
      <c r="Z43" s="492">
        <f>X43-W43</f>
        <v>5.830947717999635E-7</v>
      </c>
      <c r="AA43" s="330"/>
    </row>
    <row r="44" spans="1:27" x14ac:dyDescent="0.25">
      <c r="A44" s="313"/>
      <c r="B44" s="295" t="s">
        <v>72</v>
      </c>
      <c r="C44" s="366" t="s">
        <v>179</v>
      </c>
      <c r="D44" s="108">
        <v>-2565.48</v>
      </c>
      <c r="E44" s="108">
        <f t="shared" ref="E44:N44" si="18">-D43</f>
        <v>-2659.13</v>
      </c>
      <c r="F44" s="88">
        <f t="shared" si="18"/>
        <v>-2273.21</v>
      </c>
      <c r="G44" s="88">
        <f t="shared" si="18"/>
        <v>-2287.71</v>
      </c>
      <c r="H44" s="88">
        <f t="shared" si="18"/>
        <v>-2427.2399999999998</v>
      </c>
      <c r="I44" s="88">
        <f t="shared" si="18"/>
        <v>-1290.53</v>
      </c>
      <c r="J44" s="88">
        <f t="shared" si="18"/>
        <v>-686.35</v>
      </c>
      <c r="K44" s="88">
        <f t="shared" si="18"/>
        <v>-269.82</v>
      </c>
      <c r="L44" s="88">
        <f t="shared" si="18"/>
        <v>-481.07</v>
      </c>
      <c r="M44" s="88">
        <f t="shared" si="18"/>
        <v>-379.57</v>
      </c>
      <c r="N44" s="88">
        <f t="shared" si="18"/>
        <v>-414.54</v>
      </c>
      <c r="O44" s="205"/>
      <c r="P44" s="88">
        <f>-N43</f>
        <v>-1710.18</v>
      </c>
      <c r="Q44" s="590">
        <f>-P43</f>
        <v>-1887.03</v>
      </c>
      <c r="R44" s="99"/>
      <c r="T44" s="334"/>
      <c r="U44" s="337"/>
      <c r="V44" s="336"/>
      <c r="W44" s="336"/>
      <c r="X44" s="330"/>
      <c r="Y44" s="330"/>
      <c r="Z44" s="336"/>
      <c r="AA44" s="330"/>
    </row>
    <row r="45" spans="1:27" x14ac:dyDescent="0.25">
      <c r="A45" s="313"/>
      <c r="C45" s="364" t="s">
        <v>74</v>
      </c>
      <c r="D45" s="591">
        <v>2659.1300000000006</v>
      </c>
      <c r="E45" s="423">
        <f>SUM(E42:E44)</f>
        <v>2273.21</v>
      </c>
      <c r="F45" s="187">
        <f t="shared" ref="F45:G45" si="19">SUM(F42:F44)</f>
        <v>2287.71</v>
      </c>
      <c r="G45" s="187">
        <f t="shared" si="19"/>
        <v>2427.2399999999998</v>
      </c>
      <c r="H45" s="187">
        <f>SUM(H42:H44)</f>
        <v>1290.5299999999997</v>
      </c>
      <c r="I45" s="187">
        <f t="shared" ref="I45:Q45" si="20">SUM(I42:I44)</f>
        <v>686.35000000000014</v>
      </c>
      <c r="J45" s="187">
        <f t="shared" si="20"/>
        <v>269.82000000000005</v>
      </c>
      <c r="K45" s="187">
        <f t="shared" si="20"/>
        <v>481.07</v>
      </c>
      <c r="L45" s="187">
        <f t="shared" si="20"/>
        <v>379.57</v>
      </c>
      <c r="M45" s="187">
        <f t="shared" si="20"/>
        <v>414.54</v>
      </c>
      <c r="N45" s="187">
        <f t="shared" si="20"/>
        <v>1710.1800000000003</v>
      </c>
      <c r="O45" s="208"/>
      <c r="P45" s="187">
        <f t="shared" si="20"/>
        <v>1887.03</v>
      </c>
      <c r="Q45" s="397">
        <f t="shared" si="20"/>
        <v>1984.55</v>
      </c>
      <c r="R45" s="362"/>
      <c r="T45" s="330"/>
      <c r="U45" s="330"/>
      <c r="V45" s="330"/>
      <c r="W45" s="330"/>
      <c r="X45" s="330"/>
      <c r="Y45" s="330"/>
      <c r="Z45" s="330"/>
      <c r="AA45" s="330"/>
    </row>
    <row r="46" spans="1:27" ht="15.75" x14ac:dyDescent="0.25">
      <c r="A46" s="313"/>
      <c r="B46" s="295"/>
      <c r="C46" s="487" t="s">
        <v>73</v>
      </c>
      <c r="D46" s="571">
        <v>-144</v>
      </c>
      <c r="E46" s="572">
        <f>ROUND(-'[2]Authorized Margins 2022'!D9*'WA CAP 2023'!E41,2)</f>
        <v>-151.13999999999999</v>
      </c>
      <c r="F46" s="572">
        <f>ROUND(-'[2]Authorized Margins 2022'!E9*'WA CAP 2023'!F41,2)</f>
        <v>-124.49</v>
      </c>
      <c r="G46" s="572">
        <f>ROUND(-'Authorized Margins 2023'!G9*'WA CAP 2023'!G41,2)</f>
        <v>-96.8</v>
      </c>
      <c r="H46" s="572">
        <f>ROUND(-'Authorized Margins 2023'!H9*'WA CAP 2023'!H41,2)</f>
        <v>-61.86</v>
      </c>
      <c r="I46" s="572">
        <f>ROUND(-'Authorized Margins 2023'!I9*'WA CAP 2023'!I41,2)</f>
        <v>-43.03</v>
      </c>
      <c r="J46" s="572">
        <f>ROUND(-'Authorized Margins 2023'!J9*'WA CAP 2023'!J41,2)</f>
        <v>-29.53</v>
      </c>
      <c r="K46" s="572">
        <f>ROUND(-'Authorized Margins 2023'!K9*'WA CAP 2023'!K41,2)</f>
        <v>-30.55</v>
      </c>
      <c r="L46" s="572">
        <f>ROUND(-'Authorized Margins 2023'!L9*'WA CAP 2023'!L41,2)</f>
        <v>-30.61</v>
      </c>
      <c r="M46" s="572">
        <f>ROUND(-'Authorized Margins 2023'!M9*'WA CAP 2023'!M41,2)</f>
        <v>-39.67</v>
      </c>
      <c r="N46" s="572">
        <f>ROUND(-'Authorized Margins 2023'!N9*'WA CAP 2023'!N41,2)</f>
        <v>-72.53</v>
      </c>
      <c r="O46" s="208"/>
      <c r="P46" s="572">
        <f>ROUND(-'Authorized Margins 2023'!P9*'WA CAP 2023'!P41,2)</f>
        <v>-109.96</v>
      </c>
      <c r="Q46" s="573">
        <f>ROUND(-'Authorized Margins 2023'!Q9*'WA CAP 2023'!Q41,2)</f>
        <v>-141.21</v>
      </c>
      <c r="R46" s="362"/>
      <c r="T46" s="330"/>
      <c r="U46" s="337"/>
      <c r="V46" s="330"/>
      <c r="W46" s="330"/>
      <c r="X46" s="330"/>
      <c r="Y46" s="330"/>
      <c r="Z46" s="330"/>
      <c r="AA46" s="330"/>
    </row>
    <row r="47" spans="1:27" x14ac:dyDescent="0.25">
      <c r="A47" s="313"/>
      <c r="B47" s="295"/>
      <c r="C47" s="364" t="s">
        <v>201</v>
      </c>
      <c r="D47" s="187">
        <v>2515.1300000000006</v>
      </c>
      <c r="E47" s="108">
        <f t="shared" ref="E47:Q47" si="21">SUM(E45:E46)</f>
        <v>2122.0700000000002</v>
      </c>
      <c r="F47" s="187">
        <f t="shared" si="21"/>
        <v>2163.2200000000003</v>
      </c>
      <c r="G47" s="187">
        <f t="shared" si="21"/>
        <v>2330.4399999999996</v>
      </c>
      <c r="H47" s="187">
        <f t="shared" si="21"/>
        <v>1228.6699999999998</v>
      </c>
      <c r="I47" s="187">
        <f t="shared" si="21"/>
        <v>643.32000000000016</v>
      </c>
      <c r="J47" s="187">
        <f t="shared" si="21"/>
        <v>240.29000000000005</v>
      </c>
      <c r="K47" s="187">
        <f t="shared" si="21"/>
        <v>450.52</v>
      </c>
      <c r="L47" s="187">
        <f t="shared" si="21"/>
        <v>348.96</v>
      </c>
      <c r="M47" s="187">
        <f t="shared" si="21"/>
        <v>374.87</v>
      </c>
      <c r="N47" s="187">
        <f t="shared" si="21"/>
        <v>1637.6500000000003</v>
      </c>
      <c r="O47" s="302">
        <f>-'[2]WA CAP 2022'!Q55</f>
        <v>-26177.68</v>
      </c>
      <c r="P47" s="187">
        <f t="shared" si="21"/>
        <v>1777.07</v>
      </c>
      <c r="Q47" s="187">
        <f t="shared" si="21"/>
        <v>1843.34</v>
      </c>
      <c r="R47" s="99">
        <f>SUM(E47:Q47)-O47</f>
        <v>15160.420000000002</v>
      </c>
      <c r="T47" s="330"/>
      <c r="U47" s="337"/>
      <c r="V47" s="330"/>
      <c r="W47" s="330"/>
      <c r="X47" s="330"/>
      <c r="Y47" s="330"/>
      <c r="Z47" s="330"/>
      <c r="AA47" s="330"/>
    </row>
    <row r="48" spans="1:27" ht="15.75" x14ac:dyDescent="0.25">
      <c r="A48" s="313"/>
      <c r="B48" s="295"/>
      <c r="C48" s="574" t="s">
        <v>137</v>
      </c>
      <c r="D48" s="187">
        <v>98.27</v>
      </c>
      <c r="E48" s="108">
        <f>ROUND(ROUND(D50*E$7,2)/365*E$8,2)</f>
        <v>140.29</v>
      </c>
      <c r="F48" s="187">
        <f>ROUND(ROUND(E50*F$7,2)/365*F$8,2)</f>
        <v>137.66999999999999</v>
      </c>
      <c r="G48" s="187">
        <f t="shared" ref="G48:N48" si="22">ROUND(ROUND(F50*G$7,2)/365*G$8,2)</f>
        <v>164.75</v>
      </c>
      <c r="H48" s="187">
        <f t="shared" si="22"/>
        <v>204.88</v>
      </c>
      <c r="I48" s="187">
        <f t="shared" si="22"/>
        <v>220.84</v>
      </c>
      <c r="J48" s="187">
        <f t="shared" si="22"/>
        <v>219.04</v>
      </c>
      <c r="K48" s="187">
        <f t="shared" si="22"/>
        <v>245.17</v>
      </c>
      <c r="L48" s="187">
        <f t="shared" si="22"/>
        <v>249.91</v>
      </c>
      <c r="M48" s="187">
        <f t="shared" si="22"/>
        <v>245.79</v>
      </c>
      <c r="N48" s="187">
        <f t="shared" si="22"/>
        <v>268.83999999999997</v>
      </c>
      <c r="O48" s="231">
        <f>'[2]Ammort Split 2023'!N53</f>
        <v>-1656.9199999999998</v>
      </c>
      <c r="P48" s="187">
        <f>ROUND(ROUND(O50*P$7,2)/365*P$8,2)</f>
        <v>82.22</v>
      </c>
      <c r="Q48" s="187">
        <f t="shared" ref="Q48" si="23">ROUND(ROUND(P50*Q$7,2)/365*Q$8,2)</f>
        <v>98.15</v>
      </c>
      <c r="R48" s="100">
        <f>SUM(E48:Q48)</f>
        <v>620.63000000000045</v>
      </c>
      <c r="T48" s="330"/>
      <c r="U48" s="337"/>
      <c r="V48" s="330"/>
      <c r="W48" s="330"/>
      <c r="X48" s="330"/>
      <c r="Y48" s="330"/>
      <c r="Z48" s="330"/>
      <c r="AA48" s="330"/>
    </row>
    <row r="49" spans="1:28" x14ac:dyDescent="0.25">
      <c r="A49" s="313"/>
      <c r="B49" s="295"/>
      <c r="C49" s="364" t="s">
        <v>138</v>
      </c>
      <c r="D49" s="189">
        <v>2613.4000000000005</v>
      </c>
      <c r="E49" s="88">
        <f t="shared" ref="E49:Q49" si="24">SUM(E47:E48)</f>
        <v>2262.36</v>
      </c>
      <c r="F49" s="189">
        <f t="shared" si="24"/>
        <v>2300.8900000000003</v>
      </c>
      <c r="G49" s="189">
        <f t="shared" si="24"/>
        <v>2495.1899999999996</v>
      </c>
      <c r="H49" s="189">
        <f t="shared" si="24"/>
        <v>1433.5499999999997</v>
      </c>
      <c r="I49" s="189">
        <f t="shared" si="24"/>
        <v>864.1600000000002</v>
      </c>
      <c r="J49" s="189">
        <f t="shared" si="24"/>
        <v>459.33000000000004</v>
      </c>
      <c r="K49" s="189">
        <f t="shared" si="24"/>
        <v>695.68999999999994</v>
      </c>
      <c r="L49" s="189">
        <f t="shared" si="24"/>
        <v>598.87</v>
      </c>
      <c r="M49" s="189">
        <f t="shared" si="24"/>
        <v>620.66</v>
      </c>
      <c r="N49" s="189">
        <f t="shared" si="24"/>
        <v>1906.4900000000002</v>
      </c>
      <c r="O49" s="209">
        <f>SUM(O47:O48)</f>
        <v>-27834.6</v>
      </c>
      <c r="P49" s="189">
        <f t="shared" si="24"/>
        <v>1859.29</v>
      </c>
      <c r="Q49" s="189">
        <f t="shared" si="24"/>
        <v>1941.49</v>
      </c>
      <c r="R49" s="453">
        <f>SUM(R47:R48)</f>
        <v>15781.050000000003</v>
      </c>
      <c r="T49" s="330"/>
      <c r="U49" s="337"/>
      <c r="V49" s="330"/>
      <c r="W49" s="330"/>
      <c r="X49" s="330"/>
      <c r="Y49" s="330"/>
      <c r="Z49" s="330"/>
      <c r="AA49" s="330"/>
    </row>
    <row r="50" spans="1:28" s="584" customFormat="1" ht="21" customHeight="1" x14ac:dyDescent="0.25">
      <c r="A50" s="575"/>
      <c r="B50" s="576"/>
      <c r="C50" s="577" t="s">
        <v>139</v>
      </c>
      <c r="D50" s="587">
        <v>26177.680000000008</v>
      </c>
      <c r="E50" s="588">
        <f t="shared" ref="E50:Q50" si="25">D50+E49</f>
        <v>28440.040000000008</v>
      </c>
      <c r="F50" s="587">
        <f t="shared" si="25"/>
        <v>30740.930000000008</v>
      </c>
      <c r="G50" s="587">
        <f>F50+G49</f>
        <v>33236.12000000001</v>
      </c>
      <c r="H50" s="587">
        <f t="shared" si="25"/>
        <v>34669.670000000013</v>
      </c>
      <c r="I50" s="587">
        <f t="shared" si="25"/>
        <v>35533.830000000016</v>
      </c>
      <c r="J50" s="587">
        <f t="shared" si="25"/>
        <v>35993.160000000018</v>
      </c>
      <c r="K50" s="587">
        <f t="shared" si="25"/>
        <v>36688.85000000002</v>
      </c>
      <c r="L50" s="587">
        <f t="shared" si="25"/>
        <v>37287.720000000023</v>
      </c>
      <c r="M50" s="587">
        <f t="shared" si="25"/>
        <v>37908.380000000026</v>
      </c>
      <c r="N50" s="587">
        <f t="shared" si="25"/>
        <v>39814.870000000024</v>
      </c>
      <c r="O50" s="589">
        <f t="shared" si="25"/>
        <v>11980.270000000026</v>
      </c>
      <c r="P50" s="587">
        <f t="shared" si="25"/>
        <v>13839.560000000027</v>
      </c>
      <c r="Q50" s="582">
        <f t="shared" si="25"/>
        <v>15781.050000000027</v>
      </c>
      <c r="R50" s="583"/>
      <c r="T50" s="585"/>
      <c r="U50" s="592"/>
      <c r="V50" s="592"/>
      <c r="W50" s="585"/>
      <c r="X50" s="585"/>
      <c r="Y50" s="585"/>
      <c r="Z50" s="585"/>
      <c r="AA50" s="585"/>
    </row>
    <row r="51" spans="1:28" hidden="1" x14ac:dyDescent="0.25">
      <c r="A51" s="313"/>
      <c r="B51" s="295"/>
      <c r="C51" s="368"/>
      <c r="D51" s="90"/>
      <c r="E51" s="108"/>
      <c r="F51" s="90"/>
      <c r="G51" s="90"/>
      <c r="H51" s="90"/>
      <c r="I51" s="90"/>
      <c r="J51" s="90"/>
      <c r="K51" s="90"/>
      <c r="L51" s="90"/>
      <c r="M51" s="90"/>
      <c r="N51" s="90"/>
      <c r="O51" s="204"/>
      <c r="P51" s="90"/>
      <c r="Q51" s="90"/>
      <c r="R51" s="362"/>
      <c r="T51" s="334"/>
      <c r="U51" s="337"/>
      <c r="V51" s="337"/>
      <c r="W51" s="330"/>
      <c r="X51" s="330"/>
      <c r="Y51" s="330"/>
      <c r="Z51" s="330"/>
      <c r="AA51" s="330"/>
    </row>
    <row r="52" spans="1:28" ht="15.75" x14ac:dyDescent="0.25">
      <c r="A52" s="313"/>
      <c r="B52" s="295"/>
      <c r="C52" s="362" t="s">
        <v>270</v>
      </c>
      <c r="D52" s="250">
        <v>3</v>
      </c>
      <c r="E52" s="250">
        <v>3</v>
      </c>
      <c r="F52" s="250">
        <v>3</v>
      </c>
      <c r="G52" s="250">
        <v>3</v>
      </c>
      <c r="H52" s="250">
        <v>3</v>
      </c>
      <c r="I52" s="250">
        <v>3</v>
      </c>
      <c r="J52" s="250">
        <v>3</v>
      </c>
      <c r="K52" s="250">
        <v>3</v>
      </c>
      <c r="L52" s="250">
        <v>3</v>
      </c>
      <c r="M52" s="250">
        <v>3</v>
      </c>
      <c r="N52" s="250">
        <v>3</v>
      </c>
      <c r="O52" s="479"/>
      <c r="P52" s="250">
        <v>3</v>
      </c>
      <c r="Q52" s="250">
        <v>3</v>
      </c>
      <c r="R52" s="452"/>
      <c r="T52" s="437">
        <v>4810</v>
      </c>
      <c r="U52" s="461" t="s">
        <v>169</v>
      </c>
      <c r="V52" s="332">
        <v>120295</v>
      </c>
      <c r="W52" s="333" t="s">
        <v>263</v>
      </c>
      <c r="X52" s="444" t="s">
        <v>90</v>
      </c>
      <c r="Y52" s="330"/>
      <c r="Z52" s="444" t="s">
        <v>214</v>
      </c>
      <c r="AA52" s="330"/>
      <c r="AB52" s="104"/>
    </row>
    <row r="53" spans="1:28" ht="15.75" x14ac:dyDescent="0.25">
      <c r="A53" s="313"/>
      <c r="B53" s="295"/>
      <c r="C53" s="366" t="s">
        <v>175</v>
      </c>
      <c r="D53" s="251">
        <v>10661.4</v>
      </c>
      <c r="E53" s="251">
        <v>10661.4</v>
      </c>
      <c r="F53" s="251">
        <v>10661.4</v>
      </c>
      <c r="G53" s="251">
        <v>10320.24</v>
      </c>
      <c r="H53" s="251">
        <v>9525.7000000000007</v>
      </c>
      <c r="I53" s="251">
        <v>8670.8799999999992</v>
      </c>
      <c r="J53" s="251">
        <v>3935.2</v>
      </c>
      <c r="K53" s="251">
        <v>1678.63</v>
      </c>
      <c r="L53" s="251">
        <v>1260.6300000000001</v>
      </c>
      <c r="M53" s="251">
        <v>1061.1300000000001</v>
      </c>
      <c r="N53" s="251">
        <v>1730.55</v>
      </c>
      <c r="O53" s="480"/>
      <c r="P53" s="251">
        <v>8843.5499999999993</v>
      </c>
      <c r="Q53" s="251">
        <v>10102.780000000001</v>
      </c>
      <c r="R53" s="99"/>
      <c r="T53" s="334" t="s">
        <v>90</v>
      </c>
      <c r="U53" s="335">
        <v>10102.780000000001</v>
      </c>
      <c r="V53" s="336">
        <f>U53/V52</f>
        <v>8.3983374205079189E-2</v>
      </c>
      <c r="W53" s="336">
        <f>U53/V57</f>
        <v>0.21929194703711744</v>
      </c>
      <c r="X53" s="338">
        <f>+X32</f>
        <v>0.21929000000000001</v>
      </c>
      <c r="Y53" s="330"/>
      <c r="Z53" s="492">
        <f>X53-W53</f>
        <v>-1.9470371174223899E-6</v>
      </c>
      <c r="AA53" s="330"/>
      <c r="AB53" s="104"/>
    </row>
    <row r="54" spans="1:28" ht="15.75" x14ac:dyDescent="0.25">
      <c r="A54" s="313"/>
      <c r="B54" s="295"/>
      <c r="C54" s="366" t="s">
        <v>176</v>
      </c>
      <c r="D54" s="251">
        <v>12810.77</v>
      </c>
      <c r="E54" s="251">
        <v>20560.05</v>
      </c>
      <c r="F54" s="251">
        <v>13143.67</v>
      </c>
      <c r="G54" s="251">
        <v>9488.9500000000007</v>
      </c>
      <c r="H54" s="251">
        <v>6552.45</v>
      </c>
      <c r="I54" s="251">
        <v>2017.2</v>
      </c>
      <c r="J54" s="251"/>
      <c r="K54" s="251"/>
      <c r="L54" s="251"/>
      <c r="M54" s="251"/>
      <c r="N54" s="251"/>
      <c r="O54" s="480"/>
      <c r="P54" s="251">
        <v>203.13</v>
      </c>
      <c r="Q54" s="251">
        <v>8444.0400000000009</v>
      </c>
      <c r="R54" s="99"/>
      <c r="T54" s="334" t="s">
        <v>90</v>
      </c>
      <c r="U54" s="335">
        <v>8444.0400000000009</v>
      </c>
      <c r="V54" s="336">
        <f>U54/V52</f>
        <v>7.0194438671598997E-2</v>
      </c>
      <c r="W54" s="336">
        <f>U54/V58</f>
        <v>0.17997825947950638</v>
      </c>
      <c r="X54" s="330">
        <f>+X33</f>
        <v>0.17998</v>
      </c>
      <c r="Y54" s="330"/>
      <c r="Z54" s="492">
        <f>X54-W54</f>
        <v>1.740520493620501E-6</v>
      </c>
      <c r="AA54" s="330"/>
      <c r="AB54" s="104"/>
    </row>
    <row r="55" spans="1:28" ht="15.75" x14ac:dyDescent="0.25">
      <c r="A55" s="313"/>
      <c r="B55" s="295"/>
      <c r="C55" s="366" t="s">
        <v>177</v>
      </c>
      <c r="D55" s="251"/>
      <c r="E55" s="251"/>
      <c r="F55" s="251"/>
      <c r="G55" s="251"/>
      <c r="H55" s="251"/>
      <c r="I55" s="251"/>
      <c r="J55" s="251"/>
      <c r="K55" s="251"/>
      <c r="L55" s="251"/>
      <c r="M55" s="251"/>
      <c r="N55" s="251"/>
      <c r="O55" s="480"/>
      <c r="P55" s="251"/>
      <c r="Q55" s="251"/>
      <c r="R55" s="99"/>
      <c r="T55" s="334" t="s">
        <v>90</v>
      </c>
      <c r="U55" s="460">
        <v>0</v>
      </c>
      <c r="V55" s="336">
        <f>U55/V53</f>
        <v>0</v>
      </c>
      <c r="W55" s="336" t="e">
        <f>U55/V59</f>
        <v>#DIV/0!</v>
      </c>
      <c r="X55" s="330">
        <f>+X34</f>
        <v>0.17404</v>
      </c>
      <c r="Y55" s="330"/>
      <c r="Z55" s="336" t="e">
        <f>X55-W55</f>
        <v>#DIV/0!</v>
      </c>
      <c r="AA55" s="330"/>
      <c r="AB55" s="104"/>
    </row>
    <row r="56" spans="1:28" ht="15.75" x14ac:dyDescent="0.25">
      <c r="A56" s="313"/>
      <c r="B56" s="295"/>
      <c r="C56" s="318" t="s">
        <v>271</v>
      </c>
      <c r="D56" s="276">
        <v>10661.4</v>
      </c>
      <c r="E56" s="276">
        <v>10661.4</v>
      </c>
      <c r="F56" s="276">
        <v>10320.24</v>
      </c>
      <c r="G56" s="276">
        <v>9525.7000000000007</v>
      </c>
      <c r="H56" s="276">
        <v>8670.8799999999992</v>
      </c>
      <c r="I56" s="276">
        <v>3935.2</v>
      </c>
      <c r="J56" s="276">
        <v>1678.63</v>
      </c>
      <c r="K56" s="276">
        <v>1260.6300000000001</v>
      </c>
      <c r="L56" s="276">
        <v>1061.1300000000001</v>
      </c>
      <c r="M56" s="276">
        <v>1730.55</v>
      </c>
      <c r="N56" s="276">
        <v>8843.5499999999993</v>
      </c>
      <c r="O56" s="207"/>
      <c r="P56" s="276">
        <v>10102.780000000001</v>
      </c>
      <c r="Q56" s="276">
        <v>10454.4</v>
      </c>
      <c r="R56" s="99"/>
      <c r="T56" s="334" t="s">
        <v>239</v>
      </c>
      <c r="U56" s="335">
        <v>73853.91</v>
      </c>
      <c r="V56" s="336">
        <f>U56/V52</f>
        <v>0.61393998088033586</v>
      </c>
      <c r="W56" s="336">
        <f>U56/V52</f>
        <v>0.61393998088033586</v>
      </c>
      <c r="X56" s="338">
        <v>0.61394000000000004</v>
      </c>
      <c r="Y56" s="330"/>
      <c r="Z56" s="492">
        <f>X56-W56</f>
        <v>1.911966418521871E-8</v>
      </c>
      <c r="AA56" s="330"/>
      <c r="AB56" s="104"/>
    </row>
    <row r="57" spans="1:28" x14ac:dyDescent="0.25">
      <c r="A57" s="313"/>
      <c r="B57" s="295"/>
      <c r="C57" s="318" t="s">
        <v>272</v>
      </c>
      <c r="D57" s="276">
        <v>20560.05</v>
      </c>
      <c r="E57" s="276">
        <v>13143.67</v>
      </c>
      <c r="F57" s="276">
        <v>9488.9500000000007</v>
      </c>
      <c r="G57" s="276">
        <v>6552.45</v>
      </c>
      <c r="H57" s="276">
        <v>2017.2</v>
      </c>
      <c r="I57" s="276"/>
      <c r="J57" s="276"/>
      <c r="K57" s="276"/>
      <c r="L57" s="276"/>
      <c r="M57" s="276"/>
      <c r="N57" s="276">
        <v>203.13</v>
      </c>
      <c r="O57" s="207"/>
      <c r="P57" s="276">
        <v>8444.0400000000009</v>
      </c>
      <c r="Q57" s="276">
        <v>9717.5499999999993</v>
      </c>
      <c r="R57" s="99"/>
      <c r="T57" s="334"/>
      <c r="U57" s="337"/>
      <c r="V57" s="337">
        <f>ROUND(U53/X53,0)</f>
        <v>46070</v>
      </c>
      <c r="W57" s="330"/>
      <c r="X57" s="330"/>
      <c r="Y57" s="330"/>
      <c r="Z57" s="330"/>
      <c r="AA57" s="330"/>
      <c r="AB57" s="104"/>
    </row>
    <row r="58" spans="1:28" x14ac:dyDescent="0.25">
      <c r="A58" s="313"/>
      <c r="B58" s="295"/>
      <c r="C58" s="318" t="s">
        <v>273</v>
      </c>
      <c r="D58" s="593"/>
      <c r="E58" s="276"/>
      <c r="F58" s="276"/>
      <c r="G58" s="276"/>
      <c r="H58" s="276"/>
      <c r="I58" s="276"/>
      <c r="J58" s="276"/>
      <c r="K58" s="276"/>
      <c r="L58" s="276"/>
      <c r="M58" s="276"/>
      <c r="N58" s="276"/>
      <c r="O58" s="207"/>
      <c r="P58" s="276"/>
      <c r="Q58" s="594"/>
      <c r="R58" s="99"/>
      <c r="T58" s="334"/>
      <c r="U58" s="337"/>
      <c r="V58" s="337">
        <f>ROUND(U54/X54,0)</f>
        <v>46917</v>
      </c>
      <c r="W58" s="330"/>
      <c r="X58" s="330"/>
      <c r="Y58" s="330"/>
      <c r="Z58" s="330"/>
      <c r="AA58" s="330"/>
      <c r="AB58" s="104"/>
    </row>
    <row r="59" spans="1:28" x14ac:dyDescent="0.25">
      <c r="A59" s="313"/>
      <c r="B59" s="295"/>
      <c r="C59" s="366" t="s">
        <v>179</v>
      </c>
      <c r="D59" s="346">
        <v>-23472.17</v>
      </c>
      <c r="E59" s="88">
        <f t="shared" ref="E59:N59" si="26">-D56-D57-D58</f>
        <v>-31221.449999999997</v>
      </c>
      <c r="F59" s="189">
        <f t="shared" si="26"/>
        <v>-23805.07</v>
      </c>
      <c r="G59" s="189">
        <f t="shared" si="26"/>
        <v>-19809.190000000002</v>
      </c>
      <c r="H59" s="189">
        <f t="shared" si="26"/>
        <v>-16078.150000000001</v>
      </c>
      <c r="I59" s="189">
        <f t="shared" si="26"/>
        <v>-10688.08</v>
      </c>
      <c r="J59" s="189">
        <f t="shared" si="26"/>
        <v>-3935.2</v>
      </c>
      <c r="K59" s="189">
        <f t="shared" si="26"/>
        <v>-1678.63</v>
      </c>
      <c r="L59" s="189">
        <f t="shared" si="26"/>
        <v>-1260.6300000000001</v>
      </c>
      <c r="M59" s="189">
        <f t="shared" si="26"/>
        <v>-1061.1300000000001</v>
      </c>
      <c r="N59" s="189">
        <f t="shared" si="26"/>
        <v>-1730.55</v>
      </c>
      <c r="O59" s="209"/>
      <c r="P59" s="189">
        <f>-N56-N57-N58</f>
        <v>-9046.6799999999985</v>
      </c>
      <c r="Q59" s="595">
        <f>-P56-P57-P58</f>
        <v>-18546.82</v>
      </c>
      <c r="R59" s="362"/>
      <c r="T59" s="334"/>
      <c r="U59" s="334"/>
      <c r="V59" s="337">
        <f>ROUND(U55/X55,0)</f>
        <v>0</v>
      </c>
      <c r="W59" s="334"/>
      <c r="X59" s="334"/>
      <c r="Y59" s="334"/>
      <c r="Z59" s="334"/>
      <c r="AA59" s="334"/>
      <c r="AB59" s="104"/>
    </row>
    <row r="60" spans="1:28" x14ac:dyDescent="0.25">
      <c r="A60" s="313"/>
      <c r="B60" s="295"/>
      <c r="C60" s="311" t="s">
        <v>74</v>
      </c>
      <c r="D60" s="108">
        <v>31221.449999999997</v>
      </c>
      <c r="E60" s="108">
        <f t="shared" ref="E60:N60" si="27">SUM(E53:E59)</f>
        <v>23805.07</v>
      </c>
      <c r="F60" s="108">
        <f t="shared" si="27"/>
        <v>19809.189999999995</v>
      </c>
      <c r="G60" s="108">
        <f t="shared" si="27"/>
        <v>16078.150000000001</v>
      </c>
      <c r="H60" s="108">
        <f t="shared" si="27"/>
        <v>10688.079999999998</v>
      </c>
      <c r="I60" s="108">
        <f t="shared" si="27"/>
        <v>3935.1999999999989</v>
      </c>
      <c r="J60" s="108">
        <f t="shared" si="27"/>
        <v>1678.63</v>
      </c>
      <c r="K60" s="108">
        <f t="shared" si="27"/>
        <v>1260.6300000000001</v>
      </c>
      <c r="L60" s="108">
        <f t="shared" si="27"/>
        <v>1061.1300000000001</v>
      </c>
      <c r="M60" s="108">
        <f t="shared" si="27"/>
        <v>1730.5500000000002</v>
      </c>
      <c r="N60" s="187">
        <f t="shared" si="27"/>
        <v>9046.6799999999985</v>
      </c>
      <c r="O60" s="208"/>
      <c r="P60" s="187">
        <f>SUM(P53:P59)</f>
        <v>18546.82</v>
      </c>
      <c r="Q60" s="187">
        <f>SUM(Q53:Q59)</f>
        <v>20171.950000000004</v>
      </c>
      <c r="R60" s="362"/>
      <c r="S60" s="358"/>
      <c r="T60" s="334"/>
      <c r="U60" s="337"/>
      <c r="W60" s="330"/>
      <c r="X60" s="330"/>
      <c r="Y60" s="330"/>
      <c r="Z60" s="330"/>
      <c r="AA60" s="330"/>
      <c r="AB60" s="104"/>
    </row>
    <row r="61" spans="1:28" ht="15.75" x14ac:dyDescent="0.25">
      <c r="A61" s="313"/>
      <c r="B61" s="295"/>
      <c r="C61" s="487" t="s">
        <v>73</v>
      </c>
      <c r="D61" s="571">
        <v>-8771.5499999999993</v>
      </c>
      <c r="E61" s="572">
        <f>ROUND(-'[2]Authorized Margins 2022'!D13*'WA CAP 2023'!E52,2)</f>
        <v>-11507.4</v>
      </c>
      <c r="F61" s="572">
        <f>ROUND(-'[2]Authorized Margins 2022'!E13*'WA CAP 2023'!F52,2)</f>
        <v>-10532.28</v>
      </c>
      <c r="G61" s="572">
        <f>ROUND(-'Authorized Margins 2023'!G13*'WA CAP 2023'!G52,2)</f>
        <v>-10039.02</v>
      </c>
      <c r="H61" s="572">
        <f>ROUND(-'Authorized Margins 2023'!H13*'WA CAP 2023'!H52,2)</f>
        <v>-9580.2900000000009</v>
      </c>
      <c r="I61" s="572">
        <f>ROUND(-'Authorized Margins 2023'!I13*'WA CAP 2023'!I52,2)</f>
        <v>-5729.04</v>
      </c>
      <c r="J61" s="572">
        <f>ROUND(-'Authorized Margins 2023'!J13*'WA CAP 2023'!J52,2)</f>
        <v>-5566.02</v>
      </c>
      <c r="K61" s="572">
        <f>ROUND(-'Authorized Margins 2023'!K13*'WA CAP 2023'!K52,2)</f>
        <v>-4798.62</v>
      </c>
      <c r="L61" s="572">
        <f>ROUND(-'Authorized Margins 2023'!L13*'WA CAP 2023'!L52,2)</f>
        <v>-3891.66</v>
      </c>
      <c r="M61" s="572">
        <f>ROUND(-'Authorized Margins 2023'!M13*'WA CAP 2023'!M52,2)</f>
        <v>-3887.79</v>
      </c>
      <c r="N61" s="572">
        <f>ROUND(-'Authorized Margins 2023'!N13*'WA CAP 2023'!N52,2)</f>
        <v>-4649.04</v>
      </c>
      <c r="O61" s="208"/>
      <c r="P61" s="572">
        <f>ROUND(-'Authorized Margins 2023'!P13*'WA CAP 2023'!P52,2)</f>
        <v>-5408.85</v>
      </c>
      <c r="Q61" s="573">
        <f>ROUND(-'Authorized Margins 2023'!Q13*'WA CAP 2023'!Q52,2)</f>
        <v>-8601.18</v>
      </c>
      <c r="R61" s="362"/>
      <c r="T61" s="334"/>
      <c r="U61" s="337"/>
      <c r="V61" s="337"/>
      <c r="W61" s="330"/>
      <c r="X61" s="330"/>
      <c r="Y61" s="330"/>
      <c r="Z61" s="330"/>
      <c r="AA61" s="330"/>
      <c r="AB61" s="104"/>
    </row>
    <row r="62" spans="1:28" x14ac:dyDescent="0.25">
      <c r="A62" s="313"/>
      <c r="B62" s="295"/>
      <c r="C62" s="364" t="s">
        <v>201</v>
      </c>
      <c r="D62" s="187">
        <v>22449.899999999998</v>
      </c>
      <c r="E62" s="108">
        <f t="shared" ref="E62:N62" si="28">SUM(E60:E61)</f>
        <v>12297.67</v>
      </c>
      <c r="F62" s="187">
        <f t="shared" si="28"/>
        <v>9276.9099999999944</v>
      </c>
      <c r="G62" s="187">
        <f t="shared" si="28"/>
        <v>6039.130000000001</v>
      </c>
      <c r="H62" s="187">
        <f t="shared" si="28"/>
        <v>1107.7899999999972</v>
      </c>
      <c r="I62" s="187">
        <f t="shared" si="28"/>
        <v>-1793.8400000000011</v>
      </c>
      <c r="J62" s="90">
        <f t="shared" si="28"/>
        <v>-3887.3900000000003</v>
      </c>
      <c r="K62" s="90">
        <f t="shared" si="28"/>
        <v>-3537.99</v>
      </c>
      <c r="L62" s="90">
        <f t="shared" si="28"/>
        <v>-2830.5299999999997</v>
      </c>
      <c r="M62" s="90">
        <f t="shared" si="28"/>
        <v>-2157.2399999999998</v>
      </c>
      <c r="N62" s="187">
        <f t="shared" si="28"/>
        <v>4397.6399999999985</v>
      </c>
      <c r="O62" s="302">
        <f>-'[2]WA CAP 2022'!Q72</f>
        <v>-79505.280000000013</v>
      </c>
      <c r="P62" s="187">
        <f>SUM(P60:P61)</f>
        <v>13137.97</v>
      </c>
      <c r="Q62" s="187">
        <f>SUM(Q60:Q61)</f>
        <v>11570.770000000004</v>
      </c>
      <c r="R62" s="99">
        <f>SUM(E62:Q62)-O62</f>
        <v>43620.89</v>
      </c>
      <c r="T62" s="334"/>
      <c r="U62" s="337"/>
      <c r="V62" s="337"/>
      <c r="W62" s="330"/>
      <c r="X62" s="330"/>
      <c r="Y62" s="330"/>
      <c r="Z62" s="330"/>
      <c r="AA62" s="330"/>
      <c r="AB62" s="104"/>
    </row>
    <row r="63" spans="1:28" ht="15.75" x14ac:dyDescent="0.25">
      <c r="A63" s="313"/>
      <c r="B63" s="295"/>
      <c r="C63" s="574" t="s">
        <v>137</v>
      </c>
      <c r="D63" s="187">
        <v>236.94</v>
      </c>
      <c r="E63" s="187">
        <f t="shared" ref="E63:N63" si="29">ROUND(ROUND(D65*E$7,2)/365*E$8,2)</f>
        <v>426.08</v>
      </c>
      <c r="F63" s="187">
        <f t="shared" si="29"/>
        <v>446.44</v>
      </c>
      <c r="G63" s="187">
        <f t="shared" si="29"/>
        <v>546.38</v>
      </c>
      <c r="H63" s="187">
        <f t="shared" si="29"/>
        <v>669.07</v>
      </c>
      <c r="I63" s="187">
        <f t="shared" si="29"/>
        <v>702.69</v>
      </c>
      <c r="J63" s="187">
        <f t="shared" si="29"/>
        <v>673.3</v>
      </c>
      <c r="K63" s="187">
        <f t="shared" si="29"/>
        <v>722.08</v>
      </c>
      <c r="L63" s="187">
        <f t="shared" si="29"/>
        <v>702.9</v>
      </c>
      <c r="M63" s="187">
        <f t="shared" si="29"/>
        <v>666.2</v>
      </c>
      <c r="N63" s="187">
        <f t="shared" si="29"/>
        <v>706.16</v>
      </c>
      <c r="O63" s="231">
        <f>'[2]Ammort Split 2023'!N69</f>
        <v>-5032.3200000000006</v>
      </c>
      <c r="P63" s="187">
        <f>ROUND(ROUND(O65*P$7,2)/365*P$8,2)</f>
        <v>138.22999999999999</v>
      </c>
      <c r="Q63" s="187">
        <f>ROUND(ROUND(P65*Q$7,2)/365*Q$8,2)</f>
        <v>236.99</v>
      </c>
      <c r="R63" s="100">
        <f>SUM(E63:Q63)</f>
        <v>1604.1999999999987</v>
      </c>
      <c r="T63" s="337"/>
      <c r="U63" s="337"/>
      <c r="V63" s="337"/>
      <c r="W63" s="330"/>
      <c r="X63" s="330"/>
      <c r="Y63" s="330"/>
      <c r="Z63" s="330"/>
      <c r="AA63" s="330"/>
      <c r="AB63" s="104"/>
    </row>
    <row r="64" spans="1:28" x14ac:dyDescent="0.25">
      <c r="A64" s="313"/>
      <c r="B64" s="295"/>
      <c r="C64" s="364" t="s">
        <v>138</v>
      </c>
      <c r="D64" s="189">
        <v>22686.839999999997</v>
      </c>
      <c r="E64" s="88">
        <f t="shared" ref="E64:R64" si="30">SUM(E62:E63)</f>
        <v>12723.75</v>
      </c>
      <c r="F64" s="189">
        <f t="shared" si="30"/>
        <v>9723.3499999999949</v>
      </c>
      <c r="G64" s="189">
        <f t="shared" si="30"/>
        <v>6585.5100000000011</v>
      </c>
      <c r="H64" s="189">
        <f t="shared" si="30"/>
        <v>1776.8599999999974</v>
      </c>
      <c r="I64" s="189">
        <f t="shared" si="30"/>
        <v>-1091.150000000001</v>
      </c>
      <c r="J64" s="189">
        <f t="shared" si="30"/>
        <v>-3214.09</v>
      </c>
      <c r="K64" s="189">
        <f t="shared" si="30"/>
        <v>-2815.91</v>
      </c>
      <c r="L64" s="189">
        <f t="shared" si="30"/>
        <v>-2127.6299999999997</v>
      </c>
      <c r="M64" s="189">
        <f t="shared" si="30"/>
        <v>-1491.0399999999997</v>
      </c>
      <c r="N64" s="189">
        <f t="shared" si="30"/>
        <v>5103.7999999999984</v>
      </c>
      <c r="O64" s="209">
        <f t="shared" si="30"/>
        <v>-84537.60000000002</v>
      </c>
      <c r="P64" s="189">
        <f t="shared" si="30"/>
        <v>13276.199999999999</v>
      </c>
      <c r="Q64" s="189">
        <f t="shared" si="30"/>
        <v>11807.760000000004</v>
      </c>
      <c r="R64" s="453">
        <f t="shared" si="30"/>
        <v>45225.09</v>
      </c>
      <c r="T64" s="334"/>
      <c r="U64" s="337"/>
      <c r="V64" s="337"/>
      <c r="W64" s="433"/>
      <c r="X64" s="433"/>
      <c r="Y64" s="433"/>
      <c r="Z64" s="433"/>
      <c r="AA64" s="433"/>
      <c r="AB64" s="104"/>
    </row>
    <row r="65" spans="1:27" s="584" customFormat="1" ht="21" customHeight="1" thickBot="1" x14ac:dyDescent="0.3">
      <c r="A65" s="575"/>
      <c r="B65" s="576"/>
      <c r="C65" s="596" t="s">
        <v>139</v>
      </c>
      <c r="D65" s="597">
        <v>79505.279999999795</v>
      </c>
      <c r="E65" s="598">
        <f t="shared" ref="E65:Q65" si="31">D65+E64</f>
        <v>92229.029999999795</v>
      </c>
      <c r="F65" s="597">
        <f t="shared" si="31"/>
        <v>101952.37999999979</v>
      </c>
      <c r="G65" s="597">
        <f t="shared" si="31"/>
        <v>108537.88999999978</v>
      </c>
      <c r="H65" s="597">
        <f t="shared" si="31"/>
        <v>110314.74999999978</v>
      </c>
      <c r="I65" s="597">
        <f t="shared" si="31"/>
        <v>109223.59999999979</v>
      </c>
      <c r="J65" s="597">
        <f t="shared" si="31"/>
        <v>106009.50999999979</v>
      </c>
      <c r="K65" s="597">
        <f t="shared" si="31"/>
        <v>103193.59999999979</v>
      </c>
      <c r="L65" s="597">
        <f t="shared" si="31"/>
        <v>101065.96999999978</v>
      </c>
      <c r="M65" s="597">
        <f t="shared" si="31"/>
        <v>99574.929999999789</v>
      </c>
      <c r="N65" s="597">
        <f t="shared" si="31"/>
        <v>104678.72999999979</v>
      </c>
      <c r="O65" s="599">
        <f t="shared" si="31"/>
        <v>20141.129999999772</v>
      </c>
      <c r="P65" s="600">
        <f t="shared" si="31"/>
        <v>33417.329999999769</v>
      </c>
      <c r="Q65" s="601">
        <f t="shared" si="31"/>
        <v>45225.089999999771</v>
      </c>
      <c r="R65" s="583"/>
      <c r="T65" s="602"/>
      <c r="U65" s="592"/>
      <c r="V65" s="592"/>
      <c r="W65" s="585"/>
      <c r="X65" s="585"/>
      <c r="Y65" s="585"/>
      <c r="Z65" s="585"/>
      <c r="AA65" s="585"/>
    </row>
    <row r="66" spans="1:27" ht="4.5" customHeight="1" x14ac:dyDescent="0.25">
      <c r="B66" s="295"/>
      <c r="C66" s="442"/>
      <c r="D66" s="442"/>
      <c r="E66" s="442"/>
      <c r="F66" s="443"/>
      <c r="G66" s="443"/>
      <c r="H66" s="443"/>
      <c r="I66" s="443"/>
      <c r="J66" s="443"/>
      <c r="K66" s="443"/>
      <c r="L66" s="443"/>
      <c r="M66" s="443"/>
      <c r="N66" s="443"/>
      <c r="O66" s="443"/>
      <c r="P66" s="187"/>
      <c r="Q66" s="187"/>
      <c r="R66" s="240"/>
      <c r="T66" s="334"/>
      <c r="U66" s="337"/>
      <c r="V66" s="675"/>
      <c r="W66" s="330"/>
      <c r="X66" s="330"/>
      <c r="Y66" s="330"/>
      <c r="Z66" s="330"/>
      <c r="AA66" s="330"/>
    </row>
    <row r="67" spans="1:27" ht="4.5" customHeight="1" x14ac:dyDescent="0.25">
      <c r="B67" s="295"/>
      <c r="C67" s="446"/>
      <c r="D67" s="446"/>
      <c r="E67" s="446"/>
      <c r="F67" s="189"/>
      <c r="G67" s="189"/>
      <c r="H67" s="189"/>
      <c r="I67" s="189"/>
      <c r="J67" s="189"/>
      <c r="K67" s="189"/>
      <c r="L67" s="189"/>
      <c r="M67" s="189"/>
      <c r="N67" s="189"/>
      <c r="O67" s="189"/>
      <c r="P67" s="189"/>
      <c r="Q67" s="189"/>
      <c r="R67" s="356"/>
      <c r="T67" s="334"/>
      <c r="U67" s="337"/>
      <c r="V67" s="675"/>
      <c r="W67" s="330"/>
      <c r="X67" s="330"/>
      <c r="Y67" s="330"/>
      <c r="Z67" s="330"/>
      <c r="AA67" s="330"/>
    </row>
    <row r="68" spans="1:27" ht="15.75" x14ac:dyDescent="0.25">
      <c r="A68" s="313"/>
      <c r="B68" s="295" t="s">
        <v>64</v>
      </c>
      <c r="C68" s="362" t="s">
        <v>274</v>
      </c>
      <c r="D68" s="250">
        <v>27570</v>
      </c>
      <c r="E68" s="250">
        <v>27611</v>
      </c>
      <c r="F68" s="250">
        <v>27622</v>
      </c>
      <c r="G68" s="250">
        <v>27592</v>
      </c>
      <c r="H68" s="250">
        <v>27566</v>
      </c>
      <c r="I68" s="250">
        <v>27496</v>
      </c>
      <c r="J68" s="250">
        <v>27453</v>
      </c>
      <c r="K68" s="250">
        <v>27416</v>
      </c>
      <c r="L68" s="250">
        <v>27317</v>
      </c>
      <c r="M68" s="250">
        <v>27299</v>
      </c>
      <c r="N68" s="250">
        <v>27454</v>
      </c>
      <c r="O68" s="479"/>
      <c r="P68" s="250">
        <v>27590</v>
      </c>
      <c r="Q68" s="250">
        <v>27655</v>
      </c>
      <c r="R68" s="452"/>
      <c r="T68" s="437">
        <v>4810</v>
      </c>
      <c r="U68" s="461">
        <v>504</v>
      </c>
      <c r="V68" s="332">
        <v>11991444</v>
      </c>
      <c r="W68" s="333" t="s">
        <v>263</v>
      </c>
      <c r="X68" s="444" t="s">
        <v>90</v>
      </c>
      <c r="Y68" s="330"/>
      <c r="Z68" s="444" t="s">
        <v>214</v>
      </c>
      <c r="AA68" s="330"/>
    </row>
    <row r="69" spans="1:27" ht="15.75" x14ac:dyDescent="0.25">
      <c r="A69" s="313"/>
      <c r="B69" s="295" t="s">
        <v>71</v>
      </c>
      <c r="C69" s="366" t="s">
        <v>178</v>
      </c>
      <c r="D69" s="251">
        <v>4466990.07</v>
      </c>
      <c r="E69" s="251">
        <v>5071091.8099999996</v>
      </c>
      <c r="F69" s="251">
        <v>3734925.02</v>
      </c>
      <c r="G69" s="251">
        <v>4268154.51</v>
      </c>
      <c r="H69" s="251">
        <v>2711209.14</v>
      </c>
      <c r="I69" s="251">
        <v>1915626.41</v>
      </c>
      <c r="J69" s="251">
        <v>1014471.01</v>
      </c>
      <c r="K69" s="251">
        <v>795837.08</v>
      </c>
      <c r="L69" s="251">
        <v>770845.68</v>
      </c>
      <c r="M69" s="251">
        <v>732719.92</v>
      </c>
      <c r="N69" s="251">
        <v>1062638.75</v>
      </c>
      <c r="O69" s="480"/>
      <c r="P69" s="251">
        <v>1883614.99</v>
      </c>
      <c r="Q69" s="251">
        <v>3409660.32</v>
      </c>
      <c r="R69" s="99"/>
      <c r="T69" s="334" t="s">
        <v>90</v>
      </c>
      <c r="U69" s="335">
        <v>3409660.32</v>
      </c>
      <c r="V69" s="336">
        <f>U69/V68</f>
        <v>0.28434109520087819</v>
      </c>
      <c r="W69" s="336">
        <f>U69/V68</f>
        <v>0.28434109520087819</v>
      </c>
      <c r="X69" s="338">
        <v>0.28432000000000002</v>
      </c>
      <c r="Y69" s="330"/>
      <c r="Z69" s="492">
        <f>X69-W69</f>
        <v>-2.1095200878173959E-5</v>
      </c>
      <c r="AA69" s="330"/>
    </row>
    <row r="70" spans="1:27" ht="15.75" x14ac:dyDescent="0.25">
      <c r="A70" s="313"/>
      <c r="B70" s="295"/>
      <c r="C70" s="366" t="s">
        <v>222</v>
      </c>
      <c r="D70" s="603">
        <v>14028311</v>
      </c>
      <c r="E70" s="569">
        <v>10908596</v>
      </c>
      <c r="F70" s="569">
        <v>10999978</v>
      </c>
      <c r="G70" s="569">
        <v>7503443</v>
      </c>
      <c r="H70" s="569">
        <v>5347846</v>
      </c>
      <c r="I70" s="569">
        <v>2416638</v>
      </c>
      <c r="J70" s="569">
        <v>2314622</v>
      </c>
      <c r="K70" s="569">
        <v>1298261</v>
      </c>
      <c r="L70" s="569">
        <v>1188172</v>
      </c>
      <c r="M70" s="569">
        <v>2418855</v>
      </c>
      <c r="N70" s="569">
        <v>5245841</v>
      </c>
      <c r="O70" s="479"/>
      <c r="P70" s="569">
        <v>9375665</v>
      </c>
      <c r="Q70" s="569">
        <v>9891430</v>
      </c>
      <c r="R70" s="99"/>
      <c r="T70" s="334" t="s">
        <v>239</v>
      </c>
      <c r="U70" s="335">
        <v>7569193.4800000004</v>
      </c>
      <c r="V70" s="336">
        <f>U70/V68</f>
        <v>0.63121618047000849</v>
      </c>
      <c r="W70" s="336">
        <f>U70/V68</f>
        <v>0.63121618047000849</v>
      </c>
      <c r="X70" s="330">
        <f>+X43</f>
        <v>0.62751000000000001</v>
      </c>
      <c r="Y70" s="330"/>
      <c r="Z70" s="492">
        <f>X70-W70</f>
        <v>-3.7061804700084799E-3</v>
      </c>
      <c r="AA70" s="330"/>
    </row>
    <row r="71" spans="1:27" x14ac:dyDescent="0.25">
      <c r="A71" s="313"/>
      <c r="B71" s="295"/>
      <c r="C71" s="366" t="s">
        <v>275</v>
      </c>
      <c r="D71" s="570">
        <v>0.28994999999999999</v>
      </c>
      <c r="E71" s="570">
        <v>0.28994999999999999</v>
      </c>
      <c r="F71" s="570">
        <v>0.28994999999999999</v>
      </c>
      <c r="G71" s="570">
        <v>0.28432000000000002</v>
      </c>
      <c r="H71" s="570">
        <v>0.28432000000000002</v>
      </c>
      <c r="I71" s="570">
        <v>0.28432000000000002</v>
      </c>
      <c r="J71" s="570">
        <v>0.28432000000000002</v>
      </c>
      <c r="K71" s="570">
        <v>0.28432000000000002</v>
      </c>
      <c r="L71" s="570">
        <v>0.28432000000000002</v>
      </c>
      <c r="M71" s="570">
        <v>0.28432000000000002</v>
      </c>
      <c r="N71" s="570">
        <v>0.28432000000000002</v>
      </c>
      <c r="O71" s="480"/>
      <c r="P71" s="570">
        <v>0.28432000000000002</v>
      </c>
      <c r="Q71" s="570">
        <v>0.28432000000000002</v>
      </c>
      <c r="R71" s="99"/>
      <c r="T71" s="334"/>
      <c r="U71" s="337"/>
      <c r="V71" s="337">
        <f>ROUND(U81/X81,0)</f>
        <v>817014</v>
      </c>
      <c r="W71" s="336"/>
      <c r="X71" s="330"/>
      <c r="Y71" s="330"/>
      <c r="Z71" s="336"/>
      <c r="AA71" s="330"/>
    </row>
    <row r="72" spans="1:27" x14ac:dyDescent="0.25">
      <c r="A72" s="313"/>
      <c r="B72" s="376" t="s">
        <v>72</v>
      </c>
      <c r="C72" s="366" t="s">
        <v>224</v>
      </c>
      <c r="D72" s="604">
        <v>3684756.22</v>
      </c>
      <c r="E72" s="310">
        <f t="shared" ref="E72:N72" si="32">ROUND(E70*E71,2)</f>
        <v>3162947.41</v>
      </c>
      <c r="F72" s="310">
        <f t="shared" si="32"/>
        <v>3189443.62</v>
      </c>
      <c r="G72" s="310">
        <f t="shared" si="32"/>
        <v>2133378.91</v>
      </c>
      <c r="H72" s="310">
        <f t="shared" si="32"/>
        <v>1520499.57</v>
      </c>
      <c r="I72" s="310">
        <f t="shared" si="32"/>
        <v>687098.52</v>
      </c>
      <c r="J72" s="310">
        <f t="shared" si="32"/>
        <v>658093.32999999996</v>
      </c>
      <c r="K72" s="310">
        <f t="shared" si="32"/>
        <v>369121.57</v>
      </c>
      <c r="L72" s="310">
        <f t="shared" si="32"/>
        <v>337821.06</v>
      </c>
      <c r="M72" s="310">
        <f t="shared" si="32"/>
        <v>687728.85</v>
      </c>
      <c r="N72" s="310">
        <f t="shared" si="32"/>
        <v>1491497.51</v>
      </c>
      <c r="O72" s="480"/>
      <c r="P72" s="310">
        <f>ROUND(P70*P71,2)</f>
        <v>2665689.0699999998</v>
      </c>
      <c r="Q72" s="310">
        <f>ROUND(Q70*Q71,2)</f>
        <v>2812331.38</v>
      </c>
      <c r="R72" s="99"/>
      <c r="T72" s="337"/>
      <c r="U72" s="337"/>
      <c r="V72" s="337"/>
      <c r="W72" s="337"/>
      <c r="X72" s="337"/>
      <c r="Y72" s="337"/>
      <c r="Z72" s="337"/>
      <c r="AA72" s="330"/>
    </row>
    <row r="73" spans="1:27" x14ac:dyDescent="0.25">
      <c r="A73" s="313"/>
      <c r="B73" s="295" t="s">
        <v>72</v>
      </c>
      <c r="C73" s="366" t="s">
        <v>184</v>
      </c>
      <c r="D73" s="605">
        <v>-2974827.85</v>
      </c>
      <c r="E73" s="108">
        <f t="shared" ref="E73:N73" si="33">-D72</f>
        <v>-3684756.22</v>
      </c>
      <c r="F73" s="187">
        <f t="shared" si="33"/>
        <v>-3162947.41</v>
      </c>
      <c r="G73" s="187">
        <f t="shared" si="33"/>
        <v>-3189443.62</v>
      </c>
      <c r="H73" s="187">
        <f t="shared" si="33"/>
        <v>-2133378.91</v>
      </c>
      <c r="I73" s="187">
        <f t="shared" si="33"/>
        <v>-1520499.57</v>
      </c>
      <c r="J73" s="187">
        <f t="shared" si="33"/>
        <v>-687098.52</v>
      </c>
      <c r="K73" s="187">
        <f t="shared" si="33"/>
        <v>-658093.32999999996</v>
      </c>
      <c r="L73" s="187">
        <f t="shared" si="33"/>
        <v>-369121.57</v>
      </c>
      <c r="M73" s="187">
        <f>-L72</f>
        <v>-337821.06</v>
      </c>
      <c r="N73" s="187">
        <f t="shared" si="33"/>
        <v>-687728.85</v>
      </c>
      <c r="O73" s="208"/>
      <c r="P73" s="187">
        <f>-N72</f>
        <v>-1491497.51</v>
      </c>
      <c r="Q73" s="606">
        <f>-P72</f>
        <v>-2665689.0699999998</v>
      </c>
      <c r="R73" s="99"/>
      <c r="T73" s="337"/>
      <c r="U73" s="337"/>
      <c r="V73" s="337"/>
      <c r="W73" s="337"/>
      <c r="X73" s="337"/>
      <c r="Y73" s="337"/>
      <c r="Z73" s="337"/>
      <c r="AA73" s="330"/>
    </row>
    <row r="74" spans="1:27" x14ac:dyDescent="0.25">
      <c r="A74" s="313"/>
      <c r="B74" s="295"/>
      <c r="C74" s="311" t="s">
        <v>74</v>
      </c>
      <c r="D74" s="187">
        <v>5176918.4400000004</v>
      </c>
      <c r="E74" s="108">
        <f t="shared" ref="E74:N74" si="34">+E73+E72+E69</f>
        <v>4549283</v>
      </c>
      <c r="F74" s="187">
        <f t="shared" si="34"/>
        <v>3761421.23</v>
      </c>
      <c r="G74" s="187">
        <f t="shared" si="34"/>
        <v>3212089.8</v>
      </c>
      <c r="H74" s="187">
        <f t="shared" si="34"/>
        <v>2098329.7999999998</v>
      </c>
      <c r="I74" s="187">
        <f t="shared" si="34"/>
        <v>1082225.3599999999</v>
      </c>
      <c r="J74" s="187">
        <f t="shared" si="34"/>
        <v>985465.82</v>
      </c>
      <c r="K74" s="187">
        <f t="shared" si="34"/>
        <v>506865.32</v>
      </c>
      <c r="L74" s="187">
        <f t="shared" si="34"/>
        <v>739545.17</v>
      </c>
      <c r="M74" s="187">
        <f t="shared" si="34"/>
        <v>1082627.71</v>
      </c>
      <c r="N74" s="187">
        <f t="shared" si="34"/>
        <v>1866407.4100000001</v>
      </c>
      <c r="O74" s="208"/>
      <c r="P74" s="187">
        <f>+P73+P72+P69</f>
        <v>3057806.55</v>
      </c>
      <c r="Q74" s="187">
        <f>+Q73+Q72+Q69</f>
        <v>3556302.63</v>
      </c>
      <c r="R74" s="362"/>
      <c r="T74" s="337"/>
      <c r="U74" s="337"/>
      <c r="V74" s="337"/>
      <c r="W74" s="337"/>
      <c r="X74" s="337"/>
      <c r="Y74" s="337"/>
      <c r="Z74" s="337"/>
      <c r="AA74" s="330"/>
    </row>
    <row r="75" spans="1:27" ht="15.75" x14ac:dyDescent="0.25">
      <c r="A75" s="313"/>
      <c r="B75" s="295"/>
      <c r="C75" s="487" t="s">
        <v>73</v>
      </c>
      <c r="D75" s="571">
        <v>-3970080</v>
      </c>
      <c r="E75" s="572">
        <f>ROUND(-'[2]Authorized Margins 2022'!D9*'WA CAP 2023'!E68,2)</f>
        <v>-4173126.54</v>
      </c>
      <c r="F75" s="572">
        <f>ROUND(-'[2]Authorized Margins 2022'!E9*'WA CAP 2023'!F68,2)</f>
        <v>-3438662.78</v>
      </c>
      <c r="G75" s="572">
        <f>ROUND(-'Authorized Margins 2023'!G9*'WA CAP 2023'!G68,2)</f>
        <v>-2670905.6</v>
      </c>
      <c r="H75" s="572">
        <f>ROUND(-'Authorized Margins 2023'!H9*'WA CAP 2023'!H68,2)</f>
        <v>-1705232.76</v>
      </c>
      <c r="I75" s="572">
        <f>ROUND(-'Authorized Margins 2023'!I9*'WA CAP 2023'!I68,2)</f>
        <v>-1183152.8799999999</v>
      </c>
      <c r="J75" s="572">
        <f>ROUND(-'Authorized Margins 2023'!J9*'WA CAP 2023'!J68,2)</f>
        <v>-810687.09</v>
      </c>
      <c r="K75" s="572">
        <f>ROUND(-'Authorized Margins 2023'!K9*'WA CAP 2023'!K68,2)</f>
        <v>-837558.8</v>
      </c>
      <c r="L75" s="572">
        <f>ROUND(-'Authorized Margins 2023'!L9*'WA CAP 2023'!L68,2)</f>
        <v>-836173.37</v>
      </c>
      <c r="M75" s="572">
        <f>ROUND(-'Authorized Margins 2023'!M9*'WA CAP 2023'!M68,2)</f>
        <v>-1082951.33</v>
      </c>
      <c r="N75" s="572">
        <f>ROUND(-'Authorized Margins 2023'!N9*'WA CAP 2023'!N68,2)</f>
        <v>-1991238.62</v>
      </c>
      <c r="O75" s="208"/>
      <c r="P75" s="572">
        <f>ROUND(-'Authorized Margins 2023'!P9*'WA CAP 2023'!P68,2)</f>
        <v>-3033796.4</v>
      </c>
      <c r="Q75" s="573">
        <f>ROUND(-'Authorized Margins 2023'!Q9*'WA CAP 2023'!Q68,2)</f>
        <v>-3905162.55</v>
      </c>
      <c r="R75" s="362"/>
      <c r="T75" s="337"/>
      <c r="U75" s="337"/>
      <c r="V75" s="330"/>
      <c r="W75" s="330"/>
      <c r="X75" s="330"/>
      <c r="Y75" s="330"/>
      <c r="Z75" s="330"/>
      <c r="AA75" s="330"/>
    </row>
    <row r="76" spans="1:27" x14ac:dyDescent="0.25">
      <c r="A76" s="313"/>
      <c r="B76" s="295"/>
      <c r="C76" s="364" t="s">
        <v>201</v>
      </c>
      <c r="D76" s="187">
        <v>1206838.4400000004</v>
      </c>
      <c r="E76" s="108">
        <f t="shared" ref="E76:Q76" si="35">SUM(E74:E75)</f>
        <v>376156.45999999996</v>
      </c>
      <c r="F76" s="187">
        <f t="shared" si="35"/>
        <v>322758.45000000019</v>
      </c>
      <c r="G76" s="187">
        <f t="shared" si="35"/>
        <v>541184.19999999972</v>
      </c>
      <c r="H76" s="187">
        <f t="shared" si="35"/>
        <v>393097.0399999998</v>
      </c>
      <c r="I76" s="187">
        <f t="shared" si="35"/>
        <v>-100927.52000000002</v>
      </c>
      <c r="J76" s="187">
        <f t="shared" si="35"/>
        <v>174778.72999999998</v>
      </c>
      <c r="K76" s="187">
        <f t="shared" si="35"/>
        <v>-330693.48000000004</v>
      </c>
      <c r="L76" s="187">
        <f t="shared" si="35"/>
        <v>-96628.199999999953</v>
      </c>
      <c r="M76" s="187">
        <f t="shared" si="35"/>
        <v>-323.62000000011176</v>
      </c>
      <c r="N76" s="187">
        <f t="shared" si="35"/>
        <v>-124831.20999999996</v>
      </c>
      <c r="O76" s="302">
        <f>-'[2]WA CAP 2022'!Q88</f>
        <v>-2107033.0600000005</v>
      </c>
      <c r="P76" s="187">
        <f t="shared" si="35"/>
        <v>24010.149999999907</v>
      </c>
      <c r="Q76" s="187">
        <f t="shared" si="35"/>
        <v>-348859.91999999993</v>
      </c>
      <c r="R76" s="99">
        <f>SUM(E76:Q76)-O76</f>
        <v>829721.07999999961</v>
      </c>
      <c r="T76" s="337"/>
      <c r="U76" s="337"/>
      <c r="V76" s="330"/>
      <c r="W76" s="330"/>
      <c r="X76" s="330"/>
      <c r="Y76" s="330"/>
      <c r="Z76" s="330"/>
      <c r="AA76" s="330"/>
    </row>
    <row r="77" spans="1:27" ht="15.75" x14ac:dyDescent="0.25">
      <c r="A77" s="313"/>
      <c r="B77" s="295"/>
      <c r="C77" s="574" t="s">
        <v>137</v>
      </c>
      <c r="D77" s="187">
        <v>3738.35</v>
      </c>
      <c r="E77" s="108">
        <f>ROUND(ROUND(D79*E$7,2)/365*E$8,2)</f>
        <v>11291.97</v>
      </c>
      <c r="F77" s="187">
        <f>ROUND(ROUND(E79*F$7,2)/365*F$8,2)</f>
        <v>12074.66</v>
      </c>
      <c r="G77" s="187">
        <f>ROUND(ROUND(F79*G$7,2)/365*G$8,2)</f>
        <v>15162.8</v>
      </c>
      <c r="H77" s="187">
        <f t="shared" ref="H77:Q77" si="36">ROUND(ROUND(G79*H$7,2)/365*H$8,2)</f>
        <v>20870.52</v>
      </c>
      <c r="I77" s="187">
        <f t="shared" si="36"/>
        <v>24203.119999999999</v>
      </c>
      <c r="J77" s="187">
        <f t="shared" si="36"/>
        <v>22949.41</v>
      </c>
      <c r="K77" s="187">
        <f t="shared" si="36"/>
        <v>26705.42</v>
      </c>
      <c r="L77" s="187">
        <f t="shared" si="36"/>
        <v>24634.799999999999</v>
      </c>
      <c r="M77" s="187">
        <f t="shared" si="36"/>
        <v>23365.57</v>
      </c>
      <c r="N77" s="187">
        <f t="shared" si="36"/>
        <v>25301.3</v>
      </c>
      <c r="O77" s="231">
        <f>'[2]Ammort Split 2023'!N81</f>
        <v>-133365.42000000001</v>
      </c>
      <c r="P77" s="187">
        <f>ROUND(ROUND(O79*P$7,2)/365*P$8,2)</f>
        <v>8426.17</v>
      </c>
      <c r="Q77" s="187">
        <f t="shared" si="36"/>
        <v>8937.07</v>
      </c>
      <c r="R77" s="100">
        <f>SUM(E77:Q77)</f>
        <v>90557.389999999956</v>
      </c>
      <c r="T77" s="330"/>
      <c r="U77" s="330"/>
      <c r="V77" s="330"/>
      <c r="W77" s="330"/>
      <c r="X77" s="330"/>
      <c r="Y77" s="330"/>
      <c r="Z77" s="330"/>
      <c r="AA77" s="330"/>
    </row>
    <row r="78" spans="1:27" x14ac:dyDescent="0.25">
      <c r="A78" s="313"/>
      <c r="B78" s="295"/>
      <c r="C78" s="364" t="s">
        <v>138</v>
      </c>
      <c r="D78" s="189">
        <v>1210576.7900000005</v>
      </c>
      <c r="E78" s="88">
        <f t="shared" ref="E78:Q78" si="37">SUM(E76:E77)</f>
        <v>387448.42999999993</v>
      </c>
      <c r="F78" s="189">
        <f t="shared" si="37"/>
        <v>334833.11000000016</v>
      </c>
      <c r="G78" s="189">
        <f t="shared" si="37"/>
        <v>556346.99999999977</v>
      </c>
      <c r="H78" s="189">
        <f t="shared" si="37"/>
        <v>413967.55999999982</v>
      </c>
      <c r="I78" s="189">
        <f t="shared" si="37"/>
        <v>-76724.400000000023</v>
      </c>
      <c r="J78" s="189">
        <f t="shared" si="37"/>
        <v>197728.13999999998</v>
      </c>
      <c r="K78" s="189">
        <f t="shared" si="37"/>
        <v>-303988.06000000006</v>
      </c>
      <c r="L78" s="189">
        <f t="shared" si="37"/>
        <v>-71993.399999999951</v>
      </c>
      <c r="M78" s="189">
        <f t="shared" si="37"/>
        <v>23041.949999999888</v>
      </c>
      <c r="N78" s="189">
        <f t="shared" si="37"/>
        <v>-99529.90999999996</v>
      </c>
      <c r="O78" s="209">
        <f>SUM(O76:O77)</f>
        <v>-2240398.4800000004</v>
      </c>
      <c r="P78" s="189">
        <f t="shared" si="37"/>
        <v>32436.319999999905</v>
      </c>
      <c r="Q78" s="189">
        <f t="shared" si="37"/>
        <v>-339922.84999999992</v>
      </c>
      <c r="R78" s="453">
        <f>SUM(R76:R77)</f>
        <v>920278.46999999951</v>
      </c>
      <c r="T78" s="330"/>
      <c r="U78" s="330"/>
      <c r="V78" s="330"/>
      <c r="W78" s="330"/>
      <c r="X78" s="330"/>
      <c r="Y78" s="330"/>
      <c r="Z78" s="330"/>
      <c r="AA78" s="330"/>
    </row>
    <row r="79" spans="1:27" s="584" customFormat="1" ht="21" customHeight="1" thickBot="1" x14ac:dyDescent="0.3">
      <c r="A79" s="575"/>
      <c r="B79" s="607"/>
      <c r="C79" s="577" t="s">
        <v>139</v>
      </c>
      <c r="D79" s="580">
        <v>2107033.0599999996</v>
      </c>
      <c r="E79" s="579">
        <f t="shared" ref="E79:Q79" si="38">D79+E78</f>
        <v>2494481.4899999993</v>
      </c>
      <c r="F79" s="580">
        <f t="shared" si="38"/>
        <v>2829314.5999999996</v>
      </c>
      <c r="G79" s="580">
        <f t="shared" si="38"/>
        <v>3385661.5999999996</v>
      </c>
      <c r="H79" s="580">
        <f t="shared" si="38"/>
        <v>3799629.1599999992</v>
      </c>
      <c r="I79" s="580">
        <f t="shared" si="38"/>
        <v>3722904.7599999993</v>
      </c>
      <c r="J79" s="580">
        <f t="shared" si="38"/>
        <v>3920632.8999999994</v>
      </c>
      <c r="K79" s="580">
        <f t="shared" si="38"/>
        <v>3616644.8399999994</v>
      </c>
      <c r="L79" s="580">
        <f t="shared" si="38"/>
        <v>3544651.4399999995</v>
      </c>
      <c r="M79" s="580">
        <f t="shared" si="38"/>
        <v>3567693.3899999992</v>
      </c>
      <c r="N79" s="580">
        <f t="shared" si="38"/>
        <v>3468163.4799999991</v>
      </c>
      <c r="O79" s="581">
        <f t="shared" si="38"/>
        <v>1227764.9999999986</v>
      </c>
      <c r="P79" s="580">
        <f t="shared" si="38"/>
        <v>1260201.3199999984</v>
      </c>
      <c r="Q79" s="582">
        <f t="shared" si="38"/>
        <v>920278.46999999858</v>
      </c>
      <c r="R79" s="583"/>
      <c r="T79" s="585"/>
      <c r="U79" s="585"/>
      <c r="V79" s="592"/>
      <c r="W79" s="585"/>
      <c r="X79" s="585"/>
      <c r="Y79" s="585"/>
      <c r="Z79" s="585"/>
      <c r="AA79" s="585"/>
    </row>
    <row r="80" spans="1:27" ht="15.75" x14ac:dyDescent="0.25">
      <c r="A80" s="313"/>
      <c r="B80" s="295" t="s">
        <v>64</v>
      </c>
      <c r="C80" s="362" t="s">
        <v>276</v>
      </c>
      <c r="D80" s="250">
        <v>72</v>
      </c>
      <c r="E80" s="250">
        <v>71</v>
      </c>
      <c r="F80" s="250">
        <v>71</v>
      </c>
      <c r="G80" s="250">
        <v>71</v>
      </c>
      <c r="H80" s="250">
        <v>71</v>
      </c>
      <c r="I80" s="250">
        <v>71</v>
      </c>
      <c r="J80" s="250">
        <v>71</v>
      </c>
      <c r="K80" s="250">
        <v>71</v>
      </c>
      <c r="L80" s="250">
        <v>70</v>
      </c>
      <c r="M80" s="250">
        <v>69</v>
      </c>
      <c r="N80" s="250">
        <v>70</v>
      </c>
      <c r="O80" s="479"/>
      <c r="P80" s="250">
        <v>70</v>
      </c>
      <c r="Q80" s="250">
        <v>69</v>
      </c>
      <c r="R80" s="452"/>
      <c r="T80" s="334">
        <v>4810</v>
      </c>
      <c r="U80" s="461">
        <v>511</v>
      </c>
      <c r="V80" s="332">
        <v>1165470</v>
      </c>
      <c r="W80" s="333" t="s">
        <v>263</v>
      </c>
      <c r="X80" s="444" t="s">
        <v>90</v>
      </c>
      <c r="Y80" s="330"/>
      <c r="Z80" s="444" t="s">
        <v>214</v>
      </c>
      <c r="AA80" s="330"/>
    </row>
    <row r="81" spans="1:27" ht="15.75" x14ac:dyDescent="0.25">
      <c r="A81" s="313"/>
      <c r="B81" s="295" t="s">
        <v>71</v>
      </c>
      <c r="C81" s="314" t="s">
        <v>175</v>
      </c>
      <c r="D81" s="251">
        <v>172677.38</v>
      </c>
      <c r="E81" s="251">
        <v>184132.36</v>
      </c>
      <c r="F81" s="251">
        <v>151535.98000000001</v>
      </c>
      <c r="G81" s="251">
        <v>163254.60999999999</v>
      </c>
      <c r="H81" s="251">
        <v>118006</v>
      </c>
      <c r="I81" s="251">
        <v>105542.77</v>
      </c>
      <c r="J81" s="251">
        <v>58931.77</v>
      </c>
      <c r="K81" s="251">
        <v>47799.82</v>
      </c>
      <c r="L81" s="251">
        <v>45854.22</v>
      </c>
      <c r="M81" s="251">
        <v>39191.65</v>
      </c>
      <c r="N81" s="251">
        <v>54959.48</v>
      </c>
      <c r="O81" s="480"/>
      <c r="P81" s="251">
        <v>88837.84</v>
      </c>
      <c r="Q81" s="251">
        <v>142356.48000000001</v>
      </c>
      <c r="R81" s="99"/>
      <c r="T81" s="334" t="s">
        <v>230</v>
      </c>
      <c r="U81" s="335">
        <v>142356.48000000001</v>
      </c>
      <c r="V81" s="336">
        <f>U81/V71</f>
        <v>0.17423995182457094</v>
      </c>
      <c r="W81" s="336">
        <f>U81/V71</f>
        <v>0.17423995182457094</v>
      </c>
      <c r="X81" s="338">
        <v>0.17424000000000001</v>
      </c>
      <c r="Y81" s="330"/>
      <c r="Z81" s="492">
        <f>X81-W81</f>
        <v>4.8175429062657926E-8</v>
      </c>
      <c r="AA81" s="330"/>
    </row>
    <row r="82" spans="1:27" ht="15.75" x14ac:dyDescent="0.25">
      <c r="A82" s="313"/>
      <c r="B82" s="295" t="s">
        <v>71</v>
      </c>
      <c r="C82" s="314" t="s">
        <v>176</v>
      </c>
      <c r="D82" s="251">
        <v>56728.800000000003</v>
      </c>
      <c r="E82" s="251">
        <v>61611.05</v>
      </c>
      <c r="F82" s="251">
        <v>39973.81</v>
      </c>
      <c r="G82" s="251">
        <v>47802.53</v>
      </c>
      <c r="H82" s="251">
        <v>32119.39</v>
      </c>
      <c r="I82" s="251">
        <v>27300.07</v>
      </c>
      <c r="J82" s="251">
        <v>13259.66</v>
      </c>
      <c r="K82" s="251">
        <v>9606.2999999999993</v>
      </c>
      <c r="L82" s="251">
        <v>13297.87</v>
      </c>
      <c r="M82" s="251">
        <v>7541.8</v>
      </c>
      <c r="N82" s="251">
        <v>17197.98</v>
      </c>
      <c r="O82" s="480"/>
      <c r="P82" s="251">
        <v>24014.799999999999</v>
      </c>
      <c r="Q82" s="251">
        <v>37564.730000000003</v>
      </c>
      <c r="R82" s="99"/>
      <c r="T82" s="334" t="s">
        <v>231</v>
      </c>
      <c r="U82" s="335">
        <v>37564.730000000003</v>
      </c>
      <c r="V82" s="336">
        <f>U82/V85</f>
        <v>0.13551001046138308</v>
      </c>
      <c r="W82" s="336">
        <f>U82/V85</f>
        <v>0.13551001046138308</v>
      </c>
      <c r="X82" s="330">
        <v>0.13550999999999999</v>
      </c>
      <c r="Y82" s="330"/>
      <c r="Z82" s="492">
        <f>X82-W82</f>
        <v>-1.0461383093129939E-8</v>
      </c>
      <c r="AA82" s="330"/>
    </row>
    <row r="83" spans="1:27" ht="15.75" x14ac:dyDescent="0.25">
      <c r="A83" s="313"/>
      <c r="B83" s="295" t="s">
        <v>71</v>
      </c>
      <c r="C83" s="314" t="s">
        <v>177</v>
      </c>
      <c r="D83" s="608">
        <v>8798.8799999999992</v>
      </c>
      <c r="E83" s="251">
        <v>7519.44</v>
      </c>
      <c r="F83" s="251">
        <v>4756.6400000000003</v>
      </c>
      <c r="G83" s="251">
        <v>5735.07</v>
      </c>
      <c r="H83" s="251">
        <v>2228.16</v>
      </c>
      <c r="I83" s="251">
        <v>878.84</v>
      </c>
      <c r="J83" s="251"/>
      <c r="K83" s="251"/>
      <c r="L83" s="251"/>
      <c r="M83" s="251"/>
      <c r="N83" s="251"/>
      <c r="O83" s="480"/>
      <c r="P83" s="251">
        <v>1498.91</v>
      </c>
      <c r="Q83" s="609">
        <v>2828.47</v>
      </c>
      <c r="R83" s="99"/>
      <c r="T83" s="334" t="s">
        <v>232</v>
      </c>
      <c r="U83" s="335">
        <v>2828.47</v>
      </c>
      <c r="V83" s="336">
        <f>U83/V86</f>
        <v>3.9700053336327652E-2</v>
      </c>
      <c r="W83" s="336">
        <f>U83/V86</f>
        <v>3.9700053336327652E-2</v>
      </c>
      <c r="X83" s="338">
        <v>3.9699999999999999E-2</v>
      </c>
      <c r="Y83" s="330"/>
      <c r="Z83" s="492">
        <f>X83-W83</f>
        <v>-5.3336327653086268E-8</v>
      </c>
      <c r="AA83" s="330"/>
    </row>
    <row r="84" spans="1:27" ht="15.75" x14ac:dyDescent="0.25">
      <c r="A84" s="313"/>
      <c r="B84" s="295"/>
      <c r="C84" s="366" t="s">
        <v>222</v>
      </c>
      <c r="D84" s="569">
        <v>14028311</v>
      </c>
      <c r="E84" s="569">
        <v>1040792</v>
      </c>
      <c r="F84" s="569">
        <v>1075601</v>
      </c>
      <c r="G84" s="569">
        <v>717027</v>
      </c>
      <c r="H84" s="569">
        <v>544253</v>
      </c>
      <c r="I84" s="569">
        <v>297432</v>
      </c>
      <c r="J84" s="569">
        <v>282888</v>
      </c>
      <c r="K84" s="569">
        <v>160118</v>
      </c>
      <c r="L84" s="569">
        <v>158337</v>
      </c>
      <c r="M84" s="569">
        <v>263353</v>
      </c>
      <c r="N84" s="569">
        <v>620847</v>
      </c>
      <c r="O84" s="479"/>
      <c r="P84" s="569">
        <v>1032585</v>
      </c>
      <c r="Q84" s="569">
        <v>961366</v>
      </c>
      <c r="R84" s="99"/>
      <c r="T84" s="334" t="s">
        <v>239</v>
      </c>
      <c r="U84" s="335">
        <v>718751.26</v>
      </c>
      <c r="V84" s="336">
        <f>U84/V80</f>
        <v>0.61670507177361922</v>
      </c>
      <c r="W84" s="336">
        <f>U84/V80</f>
        <v>0.61670507177361922</v>
      </c>
      <c r="X84" s="338">
        <f>+X35</f>
        <v>0.61393999999999993</v>
      </c>
      <c r="Y84" s="330"/>
      <c r="Z84" s="492">
        <f>X84-W84</f>
        <v>-2.7650717736192876E-3</v>
      </c>
      <c r="AA84" s="330"/>
    </row>
    <row r="85" spans="1:27" x14ac:dyDescent="0.25">
      <c r="A85" s="313"/>
      <c r="B85" s="295"/>
      <c r="C85" s="366" t="s">
        <v>277</v>
      </c>
      <c r="D85" s="570">
        <v>0.13819000000000001</v>
      </c>
      <c r="E85" s="570">
        <v>0.13819000000000001</v>
      </c>
      <c r="F85" s="570">
        <v>0.13819000000000001</v>
      </c>
      <c r="G85" s="570">
        <v>0.13550999999999999</v>
      </c>
      <c r="H85" s="610">
        <v>0.13550999999999999</v>
      </c>
      <c r="I85" s="610">
        <v>0.13550999999999999</v>
      </c>
      <c r="J85" s="610">
        <v>0.13550999999999999</v>
      </c>
      <c r="K85" s="610">
        <v>0.13550999999999999</v>
      </c>
      <c r="L85" s="610">
        <v>0.13550999999999999</v>
      </c>
      <c r="M85" s="610">
        <v>0.13550999999999999</v>
      </c>
      <c r="N85" s="610">
        <v>0.13550999999999999</v>
      </c>
      <c r="O85" s="480"/>
      <c r="P85" s="610">
        <v>0.13550999999999999</v>
      </c>
      <c r="Q85" s="610">
        <v>0.13550999999999999</v>
      </c>
      <c r="R85" s="99"/>
      <c r="T85" s="334"/>
      <c r="U85" s="330" t="s">
        <v>278</v>
      </c>
      <c r="V85" s="337">
        <f>ROUND(U82/X82,0)</f>
        <v>277210</v>
      </c>
      <c r="W85" s="336"/>
      <c r="X85" s="330"/>
      <c r="Y85" s="330"/>
      <c r="Z85" s="336"/>
      <c r="AA85" s="330"/>
    </row>
    <row r="86" spans="1:27" x14ac:dyDescent="0.25">
      <c r="A86" s="313"/>
      <c r="B86" s="376" t="s">
        <v>72</v>
      </c>
      <c r="C86" s="366" t="s">
        <v>224</v>
      </c>
      <c r="D86" s="604">
        <v>182419.64</v>
      </c>
      <c r="E86" s="310">
        <f t="shared" ref="E86:N86" si="39">ROUND(E84*E85,2)</f>
        <v>143827.04999999999</v>
      </c>
      <c r="F86" s="310">
        <f t="shared" si="39"/>
        <v>148637.29999999999</v>
      </c>
      <c r="G86" s="310">
        <f t="shared" si="39"/>
        <v>97164.33</v>
      </c>
      <c r="H86" s="310">
        <f t="shared" si="39"/>
        <v>73751.72</v>
      </c>
      <c r="I86" s="310">
        <f t="shared" si="39"/>
        <v>40305.01</v>
      </c>
      <c r="J86" s="310">
        <f t="shared" si="39"/>
        <v>38334.15</v>
      </c>
      <c r="K86" s="310">
        <f t="shared" si="39"/>
        <v>21697.59</v>
      </c>
      <c r="L86" s="310">
        <f t="shared" si="39"/>
        <v>21456.25</v>
      </c>
      <c r="M86" s="310">
        <f t="shared" si="39"/>
        <v>35686.97</v>
      </c>
      <c r="N86" s="310">
        <f t="shared" si="39"/>
        <v>84130.98</v>
      </c>
      <c r="O86" s="480"/>
      <c r="P86" s="310">
        <f>ROUND(P84*P85,2)</f>
        <v>139925.59</v>
      </c>
      <c r="Q86" s="310">
        <f>ROUND(Q84*Q85,2)</f>
        <v>130274.71</v>
      </c>
      <c r="R86" s="99"/>
      <c r="T86" s="330"/>
      <c r="U86" s="330"/>
      <c r="V86" s="337">
        <f>ROUND(U83/X83,0)</f>
        <v>71246</v>
      </c>
      <c r="W86" s="330"/>
      <c r="X86" s="330"/>
      <c r="Y86" s="330"/>
      <c r="Z86" s="330"/>
      <c r="AA86" s="330"/>
    </row>
    <row r="87" spans="1:27" x14ac:dyDescent="0.25">
      <c r="A87" s="313"/>
      <c r="B87" s="295" t="s">
        <v>72</v>
      </c>
      <c r="C87" s="366" t="s">
        <v>184</v>
      </c>
      <c r="D87" s="189">
        <v>-162449.81</v>
      </c>
      <c r="E87" s="88">
        <f t="shared" ref="E87:G87" si="40">-D86</f>
        <v>-182419.64</v>
      </c>
      <c r="F87" s="189">
        <f t="shared" si="40"/>
        <v>-143827.04999999999</v>
      </c>
      <c r="G87" s="189">
        <f t="shared" si="40"/>
        <v>-148637.29999999999</v>
      </c>
      <c r="H87" s="189">
        <f>-G86</f>
        <v>-97164.33</v>
      </c>
      <c r="I87" s="189">
        <f>-H86</f>
        <v>-73751.72</v>
      </c>
      <c r="J87" s="189">
        <f>-I86</f>
        <v>-40305.01</v>
      </c>
      <c r="K87" s="189">
        <f>-J86</f>
        <v>-38334.15</v>
      </c>
      <c r="L87" s="189">
        <f t="shared" ref="L87:N87" si="41">-K86</f>
        <v>-21697.59</v>
      </c>
      <c r="M87" s="189">
        <f t="shared" si="41"/>
        <v>-21456.25</v>
      </c>
      <c r="N87" s="189">
        <f t="shared" si="41"/>
        <v>-35686.97</v>
      </c>
      <c r="O87" s="209"/>
      <c r="P87" s="189">
        <f>-N86</f>
        <v>-84130.98</v>
      </c>
      <c r="Q87" s="189">
        <f>-P86</f>
        <v>-139925.59</v>
      </c>
      <c r="R87" s="99"/>
      <c r="T87" s="330"/>
      <c r="U87" s="330"/>
      <c r="V87" s="330"/>
      <c r="W87" s="330"/>
      <c r="X87" s="330"/>
      <c r="Y87" s="330"/>
      <c r="Z87" s="330"/>
      <c r="AA87" s="330"/>
    </row>
    <row r="88" spans="1:27" x14ac:dyDescent="0.25">
      <c r="A88" s="313"/>
      <c r="B88" s="295"/>
      <c r="C88" s="311" t="s">
        <v>74</v>
      </c>
      <c r="D88" s="187">
        <v>258174.89</v>
      </c>
      <c r="E88" s="108">
        <f t="shared" ref="E88:N88" si="42">+E81+E82+E83+E86+E87</f>
        <v>214670.25999999995</v>
      </c>
      <c r="F88" s="187">
        <f t="shared" si="42"/>
        <v>201076.68</v>
      </c>
      <c r="G88" s="187">
        <f t="shared" si="42"/>
        <v>165319.24</v>
      </c>
      <c r="H88" s="187">
        <f t="shared" si="42"/>
        <v>128940.94000000002</v>
      </c>
      <c r="I88" s="187">
        <f t="shared" si="42"/>
        <v>100274.97</v>
      </c>
      <c r="J88" s="187">
        <f t="shared" si="42"/>
        <v>70220.569999999978</v>
      </c>
      <c r="K88" s="187">
        <f t="shared" si="42"/>
        <v>40769.55999999999</v>
      </c>
      <c r="L88" s="187">
        <f t="shared" si="42"/>
        <v>58910.75</v>
      </c>
      <c r="M88" s="187">
        <f t="shared" si="42"/>
        <v>60964.170000000013</v>
      </c>
      <c r="N88" s="187">
        <f t="shared" si="42"/>
        <v>120601.47</v>
      </c>
      <c r="O88" s="208"/>
      <c r="P88" s="187">
        <f>+P81+P82+P83+P86+P87</f>
        <v>170146.16000000003</v>
      </c>
      <c r="Q88" s="187">
        <f>+Q81+Q82+Q83+Q86+Q87</f>
        <v>173098.80000000002</v>
      </c>
      <c r="R88" s="362"/>
      <c r="T88" s="330"/>
      <c r="U88" s="330"/>
      <c r="V88" s="330"/>
      <c r="W88" s="330"/>
      <c r="X88" s="330"/>
      <c r="Y88" s="330"/>
      <c r="Z88" s="330"/>
      <c r="AA88" s="330"/>
    </row>
    <row r="89" spans="1:27" ht="15.75" x14ac:dyDescent="0.25">
      <c r="A89" s="313"/>
      <c r="B89" s="295"/>
      <c r="C89" s="487" t="s">
        <v>73</v>
      </c>
      <c r="D89" s="571">
        <v>-210517.2</v>
      </c>
      <c r="E89" s="572">
        <f>ROUND(-'[2]Authorized Margins 2022'!D13*'WA CAP 2023'!E80,2)</f>
        <v>-272341.8</v>
      </c>
      <c r="F89" s="572">
        <f>ROUND(-'[2]Authorized Margins 2022'!E13*'WA CAP 2023'!F80,2)</f>
        <v>-249263.96</v>
      </c>
      <c r="G89" s="572">
        <f>ROUND(-'Authorized Margins 2023'!G13*'WA CAP 2023'!G80,2)</f>
        <v>-237590.14</v>
      </c>
      <c r="H89" s="572">
        <f>ROUND(-'Authorized Margins 2023'!H13*'WA CAP 2023'!H80,2)</f>
        <v>-226733.53</v>
      </c>
      <c r="I89" s="572">
        <f>ROUND(-'Authorized Margins 2023'!I13*'WA CAP 2023'!I80,2)</f>
        <v>-135587.28</v>
      </c>
      <c r="J89" s="572">
        <f>ROUND(-'Authorized Margins 2023'!J13*'WA CAP 2023'!J80,2)</f>
        <v>-131729.14000000001</v>
      </c>
      <c r="K89" s="572">
        <f>ROUND(-'Authorized Margins 2023'!K13*'WA CAP 2023'!K80,2)</f>
        <v>-113567.34</v>
      </c>
      <c r="L89" s="572">
        <f>ROUND(-'Authorized Margins 2023'!L13*'WA CAP 2023'!L80,2)</f>
        <v>-90805.4</v>
      </c>
      <c r="M89" s="572">
        <f>ROUND(-'Authorized Margins 2023'!M13*'WA CAP 2023'!M80,2)</f>
        <v>-89419.17</v>
      </c>
      <c r="N89" s="572">
        <f>ROUND(-'Authorized Margins 2023'!N13*'WA CAP 2023'!N80,2)</f>
        <v>-108477.6</v>
      </c>
      <c r="O89" s="208"/>
      <c r="P89" s="572">
        <f>ROUND(-'Authorized Margins 2023'!P13*'WA CAP 2023'!P80,2)</f>
        <v>-126206.5</v>
      </c>
      <c r="Q89" s="573">
        <f>ROUND(-'Authorized Margins 2023'!Q13*'WA CAP 2023'!Q80,2)</f>
        <v>-197827.14</v>
      </c>
      <c r="R89" s="362"/>
      <c r="T89" s="330"/>
      <c r="U89" s="330"/>
      <c r="V89" s="330"/>
      <c r="W89" s="330"/>
      <c r="X89" s="330"/>
      <c r="Y89" s="330"/>
      <c r="Z89" s="330"/>
      <c r="AA89" s="330"/>
    </row>
    <row r="90" spans="1:27" x14ac:dyDescent="0.25">
      <c r="A90" s="313"/>
      <c r="B90" s="295"/>
      <c r="C90" s="364" t="s">
        <v>201</v>
      </c>
      <c r="D90" s="187">
        <v>47657.69</v>
      </c>
      <c r="E90" s="108">
        <f t="shared" ref="E90:Q90" si="43">SUM(E88:E89)</f>
        <v>-57671.540000000037</v>
      </c>
      <c r="F90" s="187">
        <f t="shared" si="43"/>
        <v>-48187.28</v>
      </c>
      <c r="G90" s="187">
        <f t="shared" si="43"/>
        <v>-72270.900000000023</v>
      </c>
      <c r="H90" s="187">
        <f t="shared" si="43"/>
        <v>-97792.589999999982</v>
      </c>
      <c r="I90" s="187">
        <f t="shared" si="43"/>
        <v>-35312.31</v>
      </c>
      <c r="J90" s="187">
        <f t="shared" si="43"/>
        <v>-61508.570000000036</v>
      </c>
      <c r="K90" s="187">
        <f t="shared" si="43"/>
        <v>-72797.78</v>
      </c>
      <c r="L90" s="187">
        <f t="shared" si="43"/>
        <v>-31894.649999999994</v>
      </c>
      <c r="M90" s="187">
        <f t="shared" si="43"/>
        <v>-28454.999999999985</v>
      </c>
      <c r="N90" s="187">
        <f t="shared" si="43"/>
        <v>12123.869999999995</v>
      </c>
      <c r="O90" s="302">
        <f>-'[2]WA CAP 2022'!Q105</f>
        <v>195175.2</v>
      </c>
      <c r="P90" s="187">
        <f t="shared" si="43"/>
        <v>43939.660000000033</v>
      </c>
      <c r="Q90" s="187">
        <f t="shared" si="43"/>
        <v>-24728.339999999997</v>
      </c>
      <c r="R90" s="99">
        <f>SUM(E90:Q90)-O90</f>
        <v>-474555.43000000011</v>
      </c>
      <c r="T90" s="330"/>
      <c r="U90" s="330"/>
      <c r="V90" s="330"/>
      <c r="W90" s="330"/>
      <c r="X90" s="330"/>
      <c r="Y90" s="330"/>
      <c r="Z90" s="330"/>
      <c r="AA90" s="330"/>
    </row>
    <row r="91" spans="1:27" ht="15.75" x14ac:dyDescent="0.25">
      <c r="A91" s="313"/>
      <c r="B91" s="295"/>
      <c r="C91" s="574" t="s">
        <v>137</v>
      </c>
      <c r="D91" s="187">
        <v>-1008.44</v>
      </c>
      <c r="E91" s="108">
        <f>ROUND(ROUND(D93*E$7,2)/365*E$8,2)</f>
        <v>-1045.98</v>
      </c>
      <c r="F91" s="187">
        <f>ROUND(ROUND(E93*F$7,2)/365*F$8,2)</f>
        <v>-1228.98</v>
      </c>
      <c r="G91" s="187">
        <f t="shared" ref="G91:Q91" si="44">ROUND(ROUND(F93*G$7,2)/365*G$8,2)</f>
        <v>-1625.49</v>
      </c>
      <c r="H91" s="187">
        <f t="shared" si="44"/>
        <v>-2325.2399999999998</v>
      </c>
      <c r="I91" s="187">
        <f t="shared" si="44"/>
        <v>-3040.48</v>
      </c>
      <c r="J91" s="187">
        <f t="shared" si="44"/>
        <v>-3178.82</v>
      </c>
      <c r="K91" s="187">
        <f t="shared" si="44"/>
        <v>-3953.15</v>
      </c>
      <c r="L91" s="187">
        <f t="shared" si="44"/>
        <v>-4475.9399999999996</v>
      </c>
      <c r="M91" s="187">
        <f t="shared" si="44"/>
        <v>-4571.3</v>
      </c>
      <c r="N91" s="187">
        <f t="shared" si="44"/>
        <v>-5152.26</v>
      </c>
      <c r="O91" s="231">
        <f>'[2]Ammort Split 2023'!N96</f>
        <v>12353.689999999999</v>
      </c>
      <c r="P91" s="187">
        <f>ROUND(ROUND(O93*P$7,2)/365*P$8,2)</f>
        <v>-3513.94</v>
      </c>
      <c r="Q91" s="187">
        <f t="shared" si="44"/>
        <v>-3344.38</v>
      </c>
      <c r="R91" s="100">
        <f>SUM(E91:Q91)</f>
        <v>-25102.27</v>
      </c>
      <c r="T91" s="330"/>
      <c r="U91" s="330"/>
      <c r="V91" s="330"/>
      <c r="W91" s="330"/>
      <c r="X91" s="330"/>
      <c r="Y91" s="330"/>
      <c r="Z91" s="330"/>
      <c r="AA91" s="330"/>
    </row>
    <row r="92" spans="1:27" x14ac:dyDescent="0.25">
      <c r="A92" s="313"/>
      <c r="B92" s="295"/>
      <c r="C92" s="364" t="s">
        <v>138</v>
      </c>
      <c r="D92" s="346">
        <v>46649.25</v>
      </c>
      <c r="E92" s="88">
        <f t="shared" ref="E92:Q92" si="45">SUM(E90:E91)</f>
        <v>-58717.52000000004</v>
      </c>
      <c r="F92" s="189">
        <f t="shared" si="45"/>
        <v>-49416.26</v>
      </c>
      <c r="G92" s="189">
        <f t="shared" si="45"/>
        <v>-73896.390000000029</v>
      </c>
      <c r="H92" s="189">
        <f t="shared" si="45"/>
        <v>-100117.82999999999</v>
      </c>
      <c r="I92" s="189">
        <f t="shared" si="45"/>
        <v>-38352.79</v>
      </c>
      <c r="J92" s="189">
        <f t="shared" si="45"/>
        <v>-64687.390000000036</v>
      </c>
      <c r="K92" s="189">
        <f t="shared" si="45"/>
        <v>-76750.929999999993</v>
      </c>
      <c r="L92" s="189">
        <f t="shared" si="45"/>
        <v>-36370.589999999997</v>
      </c>
      <c r="M92" s="189">
        <f t="shared" si="45"/>
        <v>-33026.299999999988</v>
      </c>
      <c r="N92" s="189">
        <f t="shared" si="45"/>
        <v>6971.6099999999951</v>
      </c>
      <c r="O92" s="209">
        <f>SUM(O90:O91)</f>
        <v>207528.89</v>
      </c>
      <c r="P92" s="189">
        <f t="shared" si="45"/>
        <v>40425.72000000003</v>
      </c>
      <c r="Q92" s="595">
        <f t="shared" si="45"/>
        <v>-28072.719999999998</v>
      </c>
      <c r="R92" s="453">
        <f>SUM(R90:R91)</f>
        <v>-499657.70000000013</v>
      </c>
      <c r="T92" s="330"/>
      <c r="U92" s="330"/>
      <c r="V92" s="330"/>
      <c r="W92" s="330"/>
      <c r="X92" s="330"/>
      <c r="Y92" s="330"/>
      <c r="Z92" s="330"/>
      <c r="AA92" s="330"/>
    </row>
    <row r="93" spans="1:27" s="584" customFormat="1" ht="15.75" x14ac:dyDescent="0.25">
      <c r="A93" s="575"/>
      <c r="B93" s="576"/>
      <c r="C93" s="577" t="s">
        <v>139</v>
      </c>
      <c r="D93" s="587">
        <v>-195175.19999999987</v>
      </c>
      <c r="E93" s="588">
        <f t="shared" ref="E93:Q93" si="46">D93+E92</f>
        <v>-253892.71999999991</v>
      </c>
      <c r="F93" s="587">
        <f t="shared" si="46"/>
        <v>-303308.97999999992</v>
      </c>
      <c r="G93" s="587">
        <f t="shared" si="46"/>
        <v>-377205.36999999994</v>
      </c>
      <c r="H93" s="587">
        <f t="shared" si="46"/>
        <v>-477323.19999999995</v>
      </c>
      <c r="I93" s="587">
        <f t="shared" si="46"/>
        <v>-515675.98999999993</v>
      </c>
      <c r="J93" s="587">
        <f t="shared" si="46"/>
        <v>-580363.38</v>
      </c>
      <c r="K93" s="587">
        <f t="shared" si="46"/>
        <v>-657114.31000000006</v>
      </c>
      <c r="L93" s="587">
        <f t="shared" si="46"/>
        <v>-693484.9</v>
      </c>
      <c r="M93" s="587">
        <f t="shared" si="46"/>
        <v>-726511.2</v>
      </c>
      <c r="N93" s="587">
        <f t="shared" si="46"/>
        <v>-719539.59</v>
      </c>
      <c r="O93" s="589">
        <f t="shared" si="46"/>
        <v>-512010.69999999995</v>
      </c>
      <c r="P93" s="587">
        <f t="shared" si="46"/>
        <v>-471584.97999999992</v>
      </c>
      <c r="Q93" s="611">
        <f t="shared" si="46"/>
        <v>-499657.6999999999</v>
      </c>
      <c r="R93" s="583"/>
      <c r="T93" s="585"/>
      <c r="U93" s="585"/>
      <c r="V93" s="585"/>
      <c r="W93" s="585"/>
      <c r="X93" s="585"/>
      <c r="Y93" s="585"/>
      <c r="Z93" s="585"/>
      <c r="AA93" s="585"/>
    </row>
    <row r="94" spans="1:27" ht="15.75" x14ac:dyDescent="0.25">
      <c r="A94" s="313"/>
      <c r="B94" s="295" t="s">
        <v>64</v>
      </c>
      <c r="C94" s="362" t="s">
        <v>279</v>
      </c>
      <c r="D94" s="250"/>
      <c r="E94" s="105"/>
      <c r="F94" s="250"/>
      <c r="G94" s="250"/>
      <c r="H94" s="250"/>
      <c r="I94" s="250"/>
      <c r="J94" s="250"/>
      <c r="K94" s="250"/>
      <c r="L94" s="250"/>
      <c r="M94" s="250"/>
      <c r="N94" s="250"/>
      <c r="O94" s="479"/>
      <c r="P94" s="250"/>
      <c r="Q94" s="250"/>
      <c r="R94" s="452"/>
      <c r="T94" s="330"/>
      <c r="U94" s="461"/>
      <c r="V94" s="444"/>
      <c r="W94" s="330"/>
      <c r="X94" s="330"/>
      <c r="Y94" s="330"/>
      <c r="Z94" s="330"/>
      <c r="AA94" s="330"/>
    </row>
    <row r="95" spans="1:27" ht="15.75" x14ac:dyDescent="0.25">
      <c r="A95" s="313"/>
      <c r="B95" s="295" t="s">
        <v>71</v>
      </c>
      <c r="C95" s="314" t="s">
        <v>180</v>
      </c>
      <c r="D95" s="116"/>
      <c r="E95" s="116"/>
      <c r="F95" s="251"/>
      <c r="G95" s="251"/>
      <c r="H95" s="251"/>
      <c r="I95" s="251"/>
      <c r="J95" s="251"/>
      <c r="K95" s="251"/>
      <c r="L95" s="251"/>
      <c r="M95" s="251"/>
      <c r="N95" s="251"/>
      <c r="O95" s="480"/>
      <c r="P95" s="251"/>
      <c r="Q95" s="251"/>
      <c r="R95" s="99"/>
      <c r="T95" s="334"/>
      <c r="U95" s="461">
        <v>505</v>
      </c>
      <c r="V95" s="330"/>
      <c r="W95" s="333" t="s">
        <v>263</v>
      </c>
      <c r="X95" s="444" t="s">
        <v>90</v>
      </c>
      <c r="Y95" s="330"/>
      <c r="Z95" s="444" t="s">
        <v>214</v>
      </c>
      <c r="AA95" s="330"/>
    </row>
    <row r="96" spans="1:27" ht="15.75" x14ac:dyDescent="0.25">
      <c r="A96" s="313"/>
      <c r="B96" s="295" t="s">
        <v>71</v>
      </c>
      <c r="C96" s="314" t="s">
        <v>181</v>
      </c>
      <c r="D96" s="251"/>
      <c r="E96" s="116"/>
      <c r="F96" s="251"/>
      <c r="G96" s="251"/>
      <c r="H96" s="251"/>
      <c r="I96" s="251"/>
      <c r="J96" s="251"/>
      <c r="K96" s="251"/>
      <c r="L96" s="251"/>
      <c r="M96" s="251"/>
      <c r="N96" s="251"/>
      <c r="O96" s="480"/>
      <c r="P96" s="251"/>
      <c r="Q96" s="251"/>
      <c r="R96" s="99"/>
      <c r="T96" s="334" t="s">
        <v>90</v>
      </c>
      <c r="U96" s="460">
        <v>0</v>
      </c>
      <c r="V96" s="336" t="e">
        <f>U96/V101</f>
        <v>#DIV/0!</v>
      </c>
      <c r="W96" s="336" t="e">
        <f>U96/V101</f>
        <v>#DIV/0!</v>
      </c>
      <c r="X96" s="330">
        <f>+X22</f>
        <v>0.21929000000000001</v>
      </c>
      <c r="Y96" s="330"/>
      <c r="Z96" s="336" t="e">
        <f>X96-W96</f>
        <v>#DIV/0!</v>
      </c>
      <c r="AA96" s="330"/>
    </row>
    <row r="97" spans="1:27" ht="15.75" x14ac:dyDescent="0.25">
      <c r="A97" s="313"/>
      <c r="B97" s="295" t="s">
        <v>72</v>
      </c>
      <c r="C97" s="318" t="s">
        <v>280</v>
      </c>
      <c r="D97" s="277"/>
      <c r="E97" s="277"/>
      <c r="F97" s="276"/>
      <c r="G97" s="276"/>
      <c r="H97" s="276"/>
      <c r="I97" s="276"/>
      <c r="J97" s="276"/>
      <c r="K97" s="276"/>
      <c r="L97" s="276"/>
      <c r="M97" s="276"/>
      <c r="N97" s="276"/>
      <c r="O97" s="207"/>
      <c r="P97" s="276"/>
      <c r="Q97" s="276"/>
      <c r="R97" s="99"/>
      <c r="T97" s="334" t="s">
        <v>90</v>
      </c>
      <c r="U97" s="460">
        <v>0</v>
      </c>
      <c r="V97" s="336" t="e">
        <f>U97/#REF!</f>
        <v>#REF!</v>
      </c>
      <c r="W97" s="336" t="e">
        <f>U97/#REF!</f>
        <v>#REF!</v>
      </c>
      <c r="X97" s="330">
        <f>+X23</f>
        <v>0.17998</v>
      </c>
      <c r="Y97" s="330"/>
      <c r="Z97" s="336" t="e">
        <f>X97-W97</f>
        <v>#REF!</v>
      </c>
      <c r="AA97" s="330"/>
    </row>
    <row r="98" spans="1:27" ht="15.75" x14ac:dyDescent="0.25">
      <c r="A98" s="313"/>
      <c r="B98" s="376" t="s">
        <v>72</v>
      </c>
      <c r="C98" s="318" t="s">
        <v>281</v>
      </c>
      <c r="D98" s="350"/>
      <c r="E98" s="488"/>
      <c r="F98" s="351"/>
      <c r="G98" s="276"/>
      <c r="H98" s="351"/>
      <c r="I98" s="351"/>
      <c r="J98" s="351"/>
      <c r="K98" s="351"/>
      <c r="L98" s="351"/>
      <c r="M98" s="351"/>
      <c r="N98" s="351"/>
      <c r="O98" s="207"/>
      <c r="P98" s="351"/>
      <c r="Q98" s="351"/>
      <c r="R98" s="99"/>
      <c r="T98" s="334" t="s">
        <v>90</v>
      </c>
      <c r="U98" s="460">
        <v>0</v>
      </c>
      <c r="V98" s="336" t="e">
        <f>U98/V100</f>
        <v>#DIV/0!</v>
      </c>
      <c r="W98" s="336" t="e">
        <f>U98/V100</f>
        <v>#DIV/0!</v>
      </c>
      <c r="X98" s="330">
        <f>+X24</f>
        <v>0.17404</v>
      </c>
      <c r="Y98" s="330"/>
      <c r="Z98" s="336" t="e">
        <f>X98-W98</f>
        <v>#DIV/0!</v>
      </c>
      <c r="AA98" s="330"/>
    </row>
    <row r="99" spans="1:27" ht="15.75" x14ac:dyDescent="0.25">
      <c r="A99" s="313"/>
      <c r="B99" s="295" t="s">
        <v>72</v>
      </c>
      <c r="C99" s="612" t="s">
        <v>185</v>
      </c>
      <c r="D99" s="187">
        <v>0</v>
      </c>
      <c r="E99" s="108">
        <f>-D97</f>
        <v>0</v>
      </c>
      <c r="F99" s="187">
        <f>-E97</f>
        <v>0</v>
      </c>
      <c r="G99" s="397">
        <f t="shared" ref="E99:Q100" si="47">-F97</f>
        <v>0</v>
      </c>
      <c r="H99" s="187">
        <f t="shared" si="47"/>
        <v>0</v>
      </c>
      <c r="I99" s="187">
        <f t="shared" si="47"/>
        <v>0</v>
      </c>
      <c r="J99" s="187">
        <f t="shared" si="47"/>
        <v>0</v>
      </c>
      <c r="K99" s="187">
        <f t="shared" si="47"/>
        <v>0</v>
      </c>
      <c r="L99" s="187">
        <f>-K97</f>
        <v>0</v>
      </c>
      <c r="M99" s="187">
        <f>-L97</f>
        <v>0</v>
      </c>
      <c r="N99" s="187">
        <f t="shared" si="47"/>
        <v>0</v>
      </c>
      <c r="O99" s="208"/>
      <c r="P99" s="187">
        <f>-N97</f>
        <v>0</v>
      </c>
      <c r="Q99" s="187">
        <f t="shared" si="47"/>
        <v>0</v>
      </c>
      <c r="R99" s="99"/>
      <c r="T99" s="334" t="s">
        <v>239</v>
      </c>
      <c r="U99" s="460">
        <v>0</v>
      </c>
      <c r="V99" s="336" t="e">
        <f>U99/V101</f>
        <v>#DIV/0!</v>
      </c>
      <c r="W99" s="336" t="e">
        <f>U99/V101</f>
        <v>#DIV/0!</v>
      </c>
      <c r="X99" s="338">
        <f>+X25</f>
        <v>0.61394000000000004</v>
      </c>
      <c r="Y99" s="330"/>
      <c r="Z99" s="336" t="e">
        <f>X99-W99</f>
        <v>#DIV/0!</v>
      </c>
      <c r="AA99" s="330"/>
    </row>
    <row r="100" spans="1:27" x14ac:dyDescent="0.25">
      <c r="A100" s="313"/>
      <c r="B100" s="295" t="s">
        <v>72</v>
      </c>
      <c r="C100" s="612" t="s">
        <v>186</v>
      </c>
      <c r="D100" s="605">
        <v>0</v>
      </c>
      <c r="E100" s="108">
        <f t="shared" si="47"/>
        <v>0</v>
      </c>
      <c r="F100" s="187">
        <f t="shared" si="47"/>
        <v>0</v>
      </c>
      <c r="G100" s="187">
        <f t="shared" si="47"/>
        <v>0</v>
      </c>
      <c r="H100" s="187">
        <f t="shared" si="47"/>
        <v>0</v>
      </c>
      <c r="I100" s="187">
        <f t="shared" si="47"/>
        <v>0</v>
      </c>
      <c r="J100" s="187">
        <f t="shared" si="47"/>
        <v>0</v>
      </c>
      <c r="K100" s="187">
        <f t="shared" si="47"/>
        <v>0</v>
      </c>
      <c r="L100" s="187">
        <f t="shared" si="47"/>
        <v>0</v>
      </c>
      <c r="M100" s="187">
        <f>-L98</f>
        <v>0</v>
      </c>
      <c r="N100" s="187">
        <f t="shared" si="47"/>
        <v>0</v>
      </c>
      <c r="O100" s="208"/>
      <c r="P100" s="187">
        <f>-N98</f>
        <v>0</v>
      </c>
      <c r="Q100" s="606">
        <f t="shared" si="47"/>
        <v>0</v>
      </c>
      <c r="R100" s="99"/>
      <c r="T100" s="330"/>
      <c r="U100" s="330"/>
      <c r="V100" s="337">
        <f>ROUND(U98/X98,0)</f>
        <v>0</v>
      </c>
      <c r="W100" s="330"/>
      <c r="X100" s="330"/>
      <c r="Y100" s="330"/>
      <c r="Z100" s="330"/>
      <c r="AA100" s="330"/>
    </row>
    <row r="101" spans="1:27" ht="15.75" x14ac:dyDescent="0.25">
      <c r="A101" s="313"/>
      <c r="B101" s="271"/>
      <c r="C101" s="311" t="s">
        <v>74</v>
      </c>
      <c r="D101" s="187">
        <v>0</v>
      </c>
      <c r="E101" s="108">
        <f t="shared" ref="E101:Q101" si="48">SUM(E95:E100)</f>
        <v>0</v>
      </c>
      <c r="F101" s="187">
        <f t="shared" si="48"/>
        <v>0</v>
      </c>
      <c r="G101" s="187">
        <f t="shared" si="48"/>
        <v>0</v>
      </c>
      <c r="H101" s="187">
        <f t="shared" si="48"/>
        <v>0</v>
      </c>
      <c r="I101" s="187">
        <f t="shared" si="48"/>
        <v>0</v>
      </c>
      <c r="J101" s="187">
        <f t="shared" si="48"/>
        <v>0</v>
      </c>
      <c r="K101" s="187">
        <f t="shared" si="48"/>
        <v>0</v>
      </c>
      <c r="L101" s="187">
        <f t="shared" si="48"/>
        <v>0</v>
      </c>
      <c r="M101" s="187">
        <f t="shared" si="48"/>
        <v>0</v>
      </c>
      <c r="N101" s="187">
        <f t="shared" si="48"/>
        <v>0</v>
      </c>
      <c r="O101" s="208"/>
      <c r="P101" s="187">
        <f t="shared" si="48"/>
        <v>0</v>
      </c>
      <c r="Q101" s="187">
        <f t="shared" si="48"/>
        <v>0</v>
      </c>
      <c r="R101" s="362"/>
      <c r="T101" s="330"/>
      <c r="U101" s="330"/>
      <c r="V101" s="535">
        <v>0</v>
      </c>
      <c r="W101" s="330"/>
      <c r="X101" s="330"/>
      <c r="Y101" s="330"/>
      <c r="Z101" s="330"/>
      <c r="AA101" s="330"/>
    </row>
    <row r="102" spans="1:27" ht="15.75" x14ac:dyDescent="0.25">
      <c r="A102" s="313"/>
      <c r="B102" s="271"/>
      <c r="C102" s="487" t="s">
        <v>73</v>
      </c>
      <c r="D102" s="571">
        <v>0</v>
      </c>
      <c r="E102" s="572">
        <f>ROUND(-'[2]Authorized Margins 2022'!D11*'WA CAP 2023'!E94,2)</f>
        <v>0</v>
      </c>
      <c r="F102" s="572">
        <f>ROUND(-'[2]Authorized Margins 2022'!E11*'WA CAP 2023'!F94,2)</f>
        <v>0</v>
      </c>
      <c r="G102" s="572">
        <f>ROUND(-'Authorized Margins 2023'!G11*'WA CAP 2023'!G94,2)</f>
        <v>0</v>
      </c>
      <c r="H102" s="572">
        <f>ROUND(-'Authorized Margins 2023'!H11*'WA CAP 2023'!H94,2)</f>
        <v>0</v>
      </c>
      <c r="I102" s="572">
        <f>ROUND(-'Authorized Margins 2023'!I11*'WA CAP 2023'!I94,2)</f>
        <v>0</v>
      </c>
      <c r="J102" s="572">
        <f>ROUND(-'Authorized Margins 2023'!J11*'WA CAP 2023'!J94,2)</f>
        <v>0</v>
      </c>
      <c r="K102" s="572">
        <f>ROUND(-'Authorized Margins 2023'!K11*'WA CAP 2023'!K94,2)</f>
        <v>0</v>
      </c>
      <c r="L102" s="572">
        <f>ROUND(-'Authorized Margins 2023'!L11*'WA CAP 2023'!L94,2)</f>
        <v>0</v>
      </c>
      <c r="M102" s="572">
        <f>ROUND(-'Authorized Margins 2023'!M11*'WA CAP 2023'!M94,2)</f>
        <v>0</v>
      </c>
      <c r="N102" s="572">
        <f>ROUND(-'Authorized Margins 2023'!N11*'WA CAP 2023'!N94,2)</f>
        <v>0</v>
      </c>
      <c r="O102" s="208"/>
      <c r="P102" s="572">
        <f>ROUND(-'Authorized Margins 2023'!P11*'WA CAP 2023'!P94,2)</f>
        <v>0</v>
      </c>
      <c r="Q102" s="573">
        <f>ROUND(-'Authorized Margins 2023'!Q11*'WA CAP 2023'!Q94,2)</f>
        <v>0</v>
      </c>
      <c r="R102" s="362"/>
      <c r="T102" s="330"/>
      <c r="U102" s="330"/>
      <c r="V102" s="330"/>
      <c r="W102" s="330"/>
      <c r="X102" s="330"/>
      <c r="Y102" s="330"/>
      <c r="Z102" s="330"/>
      <c r="AA102" s="330"/>
    </row>
    <row r="103" spans="1:27" x14ac:dyDescent="0.25">
      <c r="A103" s="313"/>
      <c r="B103" s="271"/>
      <c r="C103" s="364" t="s">
        <v>201</v>
      </c>
      <c r="D103" s="187">
        <v>0</v>
      </c>
      <c r="E103" s="108">
        <f t="shared" ref="E103:Q103" si="49">SUM(E101:E102)</f>
        <v>0</v>
      </c>
      <c r="F103" s="187">
        <f t="shared" si="49"/>
        <v>0</v>
      </c>
      <c r="G103" s="187">
        <f t="shared" si="49"/>
        <v>0</v>
      </c>
      <c r="H103" s="187">
        <f t="shared" si="49"/>
        <v>0</v>
      </c>
      <c r="I103" s="187">
        <f t="shared" si="49"/>
        <v>0</v>
      </c>
      <c r="J103" s="187">
        <f t="shared" si="49"/>
        <v>0</v>
      </c>
      <c r="K103" s="187">
        <f t="shared" si="49"/>
        <v>0</v>
      </c>
      <c r="L103" s="187">
        <f t="shared" si="49"/>
        <v>0</v>
      </c>
      <c r="M103" s="187">
        <f t="shared" si="49"/>
        <v>0</v>
      </c>
      <c r="N103" s="187">
        <f t="shared" si="49"/>
        <v>0</v>
      </c>
      <c r="O103" s="302">
        <f>-'[2]WA CAP 2022'!Q120</f>
        <v>1725.36</v>
      </c>
      <c r="P103" s="187">
        <f t="shared" si="49"/>
        <v>0</v>
      </c>
      <c r="Q103" s="187">
        <f t="shared" si="49"/>
        <v>0</v>
      </c>
      <c r="R103" s="99">
        <f>SUM(E103:Q103)-O103</f>
        <v>0</v>
      </c>
      <c r="T103" s="330"/>
      <c r="U103" s="330"/>
      <c r="V103" s="330"/>
      <c r="W103" s="330"/>
      <c r="X103" s="330"/>
      <c r="Y103" s="330"/>
      <c r="Z103" s="330"/>
      <c r="AA103" s="330"/>
    </row>
    <row r="104" spans="1:27" ht="15.75" x14ac:dyDescent="0.25">
      <c r="A104" s="313"/>
      <c r="B104" s="295"/>
      <c r="C104" s="574" t="s">
        <v>137</v>
      </c>
      <c r="D104" s="187">
        <v>-7.16</v>
      </c>
      <c r="E104" s="108">
        <f>ROUND(ROUND(D106*E$7,2)/365*E$8,2)</f>
        <v>-9.25</v>
      </c>
      <c r="F104" s="187">
        <f>ROUND(ROUND(E106*F$7,2)/365*F$8,2)</f>
        <v>-8.4</v>
      </c>
      <c r="G104" s="187">
        <f t="shared" ref="G104:Q104" si="50">ROUND(ROUND(F106*G$7,2)/365*G$8,2)</f>
        <v>-9.34</v>
      </c>
      <c r="H104" s="187">
        <f t="shared" si="50"/>
        <v>-10.8</v>
      </c>
      <c r="I104" s="187">
        <f t="shared" si="50"/>
        <v>-11.23</v>
      </c>
      <c r="J104" s="187">
        <f t="shared" si="50"/>
        <v>-10.94</v>
      </c>
      <c r="K104" s="187">
        <f t="shared" si="50"/>
        <v>-12.16</v>
      </c>
      <c r="L104" s="187">
        <f t="shared" si="50"/>
        <v>-12.24</v>
      </c>
      <c r="M104" s="187">
        <f t="shared" si="50"/>
        <v>-11.93</v>
      </c>
      <c r="N104" s="187">
        <f t="shared" si="50"/>
        <v>-12.92</v>
      </c>
      <c r="O104" s="231">
        <f>'[2]Ammort Split 2023'!N111</f>
        <v>109.21</v>
      </c>
      <c r="P104" s="187">
        <f>ROUND(ROUND(O106*P$7,2)/365*P$8,2)</f>
        <v>0</v>
      </c>
      <c r="Q104" s="187">
        <f t="shared" si="50"/>
        <v>0</v>
      </c>
      <c r="R104" s="100">
        <f>SUM(E104:Q104)</f>
        <v>0</v>
      </c>
      <c r="T104" s="330"/>
      <c r="U104" s="330"/>
      <c r="V104" s="330"/>
      <c r="W104" s="330"/>
      <c r="X104" s="330"/>
      <c r="Y104" s="330"/>
      <c r="Z104" s="330"/>
      <c r="AA104" s="330"/>
    </row>
    <row r="105" spans="1:27" x14ac:dyDescent="0.25">
      <c r="A105" s="313"/>
      <c r="B105" s="295"/>
      <c r="C105" s="364" t="s">
        <v>138</v>
      </c>
      <c r="D105" s="189">
        <v>-7.16</v>
      </c>
      <c r="E105" s="88">
        <f>SUM(E103:E104)</f>
        <v>-9.25</v>
      </c>
      <c r="F105" s="189">
        <f t="shared" ref="F105:Q105" si="51">SUM(F103:F104)</f>
        <v>-8.4</v>
      </c>
      <c r="G105" s="189">
        <f t="shared" si="51"/>
        <v>-9.34</v>
      </c>
      <c r="H105" s="189">
        <f t="shared" si="51"/>
        <v>-10.8</v>
      </c>
      <c r="I105" s="189">
        <f t="shared" si="51"/>
        <v>-11.23</v>
      </c>
      <c r="J105" s="189">
        <f t="shared" si="51"/>
        <v>-10.94</v>
      </c>
      <c r="K105" s="189">
        <f t="shared" si="51"/>
        <v>-12.16</v>
      </c>
      <c r="L105" s="189">
        <f t="shared" si="51"/>
        <v>-12.24</v>
      </c>
      <c r="M105" s="189">
        <f t="shared" si="51"/>
        <v>-11.93</v>
      </c>
      <c r="N105" s="189">
        <f t="shared" si="51"/>
        <v>-12.92</v>
      </c>
      <c r="O105" s="209">
        <f>SUM(O103:O104)</f>
        <v>1834.57</v>
      </c>
      <c r="P105" s="189">
        <f t="shared" si="51"/>
        <v>0</v>
      </c>
      <c r="Q105" s="189">
        <f t="shared" si="51"/>
        <v>0</v>
      </c>
      <c r="R105" s="453">
        <f>SUM(R103:R104)</f>
        <v>0</v>
      </c>
      <c r="T105" s="330"/>
      <c r="U105" s="330"/>
      <c r="V105" s="330"/>
      <c r="W105" s="330"/>
      <c r="X105" s="330"/>
      <c r="Y105" s="330"/>
      <c r="Z105" s="330"/>
      <c r="AA105" s="330"/>
    </row>
    <row r="106" spans="1:27" s="584" customFormat="1" ht="20.25" customHeight="1" x14ac:dyDescent="0.25">
      <c r="A106" s="575"/>
      <c r="B106" s="576"/>
      <c r="C106" s="613" t="s">
        <v>139</v>
      </c>
      <c r="D106" s="614">
        <v>-1725.3600000000001</v>
      </c>
      <c r="E106" s="579">
        <f t="shared" ref="E106:Q106" si="52">D106+E105</f>
        <v>-1734.6100000000001</v>
      </c>
      <c r="F106" s="580">
        <f t="shared" si="52"/>
        <v>-1743.0100000000002</v>
      </c>
      <c r="G106" s="580">
        <f t="shared" si="52"/>
        <v>-1752.3500000000001</v>
      </c>
      <c r="H106" s="580">
        <f t="shared" si="52"/>
        <v>-1763.15</v>
      </c>
      <c r="I106" s="580">
        <f t="shared" si="52"/>
        <v>-1774.38</v>
      </c>
      <c r="J106" s="580">
        <f t="shared" si="52"/>
        <v>-1785.3200000000002</v>
      </c>
      <c r="K106" s="580">
        <f t="shared" si="52"/>
        <v>-1797.4800000000002</v>
      </c>
      <c r="L106" s="580">
        <f t="shared" si="52"/>
        <v>-1809.7200000000003</v>
      </c>
      <c r="M106" s="580">
        <f t="shared" si="52"/>
        <v>-1821.6500000000003</v>
      </c>
      <c r="N106" s="580">
        <f t="shared" si="52"/>
        <v>-1834.5700000000004</v>
      </c>
      <c r="O106" s="581">
        <f t="shared" si="52"/>
        <v>0</v>
      </c>
      <c r="P106" s="580">
        <f t="shared" si="52"/>
        <v>0</v>
      </c>
      <c r="Q106" s="582">
        <f t="shared" si="52"/>
        <v>0</v>
      </c>
      <c r="R106" s="583"/>
      <c r="T106" s="585"/>
      <c r="U106" s="585"/>
      <c r="V106" s="585"/>
      <c r="W106" s="585"/>
      <c r="X106" s="585"/>
      <c r="Y106" s="585"/>
      <c r="Z106" s="585"/>
      <c r="AA106" s="585"/>
    </row>
    <row r="107" spans="1:27" ht="15.75" x14ac:dyDescent="0.25">
      <c r="A107" s="313"/>
      <c r="B107" s="295" t="s">
        <v>64</v>
      </c>
      <c r="C107" s="449" t="s">
        <v>282</v>
      </c>
      <c r="D107" s="250">
        <v>7</v>
      </c>
      <c r="E107" s="250">
        <v>7</v>
      </c>
      <c r="F107" s="250">
        <v>7</v>
      </c>
      <c r="G107" s="250">
        <v>7</v>
      </c>
      <c r="H107" s="250">
        <v>7</v>
      </c>
      <c r="I107" s="250">
        <v>7</v>
      </c>
      <c r="J107" s="250">
        <v>7</v>
      </c>
      <c r="K107" s="250">
        <v>7</v>
      </c>
      <c r="L107" s="250">
        <v>7</v>
      </c>
      <c r="M107" s="250">
        <v>7</v>
      </c>
      <c r="N107" s="250">
        <v>7</v>
      </c>
      <c r="O107" s="479"/>
      <c r="P107" s="250">
        <v>7</v>
      </c>
      <c r="Q107" s="250">
        <v>7</v>
      </c>
      <c r="R107" s="452"/>
      <c r="T107" s="330">
        <v>4811</v>
      </c>
      <c r="U107" s="461">
        <v>570</v>
      </c>
      <c r="V107" s="332">
        <v>236897</v>
      </c>
      <c r="W107" s="333" t="s">
        <v>263</v>
      </c>
      <c r="X107" s="444" t="s">
        <v>90</v>
      </c>
      <c r="Y107" s="444"/>
      <c r="Z107" s="444" t="s">
        <v>214</v>
      </c>
      <c r="AA107" s="330"/>
    </row>
    <row r="108" spans="1:27" ht="15.75" x14ac:dyDescent="0.25">
      <c r="A108" s="313"/>
      <c r="B108" s="295" t="s">
        <v>71</v>
      </c>
      <c r="C108" s="314" t="s">
        <v>187</v>
      </c>
      <c r="D108" s="251">
        <v>10825.51</v>
      </c>
      <c r="E108" s="251">
        <v>11887.69</v>
      </c>
      <c r="F108" s="251">
        <v>11018.94</v>
      </c>
      <c r="G108" s="251">
        <v>10464.82</v>
      </c>
      <c r="H108" s="251">
        <v>10266.65</v>
      </c>
      <c r="I108" s="251">
        <v>9597.16</v>
      </c>
      <c r="J108" s="251">
        <v>8292.4500000000007</v>
      </c>
      <c r="K108" s="251">
        <v>7127.53</v>
      </c>
      <c r="L108" s="251">
        <v>6620.87</v>
      </c>
      <c r="M108" s="251">
        <v>6830.33</v>
      </c>
      <c r="N108" s="251">
        <v>7731.49</v>
      </c>
      <c r="O108" s="480"/>
      <c r="P108" s="251">
        <v>9194.7800000000007</v>
      </c>
      <c r="Q108" s="251">
        <v>9882.67</v>
      </c>
      <c r="R108" s="99"/>
      <c r="T108" s="334" t="s">
        <v>283</v>
      </c>
      <c r="U108" s="335">
        <v>9882.67</v>
      </c>
      <c r="V108" s="336">
        <f>U108/V111</f>
        <v>0.10032963797689387</v>
      </c>
      <c r="W108" s="336">
        <f>U108/V111</f>
        <v>0.10032963797689387</v>
      </c>
      <c r="X108" s="330">
        <v>0.10033</v>
      </c>
      <c r="Y108" s="330"/>
      <c r="Z108" s="492">
        <f>X108-W108</f>
        <v>3.6202310613187016E-7</v>
      </c>
      <c r="AA108" s="330"/>
    </row>
    <row r="109" spans="1:27" ht="15.75" x14ac:dyDescent="0.25">
      <c r="A109" s="313"/>
      <c r="B109" s="295" t="s">
        <v>71</v>
      </c>
      <c r="C109" s="314" t="s">
        <v>188</v>
      </c>
      <c r="D109" s="251">
        <v>4739.09</v>
      </c>
      <c r="E109" s="251">
        <v>5538.86</v>
      </c>
      <c r="F109" s="251">
        <v>4877.6000000000004</v>
      </c>
      <c r="G109" s="251">
        <v>4342.38</v>
      </c>
      <c r="H109" s="251">
        <v>4629.8500000000004</v>
      </c>
      <c r="I109" s="251">
        <v>3642.42</v>
      </c>
      <c r="J109" s="251">
        <v>1301.52</v>
      </c>
      <c r="K109" s="251">
        <v>866.15</v>
      </c>
      <c r="L109" s="251">
        <v>623.99</v>
      </c>
      <c r="M109" s="251">
        <v>518.36</v>
      </c>
      <c r="N109" s="251">
        <v>946.89</v>
      </c>
      <c r="O109" s="480"/>
      <c r="P109" s="251">
        <v>2513.58</v>
      </c>
      <c r="Q109" s="251">
        <v>4503.99</v>
      </c>
      <c r="R109" s="99"/>
      <c r="T109" s="334" t="s">
        <v>233</v>
      </c>
      <c r="U109" s="335">
        <v>4503.99</v>
      </c>
      <c r="V109" s="336">
        <f>U109/V112</f>
        <v>3.3660095061580769E-2</v>
      </c>
      <c r="W109" s="336">
        <f>U109/V112</f>
        <v>3.3660095061580769E-2</v>
      </c>
      <c r="X109" s="330">
        <v>3.3660000000000002E-2</v>
      </c>
      <c r="Y109" s="330"/>
      <c r="Z109" s="492">
        <f>X109-W109</f>
        <v>-9.5061580766830911E-8</v>
      </c>
      <c r="AA109" s="330"/>
    </row>
    <row r="110" spans="1:27" ht="15.75" x14ac:dyDescent="0.25">
      <c r="A110" s="313"/>
      <c r="B110" s="295" t="s">
        <v>72</v>
      </c>
      <c r="C110" s="316" t="s">
        <v>202</v>
      </c>
      <c r="D110" s="276">
        <v>11887.69</v>
      </c>
      <c r="E110" s="276">
        <v>11018.94</v>
      </c>
      <c r="F110" s="276">
        <v>10464.82</v>
      </c>
      <c r="G110" s="276">
        <v>10266.65</v>
      </c>
      <c r="H110" s="276">
        <v>9597.16</v>
      </c>
      <c r="I110" s="276">
        <v>8292.4500000000007</v>
      </c>
      <c r="J110" s="276">
        <v>7127.53</v>
      </c>
      <c r="K110" s="276">
        <v>6620.87</v>
      </c>
      <c r="L110" s="276">
        <v>6830.33</v>
      </c>
      <c r="M110" s="276">
        <v>7731.49</v>
      </c>
      <c r="N110" s="276">
        <v>9194.7800000000007</v>
      </c>
      <c r="O110" s="480"/>
      <c r="P110" s="276">
        <v>9882.67</v>
      </c>
      <c r="Q110" s="276">
        <v>10289.36</v>
      </c>
      <c r="R110" s="99"/>
      <c r="T110" s="334" t="s">
        <v>239</v>
      </c>
      <c r="U110" s="335">
        <v>142237.71</v>
      </c>
      <c r="V110" s="336">
        <f>U110/V107</f>
        <v>0.60042005597369319</v>
      </c>
      <c r="W110" s="336">
        <f>U110/V107</f>
        <v>0.60042005597369319</v>
      </c>
      <c r="X110" s="338">
        <v>0.60041999999999995</v>
      </c>
      <c r="Y110" s="330"/>
      <c r="Z110" s="492">
        <f>X110-W110</f>
        <v>-5.5973693235955579E-8</v>
      </c>
      <c r="AA110" s="330"/>
    </row>
    <row r="111" spans="1:27" x14ac:dyDescent="0.25">
      <c r="A111" s="313"/>
      <c r="B111" s="376" t="s">
        <v>72</v>
      </c>
      <c r="C111" s="316" t="s">
        <v>203</v>
      </c>
      <c r="D111" s="593">
        <v>5538.86</v>
      </c>
      <c r="E111" s="276">
        <v>4877.6000000000004</v>
      </c>
      <c r="F111" s="276">
        <v>4342.38</v>
      </c>
      <c r="G111" s="276">
        <v>4629.8500000000004</v>
      </c>
      <c r="H111" s="276">
        <v>3642.42</v>
      </c>
      <c r="I111" s="276">
        <v>1301.52</v>
      </c>
      <c r="J111" s="276">
        <v>866.15</v>
      </c>
      <c r="K111" s="276">
        <v>623.99</v>
      </c>
      <c r="L111" s="276">
        <v>518.36</v>
      </c>
      <c r="M111" s="276">
        <v>946.89</v>
      </c>
      <c r="N111" s="276">
        <v>2513.58</v>
      </c>
      <c r="O111" s="480"/>
      <c r="P111" s="276">
        <v>4503.99</v>
      </c>
      <c r="Q111" s="276">
        <v>4784.4399999999996</v>
      </c>
      <c r="R111" s="99"/>
      <c r="T111" s="330"/>
      <c r="U111" s="330"/>
      <c r="V111" s="337">
        <f>ROUND(U108/X108,0)</f>
        <v>98502</v>
      </c>
      <c r="W111" s="330"/>
      <c r="X111" s="330"/>
      <c r="Y111" s="330"/>
      <c r="Z111" s="336"/>
      <c r="AA111" s="330"/>
    </row>
    <row r="112" spans="1:27" ht="15.75" x14ac:dyDescent="0.25">
      <c r="A112" s="313"/>
      <c r="B112" s="295" t="s">
        <v>72</v>
      </c>
      <c r="C112" s="314" t="s">
        <v>189</v>
      </c>
      <c r="D112" s="187">
        <v>-10825.51</v>
      </c>
      <c r="E112" s="108">
        <f>-D110</f>
        <v>-11887.69</v>
      </c>
      <c r="F112" s="187">
        <f>-E110</f>
        <v>-11018.94</v>
      </c>
      <c r="G112" s="187">
        <f t="shared" ref="E112:N113" si="53">-F110</f>
        <v>-10464.82</v>
      </c>
      <c r="H112" s="187">
        <f t="shared" si="53"/>
        <v>-10266.65</v>
      </c>
      <c r="I112" s="187">
        <f t="shared" si="53"/>
        <v>-9597.16</v>
      </c>
      <c r="J112" s="187">
        <f>-I110</f>
        <v>-8292.4500000000007</v>
      </c>
      <c r="K112" s="187">
        <f t="shared" si="53"/>
        <v>-7127.53</v>
      </c>
      <c r="L112" s="187">
        <f t="shared" si="53"/>
        <v>-6620.87</v>
      </c>
      <c r="M112" s="187">
        <f>-L110</f>
        <v>-6830.33</v>
      </c>
      <c r="N112" s="187">
        <f t="shared" si="53"/>
        <v>-7731.49</v>
      </c>
      <c r="O112" s="208"/>
      <c r="P112" s="187">
        <f t="shared" ref="P112" si="54">-N110</f>
        <v>-9194.7800000000007</v>
      </c>
      <c r="Q112" s="187">
        <f>-P110</f>
        <v>-9882.67</v>
      </c>
      <c r="R112" s="99"/>
      <c r="T112" s="330"/>
      <c r="U112" s="460"/>
      <c r="V112" s="337">
        <f>ROUND(U109/X109,0)</f>
        <v>133808</v>
      </c>
      <c r="W112" s="330"/>
      <c r="X112" s="330"/>
      <c r="Y112" s="330"/>
      <c r="Z112" s="330"/>
      <c r="AA112" s="330"/>
    </row>
    <row r="113" spans="1:27" x14ac:dyDescent="0.25">
      <c r="A113" s="313"/>
      <c r="B113" s="295" t="s">
        <v>72</v>
      </c>
      <c r="C113" s="314" t="s">
        <v>190</v>
      </c>
      <c r="D113" s="189">
        <v>-4739.09</v>
      </c>
      <c r="E113" s="88">
        <f t="shared" si="53"/>
        <v>-5538.86</v>
      </c>
      <c r="F113" s="189">
        <f t="shared" si="53"/>
        <v>-4877.6000000000004</v>
      </c>
      <c r="G113" s="189">
        <f t="shared" si="53"/>
        <v>-4342.38</v>
      </c>
      <c r="H113" s="189">
        <f t="shared" si="53"/>
        <v>-4629.8500000000004</v>
      </c>
      <c r="I113" s="189">
        <f t="shared" si="53"/>
        <v>-3642.42</v>
      </c>
      <c r="J113" s="189">
        <f t="shared" si="53"/>
        <v>-1301.52</v>
      </c>
      <c r="K113" s="189">
        <f t="shared" si="53"/>
        <v>-866.15</v>
      </c>
      <c r="L113" s="189">
        <f t="shared" si="53"/>
        <v>-623.99</v>
      </c>
      <c r="M113" s="189">
        <f>-L111</f>
        <v>-518.36</v>
      </c>
      <c r="N113" s="189">
        <f t="shared" si="53"/>
        <v>-946.89</v>
      </c>
      <c r="O113" s="209"/>
      <c r="P113" s="189">
        <f>-N111</f>
        <v>-2513.58</v>
      </c>
      <c r="Q113" s="189">
        <f>-P111</f>
        <v>-4503.99</v>
      </c>
      <c r="R113" s="99"/>
      <c r="T113" s="330"/>
      <c r="U113" s="330"/>
      <c r="V113" s="330"/>
      <c r="W113" s="330"/>
      <c r="X113" s="330"/>
      <c r="Y113" s="330"/>
      <c r="Z113" s="330"/>
      <c r="AA113" s="330"/>
    </row>
    <row r="114" spans="1:27" x14ac:dyDescent="0.25">
      <c r="A114" s="313"/>
      <c r="B114" s="295"/>
      <c r="C114" s="311" t="s">
        <v>74</v>
      </c>
      <c r="D114" s="187">
        <v>17426.55</v>
      </c>
      <c r="E114" s="108">
        <f t="shared" ref="E114:G114" si="55">SUM(E108:E113)</f>
        <v>15896.539999999994</v>
      </c>
      <c r="F114" s="187">
        <f t="shared" si="55"/>
        <v>14807.200000000003</v>
      </c>
      <c r="G114" s="187">
        <f t="shared" si="55"/>
        <v>14896.499999999996</v>
      </c>
      <c r="H114" s="187">
        <f>SUM(H108:H113)</f>
        <v>13239.58</v>
      </c>
      <c r="I114" s="187">
        <f t="shared" ref="I114:Q114" si="56">SUM(I108:I113)</f>
        <v>9593.9699999999993</v>
      </c>
      <c r="J114" s="187">
        <f t="shared" si="56"/>
        <v>7993.68</v>
      </c>
      <c r="K114" s="187">
        <f t="shared" si="56"/>
        <v>7244.86</v>
      </c>
      <c r="L114" s="187">
        <f t="shared" si="56"/>
        <v>7348.69</v>
      </c>
      <c r="M114" s="187">
        <f t="shared" si="56"/>
        <v>8678.3799999999992</v>
      </c>
      <c r="N114" s="187">
        <f t="shared" si="56"/>
        <v>11708.359999999999</v>
      </c>
      <c r="O114" s="208"/>
      <c r="P114" s="187">
        <f t="shared" si="56"/>
        <v>14386.659999999998</v>
      </c>
      <c r="Q114" s="187">
        <f t="shared" si="56"/>
        <v>15073.800000000001</v>
      </c>
      <c r="R114" s="362"/>
      <c r="T114" s="330"/>
      <c r="U114" s="330"/>
      <c r="V114" s="330"/>
      <c r="W114" s="330"/>
      <c r="X114" s="330"/>
      <c r="Y114" s="330"/>
      <c r="Z114" s="330"/>
      <c r="AA114" s="330"/>
    </row>
    <row r="115" spans="1:27" ht="15.75" x14ac:dyDescent="0.25">
      <c r="A115" s="313"/>
      <c r="B115" s="295"/>
      <c r="C115" s="487" t="s">
        <v>73</v>
      </c>
      <c r="D115" s="571">
        <v>-15605.1</v>
      </c>
      <c r="E115" s="572">
        <f>ROUND(-'[2]Authorized Margins 2022'!D15*'WA CAP 2023'!E107,2)</f>
        <v>-15742.86</v>
      </c>
      <c r="F115" s="572">
        <f>ROUND(-'[2]Authorized Margins 2022'!E15*'WA CAP 2023'!F107,2)</f>
        <v>-15878.45</v>
      </c>
      <c r="G115" s="572">
        <f>ROUND(-'Authorized Margins 2023'!G15*'WA CAP 2023'!G107,2)</f>
        <v>-13917.54</v>
      </c>
      <c r="H115" s="572">
        <f>ROUND(-'Authorized Margins 2023'!H15*'WA CAP 2023'!H107,2)</f>
        <v>-13934.13</v>
      </c>
      <c r="I115" s="572">
        <f>ROUND(-'Authorized Margins 2023'!I15*'WA CAP 2023'!I107,2)</f>
        <v>-11518.64</v>
      </c>
      <c r="J115" s="572">
        <f>ROUND(-'Authorized Margins 2023'!J15*'WA CAP 2023'!J107,2)</f>
        <v>-8916.32</v>
      </c>
      <c r="K115" s="572">
        <f>ROUND(-'Authorized Margins 2023'!K15*'WA CAP 2023'!K107,2)</f>
        <v>-7598.22</v>
      </c>
      <c r="L115" s="572">
        <f>ROUND(-'Authorized Margins 2023'!L15*'WA CAP 2023'!L107,2)</f>
        <v>-7389.41</v>
      </c>
      <c r="M115" s="572">
        <f>ROUND(-'Authorized Margins 2023'!M15*'WA CAP 2023'!M107,2)</f>
        <v>-6980.75</v>
      </c>
      <c r="N115" s="572">
        <f>ROUND(-'Authorized Margins 2023'!N15*'WA CAP 2023'!N107,2)</f>
        <v>-6568.03</v>
      </c>
      <c r="O115" s="208"/>
      <c r="P115" s="572">
        <f>ROUND(-'Authorized Margins 2023'!P15*'WA CAP 2023'!P107,2)</f>
        <v>-12422.2</v>
      </c>
      <c r="Q115" s="573">
        <f>ROUND(-'Authorized Margins 2023'!Q15*'WA CAP 2023'!Q107,2)</f>
        <v>-15303.26</v>
      </c>
      <c r="R115" s="362"/>
      <c r="T115" s="330"/>
      <c r="U115" s="330"/>
      <c r="V115" s="330"/>
      <c r="W115" s="330"/>
      <c r="X115" s="330"/>
      <c r="Y115" s="330"/>
      <c r="Z115" s="330"/>
      <c r="AA115" s="330"/>
    </row>
    <row r="116" spans="1:27" x14ac:dyDescent="0.25">
      <c r="A116" s="313"/>
      <c r="B116" s="295"/>
      <c r="C116" s="364" t="s">
        <v>75</v>
      </c>
      <c r="D116" s="187">
        <v>1821.4499999999989</v>
      </c>
      <c r="E116" s="108">
        <f t="shared" ref="E116:Q116" si="57">SUM(E114:E115)</f>
        <v>153.67999999999302</v>
      </c>
      <c r="F116" s="187">
        <f t="shared" si="57"/>
        <v>-1071.2499999999982</v>
      </c>
      <c r="G116" s="187">
        <f t="shared" si="57"/>
        <v>978.95999999999549</v>
      </c>
      <c r="H116" s="187">
        <f t="shared" si="57"/>
        <v>-694.54999999999927</v>
      </c>
      <c r="I116" s="187">
        <f t="shared" si="57"/>
        <v>-1924.67</v>
      </c>
      <c r="J116" s="187">
        <f t="shared" si="57"/>
        <v>-922.63999999999942</v>
      </c>
      <c r="K116" s="187">
        <f t="shared" si="57"/>
        <v>-353.36000000000058</v>
      </c>
      <c r="L116" s="187">
        <f t="shared" si="57"/>
        <v>-40.720000000000255</v>
      </c>
      <c r="M116" s="187">
        <f t="shared" si="57"/>
        <v>1697.6299999999992</v>
      </c>
      <c r="N116" s="187">
        <f t="shared" si="57"/>
        <v>5140.329999999999</v>
      </c>
      <c r="O116" s="302">
        <f>-'[2]WA CAP 2022'!Q135</f>
        <v>-7686.6799999999912</v>
      </c>
      <c r="P116" s="187">
        <f t="shared" si="57"/>
        <v>1964.4599999999973</v>
      </c>
      <c r="Q116" s="187">
        <f t="shared" si="57"/>
        <v>-229.45999999999913</v>
      </c>
      <c r="R116" s="99">
        <f>SUM(E116:Q116)-O116</f>
        <v>4698.4099999999871</v>
      </c>
      <c r="T116" s="330"/>
      <c r="U116" s="330"/>
      <c r="V116" s="330"/>
      <c r="W116" s="330"/>
      <c r="X116" s="330"/>
      <c r="Y116" s="330"/>
      <c r="Z116" s="330"/>
      <c r="AA116" s="330"/>
    </row>
    <row r="117" spans="1:27" ht="15.75" x14ac:dyDescent="0.25">
      <c r="A117" s="313"/>
      <c r="B117" s="295"/>
      <c r="C117" s="574" t="s">
        <v>137</v>
      </c>
      <c r="D117" s="187">
        <v>24.36</v>
      </c>
      <c r="E117" s="108">
        <f>ROUND(ROUND(D119*E$7,2)/365*E$8,2)</f>
        <v>41.19</v>
      </c>
      <c r="F117" s="187">
        <f>ROUND(ROUND(E119*F$7,2)/365*F$8,2)</f>
        <v>38.15</v>
      </c>
      <c r="G117" s="187">
        <f t="shared" ref="G117:Q117" si="58">ROUND(ROUND(F119*G$7,2)/365*G$8,2)</f>
        <v>36.700000000000003</v>
      </c>
      <c r="H117" s="187">
        <f t="shared" si="58"/>
        <v>48.48</v>
      </c>
      <c r="I117" s="187">
        <f t="shared" si="58"/>
        <v>45.98</v>
      </c>
      <c r="J117" s="187">
        <f t="shared" si="58"/>
        <v>32.909999999999997</v>
      </c>
      <c r="K117" s="187">
        <f t="shared" si="58"/>
        <v>30.31</v>
      </c>
      <c r="L117" s="187">
        <f t="shared" si="58"/>
        <v>28.11</v>
      </c>
      <c r="M117" s="187">
        <f t="shared" si="58"/>
        <v>27.12</v>
      </c>
      <c r="N117" s="187">
        <f t="shared" si="58"/>
        <v>41.41</v>
      </c>
      <c r="O117" s="231">
        <f>'[2]Ammort Split 2023'!N126</f>
        <v>-486.54</v>
      </c>
      <c r="P117" s="187">
        <f>ROUND(ROUND(O119*P$7,2)/365*P$8,2)</f>
        <v>19.54</v>
      </c>
      <c r="Q117" s="187">
        <f t="shared" si="58"/>
        <v>34.26</v>
      </c>
      <c r="R117" s="100">
        <f>SUM(E117:Q117)</f>
        <v>-62.380000000000017</v>
      </c>
      <c r="T117" s="330"/>
      <c r="U117" s="330"/>
      <c r="V117" s="330"/>
      <c r="W117" s="330"/>
      <c r="X117" s="330"/>
      <c r="Y117" s="330"/>
      <c r="Z117" s="330"/>
      <c r="AA117" s="330"/>
    </row>
    <row r="118" spans="1:27" x14ac:dyDescent="0.25">
      <c r="A118" s="313"/>
      <c r="B118" s="295"/>
      <c r="C118" s="364" t="s">
        <v>138</v>
      </c>
      <c r="D118" s="189">
        <v>1845.8099999999988</v>
      </c>
      <c r="E118" s="88">
        <f>SUM(E116:E117)</f>
        <v>194.86999999999301</v>
      </c>
      <c r="F118" s="189">
        <f t="shared" ref="F118:Q118" si="59">SUM(F116:F117)</f>
        <v>-1033.0999999999981</v>
      </c>
      <c r="G118" s="189">
        <f t="shared" si="59"/>
        <v>1015.6599999999955</v>
      </c>
      <c r="H118" s="189">
        <f t="shared" si="59"/>
        <v>-646.06999999999925</v>
      </c>
      <c r="I118" s="189">
        <f t="shared" si="59"/>
        <v>-1878.69</v>
      </c>
      <c r="J118" s="189">
        <f t="shared" si="59"/>
        <v>-889.72999999999945</v>
      </c>
      <c r="K118" s="189">
        <f t="shared" si="59"/>
        <v>-323.05000000000058</v>
      </c>
      <c r="L118" s="189">
        <f t="shared" si="59"/>
        <v>-12.610000000000255</v>
      </c>
      <c r="M118" s="189">
        <f t="shared" si="59"/>
        <v>1724.7499999999991</v>
      </c>
      <c r="N118" s="189">
        <f t="shared" si="59"/>
        <v>5181.7399999999989</v>
      </c>
      <c r="O118" s="209">
        <f>SUM(O116:O117)</f>
        <v>-8173.2199999999912</v>
      </c>
      <c r="P118" s="189">
        <f t="shared" si="59"/>
        <v>1983.9999999999973</v>
      </c>
      <c r="Q118" s="189">
        <f t="shared" si="59"/>
        <v>-195.19999999999914</v>
      </c>
      <c r="R118" s="453">
        <f>SUM(R116:R117)</f>
        <v>4636.029999999987</v>
      </c>
      <c r="T118" s="330"/>
      <c r="U118" s="330"/>
      <c r="V118" s="330"/>
      <c r="W118" s="330"/>
      <c r="X118" s="330"/>
      <c r="Y118" s="330"/>
      <c r="Z118" s="330"/>
      <c r="AA118" s="330"/>
    </row>
    <row r="119" spans="1:27" ht="15.75" x14ac:dyDescent="0.25">
      <c r="A119" s="313"/>
      <c r="B119" s="295"/>
      <c r="C119" s="615" t="s">
        <v>139</v>
      </c>
      <c r="D119" s="375">
        <v>7686.6799999999921</v>
      </c>
      <c r="E119" s="616">
        <f t="shared" ref="E119:Q119" si="60">D119+E118</f>
        <v>7881.5499999999847</v>
      </c>
      <c r="F119" s="375">
        <f t="shared" si="60"/>
        <v>6848.4499999999862</v>
      </c>
      <c r="G119" s="375">
        <f t="shared" si="60"/>
        <v>7864.1099999999815</v>
      </c>
      <c r="H119" s="375">
        <f t="shared" si="60"/>
        <v>7218.0399999999827</v>
      </c>
      <c r="I119" s="375">
        <f t="shared" si="60"/>
        <v>5339.3499999999822</v>
      </c>
      <c r="J119" s="375">
        <f t="shared" si="60"/>
        <v>4449.6199999999826</v>
      </c>
      <c r="K119" s="375">
        <f t="shared" si="60"/>
        <v>4126.5699999999824</v>
      </c>
      <c r="L119" s="375">
        <f t="shared" si="60"/>
        <v>4113.9599999999818</v>
      </c>
      <c r="M119" s="375">
        <f t="shared" si="60"/>
        <v>5838.7099999999809</v>
      </c>
      <c r="N119" s="375">
        <f t="shared" si="60"/>
        <v>11020.449999999979</v>
      </c>
      <c r="O119" s="386">
        <f>N119+O118</f>
        <v>2847.2299999999877</v>
      </c>
      <c r="P119" s="375">
        <f t="shared" si="60"/>
        <v>4831.229999999985</v>
      </c>
      <c r="Q119" s="617">
        <f t="shared" si="60"/>
        <v>4636.0299999999861</v>
      </c>
      <c r="R119" s="458"/>
      <c r="T119" s="330"/>
      <c r="U119" s="330"/>
      <c r="V119" s="330"/>
      <c r="W119" s="330"/>
      <c r="X119" s="330"/>
      <c r="Y119" s="330"/>
      <c r="Z119" s="330"/>
      <c r="AA119" s="330"/>
    </row>
    <row r="120" spans="1:27" ht="15.75" thickBot="1" x14ac:dyDescent="0.3">
      <c r="A120" s="313"/>
      <c r="B120" s="271"/>
      <c r="D120" s="618"/>
      <c r="E120" s="113"/>
      <c r="F120" s="192"/>
      <c r="G120" s="187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  <c r="R120" s="459"/>
      <c r="S120" s="358"/>
      <c r="T120" s="334"/>
      <c r="U120" s="337"/>
      <c r="V120" s="337"/>
      <c r="W120" s="330"/>
      <c r="X120" s="330"/>
      <c r="Y120" s="330"/>
      <c r="Z120" s="330"/>
      <c r="AA120" s="330"/>
    </row>
    <row r="121" spans="1:27" ht="15.75" x14ac:dyDescent="0.25">
      <c r="B121" s="240"/>
      <c r="C121" s="619"/>
      <c r="D121" s="620">
        <f t="shared" ref="D121:N121" si="61">+D6</f>
        <v>44926</v>
      </c>
      <c r="E121" s="621">
        <f t="shared" si="61"/>
        <v>44957</v>
      </c>
      <c r="F121" s="620">
        <f t="shared" si="61"/>
        <v>44985</v>
      </c>
      <c r="G121" s="620">
        <f t="shared" si="61"/>
        <v>45016</v>
      </c>
      <c r="H121" s="620">
        <f t="shared" si="61"/>
        <v>45046</v>
      </c>
      <c r="I121" s="620">
        <f t="shared" si="61"/>
        <v>45077</v>
      </c>
      <c r="J121" s="620">
        <f t="shared" si="61"/>
        <v>45107</v>
      </c>
      <c r="K121" s="620">
        <f t="shared" si="61"/>
        <v>45138</v>
      </c>
      <c r="L121" s="620">
        <f t="shared" si="61"/>
        <v>45169</v>
      </c>
      <c r="M121" s="620">
        <f t="shared" si="61"/>
        <v>45199</v>
      </c>
      <c r="N121" s="620">
        <f t="shared" si="61"/>
        <v>45230</v>
      </c>
      <c r="O121" s="622" t="s">
        <v>234</v>
      </c>
      <c r="P121" s="620">
        <f>+P6</f>
        <v>45260</v>
      </c>
      <c r="Q121" s="620">
        <f>+Q6</f>
        <v>45291</v>
      </c>
      <c r="R121" s="623"/>
      <c r="S121" s="358"/>
      <c r="T121" s="330"/>
      <c r="U121" s="330"/>
      <c r="V121" s="330"/>
      <c r="W121" s="330"/>
      <c r="X121" s="330"/>
      <c r="Y121" s="330"/>
      <c r="Z121" s="330"/>
      <c r="AA121" s="330"/>
    </row>
    <row r="122" spans="1:27" x14ac:dyDescent="0.25">
      <c r="C122" s="364" t="s">
        <v>89</v>
      </c>
      <c r="D122" s="187">
        <f t="shared" ref="D122:K123" si="62">+D17+D47+D76+D27+D103+D37+D90+D116+D62</f>
        <v>2727270.67</v>
      </c>
      <c r="E122" s="108">
        <f t="shared" si="62"/>
        <v>195164.90999999971</v>
      </c>
      <c r="F122" s="187">
        <f t="shared" si="62"/>
        <v>548577.96000000008</v>
      </c>
      <c r="G122" s="187">
        <f t="shared" si="62"/>
        <v>1118994.46</v>
      </c>
      <c r="H122" s="187">
        <f t="shared" si="62"/>
        <v>426332.23000000039</v>
      </c>
      <c r="I122" s="187">
        <f t="shared" si="62"/>
        <v>-553733.89999999979</v>
      </c>
      <c r="J122" s="187">
        <f t="shared" si="62"/>
        <v>-17258.38000000047</v>
      </c>
      <c r="K122" s="187">
        <f t="shared" si="62"/>
        <v>-878974.41000000015</v>
      </c>
      <c r="L122" s="187">
        <f>ROUND(L17+L47+L76+L27+L103+L37+L90+L116+L62,2)</f>
        <v>-346997.02</v>
      </c>
      <c r="M122" s="187">
        <f t="shared" ref="M122:Q123" si="63">+M17+M47+M76+M27+M103+M37+M90+M116+M62</f>
        <v>-22741.340000000251</v>
      </c>
      <c r="N122" s="187">
        <f t="shared" si="63"/>
        <v>-334693.04999999987</v>
      </c>
      <c r="O122" s="208">
        <f t="shared" si="63"/>
        <v>-3479179.7600000002</v>
      </c>
      <c r="P122" s="187">
        <f t="shared" si="63"/>
        <v>-29255.140000000181</v>
      </c>
      <c r="Q122" s="187">
        <f t="shared" si="63"/>
        <v>-1829040.0600000012</v>
      </c>
      <c r="R122" s="624">
        <f>+R17+R76+R62+R27+R103+R37+R90+R116+R47</f>
        <v>-1723623.7400000023</v>
      </c>
      <c r="T122" s="337"/>
      <c r="U122" s="330"/>
      <c r="V122" s="330"/>
      <c r="W122" s="330"/>
      <c r="X122" s="330"/>
      <c r="Y122" s="330"/>
      <c r="Z122" s="330"/>
      <c r="AA122" s="330"/>
    </row>
    <row r="123" spans="1:27" x14ac:dyDescent="0.25">
      <c r="C123" s="364" t="s">
        <v>170</v>
      </c>
      <c r="D123" s="216">
        <f>+D18+D48+D77+D28+D104+D38+D91+D117+D63</f>
        <v>3122.56</v>
      </c>
      <c r="E123" s="216">
        <f t="shared" si="62"/>
        <v>18645.54</v>
      </c>
      <c r="F123" s="199">
        <f>+F18+F48+F77+F28+F104+F38+F91+F117+F63-0.01</f>
        <v>17876.099999999999</v>
      </c>
      <c r="G123" s="216">
        <f t="shared" si="62"/>
        <v>22827.119999999999</v>
      </c>
      <c r="H123" s="199">
        <f>+H18+H48+H77+H28+H104+H38+H91+H117+H63-0.01</f>
        <v>33295.469999999994</v>
      </c>
      <c r="I123" s="216">
        <f t="shared" si="62"/>
        <v>37333.089999999997</v>
      </c>
      <c r="J123" s="199">
        <f>+J18+J48+J77+J28+J104+J38+J91+J117+J63+0.01</f>
        <v>32945.5</v>
      </c>
      <c r="K123" s="216">
        <f t="shared" si="62"/>
        <v>36510.899999999994</v>
      </c>
      <c r="L123" s="199">
        <f>ROUND(L18+L48+L77+L28+L104+L38+L91+L117+L63,2)+0.01</f>
        <v>30772.46</v>
      </c>
      <c r="M123" s="199">
        <f>+M18+M48+M77+M28+M104+M38+M91+M117+M63-0.01</f>
        <v>27695.31</v>
      </c>
      <c r="N123" s="216">
        <f t="shared" si="63"/>
        <v>29831.189999999995</v>
      </c>
      <c r="O123" s="208">
        <f t="shared" si="63"/>
        <v>-220215.94000000003</v>
      </c>
      <c r="P123" s="199">
        <f>+P18+P48+P77+P28+P104+P38+P91+P117+P63+0.01</f>
        <v>1387.6199999999997</v>
      </c>
      <c r="Q123" s="625">
        <f t="shared" si="63"/>
        <v>1236.2399999999998</v>
      </c>
      <c r="R123" s="626">
        <f>+R18+R77+R63+R28+R104+R38+R91+R117+R48</f>
        <v>70140.599999999948</v>
      </c>
      <c r="T123" s="337"/>
      <c r="U123" s="330"/>
      <c r="V123" s="330"/>
      <c r="W123" s="330"/>
      <c r="X123" s="330"/>
      <c r="Y123" s="330"/>
      <c r="Z123" s="330"/>
      <c r="AA123" s="330"/>
    </row>
    <row r="124" spans="1:27" x14ac:dyDescent="0.25">
      <c r="C124" s="627" t="s">
        <v>139</v>
      </c>
      <c r="D124" s="189">
        <f>SUM(D122:D123)+'[2]WA CAP 2022'!O156</f>
        <v>3479179.7599999979</v>
      </c>
      <c r="E124" s="88">
        <f>SUM(E122:E123)+D124</f>
        <v>3692990.2099999976</v>
      </c>
      <c r="F124" s="189">
        <f>SUM(F122:F123)+E124</f>
        <v>4259444.2699999977</v>
      </c>
      <c r="G124" s="189">
        <f t="shared" ref="G124:Q124" si="64">SUM(G122:G123)+F124</f>
        <v>5401265.8499999978</v>
      </c>
      <c r="H124" s="189">
        <f t="shared" si="64"/>
        <v>5860893.549999998</v>
      </c>
      <c r="I124" s="189">
        <f t="shared" si="64"/>
        <v>5344492.7399999984</v>
      </c>
      <c r="J124" s="189">
        <f t="shared" si="64"/>
        <v>5360179.8599999975</v>
      </c>
      <c r="K124" s="189">
        <f>SUM(K122:K123)+J124</f>
        <v>4517716.3499999978</v>
      </c>
      <c r="L124" s="189">
        <f t="shared" si="64"/>
        <v>4201491.7899999982</v>
      </c>
      <c r="M124" s="189">
        <f t="shared" si="64"/>
        <v>4206445.7599999979</v>
      </c>
      <c r="N124" s="189">
        <f t="shared" si="64"/>
        <v>3901583.899999998</v>
      </c>
      <c r="O124" s="209">
        <f>SUM(O122:O123)+N124</f>
        <v>202188.19999999786</v>
      </c>
      <c r="P124" s="189">
        <f t="shared" si="64"/>
        <v>174320.67999999766</v>
      </c>
      <c r="Q124" s="595">
        <f t="shared" si="64"/>
        <v>-1653483.1400000036</v>
      </c>
      <c r="R124" s="100">
        <f>SUM(R122:R123)</f>
        <v>-1653483.1400000025</v>
      </c>
      <c r="T124" s="337"/>
      <c r="U124" s="330"/>
      <c r="V124" s="330"/>
      <c r="W124" s="330"/>
      <c r="X124" s="330"/>
      <c r="Y124" s="330"/>
      <c r="Z124" s="330"/>
      <c r="AA124" s="330"/>
    </row>
    <row r="125" spans="1:27" ht="13.5" customHeight="1" x14ac:dyDescent="0.25">
      <c r="C125" s="628"/>
      <c r="D125" s="628"/>
      <c r="E125" s="616"/>
      <c r="F125" s="629"/>
      <c r="G125" s="629"/>
      <c r="H125" s="629"/>
      <c r="I125" s="629"/>
      <c r="J125" s="629"/>
      <c r="K125" s="629"/>
      <c r="L125" s="629"/>
      <c r="M125" s="629"/>
      <c r="N125" s="629"/>
      <c r="O125" s="629"/>
      <c r="P125" s="629"/>
      <c r="Q125" s="629"/>
      <c r="T125" s="330"/>
      <c r="U125" s="330"/>
      <c r="V125" s="330"/>
      <c r="W125" s="330"/>
      <c r="X125" s="330"/>
      <c r="Y125" s="330"/>
      <c r="Z125" s="330"/>
      <c r="AA125" s="330"/>
    </row>
    <row r="126" spans="1:27" ht="15.75" x14ac:dyDescent="0.25">
      <c r="A126" s="313"/>
      <c r="B126" s="305"/>
      <c r="C126" s="630" t="s">
        <v>167</v>
      </c>
      <c r="D126" s="631" t="s">
        <v>173</v>
      </c>
      <c r="E126" s="632" t="s">
        <v>155</v>
      </c>
      <c r="F126" s="477" t="s">
        <v>156</v>
      </c>
      <c r="G126" s="477" t="s">
        <v>157</v>
      </c>
      <c r="H126" s="477" t="s">
        <v>158</v>
      </c>
      <c r="I126" s="477" t="s">
        <v>23</v>
      </c>
      <c r="J126" s="477" t="s">
        <v>159</v>
      </c>
      <c r="K126" s="477" t="s">
        <v>160</v>
      </c>
      <c r="L126" s="477" t="s">
        <v>161</v>
      </c>
      <c r="M126" s="477" t="s">
        <v>162</v>
      </c>
      <c r="N126" s="477" t="s">
        <v>168</v>
      </c>
      <c r="O126" s="633" t="s">
        <v>234</v>
      </c>
      <c r="P126" s="477" t="s">
        <v>171</v>
      </c>
      <c r="Q126" s="477" t="s">
        <v>173</v>
      </c>
      <c r="R126" s="358"/>
      <c r="T126" s="330"/>
      <c r="U126" s="330"/>
      <c r="V126" s="330"/>
      <c r="W126" s="330"/>
      <c r="X126" s="330"/>
      <c r="Y126" s="330"/>
      <c r="Z126" s="330"/>
      <c r="AA126" s="330"/>
    </row>
    <row r="127" spans="1:27" ht="15.75" x14ac:dyDescent="0.25">
      <c r="A127" s="313"/>
      <c r="B127" s="258" t="s">
        <v>127</v>
      </c>
      <c r="C127" s="634" t="s">
        <v>284</v>
      </c>
      <c r="D127" s="635">
        <v>-2727270.67</v>
      </c>
      <c r="E127" s="454">
        <f t="shared" ref="E127:Q127" si="65">-E122</f>
        <v>-195164.90999999971</v>
      </c>
      <c r="F127" s="466">
        <f t="shared" si="65"/>
        <v>-548577.96000000008</v>
      </c>
      <c r="G127" s="325">
        <f t="shared" si="65"/>
        <v>-1118994.46</v>
      </c>
      <c r="H127" s="260">
        <f t="shared" si="65"/>
        <v>-426332.23000000039</v>
      </c>
      <c r="I127" s="454">
        <f t="shared" si="65"/>
        <v>553733.89999999979</v>
      </c>
      <c r="J127" s="325">
        <f t="shared" si="65"/>
        <v>17258.38000000047</v>
      </c>
      <c r="K127" s="260">
        <f t="shared" si="65"/>
        <v>878974.41000000015</v>
      </c>
      <c r="L127" s="260">
        <f t="shared" si="65"/>
        <v>346997.02</v>
      </c>
      <c r="M127" s="260">
        <f t="shared" si="65"/>
        <v>22741.340000000251</v>
      </c>
      <c r="N127" s="260">
        <f t="shared" si="65"/>
        <v>334693.04999999987</v>
      </c>
      <c r="O127" s="213">
        <f t="shared" si="65"/>
        <v>3479179.7600000002</v>
      </c>
      <c r="P127" s="260">
        <f t="shared" si="65"/>
        <v>29255.140000000181</v>
      </c>
      <c r="Q127" s="454">
        <f t="shared" si="65"/>
        <v>1829040.0600000012</v>
      </c>
      <c r="S127" s="108">
        <f t="shared" ref="S127:S132" si="66">SUM(E127:M127)</f>
        <v>-469364.50999999937</v>
      </c>
      <c r="T127" s="330"/>
      <c r="U127" s="330"/>
      <c r="V127" s="330"/>
      <c r="W127" s="330"/>
      <c r="X127" s="330"/>
      <c r="Y127" s="330"/>
      <c r="Z127" s="330"/>
      <c r="AA127" s="330"/>
    </row>
    <row r="128" spans="1:27" ht="15.75" x14ac:dyDescent="0.25">
      <c r="A128" s="313"/>
      <c r="B128" s="323" t="s">
        <v>128</v>
      </c>
      <c r="C128" s="636" t="s">
        <v>285</v>
      </c>
      <c r="D128" s="637">
        <v>1349088.42</v>
      </c>
      <c r="E128" s="260">
        <f t="shared" ref="E128:N128" si="67">E17</f>
        <v>-173245.53000000026</v>
      </c>
      <c r="F128" s="325">
        <f t="shared" si="67"/>
        <v>273604.08999999985</v>
      </c>
      <c r="G128" s="325">
        <f t="shared" si="67"/>
        <v>596200.3200000003</v>
      </c>
      <c r="H128" s="260">
        <f t="shared" si="67"/>
        <v>164728.19000000041</v>
      </c>
      <c r="I128" s="260">
        <f t="shared" si="67"/>
        <v>-444454.06999999983</v>
      </c>
      <c r="J128" s="325">
        <f t="shared" si="67"/>
        <v>-100673.46000000043</v>
      </c>
      <c r="K128" s="260">
        <f t="shared" si="67"/>
        <v>-468304.43000000017</v>
      </c>
      <c r="L128" s="260">
        <f t="shared" si="67"/>
        <v>-236836.89999999991</v>
      </c>
      <c r="M128" s="260">
        <f t="shared" si="67"/>
        <v>24043.329999999842</v>
      </c>
      <c r="N128" s="260">
        <f t="shared" si="67"/>
        <v>-228663.29000000004</v>
      </c>
      <c r="O128" s="213">
        <f>+O17</f>
        <v>-1316503.82</v>
      </c>
      <c r="P128" s="260">
        <f>P17</f>
        <v>-137991.62000000011</v>
      </c>
      <c r="Q128" s="260">
        <f>Q17</f>
        <v>-1449753.3600000013</v>
      </c>
      <c r="S128" s="108">
        <f t="shared" si="66"/>
        <v>-364938.4600000002</v>
      </c>
      <c r="T128" s="330"/>
      <c r="U128" s="330"/>
      <c r="V128" s="330"/>
      <c r="W128" s="330"/>
      <c r="X128" s="330"/>
      <c r="Y128" s="330"/>
      <c r="Z128" s="330"/>
      <c r="AA128" s="330"/>
    </row>
    <row r="129" spans="1:27" ht="15.75" x14ac:dyDescent="0.25">
      <c r="A129" s="313"/>
      <c r="B129" s="261" t="s">
        <v>129</v>
      </c>
      <c r="C129" s="636" t="s">
        <v>286</v>
      </c>
      <c r="D129" s="637">
        <v>96899.639999999956</v>
      </c>
      <c r="E129" s="260">
        <f t="shared" ref="E129:Q129" si="68">E27+E37</f>
        <v>35352.10000000002</v>
      </c>
      <c r="F129" s="325">
        <f t="shared" si="68"/>
        <v>-9966.1800000000221</v>
      </c>
      <c r="G129" s="325">
        <f t="shared" si="68"/>
        <v>44532.310000000056</v>
      </c>
      <c r="H129" s="260">
        <f t="shared" si="68"/>
        <v>-35342.319999999971</v>
      </c>
      <c r="I129" s="260">
        <f t="shared" si="68"/>
        <v>30035.189999999988</v>
      </c>
      <c r="J129" s="325">
        <f t="shared" si="68"/>
        <v>-25285.339999999982</v>
      </c>
      <c r="K129" s="260">
        <f t="shared" si="68"/>
        <v>-3737.8899999999994</v>
      </c>
      <c r="L129" s="260">
        <f t="shared" si="68"/>
        <v>20885.019999999997</v>
      </c>
      <c r="M129" s="260">
        <f t="shared" si="68"/>
        <v>-17921.309999999994</v>
      </c>
      <c r="N129" s="260">
        <f t="shared" si="68"/>
        <v>-4498.039999999979</v>
      </c>
      <c r="O129" s="213">
        <f t="shared" si="68"/>
        <v>-139173.7999999999</v>
      </c>
      <c r="P129" s="260">
        <f t="shared" si="68"/>
        <v>23907.169999999984</v>
      </c>
      <c r="Q129" s="260">
        <f t="shared" si="68"/>
        <v>-18883.090000000026</v>
      </c>
      <c r="S129" s="108">
        <f t="shared" si="66"/>
        <v>38551.580000000089</v>
      </c>
      <c r="T129" s="330"/>
      <c r="U129" s="330"/>
      <c r="V129" s="330"/>
      <c r="W129" s="330"/>
      <c r="X129" s="330"/>
      <c r="Y129" s="330"/>
      <c r="Z129" s="330"/>
      <c r="AA129" s="330"/>
    </row>
    <row r="130" spans="1:27" ht="15.75" x14ac:dyDescent="0.25">
      <c r="A130" s="313"/>
      <c r="B130" s="261" t="s">
        <v>130</v>
      </c>
      <c r="C130" s="636" t="s">
        <v>287</v>
      </c>
      <c r="D130" s="637">
        <v>1279461.1600000001</v>
      </c>
      <c r="E130" s="260">
        <f t="shared" ref="E130:Q130" si="69">E47+E76+E62+E90</f>
        <v>332904.65999999992</v>
      </c>
      <c r="F130" s="325">
        <f t="shared" si="69"/>
        <v>286011.30000000016</v>
      </c>
      <c r="G130" s="325">
        <f t="shared" si="69"/>
        <v>477282.86999999965</v>
      </c>
      <c r="H130" s="260">
        <f t="shared" si="69"/>
        <v>297640.9099999998</v>
      </c>
      <c r="I130" s="260">
        <f t="shared" si="69"/>
        <v>-137390.35</v>
      </c>
      <c r="J130" s="325">
        <f t="shared" si="69"/>
        <v>109623.05999999994</v>
      </c>
      <c r="K130" s="260">
        <f t="shared" si="69"/>
        <v>-406578.73</v>
      </c>
      <c r="L130" s="260">
        <f t="shared" si="69"/>
        <v>-131004.41999999994</v>
      </c>
      <c r="M130" s="260">
        <f t="shared" si="69"/>
        <v>-30560.990000000096</v>
      </c>
      <c r="N130" s="260">
        <f t="shared" si="69"/>
        <v>-106672.04999999997</v>
      </c>
      <c r="O130" s="213">
        <f t="shared" si="69"/>
        <v>-2017540.8200000005</v>
      </c>
      <c r="P130" s="260">
        <f t="shared" si="69"/>
        <v>82864.849999999948</v>
      </c>
      <c r="Q130" s="260">
        <f t="shared" si="69"/>
        <v>-360174.14999999991</v>
      </c>
      <c r="S130" s="108">
        <f t="shared" si="66"/>
        <v>797928.30999999924</v>
      </c>
      <c r="T130" s="330"/>
      <c r="U130" s="330"/>
      <c r="V130" s="330"/>
      <c r="W130" s="330"/>
      <c r="X130" s="330"/>
      <c r="Y130" s="330"/>
      <c r="Z130" s="330"/>
      <c r="AA130" s="330"/>
    </row>
    <row r="131" spans="1:27" ht="15.75" x14ac:dyDescent="0.25">
      <c r="A131" s="313"/>
      <c r="B131" s="261" t="s">
        <v>131</v>
      </c>
      <c r="C131" s="636" t="s">
        <v>288</v>
      </c>
      <c r="D131" s="637">
        <v>0</v>
      </c>
      <c r="E131" s="260">
        <f t="shared" ref="E131:Q131" si="70">E103</f>
        <v>0</v>
      </c>
      <c r="F131" s="325">
        <f t="shared" si="70"/>
        <v>0</v>
      </c>
      <c r="G131" s="325">
        <f t="shared" si="70"/>
        <v>0</v>
      </c>
      <c r="H131" s="260">
        <f t="shared" si="70"/>
        <v>0</v>
      </c>
      <c r="I131" s="260">
        <f t="shared" si="70"/>
        <v>0</v>
      </c>
      <c r="J131" s="325">
        <f t="shared" si="70"/>
        <v>0</v>
      </c>
      <c r="K131" s="260">
        <f t="shared" si="70"/>
        <v>0</v>
      </c>
      <c r="L131" s="260">
        <f t="shared" si="70"/>
        <v>0</v>
      </c>
      <c r="M131" s="260">
        <f t="shared" si="70"/>
        <v>0</v>
      </c>
      <c r="N131" s="260">
        <f t="shared" si="70"/>
        <v>0</v>
      </c>
      <c r="O131" s="213">
        <f t="shared" si="70"/>
        <v>1725.36</v>
      </c>
      <c r="P131" s="260">
        <f t="shared" si="70"/>
        <v>0</v>
      </c>
      <c r="Q131" s="260">
        <f t="shared" si="70"/>
        <v>0</v>
      </c>
      <c r="S131" s="108">
        <f t="shared" si="66"/>
        <v>0</v>
      </c>
      <c r="T131" s="330"/>
      <c r="U131" s="330"/>
      <c r="V131" s="330"/>
      <c r="W131" s="330"/>
      <c r="X131" s="330"/>
      <c r="Y131" s="330"/>
      <c r="Z131" s="330"/>
      <c r="AA131" s="330"/>
    </row>
    <row r="132" spans="1:27" ht="15.75" x14ac:dyDescent="0.25">
      <c r="A132" s="313"/>
      <c r="B132" s="263" t="s">
        <v>132</v>
      </c>
      <c r="C132" s="638" t="s">
        <v>289</v>
      </c>
      <c r="D132" s="639">
        <v>1821.4499999999989</v>
      </c>
      <c r="E132" s="265">
        <f t="shared" ref="E132:Q132" si="71">E116</f>
        <v>153.67999999999302</v>
      </c>
      <c r="F132" s="326">
        <f t="shared" si="71"/>
        <v>-1071.2499999999982</v>
      </c>
      <c r="G132" s="326">
        <f t="shared" si="71"/>
        <v>978.95999999999549</v>
      </c>
      <c r="H132" s="326">
        <f t="shared" si="71"/>
        <v>-694.54999999999927</v>
      </c>
      <c r="I132" s="326">
        <f t="shared" si="71"/>
        <v>-1924.67</v>
      </c>
      <c r="J132" s="326">
        <f t="shared" si="71"/>
        <v>-922.63999999999942</v>
      </c>
      <c r="K132" s="326">
        <f t="shared" si="71"/>
        <v>-353.36000000000058</v>
      </c>
      <c r="L132" s="326">
        <f t="shared" si="71"/>
        <v>-40.720000000000255</v>
      </c>
      <c r="M132" s="326">
        <f t="shared" si="71"/>
        <v>1697.6299999999992</v>
      </c>
      <c r="N132" s="326">
        <f t="shared" si="71"/>
        <v>5140.329999999999</v>
      </c>
      <c r="O132" s="214">
        <f t="shared" si="71"/>
        <v>-7686.6799999999912</v>
      </c>
      <c r="P132" s="265">
        <f t="shared" si="71"/>
        <v>1964.4599999999973</v>
      </c>
      <c r="Q132" s="265">
        <f t="shared" si="71"/>
        <v>-229.45999999999913</v>
      </c>
      <c r="S132" s="108">
        <f t="shared" si="66"/>
        <v>-2176.9200000000101</v>
      </c>
      <c r="T132" s="330"/>
      <c r="U132" s="330"/>
      <c r="V132" s="330"/>
      <c r="W132" s="330"/>
      <c r="X132" s="330"/>
      <c r="Y132" s="330"/>
      <c r="Z132" s="330"/>
      <c r="AA132" s="330"/>
    </row>
    <row r="133" spans="1:27" ht="13.5" customHeight="1" x14ac:dyDescent="0.25">
      <c r="B133" s="262"/>
      <c r="F133" s="385"/>
      <c r="G133" s="385"/>
      <c r="H133" s="385"/>
      <c r="I133" s="385"/>
      <c r="S133" s="108"/>
      <c r="T133" s="330"/>
      <c r="U133" s="330"/>
      <c r="V133" s="330"/>
      <c r="W133" s="330"/>
      <c r="X133" s="330"/>
      <c r="Y133" s="330"/>
      <c r="Z133" s="330"/>
      <c r="AA133" s="330"/>
    </row>
    <row r="134" spans="1:27" hidden="1" x14ac:dyDescent="0.25">
      <c r="E134" s="360" t="s">
        <v>237</v>
      </c>
    </row>
    <row r="135" spans="1:27" hidden="1" x14ac:dyDescent="0.25">
      <c r="C135" s="496" t="s">
        <v>240</v>
      </c>
      <c r="E135" s="640" t="s">
        <v>290</v>
      </c>
    </row>
    <row r="136" spans="1:27" hidden="1" x14ac:dyDescent="0.25">
      <c r="E136" s="502"/>
    </row>
    <row r="137" spans="1:27" hidden="1" x14ac:dyDescent="0.25">
      <c r="E137" s="502"/>
    </row>
    <row r="138" spans="1:27" hidden="1" x14ac:dyDescent="0.25">
      <c r="E138" s="502"/>
    </row>
    <row r="139" spans="1:27" hidden="1" x14ac:dyDescent="0.25">
      <c r="E139" s="502"/>
    </row>
    <row r="140" spans="1:27" hidden="1" x14ac:dyDescent="0.25">
      <c r="E140" s="502"/>
    </row>
    <row r="141" spans="1:27" hidden="1" x14ac:dyDescent="0.25">
      <c r="E141" s="502"/>
    </row>
    <row r="142" spans="1:27" hidden="1" x14ac:dyDescent="0.25">
      <c r="E142" s="360" t="s">
        <v>291</v>
      </c>
    </row>
    <row r="143" spans="1:27" hidden="1" x14ac:dyDescent="0.25">
      <c r="E143" s="641">
        <v>44949</v>
      </c>
    </row>
    <row r="144" spans="1:27" hidden="1" x14ac:dyDescent="0.25">
      <c r="E144" s="502"/>
    </row>
    <row r="145" spans="5:5" hidden="1" x14ac:dyDescent="0.25">
      <c r="E145" s="502"/>
    </row>
    <row r="146" spans="5:5" hidden="1" x14ac:dyDescent="0.25">
      <c r="E146" s="502"/>
    </row>
    <row r="147" spans="5:5" hidden="1" x14ac:dyDescent="0.25">
      <c r="E147" s="502"/>
    </row>
    <row r="148" spans="5:5" hidden="1" x14ac:dyDescent="0.25">
      <c r="E148" s="502"/>
    </row>
    <row r="149" spans="5:5" hidden="1" x14ac:dyDescent="0.25">
      <c r="E149" s="502"/>
    </row>
  </sheetData>
  <mergeCells count="6">
    <mergeCell ref="V66:V67"/>
    <mergeCell ref="B1:Q1"/>
    <mergeCell ref="C2:R2"/>
    <mergeCell ref="T2:Z2"/>
    <mergeCell ref="C3:R3"/>
    <mergeCell ref="C4:R4"/>
  </mergeCells>
  <hyperlinks>
    <hyperlink ref="T2" r:id="rId1" xr:uid="{E027808C-0CA1-4E47-B1FF-A13B9C5D5241}"/>
  </hyperlinks>
  <pageMargins left="0.25" right="0.25" top="0.4" bottom="0" header="0.3" footer="0.3"/>
  <pageSetup scale="48" fitToHeight="2" orientation="landscape" r:id="rId2"/>
  <rowBreaks count="1" manualBreakCount="1">
    <brk id="66" max="17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145B-C236-48CB-A863-CE6633273923}">
  <dimension ref="A1:BD72"/>
  <sheetViews>
    <sheetView tabSelected="1" topLeftCell="C1" workbookViewId="0">
      <selection activeCell="P13" sqref="P13"/>
    </sheetView>
  </sheetViews>
  <sheetFormatPr defaultRowHeight="15" x14ac:dyDescent="0.25"/>
  <cols>
    <col min="1" max="1" width="24.7109375" bestFit="1" customWidth="1"/>
    <col min="2" max="2" width="65.7109375" bestFit="1" customWidth="1"/>
    <col min="3" max="3" width="16.42578125" customWidth="1"/>
    <col min="4" max="4" width="16.42578125" bestFit="1" customWidth="1"/>
    <col min="5" max="5" width="15.28515625" bestFit="1" customWidth="1"/>
    <col min="6" max="7" width="14" customWidth="1"/>
    <col min="8" max="9" width="15.28515625" bestFit="1" customWidth="1"/>
    <col min="10" max="15" width="14" customWidth="1"/>
    <col min="16" max="16" width="17.85546875" bestFit="1" customWidth="1"/>
    <col min="17" max="18" width="14" customWidth="1"/>
    <col min="19" max="19" width="1.7109375" customWidth="1"/>
    <col min="20" max="21" width="13.28515625" bestFit="1" customWidth="1"/>
    <col min="22" max="22" width="11.5703125" bestFit="1" customWidth="1"/>
    <col min="23" max="23" width="3.140625" customWidth="1"/>
    <col min="25" max="25" width="3.85546875" customWidth="1"/>
    <col min="26" max="26" width="9.7109375" bestFit="1" customWidth="1"/>
    <col min="28" max="28" width="18.7109375" bestFit="1" customWidth="1"/>
    <col min="29" max="29" width="13.28515625" bestFit="1" customWidth="1"/>
    <col min="30" max="30" width="10.5703125" bestFit="1" customWidth="1"/>
    <col min="31" max="31" width="7.5703125" bestFit="1" customWidth="1"/>
    <col min="32" max="32" width="10.5703125" bestFit="1" customWidth="1"/>
    <col min="34" max="34" width="8" bestFit="1" customWidth="1"/>
    <col min="36" max="36" width="9.7109375" bestFit="1" customWidth="1"/>
    <col min="38" max="38" width="18.7109375" bestFit="1" customWidth="1"/>
    <col min="39" max="39" width="13.28515625" bestFit="1" customWidth="1"/>
    <col min="40" max="40" width="10.5703125" bestFit="1" customWidth="1"/>
    <col min="41" max="41" width="7.5703125" bestFit="1" customWidth="1"/>
    <col min="42" max="42" width="10.5703125" bestFit="1" customWidth="1"/>
    <col min="44" max="44" width="8" bestFit="1" customWidth="1"/>
    <col min="46" max="46" width="9.7109375" bestFit="1" customWidth="1"/>
    <col min="48" max="48" width="18.7109375" bestFit="1" customWidth="1"/>
    <col min="49" max="49" width="13.28515625" bestFit="1" customWidth="1"/>
    <col min="50" max="50" width="10.5703125" bestFit="1" customWidth="1"/>
    <col min="51" max="51" width="7.5703125" bestFit="1" customWidth="1"/>
    <col min="52" max="52" width="10.5703125" bestFit="1" customWidth="1"/>
    <col min="54" max="54" width="8" bestFit="1" customWidth="1"/>
    <col min="56" max="56" width="9.7109375" bestFit="1" customWidth="1"/>
  </cols>
  <sheetData>
    <row r="1" spans="1:56" ht="18.75" x14ac:dyDescent="0.3">
      <c r="A1" s="676" t="s">
        <v>67</v>
      </c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536"/>
      <c r="N1" s="536"/>
      <c r="O1" s="536"/>
      <c r="P1" s="536"/>
      <c r="Q1" s="536"/>
      <c r="R1" s="536"/>
    </row>
    <row r="2" spans="1:56" ht="21" x14ac:dyDescent="0.35">
      <c r="A2" s="681" t="s">
        <v>69</v>
      </c>
      <c r="B2" s="681"/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537"/>
      <c r="N2" s="537"/>
      <c r="O2" s="537"/>
      <c r="P2" s="537"/>
      <c r="Q2" s="537"/>
      <c r="R2" s="537"/>
    </row>
    <row r="3" spans="1:56" ht="18" thickBot="1" x14ac:dyDescent="0.35">
      <c r="A3" s="682" t="s">
        <v>292</v>
      </c>
      <c r="B3" s="682"/>
      <c r="C3" s="682"/>
      <c r="D3" s="682"/>
      <c r="E3" s="682"/>
      <c r="F3" s="682"/>
      <c r="G3" s="682"/>
      <c r="H3" s="682"/>
      <c r="I3" s="682"/>
      <c r="J3" s="682"/>
      <c r="K3" s="682"/>
      <c r="L3" s="682"/>
      <c r="M3" s="293"/>
      <c r="N3" s="293"/>
      <c r="O3" s="293"/>
      <c r="P3" s="293"/>
      <c r="Q3" s="293"/>
      <c r="R3" s="293"/>
    </row>
    <row r="4" spans="1:56" ht="15.75" x14ac:dyDescent="0.25">
      <c r="A4" s="101" t="s">
        <v>66</v>
      </c>
      <c r="B4" s="102"/>
      <c r="C4" s="683" t="s">
        <v>254</v>
      </c>
      <c r="D4" s="103">
        <v>44895</v>
      </c>
      <c r="E4" s="103">
        <v>44896</v>
      </c>
      <c r="F4" s="103">
        <v>44927</v>
      </c>
      <c r="G4" s="103">
        <v>44959</v>
      </c>
      <c r="H4" s="103">
        <v>44986</v>
      </c>
      <c r="I4" s="103">
        <v>45017</v>
      </c>
      <c r="J4" s="103">
        <v>45047</v>
      </c>
      <c r="K4" s="103">
        <v>45078</v>
      </c>
      <c r="L4" s="103">
        <v>45108</v>
      </c>
      <c r="M4" s="103">
        <v>45139</v>
      </c>
      <c r="N4" s="103">
        <v>45170</v>
      </c>
      <c r="O4" s="103">
        <v>45200</v>
      </c>
      <c r="P4" s="103" t="s">
        <v>255</v>
      </c>
      <c r="Q4" s="103">
        <v>45231</v>
      </c>
      <c r="R4" s="103">
        <v>45261</v>
      </c>
    </row>
    <row r="5" spans="1:56" x14ac:dyDescent="0.25">
      <c r="A5" s="4"/>
      <c r="B5" s="89" t="s">
        <v>136</v>
      </c>
      <c r="C5" s="684"/>
      <c r="D5" s="538">
        <v>4.9099999999999998E-2</v>
      </c>
      <c r="E5" s="538">
        <v>4.9099999999999998E-2</v>
      </c>
      <c r="F5" s="538">
        <v>6.3100000000000003E-2</v>
      </c>
      <c r="G5" s="538">
        <v>6.3100000000000003E-2</v>
      </c>
      <c r="H5" s="538">
        <v>6.3100000000000003E-2</v>
      </c>
      <c r="I5" s="538">
        <v>7.4999999999999997E-2</v>
      </c>
      <c r="J5" s="538">
        <v>7.4999999999999997E-2</v>
      </c>
      <c r="K5" s="538">
        <v>7.4999999999999997E-2</v>
      </c>
      <c r="L5" s="538">
        <v>8.0199999999999994E-2</v>
      </c>
      <c r="M5" s="538">
        <v>8.0199999999999994E-2</v>
      </c>
      <c r="N5" s="538">
        <v>8.0199999999999994E-2</v>
      </c>
      <c r="O5" s="538">
        <v>8.3500000000000005E-2</v>
      </c>
      <c r="P5" s="539" t="s">
        <v>256</v>
      </c>
      <c r="Q5" s="538">
        <v>8.3500000000000005E-2</v>
      </c>
      <c r="R5" s="538">
        <v>8.3500000000000005E-2</v>
      </c>
    </row>
    <row r="6" spans="1:56" ht="15.75" x14ac:dyDescent="0.25">
      <c r="A6" s="183"/>
      <c r="B6" s="89" t="s">
        <v>140</v>
      </c>
      <c r="C6" s="89"/>
      <c r="D6" s="122">
        <v>30</v>
      </c>
      <c r="E6" s="122">
        <v>31</v>
      </c>
      <c r="F6" s="540">
        <v>31</v>
      </c>
      <c r="G6" s="648">
        <v>28</v>
      </c>
      <c r="H6" s="648">
        <v>31</v>
      </c>
      <c r="I6" s="648">
        <v>30</v>
      </c>
      <c r="J6" s="540">
        <v>31</v>
      </c>
      <c r="K6" s="540">
        <v>30</v>
      </c>
      <c r="L6" s="540">
        <v>31</v>
      </c>
      <c r="M6" s="540">
        <v>31</v>
      </c>
      <c r="N6" s="540">
        <v>30</v>
      </c>
      <c r="O6" s="540">
        <v>31</v>
      </c>
      <c r="P6" s="540"/>
      <c r="Q6" s="540">
        <v>30</v>
      </c>
      <c r="R6" s="540">
        <v>31</v>
      </c>
    </row>
    <row r="7" spans="1:56" x14ac:dyDescent="0.25">
      <c r="A7" s="86"/>
      <c r="F7" s="541"/>
      <c r="G7" s="555"/>
      <c r="H7" s="548"/>
      <c r="I7" s="649"/>
      <c r="J7" s="543"/>
      <c r="K7" s="543"/>
      <c r="L7" s="543"/>
      <c r="M7" s="543"/>
      <c r="N7" s="543"/>
      <c r="O7" s="543"/>
      <c r="P7" s="543"/>
      <c r="Q7" s="543"/>
      <c r="R7" s="543"/>
      <c r="AE7" s="104"/>
      <c r="AO7" s="104"/>
      <c r="AY7" s="104"/>
    </row>
    <row r="8" spans="1:56" x14ac:dyDescent="0.25">
      <c r="A8" s="86">
        <v>503</v>
      </c>
      <c r="B8" s="104" t="s">
        <v>84</v>
      </c>
      <c r="C8" s="104"/>
      <c r="D8" s="104"/>
      <c r="E8" s="104"/>
      <c r="F8" s="541"/>
      <c r="G8" s="555"/>
      <c r="H8" s="548"/>
      <c r="I8" s="548"/>
      <c r="J8" s="541"/>
      <c r="K8" s="541"/>
      <c r="L8" s="541"/>
      <c r="M8" s="541"/>
      <c r="N8" s="541"/>
      <c r="O8" s="541"/>
      <c r="P8" s="541"/>
      <c r="Q8" s="541"/>
      <c r="R8" s="541"/>
      <c r="T8" s="544"/>
      <c r="V8" s="544"/>
      <c r="AD8" s="544"/>
      <c r="AF8" s="544"/>
      <c r="AN8" s="544"/>
      <c r="AP8" s="544"/>
      <c r="AX8" s="544"/>
      <c r="AZ8" s="544"/>
    </row>
    <row r="9" spans="1:56" x14ac:dyDescent="0.25">
      <c r="A9" s="87" t="s">
        <v>92</v>
      </c>
      <c r="B9" t="s">
        <v>70</v>
      </c>
      <c r="D9" s="545">
        <v>20345496</v>
      </c>
      <c r="E9" s="545">
        <v>25752606</v>
      </c>
      <c r="F9" s="545">
        <v>20882716</v>
      </c>
      <c r="G9" s="545">
        <v>18193289</v>
      </c>
      <c r="H9" s="545">
        <v>16544549</v>
      </c>
      <c r="I9" s="545">
        <v>10113118</v>
      </c>
      <c r="J9" s="545">
        <v>4851582</v>
      </c>
      <c r="K9" s="545">
        <v>3646921</v>
      </c>
      <c r="L9" s="545">
        <v>1845153</v>
      </c>
      <c r="M9" s="545">
        <v>2530851</v>
      </c>
      <c r="N9" s="545">
        <v>3984080</v>
      </c>
      <c r="O9" s="545">
        <v>8301482</v>
      </c>
      <c r="P9" s="545"/>
      <c r="Q9" s="545">
        <v>16563910</v>
      </c>
      <c r="R9" s="545">
        <v>17765095</v>
      </c>
      <c r="T9" s="112"/>
      <c r="V9" s="112"/>
      <c r="Z9" s="112"/>
      <c r="AB9" s="122"/>
      <c r="AC9" s="531"/>
      <c r="AD9" s="112"/>
      <c r="AF9" s="112"/>
      <c r="AJ9" s="112"/>
      <c r="AL9" s="122"/>
      <c r="AM9" s="531"/>
      <c r="AN9" s="112"/>
      <c r="AP9" s="112"/>
      <c r="AT9" s="112"/>
      <c r="AV9" s="122"/>
      <c r="AW9" s="531"/>
      <c r="AX9" s="112"/>
      <c r="AZ9" s="112"/>
      <c r="BD9" s="112"/>
    </row>
    <row r="10" spans="1:56" x14ac:dyDescent="0.25">
      <c r="A10" s="87" t="s">
        <v>257</v>
      </c>
      <c r="D10" s="546" t="s">
        <v>258</v>
      </c>
      <c r="E10" s="547">
        <v>-1.9050000000000001E-2</v>
      </c>
      <c r="F10" s="547">
        <v>-1.9050000000000001E-2</v>
      </c>
      <c r="G10" s="547">
        <v>-1.9050000000000001E-2</v>
      </c>
      <c r="H10" s="547">
        <v>-1.9050000000000001E-2</v>
      </c>
      <c r="I10" s="547">
        <v>-1.9050000000000001E-2</v>
      </c>
      <c r="J10" s="547">
        <v>-1.9050000000000001E-2</v>
      </c>
      <c r="K10" s="547">
        <v>-1.9050000000000001E-2</v>
      </c>
      <c r="L10" s="547">
        <v>-1.9050000000000001E-2</v>
      </c>
      <c r="M10" s="547">
        <v>-1.9050000000000001E-2</v>
      </c>
      <c r="N10" s="547">
        <v>-1.9050000000000001E-2</v>
      </c>
      <c r="O10" s="547">
        <v>-1.9050000000000001E-2</v>
      </c>
      <c r="P10" s="547"/>
      <c r="Q10" s="546" t="s">
        <v>258</v>
      </c>
      <c r="R10" s="547">
        <v>1.1390000000000001E-2</v>
      </c>
      <c r="T10" s="112"/>
      <c r="V10" s="112"/>
      <c r="Z10" s="112"/>
      <c r="AB10" s="122"/>
      <c r="AC10" s="531"/>
      <c r="AD10" s="112"/>
      <c r="AF10" s="112"/>
      <c r="AJ10" s="112"/>
      <c r="AL10" s="122"/>
      <c r="AM10" s="531"/>
      <c r="AN10" s="112"/>
      <c r="AP10" s="112"/>
      <c r="AT10" s="112"/>
      <c r="AV10" s="122"/>
      <c r="AW10" s="531"/>
      <c r="AX10" s="112"/>
      <c r="AZ10" s="112"/>
      <c r="BD10" s="112"/>
    </row>
    <row r="11" spans="1:56" x14ac:dyDescent="0.25">
      <c r="A11" s="87"/>
      <c r="B11" s="89" t="s">
        <v>74</v>
      </c>
      <c r="C11" s="89"/>
      <c r="D11" s="89"/>
      <c r="E11" s="89"/>
      <c r="F11" s="548"/>
      <c r="G11" s="548"/>
      <c r="H11" s="548"/>
      <c r="I11" s="548"/>
      <c r="J11" s="548"/>
      <c r="K11" s="548"/>
      <c r="L11" s="548"/>
      <c r="M11" s="548"/>
      <c r="N11" s="548"/>
      <c r="O11" s="548"/>
      <c r="P11" s="548"/>
      <c r="Q11" s="548"/>
      <c r="R11" s="548"/>
      <c r="T11" s="112"/>
      <c r="V11" s="112"/>
      <c r="Z11" s="112"/>
    </row>
    <row r="12" spans="1:56" x14ac:dyDescent="0.25">
      <c r="A12" s="87"/>
      <c r="B12" s="89" t="s">
        <v>75</v>
      </c>
      <c r="C12" s="89"/>
      <c r="D12" s="549">
        <f>+WACAP2022Amort!Q12</f>
        <v>-374417.9</v>
      </c>
      <c r="E12" s="549">
        <f>+E9*E10</f>
        <v>-490587.14430000004</v>
      </c>
      <c r="F12" s="549">
        <f t="shared" ref="F12:R12" si="0">+F9*F10</f>
        <v>-397815.73980000004</v>
      </c>
      <c r="G12" s="549">
        <f>+G9*G10</f>
        <v>-346582.15545000002</v>
      </c>
      <c r="H12" s="549">
        <f t="shared" si="0"/>
        <v>-315173.65844999999</v>
      </c>
      <c r="I12" s="549">
        <f t="shared" si="0"/>
        <v>-192654.89790000001</v>
      </c>
      <c r="J12" s="549">
        <f t="shared" si="0"/>
        <v>-92422.637100000007</v>
      </c>
      <c r="K12" s="549">
        <f t="shared" si="0"/>
        <v>-69473.845050000004</v>
      </c>
      <c r="L12" s="549">
        <f t="shared" si="0"/>
        <v>-35150.164649999999</v>
      </c>
      <c r="M12" s="549">
        <f t="shared" si="0"/>
        <v>-48212.71155</v>
      </c>
      <c r="N12" s="549">
        <f t="shared" si="0"/>
        <v>-75896.724000000002</v>
      </c>
      <c r="O12" s="549">
        <f t="shared" si="0"/>
        <v>-158143.23209999999</v>
      </c>
      <c r="P12" s="549">
        <f>+'WA CAP 2023'!O17</f>
        <v>-1316503.82</v>
      </c>
      <c r="Q12" s="549">
        <v>196048.41</v>
      </c>
      <c r="R12" s="549">
        <f t="shared" si="0"/>
        <v>202344.43205</v>
      </c>
      <c r="AV12" s="122"/>
      <c r="AW12" s="550"/>
      <c r="AX12" s="112"/>
      <c r="AZ12" s="112"/>
      <c r="BD12" s="112"/>
    </row>
    <row r="13" spans="1:56" x14ac:dyDescent="0.25">
      <c r="A13" s="87"/>
      <c r="B13" s="89" t="s">
        <v>137</v>
      </c>
      <c r="C13" s="89"/>
      <c r="D13" s="551">
        <f>ROUND(ROUND(C15*D$5,2)/365*D$6,2)</f>
        <v>10098.790000000001</v>
      </c>
      <c r="E13" s="551">
        <f t="shared" ref="E13:O13" si="1">ROUND(ROUND(D15*E$5,2)/365*E$6,2)</f>
        <v>8916.16</v>
      </c>
      <c r="F13" s="551">
        <f>ROUND(ROUND(E15*F$5,2)/365*F$6,2)</f>
        <v>8877.08</v>
      </c>
      <c r="G13" s="551">
        <f t="shared" si="1"/>
        <v>6135.33</v>
      </c>
      <c r="H13" s="551">
        <f t="shared" si="1"/>
        <v>4968.18</v>
      </c>
      <c r="I13" s="551">
        <f t="shared" si="1"/>
        <v>3802.41</v>
      </c>
      <c r="J13" s="551">
        <f t="shared" si="1"/>
        <v>2726.19</v>
      </c>
      <c r="K13" s="551">
        <f t="shared" si="1"/>
        <v>2085.33</v>
      </c>
      <c r="L13" s="551">
        <f t="shared" si="1"/>
        <v>1845.22</v>
      </c>
      <c r="M13" s="551">
        <f>ROUND(ROUND(L15*M$5,2)/365*M$6,2)</f>
        <v>1618.36</v>
      </c>
      <c r="N13" s="551">
        <f t="shared" si="1"/>
        <v>1259.02</v>
      </c>
      <c r="O13" s="551">
        <f t="shared" si="1"/>
        <v>825.2</v>
      </c>
      <c r="P13" s="549">
        <f>+'WA CAP 2023'!O18</f>
        <v>-83328.58</v>
      </c>
      <c r="Q13" s="551">
        <f>ROUND(ROUND(P15*Q$5,2)/365*Q$6,2)</f>
        <v>-9888.16</v>
      </c>
      <c r="R13" s="551">
        <f t="shared" ref="R13" si="2">ROUND(ROUND(Q15*R$5,2)/365*R$6,2)</f>
        <v>-8897.56</v>
      </c>
    </row>
    <row r="14" spans="1:56" x14ac:dyDescent="0.25">
      <c r="A14" s="87"/>
      <c r="B14" s="89" t="s">
        <v>138</v>
      </c>
      <c r="C14" s="89"/>
      <c r="D14" s="552">
        <f t="shared" ref="D14:R14" si="3">SUM(D12:D13)</f>
        <v>-364319.11000000004</v>
      </c>
      <c r="E14" s="552">
        <f t="shared" si="3"/>
        <v>-481670.98430000007</v>
      </c>
      <c r="F14" s="552">
        <f t="shared" si="3"/>
        <v>-388938.65980000002</v>
      </c>
      <c r="G14" s="552">
        <f t="shared" si="3"/>
        <v>-340446.82545</v>
      </c>
      <c r="H14" s="552">
        <f t="shared" si="3"/>
        <v>-310205.47845</v>
      </c>
      <c r="I14" s="552">
        <f t="shared" si="3"/>
        <v>-188852.48790000001</v>
      </c>
      <c r="J14" s="552">
        <f t="shared" si="3"/>
        <v>-89696.447100000005</v>
      </c>
      <c r="K14" s="552">
        <f t="shared" si="3"/>
        <v>-67388.515050000002</v>
      </c>
      <c r="L14" s="552">
        <f t="shared" si="3"/>
        <v>-33304.944649999998</v>
      </c>
      <c r="M14" s="552">
        <f t="shared" si="3"/>
        <v>-46594.351549999999</v>
      </c>
      <c r="N14" s="552">
        <f t="shared" si="3"/>
        <v>-74637.703999999998</v>
      </c>
      <c r="O14" s="552">
        <f t="shared" si="3"/>
        <v>-157318.03209999998</v>
      </c>
      <c r="P14" s="552">
        <f>+P12+P13</f>
        <v>-1399832.4000000001</v>
      </c>
      <c r="Q14" s="552">
        <f t="shared" si="3"/>
        <v>186160.25</v>
      </c>
      <c r="R14" s="552">
        <f t="shared" si="3"/>
        <v>193446.87205000001</v>
      </c>
    </row>
    <row r="15" spans="1:56" x14ac:dyDescent="0.25">
      <c r="A15" s="87"/>
      <c r="B15" s="89" t="s">
        <v>139</v>
      </c>
      <c r="C15" s="553">
        <f>+WACAP2022Amort!P15</f>
        <v>2502416.1339999968</v>
      </c>
      <c r="D15" s="549">
        <f>C15+D14</f>
        <v>2138097.0239999969</v>
      </c>
      <c r="E15" s="549">
        <f t="shared" ref="E15:O15" si="4">D15+E14</f>
        <v>1656426.0396999968</v>
      </c>
      <c r="F15" s="549">
        <f>E15+F14</f>
        <v>1267487.3798999968</v>
      </c>
      <c r="G15" s="549">
        <f t="shared" si="4"/>
        <v>927040.55444999679</v>
      </c>
      <c r="H15" s="549">
        <f t="shared" si="4"/>
        <v>616835.07599999686</v>
      </c>
      <c r="I15" s="549">
        <f t="shared" si="4"/>
        <v>427982.58809999685</v>
      </c>
      <c r="J15" s="549">
        <f t="shared" si="4"/>
        <v>338286.14099999686</v>
      </c>
      <c r="K15" s="549">
        <f t="shared" si="4"/>
        <v>270897.62594999687</v>
      </c>
      <c r="L15" s="549">
        <f t="shared" si="4"/>
        <v>237592.68129999688</v>
      </c>
      <c r="M15" s="549">
        <f>L15+M14</f>
        <v>190998.32974999689</v>
      </c>
      <c r="N15" s="549">
        <f t="shared" si="4"/>
        <v>116360.62574999689</v>
      </c>
      <c r="O15" s="549">
        <f t="shared" si="4"/>
        <v>-40957.40635000309</v>
      </c>
      <c r="P15" s="549">
        <f>+O15+P14</f>
        <v>-1440789.8063500032</v>
      </c>
      <c r="Q15" s="549">
        <f>P15+Q14</f>
        <v>-1254629.5563500032</v>
      </c>
      <c r="R15" s="549">
        <f t="shared" ref="R15" si="5">Q15+R14</f>
        <v>-1061182.6843000031</v>
      </c>
      <c r="T15" s="108"/>
    </row>
    <row r="16" spans="1:56" x14ac:dyDescent="0.25">
      <c r="A16" s="87"/>
      <c r="B16" s="89"/>
      <c r="C16" s="89"/>
      <c r="D16" s="89"/>
      <c r="E16" s="89"/>
      <c r="F16" s="554"/>
      <c r="G16" s="549"/>
      <c r="H16" s="549"/>
      <c r="I16" s="549"/>
      <c r="J16" s="554"/>
      <c r="K16" s="554"/>
      <c r="L16" s="554"/>
      <c r="M16" s="554"/>
      <c r="N16" s="554"/>
      <c r="O16" s="554"/>
      <c r="P16" s="554"/>
      <c r="Q16" s="554"/>
      <c r="R16" s="554"/>
      <c r="T16" s="108"/>
      <c r="AV16" s="122"/>
      <c r="AW16" s="531"/>
      <c r="AX16" s="112"/>
      <c r="AZ16" s="112"/>
      <c r="BD16" s="112"/>
    </row>
    <row r="17" spans="1:26" x14ac:dyDescent="0.25">
      <c r="A17" s="86">
        <v>505</v>
      </c>
      <c r="B17" s="104" t="s">
        <v>85</v>
      </c>
      <c r="C17" s="104"/>
      <c r="D17" s="104"/>
      <c r="E17" s="104"/>
      <c r="F17" s="541"/>
      <c r="G17" s="555"/>
      <c r="H17" s="548"/>
      <c r="I17" s="555"/>
      <c r="J17" s="541"/>
      <c r="K17" s="541"/>
      <c r="L17" s="541"/>
      <c r="M17" s="541"/>
      <c r="N17" s="541"/>
      <c r="O17" s="541"/>
      <c r="P17" s="541"/>
      <c r="Q17" s="541"/>
      <c r="R17" s="541"/>
      <c r="T17" s="108"/>
      <c r="U17" s="108"/>
    </row>
    <row r="18" spans="1:26" x14ac:dyDescent="0.25">
      <c r="A18" s="87" t="s">
        <v>92</v>
      </c>
      <c r="B18" t="s">
        <v>70</v>
      </c>
      <c r="D18" s="545">
        <v>864178</v>
      </c>
      <c r="E18" s="545">
        <v>1945964</v>
      </c>
      <c r="F18" s="545">
        <v>1847894</v>
      </c>
      <c r="G18" s="545">
        <v>1334925</v>
      </c>
      <c r="H18" s="545">
        <v>1649201</v>
      </c>
      <c r="I18" s="545">
        <v>1137710</v>
      </c>
      <c r="J18" s="545">
        <v>887724</v>
      </c>
      <c r="K18" s="545">
        <v>539445</v>
      </c>
      <c r="L18" s="545">
        <v>439676</v>
      </c>
      <c r="M18" s="545">
        <v>485379</v>
      </c>
      <c r="N18" s="545">
        <v>534789</v>
      </c>
      <c r="O18" s="545">
        <v>919554</v>
      </c>
      <c r="P18" s="545"/>
      <c r="Q18" s="545">
        <v>989405</v>
      </c>
      <c r="R18" s="545">
        <v>1357607</v>
      </c>
      <c r="T18" s="544"/>
      <c r="V18" s="544"/>
    </row>
    <row r="19" spans="1:26" x14ac:dyDescent="0.25">
      <c r="A19" s="87" t="s">
        <v>257</v>
      </c>
      <c r="D19" s="546" t="s">
        <v>258</v>
      </c>
      <c r="E19" s="546">
        <v>-1.5559999999999999E-2</v>
      </c>
      <c r="F19" s="546">
        <v>-1.5559999999999999E-2</v>
      </c>
      <c r="G19" s="547">
        <v>-1.5559999999999999E-2</v>
      </c>
      <c r="H19" s="547">
        <v>-1.5559999999999999E-2</v>
      </c>
      <c r="I19" s="547">
        <v>-1.5559999999999999E-2</v>
      </c>
      <c r="J19" s="546">
        <v>-1.5559999999999999E-2</v>
      </c>
      <c r="K19" s="546">
        <v>-1.5559999999999999E-2</v>
      </c>
      <c r="L19" s="546">
        <v>-1.5559999999999999E-2</v>
      </c>
      <c r="M19" s="546">
        <v>-1.5559999999999999E-2</v>
      </c>
      <c r="N19" s="546">
        <v>-1.5559999999999999E-2</v>
      </c>
      <c r="O19" s="546">
        <v>-1.5559999999999999E-2</v>
      </c>
      <c r="P19" s="547"/>
      <c r="Q19" s="546" t="s">
        <v>258</v>
      </c>
      <c r="R19" s="547">
        <v>5.9999999999999995E-4</v>
      </c>
      <c r="T19" s="112"/>
      <c r="V19" s="112"/>
      <c r="Z19" s="112"/>
    </row>
    <row r="20" spans="1:26" x14ac:dyDescent="0.25">
      <c r="A20" s="86"/>
      <c r="B20" s="89" t="s">
        <v>74</v>
      </c>
      <c r="C20" s="89"/>
      <c r="D20" s="89"/>
      <c r="E20" s="89"/>
      <c r="F20" s="548"/>
      <c r="G20" s="548"/>
      <c r="H20" s="548"/>
      <c r="I20" s="548"/>
      <c r="J20" s="548"/>
      <c r="K20" s="548"/>
      <c r="L20" s="548"/>
      <c r="M20" s="548"/>
      <c r="N20" s="548"/>
      <c r="O20" s="548"/>
      <c r="P20" s="548"/>
      <c r="Q20" s="548"/>
      <c r="R20" s="548"/>
      <c r="T20" s="112"/>
      <c r="V20" s="112"/>
      <c r="Z20" s="112"/>
    </row>
    <row r="21" spans="1:26" x14ac:dyDescent="0.25">
      <c r="A21" s="86"/>
      <c r="B21" s="89" t="s">
        <v>75</v>
      </c>
      <c r="C21" s="89"/>
      <c r="D21" s="549">
        <f>+WACAP2022Amort!Q21</f>
        <v>-8787.06</v>
      </c>
      <c r="E21" s="549">
        <f t="shared" ref="E21:R21" si="6">+E19*E18</f>
        <v>-30279.199839999997</v>
      </c>
      <c r="F21" s="549">
        <f>+F19*F18</f>
        <v>-28753.230639999998</v>
      </c>
      <c r="G21" s="549">
        <f t="shared" si="6"/>
        <v>-20771.432999999997</v>
      </c>
      <c r="H21" s="549">
        <f t="shared" si="6"/>
        <v>-25661.56756</v>
      </c>
      <c r="I21" s="549">
        <f t="shared" si="6"/>
        <v>-17702.767599999999</v>
      </c>
      <c r="J21" s="549">
        <f t="shared" si="6"/>
        <v>-13812.985439999999</v>
      </c>
      <c r="K21" s="549">
        <f t="shared" si="6"/>
        <v>-8393.7641999999996</v>
      </c>
      <c r="L21" s="549">
        <f t="shared" si="6"/>
        <v>-6841.3585599999997</v>
      </c>
      <c r="M21" s="549">
        <f t="shared" si="6"/>
        <v>-7552.4972399999997</v>
      </c>
      <c r="N21" s="549">
        <f t="shared" si="6"/>
        <v>-8321.3168399999995</v>
      </c>
      <c r="O21" s="549">
        <f t="shared" si="6"/>
        <v>-14308.26024</v>
      </c>
      <c r="P21" s="549">
        <f>+'WA CAP 2023'!O103+'WA CAP 2023'!O27</f>
        <v>-10831.649999999892</v>
      </c>
      <c r="Q21" s="549">
        <v>-9791.07</v>
      </c>
      <c r="R21" s="549">
        <f t="shared" si="6"/>
        <v>814.56419999999991</v>
      </c>
    </row>
    <row r="22" spans="1:26" x14ac:dyDescent="0.25">
      <c r="A22" s="87"/>
      <c r="B22" s="89" t="s">
        <v>137</v>
      </c>
      <c r="C22" s="89"/>
      <c r="D22" s="551">
        <f>ROUND(ROUND(C24*D$5,2)/365*D$6,2)</f>
        <v>857.6</v>
      </c>
      <c r="E22" s="551">
        <f t="shared" ref="E22:K22" si="7">ROUND(ROUND(D24*E$5,2)/365*E$6,2)</f>
        <v>853.12</v>
      </c>
      <c r="F22" s="551">
        <f>ROUND(ROUND(E24*F$5,2)/365*F$6,2)</f>
        <v>938.68</v>
      </c>
      <c r="G22" s="551">
        <f t="shared" si="7"/>
        <v>713.2</v>
      </c>
      <c r="H22" s="551">
        <f t="shared" si="7"/>
        <v>682.12</v>
      </c>
      <c r="I22" s="551">
        <f t="shared" si="7"/>
        <v>630.62</v>
      </c>
      <c r="J22" s="551">
        <f t="shared" si="7"/>
        <v>542.9</v>
      </c>
      <c r="K22" s="551">
        <f t="shared" si="7"/>
        <v>443.58</v>
      </c>
      <c r="L22" s="551">
        <f>ROUND(ROUND(K24*L$5,2)/365*L$6,2)</f>
        <v>436</v>
      </c>
      <c r="M22" s="551">
        <f>ROUND(ROUND(L24*M$5,2)/365*M$6,2)</f>
        <v>392.36</v>
      </c>
      <c r="N22" s="551">
        <f t="shared" ref="N22:R22" si="8">ROUND(ROUND(M24*N$5,2)/365*N$6,2)</f>
        <v>332.51</v>
      </c>
      <c r="O22" s="551">
        <f t="shared" si="8"/>
        <v>301.08</v>
      </c>
      <c r="P22" s="549">
        <f>+'WA CAP 2023'!O104+'WA CAP 2023'!O28</f>
        <v>-685.59999999999991</v>
      </c>
      <c r="Q22" s="551">
        <f>ROUND(ROUND(P24*Q$5,2)/365*Q$6,2)</f>
        <v>116.19</v>
      </c>
      <c r="R22" s="551">
        <f t="shared" si="8"/>
        <v>51.45</v>
      </c>
    </row>
    <row r="23" spans="1:26" x14ac:dyDescent="0.25">
      <c r="A23" s="87"/>
      <c r="B23" s="89" t="s">
        <v>138</v>
      </c>
      <c r="C23" s="89"/>
      <c r="D23" s="552">
        <f t="shared" ref="D23:R23" si="9">SUM(D21:D22)</f>
        <v>-7929.4599999999991</v>
      </c>
      <c r="E23" s="552">
        <f t="shared" si="9"/>
        <v>-29426.079839999999</v>
      </c>
      <c r="F23" s="552">
        <f t="shared" si="9"/>
        <v>-27814.550639999998</v>
      </c>
      <c r="G23" s="552">
        <f t="shared" si="9"/>
        <v>-20058.232999999997</v>
      </c>
      <c r="H23" s="552">
        <f t="shared" si="9"/>
        <v>-24979.447560000001</v>
      </c>
      <c r="I23" s="552">
        <f t="shared" si="9"/>
        <v>-17072.1476</v>
      </c>
      <c r="J23" s="552">
        <f t="shared" si="9"/>
        <v>-13270.085439999999</v>
      </c>
      <c r="K23" s="552">
        <f t="shared" si="9"/>
        <v>-7950.1841999999997</v>
      </c>
      <c r="L23" s="552">
        <f t="shared" si="9"/>
        <v>-6405.3585599999997</v>
      </c>
      <c r="M23" s="552">
        <f t="shared" si="9"/>
        <v>-7160.13724</v>
      </c>
      <c r="N23" s="552">
        <f t="shared" si="9"/>
        <v>-7988.8068399999993</v>
      </c>
      <c r="O23" s="552">
        <f t="shared" si="9"/>
        <v>-14007.18024</v>
      </c>
      <c r="P23" s="552">
        <f>+P21+P22</f>
        <v>-11517.249999999893</v>
      </c>
      <c r="Q23" s="552">
        <f t="shared" si="9"/>
        <v>-9674.8799999999992</v>
      </c>
      <c r="R23" s="552">
        <f t="shared" si="9"/>
        <v>866.01419999999996</v>
      </c>
    </row>
    <row r="24" spans="1:26" x14ac:dyDescent="0.25">
      <c r="A24" s="87"/>
      <c r="B24" s="89" t="s">
        <v>139</v>
      </c>
      <c r="C24" s="553">
        <f>+WACAP2022Amort!P24</f>
        <v>212508.75538999992</v>
      </c>
      <c r="D24" s="549">
        <f>C24+D23</f>
        <v>204579.29538999993</v>
      </c>
      <c r="E24" s="549">
        <f t="shared" ref="E24:O24" si="10">D24+E23</f>
        <v>175153.21554999994</v>
      </c>
      <c r="F24" s="549">
        <f>E24+F23</f>
        <v>147338.66490999993</v>
      </c>
      <c r="G24" s="549">
        <f t="shared" si="10"/>
        <v>127280.43190999994</v>
      </c>
      <c r="H24" s="549">
        <f t="shared" si="10"/>
        <v>102300.98434999994</v>
      </c>
      <c r="I24" s="549">
        <f t="shared" si="10"/>
        <v>85228.836749999944</v>
      </c>
      <c r="J24" s="549">
        <f t="shared" si="10"/>
        <v>71958.751309999949</v>
      </c>
      <c r="K24" s="549">
        <f t="shared" si="10"/>
        <v>64008.567109999945</v>
      </c>
      <c r="L24" s="549">
        <f t="shared" si="10"/>
        <v>57603.208549999945</v>
      </c>
      <c r="M24" s="549">
        <f>L24+M23</f>
        <v>50443.071309999941</v>
      </c>
      <c r="N24" s="549">
        <f t="shared" si="10"/>
        <v>42454.264469999944</v>
      </c>
      <c r="O24" s="549">
        <f t="shared" si="10"/>
        <v>28447.084229999942</v>
      </c>
      <c r="P24" s="549">
        <f>+O24+P23</f>
        <v>16929.834230000051</v>
      </c>
      <c r="Q24" s="549">
        <f>P24+Q23</f>
        <v>7254.9542300000521</v>
      </c>
      <c r="R24" s="549">
        <f t="shared" ref="R24" si="11">Q24+R23</f>
        <v>8120.9684300000517</v>
      </c>
      <c r="T24" s="108"/>
    </row>
    <row r="25" spans="1:26" x14ac:dyDescent="0.25">
      <c r="A25" s="86"/>
      <c r="B25" s="89"/>
      <c r="C25" s="89"/>
      <c r="D25" s="89"/>
      <c r="E25" s="89"/>
      <c r="F25" s="554"/>
      <c r="G25" s="549"/>
      <c r="H25" s="549"/>
      <c r="I25" s="549"/>
      <c r="J25" s="554"/>
      <c r="K25" s="554"/>
      <c r="L25" s="554"/>
      <c r="M25" s="554"/>
      <c r="N25" s="554"/>
      <c r="O25" s="554"/>
      <c r="P25" s="554"/>
      <c r="Q25" s="554"/>
      <c r="R25" s="554"/>
      <c r="T25" s="108"/>
    </row>
    <row r="26" spans="1:26" x14ac:dyDescent="0.25">
      <c r="A26" s="86" t="s">
        <v>142</v>
      </c>
      <c r="B26" s="104" t="s">
        <v>86</v>
      </c>
      <c r="C26" s="104"/>
      <c r="D26" s="104"/>
      <c r="E26" s="104"/>
      <c r="F26" s="541"/>
      <c r="G26" s="555"/>
      <c r="H26" s="548"/>
      <c r="I26" s="555"/>
      <c r="J26" s="541"/>
      <c r="K26" s="541"/>
      <c r="L26" s="541"/>
      <c r="M26" s="541"/>
      <c r="N26" s="541"/>
      <c r="O26" s="541"/>
      <c r="P26" s="541"/>
      <c r="Q26" s="541"/>
      <c r="R26" s="541"/>
    </row>
    <row r="27" spans="1:26" x14ac:dyDescent="0.25">
      <c r="A27" s="87" t="s">
        <v>92</v>
      </c>
      <c r="B27" t="s">
        <v>70</v>
      </c>
      <c r="D27" s="545">
        <v>8848</v>
      </c>
      <c r="E27" s="545">
        <v>9171</v>
      </c>
      <c r="F27" s="545">
        <v>7840</v>
      </c>
      <c r="G27" s="545">
        <v>7890</v>
      </c>
      <c r="H27" s="545">
        <v>8537</v>
      </c>
      <c r="I27" s="545">
        <v>4539</v>
      </c>
      <c r="J27" s="545">
        <v>2414</v>
      </c>
      <c r="K27" s="545">
        <v>949</v>
      </c>
      <c r="L27" s="545">
        <v>1692</v>
      </c>
      <c r="M27" s="545">
        <v>1335</v>
      </c>
      <c r="N27" s="545">
        <v>1458</v>
      </c>
      <c r="O27" s="545">
        <v>6015</v>
      </c>
      <c r="P27" s="545"/>
      <c r="Q27" s="545">
        <v>6637</v>
      </c>
      <c r="R27" s="545">
        <v>6980</v>
      </c>
      <c r="T27" s="544"/>
      <c r="V27" s="544"/>
    </row>
    <row r="28" spans="1:26" x14ac:dyDescent="0.25">
      <c r="A28" s="87" t="s">
        <v>257</v>
      </c>
      <c r="D28" s="546" t="str">
        <f>+D19</f>
        <v>Prorated</v>
      </c>
      <c r="E28" s="547">
        <v>-3.6499999999999998E-2</v>
      </c>
      <c r="F28" s="547">
        <v>-3.6499999999999998E-2</v>
      </c>
      <c r="G28" s="547">
        <v>-3.6499999999999998E-2</v>
      </c>
      <c r="H28" s="547">
        <v>-3.6499999999999998E-2</v>
      </c>
      <c r="I28" s="547">
        <v>-3.6499999999999998E-2</v>
      </c>
      <c r="J28" s="547">
        <v>-3.6499999999999998E-2</v>
      </c>
      <c r="K28" s="547">
        <v>-3.6499999999999998E-2</v>
      </c>
      <c r="L28" s="547">
        <v>-3.6499999999999998E-2</v>
      </c>
      <c r="M28" s="547">
        <v>-3.6499999999999998E-2</v>
      </c>
      <c r="N28" s="547">
        <v>-3.6499999999999998E-2</v>
      </c>
      <c r="O28" s="547">
        <v>-3.6499999999999998E-2</v>
      </c>
      <c r="P28" s="547"/>
      <c r="Q28" s="546" t="s">
        <v>258</v>
      </c>
      <c r="R28" s="547">
        <v>2.197E-2</v>
      </c>
      <c r="T28" s="112"/>
      <c r="V28" s="112"/>
      <c r="Z28" s="112"/>
    </row>
    <row r="29" spans="1:26" x14ac:dyDescent="0.25">
      <c r="A29" s="87"/>
      <c r="B29" s="89" t="s">
        <v>74</v>
      </c>
      <c r="C29" s="89"/>
      <c r="D29" s="89"/>
      <c r="E29" s="89"/>
      <c r="F29" s="548"/>
      <c r="G29" s="548"/>
      <c r="H29" s="548"/>
      <c r="I29" s="548"/>
      <c r="J29" s="548"/>
      <c r="K29" s="548"/>
      <c r="L29" s="548"/>
      <c r="M29" s="548"/>
      <c r="N29" s="548"/>
      <c r="O29" s="548"/>
      <c r="P29" s="548"/>
      <c r="Q29" s="548"/>
      <c r="R29" s="548"/>
    </row>
    <row r="30" spans="1:26" x14ac:dyDescent="0.25">
      <c r="A30" s="87"/>
      <c r="B30" s="89" t="s">
        <v>75</v>
      </c>
      <c r="C30" s="89"/>
      <c r="D30" s="553">
        <f>+WACAP2022Amort!Q30</f>
        <v>-322.95</v>
      </c>
      <c r="E30" s="553">
        <f t="shared" ref="E30:R30" si="12">+E27*E28</f>
        <v>-334.74149999999997</v>
      </c>
      <c r="F30" s="553">
        <f t="shared" si="12"/>
        <v>-286.15999999999997</v>
      </c>
      <c r="G30" s="553">
        <f t="shared" si="12"/>
        <v>-287.98499999999996</v>
      </c>
      <c r="H30" s="553">
        <f t="shared" si="12"/>
        <v>-311.60049999999995</v>
      </c>
      <c r="I30" s="553">
        <f t="shared" si="12"/>
        <v>-165.67349999999999</v>
      </c>
      <c r="J30" s="553">
        <f t="shared" si="12"/>
        <v>-88.11099999999999</v>
      </c>
      <c r="K30" s="553">
        <f t="shared" si="12"/>
        <v>-34.638500000000001</v>
      </c>
      <c r="L30" s="553">
        <f t="shared" si="12"/>
        <v>-61.757999999999996</v>
      </c>
      <c r="M30" s="553">
        <f t="shared" si="12"/>
        <v>-48.727499999999999</v>
      </c>
      <c r="N30" s="553">
        <f t="shared" si="12"/>
        <v>-53.216999999999999</v>
      </c>
      <c r="O30" s="553">
        <f t="shared" si="12"/>
        <v>-219.54749999999999</v>
      </c>
      <c r="P30" s="553">
        <f>+'WA CAP 2023'!O47</f>
        <v>-26177.68</v>
      </c>
      <c r="Q30" s="553">
        <v>145.81</v>
      </c>
      <c r="R30" s="553">
        <f t="shared" si="12"/>
        <v>153.35059999999999</v>
      </c>
    </row>
    <row r="31" spans="1:26" x14ac:dyDescent="0.25">
      <c r="A31" s="87"/>
      <c r="B31" s="89" t="s">
        <v>137</v>
      </c>
      <c r="C31" s="89"/>
      <c r="D31" s="563">
        <f>+WACAP2022Amort!Q31</f>
        <v>-184.36</v>
      </c>
      <c r="E31" s="551">
        <f t="shared" ref="E31:O31" si="13">ROUND(ROUND(D33*E$5,2)/365*E$6,2)</f>
        <v>-192.62</v>
      </c>
      <c r="F31" s="551">
        <f>ROUND(ROUND(E33*F$5,2)/365*F$6,2)</f>
        <v>-250.37</v>
      </c>
      <c r="G31" s="551">
        <f t="shared" si="13"/>
        <v>-228.74</v>
      </c>
      <c r="H31" s="551">
        <f t="shared" si="13"/>
        <v>-256.01</v>
      </c>
      <c r="I31" s="551">
        <f t="shared" si="13"/>
        <v>-297.98</v>
      </c>
      <c r="J31" s="551">
        <f t="shared" si="13"/>
        <v>-310.87</v>
      </c>
      <c r="K31" s="551">
        <f t="shared" si="13"/>
        <v>-303.3</v>
      </c>
      <c r="L31" s="551">
        <f t="shared" si="13"/>
        <v>-337.44</v>
      </c>
      <c r="M31" s="551">
        <f>ROUND(ROUND(L33*M$5,2)/365*M$6,2)</f>
        <v>-340.16</v>
      </c>
      <c r="N31" s="551">
        <f t="shared" si="13"/>
        <v>-331.75</v>
      </c>
      <c r="O31" s="551">
        <f t="shared" si="13"/>
        <v>-359.64</v>
      </c>
      <c r="P31" s="553">
        <f>+'WA CAP 2023'!O48</f>
        <v>-1656.9199999999998</v>
      </c>
      <c r="Q31" s="551">
        <f>ROUND(ROUND(P33*Q$5,2)/365*Q$6,2)</f>
        <v>-543.04999999999995</v>
      </c>
      <c r="R31" s="551">
        <f>ROUND(ROUND(Q33*R$5,2)/365*R$6,2)</f>
        <v>-563.96</v>
      </c>
    </row>
    <row r="32" spans="1:26" x14ac:dyDescent="0.25">
      <c r="A32" s="87"/>
      <c r="B32" s="89" t="s">
        <v>138</v>
      </c>
      <c r="C32" s="89"/>
      <c r="D32" s="552">
        <f t="shared" ref="D32:R32" si="14">SUM(D30:D31)</f>
        <v>-507.31</v>
      </c>
      <c r="E32" s="552">
        <f t="shared" si="14"/>
        <v>-527.36149999999998</v>
      </c>
      <c r="F32" s="552">
        <f t="shared" si="14"/>
        <v>-536.53</v>
      </c>
      <c r="G32" s="552">
        <f t="shared" si="14"/>
        <v>-516.72499999999991</v>
      </c>
      <c r="H32" s="552">
        <f t="shared" si="14"/>
        <v>-567.6105</v>
      </c>
      <c r="I32" s="552">
        <f t="shared" si="14"/>
        <v>-463.65350000000001</v>
      </c>
      <c r="J32" s="552">
        <f t="shared" si="14"/>
        <v>-398.98099999999999</v>
      </c>
      <c r="K32" s="552">
        <f t="shared" si="14"/>
        <v>-337.93850000000003</v>
      </c>
      <c r="L32" s="552">
        <f t="shared" si="14"/>
        <v>-399.19799999999998</v>
      </c>
      <c r="M32" s="552">
        <f t="shared" si="14"/>
        <v>-388.88750000000005</v>
      </c>
      <c r="N32" s="552">
        <f t="shared" si="14"/>
        <v>-384.96699999999998</v>
      </c>
      <c r="O32" s="552">
        <f t="shared" si="14"/>
        <v>-579.1875</v>
      </c>
      <c r="P32" s="552">
        <f>+P30+P31</f>
        <v>-27834.6</v>
      </c>
      <c r="Q32" s="552">
        <f t="shared" si="14"/>
        <v>-397.23999999999995</v>
      </c>
      <c r="R32" s="552">
        <f t="shared" si="14"/>
        <v>-410.60940000000005</v>
      </c>
    </row>
    <row r="33" spans="1:26" x14ac:dyDescent="0.25">
      <c r="A33" s="87"/>
      <c r="B33" s="89" t="s">
        <v>139</v>
      </c>
      <c r="C33" s="553">
        <f>+WACAP2022Amort!P33</f>
        <v>-45683.453309999997</v>
      </c>
      <c r="D33" s="549">
        <f>C33+D32</f>
        <v>-46190.763309999995</v>
      </c>
      <c r="E33" s="549">
        <f t="shared" ref="E33:O33" si="15">D33+E32</f>
        <v>-46718.124809999994</v>
      </c>
      <c r="F33" s="549">
        <f>E33+F32</f>
        <v>-47254.654809999993</v>
      </c>
      <c r="G33" s="549">
        <f t="shared" si="15"/>
        <v>-47771.379809999991</v>
      </c>
      <c r="H33" s="549">
        <f t="shared" si="15"/>
        <v>-48338.990309999994</v>
      </c>
      <c r="I33" s="549">
        <f t="shared" si="15"/>
        <v>-48802.643809999994</v>
      </c>
      <c r="J33" s="549">
        <f t="shared" si="15"/>
        <v>-49201.624809999994</v>
      </c>
      <c r="K33" s="549">
        <f t="shared" si="15"/>
        <v>-49539.56330999999</v>
      </c>
      <c r="L33" s="549">
        <f t="shared" si="15"/>
        <v>-49938.761309999987</v>
      </c>
      <c r="M33" s="549">
        <f>L33+M32</f>
        <v>-50327.648809999984</v>
      </c>
      <c r="N33" s="549">
        <f t="shared" si="15"/>
        <v>-50712.615809999981</v>
      </c>
      <c r="O33" s="549">
        <f t="shared" si="15"/>
        <v>-51291.803309999981</v>
      </c>
      <c r="P33" s="549">
        <f>+O33+P32</f>
        <v>-79126.40330999998</v>
      </c>
      <c r="Q33" s="549">
        <f>P33+Q32</f>
        <v>-79523.643309999985</v>
      </c>
      <c r="R33" s="549">
        <f t="shared" ref="R33" si="16">Q33+R32</f>
        <v>-79934.252709999986</v>
      </c>
      <c r="T33" s="108"/>
    </row>
    <row r="34" spans="1:26" x14ac:dyDescent="0.25">
      <c r="A34" s="87"/>
      <c r="B34" s="89"/>
      <c r="C34" s="89"/>
      <c r="D34" s="89"/>
      <c r="E34" s="89"/>
      <c r="F34" s="554"/>
      <c r="G34" s="549"/>
      <c r="H34" s="549"/>
      <c r="I34" s="549"/>
      <c r="J34" s="554"/>
      <c r="K34" s="554"/>
      <c r="L34" s="554"/>
      <c r="M34" s="554"/>
      <c r="N34" s="554"/>
      <c r="O34" s="554"/>
      <c r="P34" s="554"/>
      <c r="Q34" s="554"/>
      <c r="R34" s="554"/>
      <c r="T34" s="108"/>
    </row>
    <row r="35" spans="1:26" x14ac:dyDescent="0.25">
      <c r="A35" s="86">
        <v>504</v>
      </c>
      <c r="B35" s="104" t="s">
        <v>86</v>
      </c>
      <c r="C35" s="104"/>
      <c r="D35" s="104"/>
      <c r="E35" s="104"/>
      <c r="F35" s="541"/>
      <c r="G35" s="555"/>
      <c r="H35" s="548"/>
      <c r="I35" s="555"/>
      <c r="J35" s="541"/>
      <c r="K35" s="541"/>
      <c r="L35" s="541"/>
      <c r="M35" s="541"/>
      <c r="N35" s="541"/>
      <c r="O35" s="541"/>
      <c r="P35" s="541"/>
      <c r="Q35" s="541"/>
      <c r="R35" s="541"/>
    </row>
    <row r="36" spans="1:26" x14ac:dyDescent="0.25">
      <c r="A36" s="87" t="s">
        <v>92</v>
      </c>
      <c r="B36" t="s">
        <v>70</v>
      </c>
      <c r="D36" s="545">
        <v>13266088</v>
      </c>
      <c r="E36" s="545">
        <v>17999014</v>
      </c>
      <c r="F36" s="545">
        <v>15410603</v>
      </c>
      <c r="G36" s="545">
        <v>13007432</v>
      </c>
      <c r="H36" s="545">
        <v>10239917</v>
      </c>
      <c r="I36" s="545">
        <v>7379375</v>
      </c>
      <c r="J36" s="545">
        <v>3806360</v>
      </c>
      <c r="K36" s="545">
        <v>3465968</v>
      </c>
      <c r="L36" s="545">
        <v>1782753</v>
      </c>
      <c r="M36" s="545">
        <v>2601122</v>
      </c>
      <c r="N36" s="545">
        <v>3807801</v>
      </c>
      <c r="O36" s="545">
        <v>6564511</v>
      </c>
      <c r="P36" s="545"/>
      <c r="Q36" s="545">
        <v>10754826</v>
      </c>
      <c r="R36" s="545">
        <v>12507209</v>
      </c>
      <c r="T36" s="544"/>
      <c r="V36" s="544"/>
    </row>
    <row r="37" spans="1:26" x14ac:dyDescent="0.25">
      <c r="A37" s="87" t="s">
        <v>257</v>
      </c>
      <c r="D37" s="547" t="s">
        <v>258</v>
      </c>
      <c r="E37" s="547">
        <v>-3.6499999999999998E-2</v>
      </c>
      <c r="F37" s="547">
        <v>-3.6499999999999998E-2</v>
      </c>
      <c r="G37" s="547">
        <v>-3.6499999999999998E-2</v>
      </c>
      <c r="H37" s="547">
        <v>-3.6499999999999998E-2</v>
      </c>
      <c r="I37" s="547">
        <v>-3.6499999999999998E-2</v>
      </c>
      <c r="J37" s="547">
        <v>-3.6499999999999998E-2</v>
      </c>
      <c r="K37" s="547">
        <v>-3.6499999999999998E-2</v>
      </c>
      <c r="L37" s="547">
        <v>-3.6499999999999998E-2</v>
      </c>
      <c r="M37" s="547">
        <v>-3.6499999999999998E-2</v>
      </c>
      <c r="N37" s="547">
        <v>-3.6499999999999998E-2</v>
      </c>
      <c r="O37" s="547">
        <v>-3.6499999999999998E-2</v>
      </c>
      <c r="P37" s="547"/>
      <c r="Q37" s="546" t="s">
        <v>258</v>
      </c>
      <c r="R37" s="547">
        <v>2.197E-2</v>
      </c>
      <c r="T37" s="112"/>
      <c r="V37" s="112"/>
      <c r="Z37" s="112"/>
    </row>
    <row r="38" spans="1:26" x14ac:dyDescent="0.25">
      <c r="A38" s="87"/>
      <c r="B38" s="89" t="s">
        <v>74</v>
      </c>
      <c r="C38" s="89"/>
      <c r="D38" s="548"/>
      <c r="E38" s="548"/>
      <c r="F38" s="548"/>
      <c r="G38" s="548"/>
      <c r="H38" s="548"/>
      <c r="I38" s="548"/>
      <c r="J38" s="548"/>
      <c r="K38" s="548"/>
      <c r="L38" s="548"/>
      <c r="M38" s="548"/>
      <c r="N38" s="548"/>
      <c r="O38" s="548"/>
      <c r="P38" s="548"/>
      <c r="Q38" s="548"/>
      <c r="R38" s="548"/>
    </row>
    <row r="39" spans="1:26" x14ac:dyDescent="0.25">
      <c r="A39" s="87"/>
      <c r="B39" s="89" t="s">
        <v>75</v>
      </c>
      <c r="C39" s="89"/>
      <c r="D39" s="549">
        <f>+WACAP2022Amort!Q39</f>
        <v>-495167.91</v>
      </c>
      <c r="E39" s="549">
        <f t="shared" ref="E39:O39" si="17">+E36*E37</f>
        <v>-656964.01099999994</v>
      </c>
      <c r="F39" s="549">
        <f t="shared" si="17"/>
        <v>-562487.00949999993</v>
      </c>
      <c r="G39" s="549">
        <f t="shared" si="17"/>
        <v>-474771.26799999998</v>
      </c>
      <c r="H39" s="549">
        <f t="shared" si="17"/>
        <v>-373756.9705</v>
      </c>
      <c r="I39" s="549">
        <f t="shared" si="17"/>
        <v>-269347.1875</v>
      </c>
      <c r="J39" s="549">
        <f t="shared" si="17"/>
        <v>-138932.13999999998</v>
      </c>
      <c r="K39" s="549">
        <f t="shared" si="17"/>
        <v>-126507.83199999999</v>
      </c>
      <c r="L39" s="549">
        <f t="shared" si="17"/>
        <v>-65070.484499999999</v>
      </c>
      <c r="M39" s="549">
        <f t="shared" si="17"/>
        <v>-94940.952999999994</v>
      </c>
      <c r="N39" s="549">
        <f t="shared" si="17"/>
        <v>-138984.7365</v>
      </c>
      <c r="O39" s="549">
        <f t="shared" si="17"/>
        <v>-239604.65149999998</v>
      </c>
      <c r="P39" s="549">
        <f>+'WA CAP 2023'!O76</f>
        <v>-2107033.0600000005</v>
      </c>
      <c r="Q39" s="549">
        <v>281512.36</v>
      </c>
      <c r="R39" s="549">
        <f>+R36*R37</f>
        <v>274783.38173000002</v>
      </c>
    </row>
    <row r="40" spans="1:26" x14ac:dyDescent="0.25">
      <c r="A40" s="87"/>
      <c r="B40" s="89" t="s">
        <v>137</v>
      </c>
      <c r="C40" s="89"/>
      <c r="D40" s="551">
        <f>+WACAP2022Amort!Q40</f>
        <v>15548.4</v>
      </c>
      <c r="E40" s="551">
        <f t="shared" ref="E40:O40" si="18">ROUND(ROUND(D42*E$5,2)/365*E$6,2)</f>
        <v>14066.6</v>
      </c>
      <c r="F40" s="551">
        <f>ROUND(ROUND(E42*F$5,2)/365*F$6,2)</f>
        <v>14632.05</v>
      </c>
      <c r="G40" s="551">
        <f t="shared" si="18"/>
        <v>10564.12</v>
      </c>
      <c r="H40" s="551">
        <f t="shared" si="18"/>
        <v>9208.2199999999993</v>
      </c>
      <c r="I40" s="551">
        <f t="shared" si="18"/>
        <v>8344.52</v>
      </c>
      <c r="J40" s="551">
        <f t="shared" si="18"/>
        <v>6960.12</v>
      </c>
      <c r="K40" s="551">
        <f t="shared" si="18"/>
        <v>5922.08</v>
      </c>
      <c r="L40" s="551">
        <f t="shared" si="18"/>
        <v>5722.39</v>
      </c>
      <c r="M40" s="551">
        <f>ROUND(ROUND(L42*M$5,2)/365*M$6,2)</f>
        <v>5318.14</v>
      </c>
      <c r="N40" s="551">
        <f t="shared" si="18"/>
        <v>4555.8100000000004</v>
      </c>
      <c r="O40" s="551">
        <f t="shared" si="18"/>
        <v>3948.04</v>
      </c>
      <c r="P40" s="549">
        <f>+'WA CAP 2023'!O77</f>
        <v>-133365.42000000001</v>
      </c>
      <c r="Q40" s="551">
        <f>ROUND(ROUND(P42*Q$5,2)/365*Q$6,2)</f>
        <v>-13172.51</v>
      </c>
      <c r="R40" s="551">
        <f>ROUND(ROUND(Q42*R$5,2)/365*R$6,2)</f>
        <v>-11708.59</v>
      </c>
    </row>
    <row r="41" spans="1:26" x14ac:dyDescent="0.25">
      <c r="A41" s="87"/>
      <c r="B41" s="89" t="s">
        <v>138</v>
      </c>
      <c r="C41" s="89"/>
      <c r="D41" s="552">
        <f t="shared" ref="D41:R41" si="19">SUM(D39:D40)</f>
        <v>-479619.50999999995</v>
      </c>
      <c r="E41" s="552">
        <f t="shared" si="19"/>
        <v>-642897.41099999996</v>
      </c>
      <c r="F41" s="552">
        <f t="shared" si="19"/>
        <v>-547854.95949999988</v>
      </c>
      <c r="G41" s="552">
        <f>SUM(G39:G40)</f>
        <v>-464207.14799999999</v>
      </c>
      <c r="H41" s="552">
        <f t="shared" si="19"/>
        <v>-364548.75050000002</v>
      </c>
      <c r="I41" s="552">
        <f t="shared" si="19"/>
        <v>-261002.66750000001</v>
      </c>
      <c r="J41" s="552">
        <f t="shared" si="19"/>
        <v>-131972.01999999999</v>
      </c>
      <c r="K41" s="552">
        <f t="shared" si="19"/>
        <v>-120585.75199999999</v>
      </c>
      <c r="L41" s="552">
        <f t="shared" si="19"/>
        <v>-59348.094499999999</v>
      </c>
      <c r="M41" s="552">
        <f t="shared" si="19"/>
        <v>-89622.812999999995</v>
      </c>
      <c r="N41" s="552">
        <f t="shared" si="19"/>
        <v>-134428.9265</v>
      </c>
      <c r="O41" s="552">
        <f t="shared" si="19"/>
        <v>-235656.61149999997</v>
      </c>
      <c r="P41" s="552">
        <f>+P39+P40</f>
        <v>-2240398.4800000004</v>
      </c>
      <c r="Q41" s="552">
        <f t="shared" si="19"/>
        <v>268339.84999999998</v>
      </c>
      <c r="R41" s="552">
        <f t="shared" si="19"/>
        <v>263074.79173</v>
      </c>
    </row>
    <row r="42" spans="1:26" x14ac:dyDescent="0.25">
      <c r="A42" s="87"/>
      <c r="B42" s="89" t="s">
        <v>139</v>
      </c>
      <c r="C42" s="553">
        <f>+WACAP2022Amort!P42</f>
        <v>3852794.7810600027</v>
      </c>
      <c r="D42" s="549">
        <f>C42+D41</f>
        <v>3373175.271060003</v>
      </c>
      <c r="E42" s="549">
        <f t="shared" ref="E42:O42" si="20">D42+E41</f>
        <v>2730277.8600600031</v>
      </c>
      <c r="F42" s="549">
        <f>E42+F41</f>
        <v>2182422.9005600032</v>
      </c>
      <c r="G42" s="549">
        <f t="shared" si="20"/>
        <v>1718215.7525600032</v>
      </c>
      <c r="H42" s="549">
        <f t="shared" si="20"/>
        <v>1353667.0020600031</v>
      </c>
      <c r="I42" s="549">
        <f t="shared" si="20"/>
        <v>1092664.3345600031</v>
      </c>
      <c r="J42" s="549">
        <f t="shared" si="20"/>
        <v>960692.31456000311</v>
      </c>
      <c r="K42" s="549">
        <f t="shared" si="20"/>
        <v>840106.56256000313</v>
      </c>
      <c r="L42" s="549">
        <f t="shared" si="20"/>
        <v>780758.46806000313</v>
      </c>
      <c r="M42" s="549">
        <f>L42+M41</f>
        <v>691135.65506000316</v>
      </c>
      <c r="N42" s="549">
        <f t="shared" si="20"/>
        <v>556706.72856000322</v>
      </c>
      <c r="O42" s="549">
        <f t="shared" si="20"/>
        <v>321050.11706000322</v>
      </c>
      <c r="P42" s="549">
        <f>+O42+P41</f>
        <v>-1919348.3629399971</v>
      </c>
      <c r="Q42" s="549">
        <f>P42+Q41</f>
        <v>-1651008.512939997</v>
      </c>
      <c r="R42" s="549">
        <f t="shared" ref="R42" si="21">Q42+R41</f>
        <v>-1387933.7212099971</v>
      </c>
      <c r="T42" s="108"/>
    </row>
    <row r="43" spans="1:26" x14ac:dyDescent="0.25">
      <c r="A43" s="87"/>
      <c r="B43" s="89"/>
      <c r="C43" s="89"/>
      <c r="D43" s="89"/>
      <c r="E43" s="89"/>
      <c r="F43" s="549"/>
      <c r="G43" s="549"/>
      <c r="H43" s="549"/>
      <c r="I43" s="549"/>
      <c r="J43" s="549"/>
      <c r="K43" s="549"/>
      <c r="L43" s="549"/>
      <c r="M43" s="549"/>
      <c r="N43" s="549"/>
      <c r="O43" s="549"/>
      <c r="P43" s="549"/>
      <c r="Q43" s="549"/>
      <c r="R43" s="549"/>
      <c r="T43" s="108"/>
    </row>
    <row r="44" spans="1:26" x14ac:dyDescent="0.25">
      <c r="A44" s="86">
        <v>511</v>
      </c>
      <c r="B44" s="104" t="s">
        <v>86</v>
      </c>
      <c r="C44" s="104"/>
      <c r="D44" s="104"/>
      <c r="E44" s="104"/>
      <c r="F44" s="541"/>
      <c r="G44" s="555"/>
      <c r="H44" s="548"/>
      <c r="I44" s="555"/>
      <c r="J44" s="541"/>
      <c r="K44" s="541"/>
      <c r="L44" s="541"/>
      <c r="M44" s="541"/>
      <c r="N44" s="541"/>
      <c r="O44" s="541"/>
      <c r="P44" s="541"/>
      <c r="Q44" s="541"/>
      <c r="R44" s="541"/>
      <c r="T44" s="108"/>
      <c r="U44" s="108"/>
    </row>
    <row r="45" spans="1:26" x14ac:dyDescent="0.25">
      <c r="A45" s="87" t="s">
        <v>92</v>
      </c>
      <c r="B45" t="s">
        <v>70</v>
      </c>
      <c r="D45" s="545">
        <v>1406550</v>
      </c>
      <c r="E45" s="545">
        <v>2206481</v>
      </c>
      <c r="F45" s="545">
        <v>2373171</v>
      </c>
      <c r="G45" s="545">
        <v>2051740</v>
      </c>
      <c r="H45" s="545">
        <v>2712588</v>
      </c>
      <c r="I45" s="545">
        <v>1169590</v>
      </c>
      <c r="J45" s="545">
        <v>906077</v>
      </c>
      <c r="K45" s="545">
        <v>714298</v>
      </c>
      <c r="L45" s="545">
        <v>838868</v>
      </c>
      <c r="M45" s="545">
        <v>968498</v>
      </c>
      <c r="N45" s="545">
        <v>616105</v>
      </c>
      <c r="O45" s="545">
        <v>1191358</v>
      </c>
      <c r="P45" s="545"/>
      <c r="Q45" s="545">
        <v>1545484</v>
      </c>
      <c r="R45" s="545">
        <v>1600841</v>
      </c>
      <c r="T45" s="544"/>
      <c r="V45" s="544"/>
    </row>
    <row r="46" spans="1:26" x14ac:dyDescent="0.25">
      <c r="A46" s="87" t="s">
        <v>257</v>
      </c>
      <c r="D46" s="547" t="str">
        <f>+D37</f>
        <v>Prorated</v>
      </c>
      <c r="E46" s="547">
        <v>2.887E-2</v>
      </c>
      <c r="F46" s="547">
        <v>2.887E-2</v>
      </c>
      <c r="G46" s="547">
        <v>2.887E-2</v>
      </c>
      <c r="H46" s="547">
        <v>2.887E-2</v>
      </c>
      <c r="I46" s="547">
        <v>2.887E-2</v>
      </c>
      <c r="J46" s="547">
        <v>2.887E-2</v>
      </c>
      <c r="K46" s="547">
        <v>2.887E-2</v>
      </c>
      <c r="L46" s="547">
        <v>2.887E-2</v>
      </c>
      <c r="M46" s="547">
        <v>2.887E-2</v>
      </c>
      <c r="N46" s="547">
        <v>2.887E-2</v>
      </c>
      <c r="O46" s="547">
        <v>2.887E-2</v>
      </c>
      <c r="P46" s="547"/>
      <c r="Q46" s="546" t="s">
        <v>258</v>
      </c>
      <c r="R46" s="547">
        <v>-3.3899999999999998E-3</v>
      </c>
      <c r="T46" s="112"/>
      <c r="V46" s="112"/>
      <c r="Z46" s="112"/>
    </row>
    <row r="47" spans="1:26" x14ac:dyDescent="0.25">
      <c r="A47" s="87"/>
      <c r="B47" s="89" t="s">
        <v>74</v>
      </c>
      <c r="C47" s="89"/>
      <c r="D47" s="89"/>
      <c r="E47" s="89"/>
      <c r="F47" s="548"/>
      <c r="G47" s="548"/>
      <c r="H47" s="548"/>
      <c r="I47" s="548"/>
      <c r="J47" s="548"/>
      <c r="K47" s="548"/>
      <c r="L47" s="548"/>
      <c r="M47" s="548"/>
      <c r="N47" s="548"/>
      <c r="O47" s="548"/>
      <c r="P47" s="548"/>
      <c r="Q47" s="548"/>
      <c r="R47" s="548"/>
    </row>
    <row r="48" spans="1:26" x14ac:dyDescent="0.25">
      <c r="A48" s="87"/>
      <c r="B48" s="89" t="s">
        <v>75</v>
      </c>
      <c r="C48" s="89"/>
      <c r="D48" s="549">
        <f>+WACAP2022Amort!Q48</f>
        <v>61482.720000000001</v>
      </c>
      <c r="E48" s="549">
        <f t="shared" ref="E48:K48" si="22">+E46*E45</f>
        <v>63701.106469999999</v>
      </c>
      <c r="F48" s="549">
        <f t="shared" si="22"/>
        <v>68513.446769999995</v>
      </c>
      <c r="G48" s="549">
        <f t="shared" si="22"/>
        <v>59233.733800000002</v>
      </c>
      <c r="H48" s="549">
        <f t="shared" si="22"/>
        <v>78312.415559999994</v>
      </c>
      <c r="I48" s="549">
        <f t="shared" si="22"/>
        <v>33766.063300000002</v>
      </c>
      <c r="J48" s="549">
        <f t="shared" si="22"/>
        <v>26158.44299</v>
      </c>
      <c r="K48" s="549">
        <f t="shared" si="22"/>
        <v>20621.78326</v>
      </c>
      <c r="L48" s="549">
        <f>+L46*L45</f>
        <v>24218.119159999998</v>
      </c>
      <c r="M48" s="549">
        <f t="shared" ref="M48:R48" si="23">+M46*M45</f>
        <v>27960.537260000001</v>
      </c>
      <c r="N48" s="549">
        <f t="shared" si="23"/>
        <v>17786.951349999999</v>
      </c>
      <c r="O48" s="549">
        <f t="shared" si="23"/>
        <v>34394.50546</v>
      </c>
      <c r="P48" s="549">
        <f>+'WA CAP 2023'!O37+'WA CAP 2023'!O62+'WA CAP 2023'!O90</f>
        <v>-10946.869999999995</v>
      </c>
      <c r="Q48" s="549">
        <f>92.47+-5228.33</f>
        <v>-5135.8599999999997</v>
      </c>
      <c r="R48" s="549">
        <f t="shared" si="23"/>
        <v>-5426.8509899999999</v>
      </c>
    </row>
    <row r="49" spans="1:26" x14ac:dyDescent="0.25">
      <c r="A49" s="87"/>
      <c r="B49" s="89" t="s">
        <v>137</v>
      </c>
      <c r="C49" s="89"/>
      <c r="D49" s="551">
        <f>ROUND(ROUND(C51*D$5,2)/365*D$6,2)</f>
        <v>-195.79</v>
      </c>
      <c r="E49" s="551">
        <f t="shared" ref="E49:O49" si="24">ROUND(ROUND(D51*E$5,2)/365*E$6,2)</f>
        <v>53.26</v>
      </c>
      <c r="F49" s="551">
        <f>ROUND(ROUND(E51*F$5,2)/365*F$6,2)</f>
        <v>410.12</v>
      </c>
      <c r="G49" s="551">
        <f t="shared" si="24"/>
        <v>704.06</v>
      </c>
      <c r="H49" s="551">
        <f t="shared" si="24"/>
        <v>1100.71</v>
      </c>
      <c r="I49" s="551">
        <f t="shared" si="24"/>
        <v>1755.62</v>
      </c>
      <c r="J49" s="551">
        <f t="shared" si="24"/>
        <v>2040.41</v>
      </c>
      <c r="K49" s="551">
        <f t="shared" si="24"/>
        <v>2148.42</v>
      </c>
      <c r="L49" s="551">
        <f t="shared" si="24"/>
        <v>2529.06</v>
      </c>
      <c r="M49" s="551">
        <f>ROUND(ROUND(L51*M$5,2)/365*M$6,2)</f>
        <v>2711.24</v>
      </c>
      <c r="N49" s="551">
        <f t="shared" si="24"/>
        <v>2825.97</v>
      </c>
      <c r="O49" s="551">
        <f t="shared" si="24"/>
        <v>3186.5</v>
      </c>
      <c r="P49" s="551">
        <f>+'WA CAP 2023'!O38+'WA CAP 2023'!O63+'WA CAP 2023'!O91</f>
        <v>-692.88000000000284</v>
      </c>
      <c r="Q49" s="551">
        <f>ROUND(ROUND(P51*Q$5,2)/365*Q$6,2)</f>
        <v>3261.75</v>
      </c>
      <c r="R49" s="551">
        <f t="shared" ref="R49" si="25">ROUND(ROUND(Q51*R$5,2)/365*R$6,2)</f>
        <v>3357.18</v>
      </c>
    </row>
    <row r="50" spans="1:26" x14ac:dyDescent="0.25">
      <c r="A50" s="87"/>
      <c r="B50" s="89" t="s">
        <v>138</v>
      </c>
      <c r="C50" s="89"/>
      <c r="D50" s="552">
        <f t="shared" ref="D50:R50" si="26">SUM(D48:D49)</f>
        <v>61286.93</v>
      </c>
      <c r="E50" s="552">
        <f t="shared" si="26"/>
        <v>63754.366470000001</v>
      </c>
      <c r="F50" s="552">
        <f t="shared" si="26"/>
        <v>68923.56676999999</v>
      </c>
      <c r="G50" s="552">
        <f t="shared" si="26"/>
        <v>59937.793799999999</v>
      </c>
      <c r="H50" s="552">
        <f t="shared" si="26"/>
        <v>79413.12556</v>
      </c>
      <c r="I50" s="552">
        <f t="shared" si="26"/>
        <v>35521.683300000004</v>
      </c>
      <c r="J50" s="552">
        <f t="shared" si="26"/>
        <v>28198.852989999999</v>
      </c>
      <c r="K50" s="552">
        <f t="shared" si="26"/>
        <v>22770.203260000002</v>
      </c>
      <c r="L50" s="552">
        <f t="shared" si="26"/>
        <v>26747.17916</v>
      </c>
      <c r="M50" s="552">
        <f t="shared" si="26"/>
        <v>30671.777260000003</v>
      </c>
      <c r="N50" s="552">
        <f t="shared" si="26"/>
        <v>20612.921350000001</v>
      </c>
      <c r="O50" s="552">
        <f t="shared" si="26"/>
        <v>37581.00546</v>
      </c>
      <c r="P50" s="552">
        <f>+P48+P49</f>
        <v>-11639.749999999998</v>
      </c>
      <c r="Q50" s="552">
        <f t="shared" si="26"/>
        <v>-1874.1099999999997</v>
      </c>
      <c r="R50" s="552">
        <f t="shared" si="26"/>
        <v>-2069.6709900000001</v>
      </c>
    </row>
    <row r="51" spans="1:26" x14ac:dyDescent="0.25">
      <c r="A51" s="87"/>
      <c r="B51" s="89" t="s">
        <v>139</v>
      </c>
      <c r="C51" s="553">
        <f>+WACAP2022Amort!P51</f>
        <v>-48514.758730000074</v>
      </c>
      <c r="D51" s="549">
        <f>C51+D50</f>
        <v>12772.171269999926</v>
      </c>
      <c r="E51" s="549">
        <f>D51+E50</f>
        <v>76526.537739999927</v>
      </c>
      <c r="F51" s="549">
        <f>E51+F50</f>
        <v>145450.10450999992</v>
      </c>
      <c r="G51" s="549">
        <f t="shared" ref="G51:O51" si="27">F51+G50</f>
        <v>205387.8983099999</v>
      </c>
      <c r="H51" s="549">
        <f t="shared" si="27"/>
        <v>284801.02386999992</v>
      </c>
      <c r="I51" s="549">
        <f t="shared" si="27"/>
        <v>320322.70716999995</v>
      </c>
      <c r="J51" s="549">
        <f t="shared" si="27"/>
        <v>348521.56015999994</v>
      </c>
      <c r="K51" s="549">
        <f t="shared" si="27"/>
        <v>371291.76341999992</v>
      </c>
      <c r="L51" s="549">
        <f t="shared" si="27"/>
        <v>398038.94257999992</v>
      </c>
      <c r="M51" s="549">
        <f>L51+M50</f>
        <v>428710.71983999992</v>
      </c>
      <c r="N51" s="549">
        <f t="shared" si="27"/>
        <v>449323.64118999994</v>
      </c>
      <c r="O51" s="549">
        <f t="shared" si="27"/>
        <v>486904.64664999995</v>
      </c>
      <c r="P51" s="549">
        <f>+O51+P50</f>
        <v>475264.89664999995</v>
      </c>
      <c r="Q51" s="549">
        <f>P51+Q50</f>
        <v>473390.78664999997</v>
      </c>
      <c r="R51" s="549">
        <f t="shared" ref="R51" si="28">Q51+R50</f>
        <v>471321.11565999995</v>
      </c>
    </row>
    <row r="52" spans="1:26" x14ac:dyDescent="0.25">
      <c r="A52" s="86"/>
      <c r="F52" s="541"/>
      <c r="G52" s="555"/>
      <c r="H52" s="548"/>
      <c r="I52" s="555"/>
      <c r="J52" s="541"/>
      <c r="K52" s="541"/>
      <c r="L52" s="541"/>
      <c r="M52" s="541"/>
      <c r="N52" s="541"/>
      <c r="O52" s="541"/>
      <c r="P52" s="541"/>
      <c r="Q52" s="541"/>
      <c r="R52" s="541"/>
    </row>
    <row r="53" spans="1:26" x14ac:dyDescent="0.25">
      <c r="A53" s="86"/>
      <c r="B53" s="89"/>
      <c r="C53" s="89"/>
      <c r="D53" s="89"/>
      <c r="E53" s="89"/>
      <c r="F53" s="554"/>
      <c r="G53" s="549"/>
      <c r="H53" s="549"/>
      <c r="I53" s="549"/>
      <c r="J53" s="554"/>
      <c r="K53" s="554"/>
      <c r="L53" s="554"/>
      <c r="M53" s="554"/>
      <c r="N53" s="554"/>
      <c r="O53" s="554"/>
      <c r="P53" s="554"/>
      <c r="Q53" s="554"/>
      <c r="R53" s="554"/>
      <c r="T53" s="108"/>
    </row>
    <row r="54" spans="1:26" x14ac:dyDescent="0.25">
      <c r="A54" s="86">
        <v>570</v>
      </c>
      <c r="B54" s="104" t="s">
        <v>88</v>
      </c>
      <c r="C54" s="104"/>
      <c r="D54" s="104"/>
      <c r="E54" s="104"/>
      <c r="F54" s="541"/>
      <c r="G54" s="555"/>
      <c r="H54" s="548"/>
      <c r="I54" s="555"/>
      <c r="J54" s="541"/>
      <c r="K54" s="541"/>
      <c r="L54" s="541"/>
      <c r="M54" s="541"/>
      <c r="N54" s="541"/>
      <c r="O54" s="541"/>
      <c r="P54" s="541"/>
      <c r="Q54" s="541"/>
      <c r="R54" s="541"/>
      <c r="T54" s="108"/>
      <c r="U54" s="108"/>
    </row>
    <row r="55" spans="1:26" x14ac:dyDescent="0.25">
      <c r="A55" s="87" t="s">
        <v>92</v>
      </c>
      <c r="B55" t="s">
        <v>70</v>
      </c>
      <c r="D55" s="545">
        <v>248692</v>
      </c>
      <c r="E55" s="545">
        <v>283039</v>
      </c>
      <c r="F55" s="545">
        <v>254735</v>
      </c>
      <c r="G55" s="545">
        <v>233311</v>
      </c>
      <c r="H55" s="545">
        <v>244613</v>
      </c>
      <c r="I55" s="545">
        <v>207895</v>
      </c>
      <c r="J55" s="545">
        <v>123718</v>
      </c>
      <c r="K55" s="545">
        <v>98688</v>
      </c>
      <c r="L55" s="545">
        <v>86202</v>
      </c>
      <c r="M55" s="545">
        <v>85131</v>
      </c>
      <c r="N55" s="545">
        <v>107273</v>
      </c>
      <c r="O55" s="545">
        <v>169608</v>
      </c>
      <c r="P55" s="545"/>
      <c r="Q55" s="545">
        <v>236897</v>
      </c>
      <c r="R55" s="545">
        <v>249527</v>
      </c>
      <c r="T55" s="544"/>
      <c r="V55" s="544"/>
    </row>
    <row r="56" spans="1:26" x14ac:dyDescent="0.25">
      <c r="A56" s="87" t="s">
        <v>257</v>
      </c>
      <c r="D56" s="547" t="s">
        <v>258</v>
      </c>
      <c r="E56" s="547">
        <v>6.0000000000000001E-3</v>
      </c>
      <c r="F56" s="547">
        <v>6.0000000000000001E-3</v>
      </c>
      <c r="G56" s="547">
        <v>6.0000000000000001E-3</v>
      </c>
      <c r="H56" s="547">
        <v>6.0000000000000001E-3</v>
      </c>
      <c r="I56" s="547">
        <v>6.0000000000000001E-3</v>
      </c>
      <c r="J56" s="547">
        <v>6.0000000000000001E-3</v>
      </c>
      <c r="K56" s="547">
        <v>6.0000000000000001E-3</v>
      </c>
      <c r="L56" s="547">
        <v>6.0000000000000001E-3</v>
      </c>
      <c r="M56" s="547">
        <v>6.0000000000000001E-3</v>
      </c>
      <c r="N56" s="547">
        <v>6.0000000000000001E-3</v>
      </c>
      <c r="O56" s="547">
        <v>6.0000000000000001E-3</v>
      </c>
      <c r="P56" s="547"/>
      <c r="Q56" s="547">
        <v>6.0000000000000001E-3</v>
      </c>
      <c r="R56" s="547">
        <v>4.0000000000000001E-3</v>
      </c>
      <c r="T56" s="112"/>
      <c r="V56" s="112"/>
      <c r="Z56" s="112"/>
    </row>
    <row r="57" spans="1:26" x14ac:dyDescent="0.25">
      <c r="A57" s="87"/>
      <c r="B57" s="89" t="s">
        <v>74</v>
      </c>
      <c r="C57" s="89"/>
      <c r="D57" s="89"/>
      <c r="E57" s="89"/>
      <c r="F57" s="548"/>
      <c r="G57" s="548"/>
      <c r="H57" s="548"/>
      <c r="I57" s="548"/>
      <c r="J57" s="548"/>
      <c r="K57" s="548"/>
      <c r="L57" s="548"/>
      <c r="M57" s="548"/>
      <c r="N57" s="548"/>
      <c r="O57" s="548"/>
      <c r="P57" s="548"/>
      <c r="Q57" s="548"/>
      <c r="R57" s="548"/>
    </row>
    <row r="58" spans="1:26" x14ac:dyDescent="0.25">
      <c r="A58" s="87"/>
      <c r="B58" s="89" t="s">
        <v>75</v>
      </c>
      <c r="C58" s="89"/>
      <c r="D58" s="549">
        <f>+WACAP2022Amort!Q58</f>
        <v>1492.15</v>
      </c>
      <c r="E58" s="549">
        <f t="shared" ref="E58:R58" si="29">+E55*E56</f>
        <v>1698.2339999999999</v>
      </c>
      <c r="F58" s="549">
        <f t="shared" si="29"/>
        <v>1528.41</v>
      </c>
      <c r="G58" s="549">
        <f t="shared" si="29"/>
        <v>1399.866</v>
      </c>
      <c r="H58" s="549">
        <f t="shared" si="29"/>
        <v>1467.6780000000001</v>
      </c>
      <c r="I58" s="549">
        <f t="shared" si="29"/>
        <v>1247.3700000000001</v>
      </c>
      <c r="J58" s="549">
        <f t="shared" si="29"/>
        <v>742.30799999999999</v>
      </c>
      <c r="K58" s="549">
        <f t="shared" si="29"/>
        <v>592.12800000000004</v>
      </c>
      <c r="L58" s="549">
        <f t="shared" si="29"/>
        <v>517.21199999999999</v>
      </c>
      <c r="M58" s="549">
        <f t="shared" si="29"/>
        <v>510.786</v>
      </c>
      <c r="N58" s="549">
        <f t="shared" si="29"/>
        <v>643.63800000000003</v>
      </c>
      <c r="O58" s="549">
        <f>+O55*O56</f>
        <v>1017.648</v>
      </c>
      <c r="P58" s="549">
        <f>+'WA CAP 2023'!O116</f>
        <v>-7686.6799999999912</v>
      </c>
      <c r="Q58" s="549">
        <v>947.59</v>
      </c>
      <c r="R58" s="549">
        <f t="shared" si="29"/>
        <v>998.10800000000006</v>
      </c>
    </row>
    <row r="59" spans="1:26" x14ac:dyDescent="0.25">
      <c r="A59" s="87"/>
      <c r="B59" s="89" t="s">
        <v>137</v>
      </c>
      <c r="C59" s="89"/>
      <c r="D59" s="551">
        <f>ROUND(ROUND(C61*D$5,2)/365*D$6,2)</f>
        <v>-53.3</v>
      </c>
      <c r="E59" s="551">
        <f t="shared" ref="E59:O59" si="30">ROUND(ROUND(D61*E$5,2)/365*E$6,2)</f>
        <v>-49.08</v>
      </c>
      <c r="F59" s="551">
        <f>ROUND(ROUND(E61*F$5,2)/365*F$6,2)</f>
        <v>-54.23</v>
      </c>
      <c r="G59" s="551">
        <f t="shared" si="30"/>
        <v>-41.85</v>
      </c>
      <c r="H59" s="551">
        <f t="shared" si="30"/>
        <v>-39.06</v>
      </c>
      <c r="I59" s="551">
        <f t="shared" si="30"/>
        <v>-36.119999999999997</v>
      </c>
      <c r="J59" s="551">
        <f t="shared" si="30"/>
        <v>-29.61</v>
      </c>
      <c r="K59" s="551">
        <f t="shared" si="30"/>
        <v>-24.26</v>
      </c>
      <c r="L59" s="551">
        <f t="shared" si="30"/>
        <v>-22.94</v>
      </c>
      <c r="M59" s="551">
        <f>ROUND(ROUND(L61*M$5,2)/365*M$6,2)</f>
        <v>-19.57</v>
      </c>
      <c r="N59" s="551">
        <f t="shared" si="30"/>
        <v>-15.7</v>
      </c>
      <c r="O59" s="551">
        <f t="shared" si="30"/>
        <v>-12.44</v>
      </c>
      <c r="P59" s="549">
        <f>+'WA CAP 2023'!O117</f>
        <v>-486.54</v>
      </c>
      <c r="Q59" s="551">
        <f>ROUND(ROUND(P61*Q$5,2)/365*Q$6,2)</f>
        <v>-61.23</v>
      </c>
      <c r="R59" s="551">
        <f t="shared" ref="R59" si="31">ROUND(ROUND(Q61*R$5,2)/365*R$6,2)</f>
        <v>-56.98</v>
      </c>
    </row>
    <row r="60" spans="1:26" x14ac:dyDescent="0.25">
      <c r="A60" s="87"/>
      <c r="B60" s="89" t="s">
        <v>138</v>
      </c>
      <c r="C60" s="89"/>
      <c r="D60" s="552">
        <f t="shared" ref="D60:R60" si="32">SUM(D58:D59)</f>
        <v>1438.8500000000001</v>
      </c>
      <c r="E60" s="552">
        <f t="shared" si="32"/>
        <v>1649.154</v>
      </c>
      <c r="F60" s="552">
        <f t="shared" si="32"/>
        <v>1474.18</v>
      </c>
      <c r="G60" s="552">
        <f t="shared" si="32"/>
        <v>1358.0160000000001</v>
      </c>
      <c r="H60" s="552">
        <f t="shared" si="32"/>
        <v>1428.6180000000002</v>
      </c>
      <c r="I60" s="552">
        <f t="shared" si="32"/>
        <v>1211.2500000000002</v>
      </c>
      <c r="J60" s="552">
        <f t="shared" si="32"/>
        <v>712.69799999999998</v>
      </c>
      <c r="K60" s="552">
        <f t="shared" si="32"/>
        <v>567.86800000000005</v>
      </c>
      <c r="L60" s="552">
        <f t="shared" si="32"/>
        <v>494.27199999999999</v>
      </c>
      <c r="M60" s="552">
        <f t="shared" si="32"/>
        <v>491.21600000000001</v>
      </c>
      <c r="N60" s="552">
        <f t="shared" si="32"/>
        <v>627.93799999999999</v>
      </c>
      <c r="O60" s="552">
        <f t="shared" si="32"/>
        <v>1005.208</v>
      </c>
      <c r="P60" s="552">
        <f>+P58+P59</f>
        <v>-8173.2199999999912</v>
      </c>
      <c r="Q60" s="552">
        <f t="shared" si="32"/>
        <v>886.36</v>
      </c>
      <c r="R60" s="552">
        <f t="shared" si="32"/>
        <v>941.12800000000004</v>
      </c>
    </row>
    <row r="61" spans="1:26" x14ac:dyDescent="0.25">
      <c r="A61" s="87"/>
      <c r="B61" s="89" t="s">
        <v>139</v>
      </c>
      <c r="C61" s="553">
        <f>+WACAP2022Amort!P61</f>
        <v>-13207.783159999997</v>
      </c>
      <c r="D61" s="549">
        <f>C61+D60</f>
        <v>-11768.933159999997</v>
      </c>
      <c r="E61" s="549">
        <f t="shared" ref="E61:O61" si="33">D61+E60</f>
        <v>-10119.779159999996</v>
      </c>
      <c r="F61" s="549">
        <f>E61+F60</f>
        <v>-8645.5991599999961</v>
      </c>
      <c r="G61" s="549">
        <f t="shared" si="33"/>
        <v>-7287.5831599999965</v>
      </c>
      <c r="H61" s="549">
        <f t="shared" si="33"/>
        <v>-5858.9651599999961</v>
      </c>
      <c r="I61" s="549">
        <f t="shared" si="33"/>
        <v>-4647.7151599999961</v>
      </c>
      <c r="J61" s="549">
        <f t="shared" si="33"/>
        <v>-3935.0171599999962</v>
      </c>
      <c r="K61" s="549">
        <f t="shared" si="33"/>
        <v>-3367.1491599999963</v>
      </c>
      <c r="L61" s="549">
        <f t="shared" si="33"/>
        <v>-2872.8771599999964</v>
      </c>
      <c r="M61" s="549">
        <f>L61+M60</f>
        <v>-2381.6611599999965</v>
      </c>
      <c r="N61" s="549">
        <f t="shared" si="33"/>
        <v>-1753.7231599999964</v>
      </c>
      <c r="O61" s="549">
        <f t="shared" si="33"/>
        <v>-748.5151599999964</v>
      </c>
      <c r="P61" s="549">
        <f>+O61+P60</f>
        <v>-8921.7351599999874</v>
      </c>
      <c r="Q61" s="549">
        <f>P61+Q60</f>
        <v>-8035.3751599999878</v>
      </c>
      <c r="R61" s="549">
        <f t="shared" ref="R61" si="34">Q61+R60</f>
        <v>-7094.2471599999881</v>
      </c>
    </row>
    <row r="62" spans="1:26" x14ac:dyDescent="0.25">
      <c r="A62" s="86"/>
      <c r="F62" s="555"/>
      <c r="G62" s="555"/>
      <c r="H62" s="548"/>
      <c r="I62" s="555"/>
      <c r="J62" s="555"/>
      <c r="K62" s="555"/>
      <c r="L62" s="555"/>
      <c r="M62" s="555"/>
      <c r="N62" s="555"/>
      <c r="O62" s="555"/>
      <c r="P62" s="555"/>
      <c r="Q62" s="555"/>
      <c r="R62" s="555"/>
      <c r="T62" s="108"/>
    </row>
    <row r="63" spans="1:26" ht="15.75" thickBot="1" x14ac:dyDescent="0.3">
      <c r="A63" s="118"/>
      <c r="B63" s="119"/>
      <c r="C63" s="119"/>
      <c r="D63" s="119"/>
      <c r="E63" s="119"/>
      <c r="F63" s="119"/>
      <c r="G63" s="119"/>
      <c r="H63" s="176"/>
      <c r="I63" s="119"/>
      <c r="J63" s="119"/>
      <c r="K63" s="119"/>
      <c r="L63" s="119"/>
      <c r="M63" s="119"/>
      <c r="N63" s="119"/>
      <c r="O63" s="119"/>
      <c r="P63" s="119"/>
      <c r="Q63" s="119"/>
      <c r="R63" s="119"/>
    </row>
    <row r="64" spans="1:26" x14ac:dyDescent="0.25">
      <c r="B64" s="89" t="s">
        <v>259</v>
      </c>
      <c r="C64" s="108">
        <f>SUM(C15:C61)+0.05</f>
        <v>6460313.7252500001</v>
      </c>
      <c r="H64" s="108"/>
    </row>
    <row r="65" spans="2:20" x14ac:dyDescent="0.25">
      <c r="B65" s="89" t="s">
        <v>89</v>
      </c>
      <c r="C65" s="556"/>
      <c r="D65" s="557">
        <f>+D12+D30+D39+D21+D48+D58</f>
        <v>-815720.95000000007</v>
      </c>
      <c r="E65" s="557">
        <f t="shared" ref="E65:Q66" si="35">+E12+E30+E39+E21+E48+E58</f>
        <v>-1112765.7561699999</v>
      </c>
      <c r="F65" s="557">
        <f>+F12+F30+F39+F21+F48+F58+-0.03</f>
        <v>-919300.31316999986</v>
      </c>
      <c r="G65" s="557">
        <f>+G12+G30+G39+G21+G48+G58</f>
        <v>-781779.24164999987</v>
      </c>
      <c r="H65" s="557">
        <f>+H12+H30+H39+H21+H48+H58+-0.01</f>
        <v>-635123.71345000004</v>
      </c>
      <c r="I65" s="557">
        <f>+I12+I30+I39+I21+I48+I58+-0.01</f>
        <v>-444857.10320000007</v>
      </c>
      <c r="J65" s="557">
        <f>+J12+J30+J39+J21+J48+J58+0.01</f>
        <v>-218355.11254999996</v>
      </c>
      <c r="K65" s="557">
        <f>+K12+K30+K39+K21+K48+K58</f>
        <v>-183196.16849000001</v>
      </c>
      <c r="L65" s="557">
        <f>+L12+L30+L39+L21+L48+L58+0.03</f>
        <v>-82388.404549999992</v>
      </c>
      <c r="M65" s="557">
        <f>+M12+M30+M39+M21+M48+M58-0.06</f>
        <v>-122283.62603</v>
      </c>
      <c r="N65" s="557">
        <f>+N12+N30+N39+N21+N48+N58-0.01</f>
        <v>-204825.41498999999</v>
      </c>
      <c r="O65" s="557">
        <f>+O12+O30+O39+O21+O48+O58+0.01</f>
        <v>-376863.52787999989</v>
      </c>
      <c r="P65" s="557">
        <f t="shared" si="35"/>
        <v>-3479179.7600000007</v>
      </c>
      <c r="Q65" s="557">
        <f t="shared" si="35"/>
        <v>463727.24</v>
      </c>
      <c r="R65" s="557">
        <f>+R12+R30+R39+R21+R48+R58+-0.01</f>
        <v>473666.97559000005</v>
      </c>
    </row>
    <row r="66" spans="2:20" x14ac:dyDescent="0.25">
      <c r="B66" s="89" t="s">
        <v>141</v>
      </c>
      <c r="C66" s="89"/>
      <c r="D66" s="558">
        <f>+D13+D31+D40+D22+D49+D59+0.01</f>
        <v>26071.35</v>
      </c>
      <c r="E66" s="558">
        <f>+E13+E31+E40+E22+E49+E59+0.01</f>
        <v>23647.449999999993</v>
      </c>
      <c r="F66" s="558">
        <f>+F13+F31+F40+F22+F49+F59-0.01</f>
        <v>24553.32</v>
      </c>
      <c r="G66" s="558">
        <f>+G13+G31+G40+G22+G49+G59+0.01</f>
        <v>17846.13</v>
      </c>
      <c r="H66" s="558">
        <f>+H13+H31+H40+H22+H49+H59</f>
        <v>15664.160000000002</v>
      </c>
      <c r="I66" s="558">
        <f>+I13+I31+I40+I22+I49+I59+0.01</f>
        <v>14199.080000000002</v>
      </c>
      <c r="J66" s="558">
        <f>+J13+J31+J40+J22+J49+J59+0.01</f>
        <v>11929.15</v>
      </c>
      <c r="K66" s="558">
        <f>+K13+K31+K40+K22+K49+K59</f>
        <v>10271.85</v>
      </c>
      <c r="L66" s="558">
        <f>+L13+L31+L40+L22+L49+L59</f>
        <v>10172.289999999999</v>
      </c>
      <c r="M66" s="558">
        <f>+M13+M31+M40+M22+M49+M59+0.02</f>
        <v>9680.39</v>
      </c>
      <c r="N66" s="558">
        <f t="shared" si="35"/>
        <v>8625.8599999999988</v>
      </c>
      <c r="O66" s="558">
        <f>+O13+O31+O40+O22+O49+O59+0.01</f>
        <v>7888.7500000000009</v>
      </c>
      <c r="P66" s="558">
        <f>+P13+P31+P40+P22+P49+P59</f>
        <v>-220215.94000000003</v>
      </c>
      <c r="Q66" s="558">
        <f>+Q13+Q31+Q40+Q22+Q49+Q59</f>
        <v>-20287.010000000002</v>
      </c>
      <c r="R66" s="558">
        <f>+R13+R31+R40+R22+R49+R59</f>
        <v>-17818.46</v>
      </c>
    </row>
    <row r="67" spans="2:20" x14ac:dyDescent="0.25">
      <c r="B67" s="89" t="s">
        <v>139</v>
      </c>
      <c r="C67" s="550"/>
      <c r="D67" s="557">
        <f>SUM(D65:D66)+C64</f>
        <v>5670664.1252500005</v>
      </c>
      <c r="E67" s="557">
        <f>SUM(E65:E66)+D67</f>
        <v>4581545.8190800007</v>
      </c>
      <c r="F67" s="557">
        <f>SUM(F65:F66)+E67</f>
        <v>3686798.8259100011</v>
      </c>
      <c r="G67" s="557">
        <f>SUM(G65:G66)+F67+0.01</f>
        <v>2922865.724260001</v>
      </c>
      <c r="H67" s="557">
        <f>SUM(H65:H66)+G67</f>
        <v>2303406.170810001</v>
      </c>
      <c r="I67" s="557">
        <f>SUM(I65:I66)+H67</f>
        <v>1872748.1476100008</v>
      </c>
      <c r="J67" s="557">
        <f>SUM(J65:J66)+I67</f>
        <v>1666322.1850600007</v>
      </c>
      <c r="K67" s="557">
        <f>SUM(K65:K66)+J67</f>
        <v>1493397.8665700008</v>
      </c>
      <c r="L67" s="557">
        <f>SUM(L65:L66)+K67+0.01</f>
        <v>1421181.7620200007</v>
      </c>
      <c r="M67" s="557">
        <f>SUM(M65:M66)+L67-0.01</f>
        <v>1308578.5159900007</v>
      </c>
      <c r="N67" s="557">
        <f>SUM(N65:N66)+M67+0.01</f>
        <v>1112378.9710000006</v>
      </c>
      <c r="O67" s="557">
        <f>SUM(O65:O66)+N67</f>
        <v>743404.19312000065</v>
      </c>
      <c r="P67" s="557">
        <f t="shared" ref="P67:R67" si="36">SUM(P65:P66)+O67</f>
        <v>-2955991.5068800002</v>
      </c>
      <c r="Q67" s="557">
        <f>SUM(Q65:Q66)+P67</f>
        <v>-2512551.2768800003</v>
      </c>
      <c r="R67" s="557">
        <f t="shared" si="36"/>
        <v>-2056702.7612900003</v>
      </c>
    </row>
    <row r="68" spans="2:20" x14ac:dyDescent="0.25">
      <c r="B68" s="89"/>
      <c r="C68" s="89"/>
      <c r="D68" s="89"/>
      <c r="E68" s="89"/>
      <c r="F68" s="559"/>
      <c r="G68" s="557"/>
      <c r="H68" s="557"/>
      <c r="I68" s="557"/>
      <c r="J68" s="557"/>
      <c r="K68" s="557"/>
      <c r="L68" s="557"/>
      <c r="M68" s="557"/>
      <c r="N68" s="557"/>
      <c r="O68" s="557"/>
      <c r="P68" s="557"/>
      <c r="Q68" s="557"/>
      <c r="R68" s="557"/>
      <c r="T68" s="108"/>
    </row>
    <row r="69" spans="2:20" x14ac:dyDescent="0.25">
      <c r="C69" s="108"/>
      <c r="D69" s="542"/>
      <c r="E69" s="564"/>
      <c r="F69" s="108"/>
      <c r="R69" s="108"/>
    </row>
    <row r="70" spans="2:20" x14ac:dyDescent="0.25">
      <c r="D70" s="542"/>
      <c r="E70" s="564"/>
    </row>
    <row r="71" spans="2:20" x14ac:dyDescent="0.25">
      <c r="D71" s="542"/>
      <c r="E71" s="564"/>
    </row>
    <row r="72" spans="2:20" x14ac:dyDescent="0.25">
      <c r="I72" s="108"/>
      <c r="P72" s="108"/>
    </row>
  </sheetData>
  <mergeCells count="4">
    <mergeCell ref="A1:L1"/>
    <mergeCell ref="A2:L2"/>
    <mergeCell ref="A3:L3"/>
    <mergeCell ref="C4:C5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99623-8979-4407-937B-72B30C2FB453}">
  <sheetPr>
    <pageSetUpPr fitToPage="1"/>
  </sheetPr>
  <dimension ref="A2:AD15"/>
  <sheetViews>
    <sheetView workbookViewId="0"/>
  </sheetViews>
  <sheetFormatPr defaultColWidth="9.140625" defaultRowHeight="15" x14ac:dyDescent="0.25"/>
  <cols>
    <col min="1" max="3" width="2.85546875" customWidth="1"/>
    <col min="4" max="4" width="40.7109375" bestFit="1" customWidth="1"/>
    <col min="5" max="14" width="10.85546875" customWidth="1"/>
    <col min="15" max="15" width="1.5703125" hidden="1" customWidth="1"/>
    <col min="16" max="17" width="10.85546875" customWidth="1"/>
    <col min="18" max="18" width="11.140625" bestFit="1" customWidth="1"/>
  </cols>
  <sheetData>
    <row r="2" spans="1:30" ht="15" customHeight="1" x14ac:dyDescent="0.25">
      <c r="D2" s="685" t="s">
        <v>125</v>
      </c>
      <c r="E2" s="685"/>
      <c r="F2" s="685"/>
      <c r="G2" s="685"/>
      <c r="H2" s="685"/>
      <c r="I2" s="685"/>
      <c r="J2" s="685"/>
      <c r="K2" s="685"/>
      <c r="L2" s="685"/>
      <c r="M2" s="685"/>
      <c r="N2" s="685"/>
      <c r="O2" s="685"/>
      <c r="P2" s="685"/>
      <c r="Q2" s="685"/>
    </row>
    <row r="3" spans="1:30" ht="15" customHeight="1" x14ac:dyDescent="0.25">
      <c r="D3" s="685"/>
      <c r="E3" s="685"/>
      <c r="F3" s="685"/>
      <c r="G3" s="685"/>
      <c r="H3" s="685"/>
      <c r="I3" s="685"/>
      <c r="J3" s="685"/>
      <c r="K3" s="685"/>
      <c r="L3" s="685"/>
      <c r="M3" s="685"/>
      <c r="N3" s="685"/>
      <c r="O3" s="685"/>
      <c r="P3" s="685"/>
      <c r="Q3" s="685"/>
    </row>
    <row r="4" spans="1:30" ht="15" customHeight="1" x14ac:dyDescent="0.25">
      <c r="D4" s="685"/>
      <c r="E4" s="685"/>
      <c r="F4" s="685"/>
      <c r="G4" s="685"/>
      <c r="H4" s="685"/>
      <c r="I4" s="685"/>
      <c r="J4" s="685"/>
      <c r="K4" s="685"/>
      <c r="L4" s="685"/>
      <c r="M4" s="685"/>
      <c r="N4" s="685"/>
      <c r="O4" s="685"/>
      <c r="P4" s="685"/>
      <c r="Q4" s="685"/>
    </row>
    <row r="5" spans="1:30" ht="22.5" customHeight="1" x14ac:dyDescent="0.3">
      <c r="D5" s="686" t="s">
        <v>62</v>
      </c>
      <c r="E5" s="686"/>
      <c r="F5" s="686"/>
      <c r="G5" s="686"/>
      <c r="H5" s="686"/>
      <c r="I5" s="686"/>
      <c r="J5" s="686"/>
      <c r="K5" s="686"/>
      <c r="L5" s="686"/>
      <c r="M5" s="686"/>
      <c r="N5" s="686"/>
      <c r="O5" s="686"/>
      <c r="P5" s="686"/>
      <c r="Q5" s="686"/>
    </row>
    <row r="6" spans="1:30" ht="18" x14ac:dyDescent="0.25">
      <c r="D6" s="513" t="s">
        <v>247</v>
      </c>
      <c r="E6" s="514" t="s">
        <v>155</v>
      </c>
      <c r="F6" s="514" t="s">
        <v>156</v>
      </c>
      <c r="G6" s="514" t="s">
        <v>157</v>
      </c>
      <c r="H6" s="514" t="s">
        <v>158</v>
      </c>
      <c r="I6" s="514" t="s">
        <v>23</v>
      </c>
      <c r="J6" s="514" t="s">
        <v>159</v>
      </c>
      <c r="K6" s="514" t="s">
        <v>160</v>
      </c>
      <c r="L6" s="514" t="s">
        <v>211</v>
      </c>
      <c r="M6" s="514" t="s">
        <v>162</v>
      </c>
      <c r="N6" s="514" t="s">
        <v>168</v>
      </c>
      <c r="O6" s="514"/>
      <c r="P6" s="514" t="s">
        <v>171</v>
      </c>
      <c r="Q6" s="515" t="s">
        <v>173</v>
      </c>
    </row>
    <row r="7" spans="1:30" s="51" customFormat="1" ht="17.25" customHeight="1" x14ac:dyDescent="0.25">
      <c r="A7"/>
      <c r="B7"/>
      <c r="C7" s="313"/>
      <c r="D7" s="402" t="s">
        <v>31</v>
      </c>
      <c r="E7" s="517">
        <v>35.76</v>
      </c>
      <c r="F7" s="517">
        <v>29.09</v>
      </c>
      <c r="G7" s="517">
        <v>24.67</v>
      </c>
      <c r="H7" s="517">
        <v>16.09</v>
      </c>
      <c r="I7" s="517">
        <v>10.31</v>
      </c>
      <c r="J7" s="517">
        <v>6.6</v>
      </c>
      <c r="K7" s="517">
        <v>5.4</v>
      </c>
      <c r="L7" s="517">
        <v>5.41</v>
      </c>
      <c r="M7" s="517">
        <v>6.55</v>
      </c>
      <c r="N7" s="517">
        <v>14.96</v>
      </c>
      <c r="O7" s="517"/>
      <c r="P7" s="517">
        <v>28.21</v>
      </c>
      <c r="Q7" s="518">
        <v>36.58</v>
      </c>
      <c r="R7" s="419">
        <f>SUM(E7:Q7)</f>
        <v>219.63000000000005</v>
      </c>
      <c r="S7"/>
      <c r="T7"/>
      <c r="U7"/>
      <c r="V7"/>
      <c r="W7"/>
      <c r="X7"/>
      <c r="Y7"/>
      <c r="Z7"/>
      <c r="AA7"/>
      <c r="AB7"/>
      <c r="AC7"/>
      <c r="AD7"/>
    </row>
    <row r="8" spans="1:30" s="51" customFormat="1" hidden="1" x14ac:dyDescent="0.25">
      <c r="A8"/>
      <c r="B8"/>
      <c r="C8" s="313"/>
      <c r="D8" s="527"/>
      <c r="E8" s="642"/>
      <c r="F8" s="642"/>
      <c r="G8" s="643"/>
      <c r="H8" s="642"/>
      <c r="I8" s="642"/>
      <c r="J8" s="642"/>
      <c r="K8" s="642"/>
      <c r="L8" s="642"/>
      <c r="M8" s="642"/>
      <c r="N8" s="642"/>
      <c r="O8" s="642"/>
      <c r="P8" s="642"/>
      <c r="Q8" s="644"/>
      <c r="R8"/>
      <c r="S8"/>
      <c r="T8"/>
      <c r="U8"/>
      <c r="V8"/>
      <c r="W8"/>
      <c r="X8"/>
      <c r="Y8"/>
      <c r="Z8"/>
      <c r="AA8"/>
      <c r="AB8"/>
      <c r="AC8"/>
      <c r="AD8"/>
    </row>
    <row r="9" spans="1:30" s="51" customFormat="1" ht="17.25" customHeight="1" x14ac:dyDescent="0.25">
      <c r="A9"/>
      <c r="B9"/>
      <c r="C9" s="313"/>
      <c r="D9" s="406" t="s">
        <v>34</v>
      </c>
      <c r="E9" s="521">
        <v>148.19999999999999</v>
      </c>
      <c r="F9" s="521">
        <v>122.07</v>
      </c>
      <c r="G9" s="521">
        <v>96.8</v>
      </c>
      <c r="H9" s="521">
        <v>61.86</v>
      </c>
      <c r="I9" s="521">
        <v>43.03</v>
      </c>
      <c r="J9" s="521">
        <v>29.53</v>
      </c>
      <c r="K9" s="521">
        <v>30.55</v>
      </c>
      <c r="L9" s="521">
        <v>30.61</v>
      </c>
      <c r="M9" s="521">
        <v>39.67</v>
      </c>
      <c r="N9" s="521">
        <v>72.53</v>
      </c>
      <c r="O9" s="521"/>
      <c r="P9" s="521">
        <v>109.96</v>
      </c>
      <c r="Q9" s="521">
        <v>141.21</v>
      </c>
      <c r="R9" s="516">
        <f>SUM(E9:Q9)</f>
        <v>926.02</v>
      </c>
      <c r="S9"/>
      <c r="T9"/>
      <c r="U9"/>
      <c r="V9"/>
      <c r="W9"/>
      <c r="X9"/>
      <c r="Y9"/>
      <c r="Z9"/>
      <c r="AA9"/>
      <c r="AB9"/>
      <c r="AC9"/>
      <c r="AD9"/>
    </row>
    <row r="10" spans="1:30" hidden="1" x14ac:dyDescent="0.25">
      <c r="C10" s="313"/>
      <c r="D10" s="527"/>
      <c r="E10" s="645"/>
      <c r="F10" s="645"/>
      <c r="G10" s="645"/>
      <c r="H10" s="645"/>
      <c r="I10" s="645"/>
      <c r="J10" s="645"/>
      <c r="K10" s="645"/>
      <c r="L10" s="645"/>
      <c r="M10" s="645"/>
      <c r="N10" s="645"/>
      <c r="O10" s="645"/>
      <c r="P10" s="645"/>
      <c r="Q10" s="646"/>
    </row>
    <row r="11" spans="1:30" ht="17.25" customHeight="1" x14ac:dyDescent="0.25">
      <c r="C11" s="313"/>
      <c r="D11" s="409" t="s">
        <v>35</v>
      </c>
      <c r="E11" s="524">
        <v>578.55999999999995</v>
      </c>
      <c r="F11" s="524">
        <v>503.46</v>
      </c>
      <c r="G11" s="524">
        <v>502.82</v>
      </c>
      <c r="H11" s="524">
        <v>433.21</v>
      </c>
      <c r="I11" s="524">
        <v>272.13</v>
      </c>
      <c r="J11" s="524">
        <v>243.07</v>
      </c>
      <c r="K11" s="524">
        <v>214.56</v>
      </c>
      <c r="L11" s="524">
        <v>189.32</v>
      </c>
      <c r="M11" s="524">
        <v>235.83</v>
      </c>
      <c r="N11" s="524">
        <v>378.59</v>
      </c>
      <c r="O11" s="524"/>
      <c r="P11" s="524">
        <v>326.54000000000002</v>
      </c>
      <c r="Q11" s="524">
        <v>508.91</v>
      </c>
      <c r="R11" s="516">
        <f>SUM(E11:Q11)</f>
        <v>4387</v>
      </c>
    </row>
    <row r="12" spans="1:30" hidden="1" x14ac:dyDescent="0.25">
      <c r="C12" s="313"/>
      <c r="D12" s="527"/>
      <c r="E12" s="645"/>
      <c r="F12" s="645"/>
      <c r="G12" s="645"/>
      <c r="H12" s="645"/>
      <c r="I12" s="645"/>
      <c r="J12" s="645"/>
      <c r="K12" s="645"/>
      <c r="L12" s="645"/>
      <c r="M12" s="645"/>
      <c r="N12" s="645"/>
      <c r="O12" s="645"/>
      <c r="P12" s="645"/>
      <c r="Q12" s="646"/>
    </row>
    <row r="13" spans="1:30" ht="17.25" customHeight="1" x14ac:dyDescent="0.25">
      <c r="C13" s="313"/>
      <c r="D13" s="409" t="s">
        <v>46</v>
      </c>
      <c r="E13" s="517">
        <v>3761.29</v>
      </c>
      <c r="F13" s="517">
        <v>3442.57</v>
      </c>
      <c r="G13" s="517">
        <v>3346.34</v>
      </c>
      <c r="H13" s="517">
        <v>3193.43</v>
      </c>
      <c r="I13" s="517">
        <v>1909.68</v>
      </c>
      <c r="J13" s="517">
        <v>1855.34</v>
      </c>
      <c r="K13" s="517">
        <v>1599.54</v>
      </c>
      <c r="L13" s="517">
        <v>1297.22</v>
      </c>
      <c r="M13" s="517">
        <v>1295.93</v>
      </c>
      <c r="N13" s="517">
        <v>1549.68</v>
      </c>
      <c r="O13" s="517"/>
      <c r="P13" s="517">
        <v>1802.95</v>
      </c>
      <c r="Q13" s="518">
        <v>2867.06</v>
      </c>
      <c r="R13" s="419">
        <f>SUM(E13:Q13)</f>
        <v>27921.030000000006</v>
      </c>
    </row>
    <row r="14" spans="1:30" hidden="1" x14ac:dyDescent="0.25">
      <c r="C14" s="313"/>
      <c r="D14" s="527"/>
      <c r="E14" s="643"/>
      <c r="F14" s="643"/>
      <c r="G14" s="643"/>
      <c r="H14" s="643"/>
      <c r="I14" s="643"/>
      <c r="J14" s="643"/>
      <c r="K14" s="643"/>
      <c r="L14" s="643"/>
      <c r="M14" s="643"/>
      <c r="N14" s="643"/>
      <c r="O14" s="643"/>
      <c r="P14" s="643"/>
      <c r="Q14" s="647"/>
    </row>
    <row r="15" spans="1:30" ht="17.25" customHeight="1" x14ac:dyDescent="0.25">
      <c r="C15" s="313"/>
      <c r="D15" s="504" t="s">
        <v>54</v>
      </c>
      <c r="E15" s="521">
        <v>2205.48</v>
      </c>
      <c r="F15" s="521">
        <v>2224.48</v>
      </c>
      <c r="G15" s="521">
        <v>1988.22</v>
      </c>
      <c r="H15" s="521">
        <v>1990.59</v>
      </c>
      <c r="I15" s="521">
        <v>1645.52</v>
      </c>
      <c r="J15" s="521">
        <v>1273.76</v>
      </c>
      <c r="K15" s="521">
        <v>1085.46</v>
      </c>
      <c r="L15" s="521">
        <v>1055.6300000000001</v>
      </c>
      <c r="M15" s="521">
        <v>997.25</v>
      </c>
      <c r="N15" s="521">
        <v>938.29</v>
      </c>
      <c r="O15" s="521"/>
      <c r="P15" s="521">
        <v>1774.6</v>
      </c>
      <c r="Q15" s="521">
        <v>2186.1799999999998</v>
      </c>
      <c r="R15" s="516">
        <f>SUM(E15:Q15)</f>
        <v>19365.460000000003</v>
      </c>
    </row>
  </sheetData>
  <mergeCells count="2">
    <mergeCell ref="D2:Q4"/>
    <mergeCell ref="D5:Q5"/>
  </mergeCells>
  <pageMargins left="0.3" right="0.25" top="0.42" bottom="0.43" header="0.3" footer="0.2"/>
  <pageSetup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B2662-E11D-4438-BE65-20DB5516F9C4}">
  <dimension ref="A1:AA182"/>
  <sheetViews>
    <sheetView workbookViewId="0"/>
  </sheetViews>
  <sheetFormatPr defaultColWidth="9.140625" defaultRowHeight="15" x14ac:dyDescent="0.25"/>
  <cols>
    <col min="1" max="1" width="1.85546875" customWidth="1"/>
    <col min="2" max="2" width="2.85546875" hidden="1" customWidth="1"/>
    <col min="3" max="3" width="52.42578125" customWidth="1"/>
    <col min="4" max="4" width="15.7109375" customWidth="1"/>
    <col min="5" max="5" width="15.85546875" customWidth="1"/>
    <col min="6" max="6" width="15" bestFit="1" customWidth="1"/>
    <col min="7" max="7" width="16" bestFit="1" customWidth="1"/>
    <col min="8" max="8" width="14.7109375" bestFit="1" customWidth="1"/>
    <col min="9" max="9" width="14.7109375" customWidth="1"/>
    <col min="10" max="10" width="14.7109375" bestFit="1" customWidth="1"/>
    <col min="11" max="11" width="15.28515625" bestFit="1" customWidth="1"/>
    <col min="12" max="12" width="14.7109375" bestFit="1" customWidth="1"/>
    <col min="13" max="13" width="16.7109375" bestFit="1" customWidth="1"/>
    <col min="14" max="14" width="14" bestFit="1" customWidth="1"/>
    <col min="15" max="15" width="14.42578125" customWidth="1"/>
    <col min="16" max="16" width="15" bestFit="1" customWidth="1"/>
    <col min="17" max="17" width="14" bestFit="1" customWidth="1"/>
    <col min="18" max="18" width="2" customWidth="1"/>
    <col min="19" max="19" width="14.7109375" customWidth="1"/>
    <col min="20" max="20" width="16.85546875" bestFit="1" customWidth="1"/>
    <col min="21" max="21" width="12.5703125" customWidth="1"/>
    <col min="22" max="22" width="10" bestFit="1" customWidth="1"/>
    <col min="23" max="23" width="9.140625" customWidth="1"/>
    <col min="24" max="24" width="0.7109375" customWidth="1"/>
    <col min="25" max="25" width="10.140625" bestFit="1" customWidth="1"/>
    <col min="26" max="26" width="9.140625" customWidth="1"/>
  </cols>
  <sheetData>
    <row r="1" spans="1:26" ht="10.5" customHeight="1" x14ac:dyDescent="0.3"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676"/>
      <c r="N1" s="676"/>
      <c r="O1" s="676"/>
      <c r="P1" s="676"/>
      <c r="S1" s="333"/>
      <c r="T1" s="333"/>
      <c r="U1" s="333"/>
      <c r="V1" s="333"/>
      <c r="W1" s="333"/>
      <c r="X1" s="333"/>
      <c r="Y1" s="333"/>
      <c r="Z1" s="333"/>
    </row>
    <row r="2" spans="1:26" ht="20.25" x14ac:dyDescent="0.3">
      <c r="C2" s="689" t="s">
        <v>69</v>
      </c>
      <c r="D2" s="689"/>
      <c r="E2" s="689"/>
      <c r="F2" s="689"/>
      <c r="G2" s="689"/>
      <c r="H2" s="689"/>
      <c r="I2" s="689"/>
      <c r="J2" s="689"/>
      <c r="K2" s="689"/>
      <c r="L2" s="689"/>
      <c r="M2" s="689"/>
      <c r="N2" s="689"/>
      <c r="O2" s="689"/>
      <c r="P2" s="689"/>
      <c r="Q2" s="689"/>
      <c r="S2" s="678" t="s">
        <v>213</v>
      </c>
      <c r="T2" s="679"/>
      <c r="U2" s="679"/>
      <c r="V2" s="679"/>
      <c r="W2" s="679"/>
      <c r="X2" s="679"/>
      <c r="Y2" s="679"/>
      <c r="Z2" s="330"/>
    </row>
    <row r="3" spans="1:26" ht="18" x14ac:dyDescent="0.25">
      <c r="C3" s="690" t="s">
        <v>252</v>
      </c>
      <c r="D3" s="690"/>
      <c r="E3" s="690"/>
      <c r="F3" s="690"/>
      <c r="G3" s="690"/>
      <c r="H3" s="690"/>
      <c r="I3" s="690"/>
      <c r="J3" s="690"/>
      <c r="K3" s="690"/>
      <c r="L3" s="690"/>
      <c r="M3" s="690"/>
      <c r="N3" s="690"/>
      <c r="O3" s="690"/>
      <c r="P3" s="690"/>
      <c r="Q3" s="690"/>
      <c r="S3" s="330">
        <v>1501</v>
      </c>
      <c r="T3" s="330" t="s">
        <v>216</v>
      </c>
      <c r="U3" s="330"/>
      <c r="V3" s="330"/>
      <c r="W3" s="330"/>
      <c r="X3" s="330"/>
      <c r="Y3" s="330"/>
      <c r="Z3" s="330"/>
    </row>
    <row r="4" spans="1:26" ht="17.25" hidden="1" x14ac:dyDescent="0.3">
      <c r="B4" s="293"/>
      <c r="C4" s="293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6" t="s">
        <v>218</v>
      </c>
      <c r="S4" s="330"/>
      <c r="T4" s="330"/>
      <c r="U4" s="330"/>
      <c r="V4" s="330"/>
      <c r="W4" s="330"/>
      <c r="X4" s="330"/>
      <c r="Y4" s="330"/>
      <c r="Z4" s="330"/>
    </row>
    <row r="5" spans="1:26" ht="18" thickBot="1" x14ac:dyDescent="0.35">
      <c r="B5" s="293"/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55"/>
      <c r="P5" s="355"/>
      <c r="Q5" s="356"/>
      <c r="S5" s="334" t="s">
        <v>253</v>
      </c>
      <c r="T5" s="330" t="s">
        <v>217</v>
      </c>
      <c r="U5" s="330"/>
      <c r="V5" s="330"/>
      <c r="W5" s="330"/>
      <c r="X5" s="330"/>
      <c r="Y5" s="330"/>
      <c r="Z5" s="330"/>
    </row>
    <row r="6" spans="1:26" ht="15.75" x14ac:dyDescent="0.25">
      <c r="A6" s="313"/>
      <c r="B6" s="470" t="s">
        <v>66</v>
      </c>
      <c r="C6" s="471"/>
      <c r="D6" s="472">
        <v>44592</v>
      </c>
      <c r="E6" s="472">
        <f>+D6+28</f>
        <v>44620</v>
      </c>
      <c r="F6" s="472">
        <f t="shared" ref="F6:M6" si="0">+E6+29</f>
        <v>44649</v>
      </c>
      <c r="G6" s="472">
        <f t="shared" si="0"/>
        <v>44678</v>
      </c>
      <c r="H6" s="472">
        <f t="shared" si="0"/>
        <v>44707</v>
      </c>
      <c r="I6" s="472">
        <f t="shared" si="0"/>
        <v>44736</v>
      </c>
      <c r="J6" s="472">
        <f t="shared" si="0"/>
        <v>44765</v>
      </c>
      <c r="K6" s="472">
        <f t="shared" si="0"/>
        <v>44794</v>
      </c>
      <c r="L6" s="472">
        <f t="shared" si="0"/>
        <v>44823</v>
      </c>
      <c r="M6" s="472">
        <f t="shared" si="0"/>
        <v>44852</v>
      </c>
      <c r="N6" s="473" t="s">
        <v>234</v>
      </c>
      <c r="O6" s="472">
        <f>+M6+29</f>
        <v>44881</v>
      </c>
      <c r="P6" s="472">
        <f>+O6+29</f>
        <v>44910</v>
      </c>
      <c r="Q6" s="474" t="s">
        <v>135</v>
      </c>
      <c r="R6" s="358"/>
      <c r="S6" s="330"/>
      <c r="T6" s="330"/>
      <c r="U6" s="330"/>
      <c r="V6" s="330"/>
      <c r="W6" s="330"/>
      <c r="X6" s="330"/>
      <c r="Y6" s="330"/>
      <c r="Z6" s="330"/>
    </row>
    <row r="7" spans="1:26" x14ac:dyDescent="0.25">
      <c r="A7" s="313"/>
      <c r="B7" s="360"/>
      <c r="C7" s="364" t="s">
        <v>136</v>
      </c>
      <c r="D7" s="469">
        <v>3.2500000000000001E-2</v>
      </c>
      <c r="E7" s="469">
        <v>3.2500000000000001E-2</v>
      </c>
      <c r="F7" s="469">
        <v>3.2500000000000001E-2</v>
      </c>
      <c r="G7" s="469">
        <v>3.2500000000000001E-2</v>
      </c>
      <c r="H7" s="469">
        <v>3.2500000000000001E-2</v>
      </c>
      <c r="I7" s="469">
        <v>3.2500000000000001E-2</v>
      </c>
      <c r="J7" s="469">
        <v>3.5999999999999997E-2</v>
      </c>
      <c r="K7" s="469">
        <v>3.5999999999999997E-2</v>
      </c>
      <c r="L7" s="469">
        <v>3.5999999999999997E-2</v>
      </c>
      <c r="M7" s="469">
        <v>4.9099999999999998E-2</v>
      </c>
      <c r="N7" s="469"/>
      <c r="O7" s="469">
        <v>4.9099999999999998E-2</v>
      </c>
      <c r="P7" s="469">
        <v>4.9099999999999998E-2</v>
      </c>
      <c r="Q7" s="451"/>
      <c r="R7" s="358"/>
      <c r="S7" s="330"/>
      <c r="T7" s="330"/>
      <c r="U7" s="330"/>
      <c r="V7" s="330"/>
      <c r="W7" s="330"/>
      <c r="X7" s="330"/>
      <c r="Y7" s="330"/>
      <c r="Z7" s="330"/>
    </row>
    <row r="8" spans="1:26" ht="15.75" x14ac:dyDescent="0.25">
      <c r="A8" s="313"/>
      <c r="B8" s="361"/>
      <c r="C8" s="364" t="s">
        <v>140</v>
      </c>
      <c r="D8" s="341">
        <v>31</v>
      </c>
      <c r="E8" s="396">
        <v>28</v>
      </c>
      <c r="F8" s="341">
        <v>31</v>
      </c>
      <c r="G8" s="341">
        <v>30</v>
      </c>
      <c r="H8" s="341">
        <v>31</v>
      </c>
      <c r="I8" s="341">
        <v>30</v>
      </c>
      <c r="J8" s="341">
        <v>31</v>
      </c>
      <c r="K8" s="341">
        <v>31</v>
      </c>
      <c r="L8" s="341">
        <v>30</v>
      </c>
      <c r="M8" s="341">
        <v>31</v>
      </c>
      <c r="N8" s="341"/>
      <c r="O8" s="341">
        <v>30</v>
      </c>
      <c r="P8" s="396">
        <v>31</v>
      </c>
      <c r="Q8" s="451"/>
      <c r="S8" s="330"/>
      <c r="T8" s="330"/>
      <c r="U8" s="330"/>
      <c r="V8" s="330"/>
      <c r="W8" s="330"/>
      <c r="X8" s="330"/>
      <c r="Y8" s="330"/>
      <c r="Z8" s="330"/>
    </row>
    <row r="9" spans="1:26" x14ac:dyDescent="0.25">
      <c r="A9" s="313"/>
      <c r="B9" t="s">
        <v>84</v>
      </c>
      <c r="C9" s="365" t="s">
        <v>200</v>
      </c>
      <c r="D9" s="113"/>
      <c r="E9" s="113"/>
      <c r="F9" s="108"/>
      <c r="G9" s="108"/>
      <c r="H9" s="113"/>
      <c r="I9" s="113"/>
      <c r="J9" s="113"/>
      <c r="K9" s="113"/>
      <c r="L9" s="113"/>
      <c r="M9" s="113"/>
      <c r="O9" s="113"/>
      <c r="P9" s="113"/>
      <c r="Q9" s="452"/>
      <c r="S9" s="330"/>
      <c r="T9" s="330"/>
      <c r="U9" s="444" t="s">
        <v>92</v>
      </c>
      <c r="V9" s="330"/>
      <c r="W9" s="330"/>
      <c r="X9" s="330"/>
      <c r="Y9" s="330"/>
      <c r="Z9" s="330"/>
    </row>
    <row r="10" spans="1:26" ht="15.75" x14ac:dyDescent="0.25">
      <c r="A10" s="313"/>
      <c r="B10" s="295" t="s">
        <v>64</v>
      </c>
      <c r="C10" s="362" t="s">
        <v>172</v>
      </c>
      <c r="D10" s="250">
        <v>200667</v>
      </c>
      <c r="E10" s="250">
        <v>200873</v>
      </c>
      <c r="F10" s="250">
        <v>201004</v>
      </c>
      <c r="G10" s="250">
        <v>201109</v>
      </c>
      <c r="H10" s="250">
        <v>201087</v>
      </c>
      <c r="I10" s="250">
        <v>201004</v>
      </c>
      <c r="J10" s="250">
        <v>200930</v>
      </c>
      <c r="K10" s="250">
        <v>200995</v>
      </c>
      <c r="L10" s="250">
        <v>201194</v>
      </c>
      <c r="M10" s="250">
        <v>201841</v>
      </c>
      <c r="N10" s="533" t="s">
        <v>249</v>
      </c>
      <c r="O10" s="250">
        <v>202496</v>
      </c>
      <c r="P10" s="250">
        <v>202833</v>
      </c>
      <c r="Q10" s="99"/>
      <c r="S10" s="330">
        <v>4800</v>
      </c>
      <c r="T10" s="461">
        <v>503</v>
      </c>
      <c r="U10" s="535">
        <v>22524732</v>
      </c>
      <c r="V10" s="333"/>
      <c r="W10" s="425" t="s">
        <v>90</v>
      </c>
      <c r="X10" s="330"/>
      <c r="Y10" s="425" t="s">
        <v>214</v>
      </c>
      <c r="Z10" s="330"/>
    </row>
    <row r="11" spans="1:26" ht="15.75" x14ac:dyDescent="0.25">
      <c r="A11" s="313"/>
      <c r="B11" s="295" t="s">
        <v>71</v>
      </c>
      <c r="C11" s="366" t="s">
        <v>210</v>
      </c>
      <c r="D11" s="251">
        <v>8049399.0899999999</v>
      </c>
      <c r="E11" s="251">
        <v>6107968.1500000004</v>
      </c>
      <c r="F11" s="251">
        <v>5899236.0099999998</v>
      </c>
      <c r="G11" s="251">
        <v>3888889.79</v>
      </c>
      <c r="H11" s="251">
        <v>3282552.12</v>
      </c>
      <c r="I11" s="251">
        <v>1979458.59</v>
      </c>
      <c r="J11" s="251">
        <v>1116290.98</v>
      </c>
      <c r="K11" s="251">
        <v>880761.14</v>
      </c>
      <c r="L11" s="251">
        <v>863633.43</v>
      </c>
      <c r="M11" s="251">
        <v>1173255.3700000001</v>
      </c>
      <c r="N11" s="534" t="s">
        <v>250</v>
      </c>
      <c r="O11" s="251">
        <v>3232966.39</v>
      </c>
      <c r="P11" s="251">
        <v>7799168.5599999996</v>
      </c>
      <c r="Q11" s="362"/>
      <c r="S11" s="334" t="s">
        <v>90</v>
      </c>
      <c r="T11" s="460">
        <v>7799168.5599999996</v>
      </c>
      <c r="U11" s="336">
        <f>T11/U10</f>
        <v>0.34624911674864767</v>
      </c>
      <c r="V11" s="336">
        <f>T11/U10</f>
        <v>0.34624911674864767</v>
      </c>
      <c r="W11" s="330">
        <v>0.34623999999999999</v>
      </c>
      <c r="X11" s="330"/>
      <c r="Y11" s="492">
        <f>W11-V11</f>
        <v>-9.1167486476750881E-6</v>
      </c>
      <c r="Z11" s="330"/>
    </row>
    <row r="12" spans="1:26" ht="15.75" x14ac:dyDescent="0.25">
      <c r="A12" s="313"/>
      <c r="B12" s="295" t="s">
        <v>72</v>
      </c>
      <c r="C12" s="367" t="s">
        <v>223</v>
      </c>
      <c r="D12" s="465">
        <v>16216782</v>
      </c>
      <c r="E12" s="465">
        <v>14253820</v>
      </c>
      <c r="F12" s="465">
        <v>8456394</v>
      </c>
      <c r="G12" s="465">
        <v>8330002</v>
      </c>
      <c r="H12" s="465">
        <v>5057385</v>
      </c>
      <c r="I12" s="465">
        <v>2359004</v>
      </c>
      <c r="J12" s="465">
        <v>1155568</v>
      </c>
      <c r="K12" s="465">
        <v>1269341</v>
      </c>
      <c r="L12" s="465">
        <v>1686582</v>
      </c>
      <c r="M12" s="465">
        <v>4288708</v>
      </c>
      <c r="N12" s="480"/>
      <c r="O12" s="465">
        <v>15295766</v>
      </c>
      <c r="P12" s="465">
        <v>18523640</v>
      </c>
      <c r="Q12" s="99"/>
      <c r="S12" s="334" t="s">
        <v>239</v>
      </c>
      <c r="T12" s="460">
        <v>16387144.890000001</v>
      </c>
      <c r="U12" s="336">
        <f>T12/U10</f>
        <v>0.72751786303162236</v>
      </c>
      <c r="V12" s="336">
        <f>T12/U10</f>
        <v>0.72751786303162236</v>
      </c>
      <c r="W12" s="330">
        <v>0.51615999999999995</v>
      </c>
      <c r="X12" s="330"/>
      <c r="Y12" s="492">
        <f>W12-V12</f>
        <v>-0.21135786303162241</v>
      </c>
      <c r="Z12" s="330"/>
    </row>
    <row r="13" spans="1:26" ht="15.75" x14ac:dyDescent="0.25">
      <c r="A13" s="313"/>
      <c r="B13" s="295"/>
      <c r="C13" s="367" t="s">
        <v>224</v>
      </c>
      <c r="D13" s="347">
        <f>ROUND(D12*0.31274,2)</f>
        <v>5071636.4000000004</v>
      </c>
      <c r="E13" s="347">
        <f>ROUND(E12*0.31274,2)</f>
        <v>4457739.67</v>
      </c>
      <c r="F13" s="347">
        <f>ROUND(F12*0.31274,2)</f>
        <v>2644652.66</v>
      </c>
      <c r="G13" s="347">
        <f>ROUND(G12*0.31274,2)</f>
        <v>2605124.83</v>
      </c>
      <c r="H13" s="347">
        <f>ROUND(H12*0.31274,2)</f>
        <v>1581646.58</v>
      </c>
      <c r="I13" s="347">
        <f t="shared" ref="I13:K13" si="1">ROUND(I12*0.31274,2)</f>
        <v>737754.91</v>
      </c>
      <c r="J13" s="347">
        <f t="shared" si="1"/>
        <v>361392.34</v>
      </c>
      <c r="K13" s="347">
        <f t="shared" si="1"/>
        <v>396973.7</v>
      </c>
      <c r="L13" s="347">
        <f>ROUND(L12*0.34083,2)</f>
        <v>574837.74</v>
      </c>
      <c r="M13" s="347">
        <f>ROUND(M12*0.34624,2)</f>
        <v>1484922.26</v>
      </c>
      <c r="N13" s="480"/>
      <c r="O13" s="347">
        <f>ROUND(O12*0.34624,2)</f>
        <v>5296006.0199999996</v>
      </c>
      <c r="P13" s="347">
        <f>ROUND(P12*0.34624,2)</f>
        <v>6413625.1100000003</v>
      </c>
      <c r="Q13" s="99"/>
      <c r="S13" s="445"/>
      <c r="T13" s="460"/>
      <c r="U13" s="336"/>
      <c r="V13" s="336"/>
      <c r="W13" s="330"/>
      <c r="X13" s="330"/>
      <c r="Y13" s="336"/>
      <c r="Z13" s="330"/>
    </row>
    <row r="14" spans="1:26" x14ac:dyDescent="0.25">
      <c r="A14" s="313"/>
      <c r="B14" s="295" t="s">
        <v>72</v>
      </c>
      <c r="C14" s="483" t="s">
        <v>184</v>
      </c>
      <c r="D14" s="88">
        <f>-'WACAP 2021'!P13</f>
        <v>-5860093.3499999996</v>
      </c>
      <c r="E14" s="88">
        <f t="shared" ref="E14:M14" si="2">-D13</f>
        <v>-5071636.4000000004</v>
      </c>
      <c r="F14" s="88">
        <f t="shared" si="2"/>
        <v>-4457739.67</v>
      </c>
      <c r="G14" s="88">
        <f t="shared" si="2"/>
        <v>-2644652.66</v>
      </c>
      <c r="H14" s="88">
        <f t="shared" si="2"/>
        <v>-2605124.83</v>
      </c>
      <c r="I14" s="88">
        <f t="shared" si="2"/>
        <v>-1581646.58</v>
      </c>
      <c r="J14" s="88">
        <f t="shared" si="2"/>
        <v>-737754.91</v>
      </c>
      <c r="K14" s="88">
        <f t="shared" si="2"/>
        <v>-361392.34</v>
      </c>
      <c r="L14" s="88">
        <f t="shared" si="2"/>
        <v>-396973.7</v>
      </c>
      <c r="M14" s="88">
        <f t="shared" si="2"/>
        <v>-574837.74</v>
      </c>
      <c r="N14" s="205"/>
      <c r="O14" s="88">
        <f>-M13</f>
        <v>-1484922.26</v>
      </c>
      <c r="P14" s="88">
        <f>-O13</f>
        <v>-5296006.0199999996</v>
      </c>
      <c r="Q14" s="99"/>
      <c r="S14" s="333"/>
      <c r="T14" s="330"/>
      <c r="U14" s="333"/>
      <c r="V14" s="333"/>
      <c r="W14" s="330"/>
      <c r="X14" s="330"/>
      <c r="Y14" s="330"/>
      <c r="Z14" s="330"/>
    </row>
    <row r="15" spans="1:26" x14ac:dyDescent="0.25">
      <c r="A15" s="313"/>
      <c r="B15" s="295"/>
      <c r="C15" s="364" t="s">
        <v>74</v>
      </c>
      <c r="D15" s="108">
        <f>D13+D11+D14</f>
        <v>7260942.1400000006</v>
      </c>
      <c r="E15" s="108">
        <f t="shared" ref="E15:M15" si="3">E13+E11+E14</f>
        <v>5494071.4199999999</v>
      </c>
      <c r="F15" s="108">
        <f t="shared" si="3"/>
        <v>4086149</v>
      </c>
      <c r="G15" s="108">
        <f t="shared" si="3"/>
        <v>3849361.96</v>
      </c>
      <c r="H15" s="108">
        <f t="shared" si="3"/>
        <v>2259073.87</v>
      </c>
      <c r="I15" s="108">
        <f t="shared" si="3"/>
        <v>1135566.92</v>
      </c>
      <c r="J15" s="108">
        <f t="shared" si="3"/>
        <v>739928.41</v>
      </c>
      <c r="K15" s="108">
        <f t="shared" si="3"/>
        <v>916342.5</v>
      </c>
      <c r="L15" s="108">
        <f t="shared" si="3"/>
        <v>1041497.47</v>
      </c>
      <c r="M15" s="108">
        <f t="shared" si="3"/>
        <v>2083339.89</v>
      </c>
      <c r="N15" s="206"/>
      <c r="O15" s="108">
        <f>O13+O11+O14</f>
        <v>7044050.1500000004</v>
      </c>
      <c r="P15" s="108">
        <f>P13+P11+P14</f>
        <v>8916787.6500000004</v>
      </c>
      <c r="Q15" s="362"/>
      <c r="S15" s="464"/>
      <c r="T15" s="337"/>
      <c r="U15" s="336"/>
      <c r="V15" s="336"/>
      <c r="W15" s="330"/>
      <c r="X15" s="330"/>
      <c r="Y15" s="336"/>
      <c r="Z15" s="330"/>
    </row>
    <row r="16" spans="1:26" ht="15.75" x14ac:dyDescent="0.25">
      <c r="A16" s="313"/>
      <c r="B16" s="295"/>
      <c r="C16" s="487" t="s">
        <v>73</v>
      </c>
      <c r="D16" s="486">
        <f>ROUND(-'Authorized Margins 2021'!D7*'WACAP 2022'!D10,2)</f>
        <v>-6824684.6699999999</v>
      </c>
      <c r="E16" s="88">
        <f>ROUND(-'Authorized Margins 2021'!E7*'WACAP 2022'!E10,2)</f>
        <v>-5495885.2800000003</v>
      </c>
      <c r="F16" s="88">
        <f>ROUND(-'Authorized Margins 2021'!F7*'WACAP 2022'!F10,2)</f>
        <v>-4631132.1600000001</v>
      </c>
      <c r="G16" s="88">
        <f>ROUND(-'Authorized Margins 2021'!G7*'WACAP 2022'!G10,2)</f>
        <v>-3040768.08</v>
      </c>
      <c r="H16" s="88">
        <f>ROUND(-'Authorized Margins 2021'!H7*'WACAP 2022'!H10,2)</f>
        <v>-1928424.33</v>
      </c>
      <c r="I16" s="88">
        <f>ROUND(-'Authorized Margins 2021'!I7*'WACAP 2022'!I10,2)</f>
        <v>-1179893.48</v>
      </c>
      <c r="J16" s="88">
        <f>ROUND(-'Authorized Margins 2021'!J7*'WACAP 2022'!J10,2)</f>
        <v>-988575.6</v>
      </c>
      <c r="K16" s="88">
        <f>ROUND(-'Authorized Margins 2021'!K7*'WACAP 2022'!K10,2)</f>
        <v>-990905.35</v>
      </c>
      <c r="L16" s="88">
        <f>ROUND(-'Authorized Margins 22'!L7*'WACAP 2022'!L10,2)</f>
        <v>-1323856.52</v>
      </c>
      <c r="M16" s="88">
        <f>ROUND(-'Authorized Margins 2022'!M7*'WACAP 2022'!M10,2)</f>
        <v>-3080093.66</v>
      </c>
      <c r="N16" s="209"/>
      <c r="O16" s="88">
        <f>ROUND(-'Authorized Margins 2022'!O7*'WACAP 2022'!O10,2)</f>
        <v>-5825809.9199999999</v>
      </c>
      <c r="P16" s="88">
        <f>ROUND(-'Authorized Margins 2022'!P7*'WACAP 2022'!P10,2)</f>
        <v>-7567699.2300000004</v>
      </c>
      <c r="Q16" s="362"/>
      <c r="S16" s="330"/>
      <c r="T16" s="330"/>
      <c r="U16" s="330"/>
      <c r="V16" s="330"/>
      <c r="W16" s="330"/>
      <c r="X16" s="330"/>
      <c r="Y16" s="330"/>
      <c r="Z16" s="330"/>
    </row>
    <row r="17" spans="1:26" x14ac:dyDescent="0.25">
      <c r="A17" s="313"/>
      <c r="B17" s="295"/>
      <c r="C17" s="364" t="s">
        <v>201</v>
      </c>
      <c r="D17" s="187">
        <f t="shared" ref="D17:P17" si="4">SUM(D15:D16)</f>
        <v>436257.47000000067</v>
      </c>
      <c r="E17" s="187">
        <f t="shared" si="4"/>
        <v>-1813.8600000003353</v>
      </c>
      <c r="F17" s="216">
        <f>SUM(F15:F16)</f>
        <v>-544983.16000000015</v>
      </c>
      <c r="G17" s="216">
        <f>SUM(G15:G16)</f>
        <v>808593.87999999989</v>
      </c>
      <c r="H17" s="187">
        <f t="shared" si="4"/>
        <v>330649.54000000004</v>
      </c>
      <c r="I17" s="187">
        <f t="shared" si="4"/>
        <v>-44326.560000000056</v>
      </c>
      <c r="J17" s="187">
        <f t="shared" si="4"/>
        <v>-248647.18999999994</v>
      </c>
      <c r="K17" s="493">
        <f>SUM(K15:K16)-582974.31</f>
        <v>-657537.16</v>
      </c>
      <c r="L17" s="216">
        <f>SUM(L15:L16)</f>
        <v>-282359.05000000005</v>
      </c>
      <c r="M17" s="216">
        <f>SUM(M15:M16)</f>
        <v>-996753.77000000025</v>
      </c>
      <c r="N17" s="532">
        <f>-'WACAP 2021'!Q19+0.05</f>
        <v>2371653.7699999958</v>
      </c>
      <c r="O17" s="108">
        <f t="shared" si="4"/>
        <v>1218240.2300000004</v>
      </c>
      <c r="P17" s="108">
        <f t="shared" si="4"/>
        <v>1349088.42</v>
      </c>
      <c r="Q17" s="99">
        <f>SUM(D17:P17)-N17</f>
        <v>1366408.79</v>
      </c>
      <c r="S17" s="330"/>
      <c r="T17" s="330"/>
      <c r="U17" s="330"/>
      <c r="V17" s="330"/>
      <c r="W17" s="330"/>
      <c r="X17" s="330"/>
      <c r="Y17" s="330"/>
      <c r="Z17" s="330"/>
    </row>
    <row r="18" spans="1:26" ht="15.75" x14ac:dyDescent="0.25">
      <c r="A18" s="313"/>
      <c r="B18" s="295"/>
      <c r="C18" s="487" t="s">
        <v>137</v>
      </c>
      <c r="D18" s="485">
        <f>ROUND(ROUND('WACAP 2021'!P20*D$7,2)/365*D$8,2)</f>
        <v>-6546.41</v>
      </c>
      <c r="E18" s="187">
        <f>ROUND(ROUND(D20*E$7,2)/365*E$8,2)</f>
        <v>-4841.5600000000004</v>
      </c>
      <c r="F18" s="187">
        <f t="shared" ref="F18:M18" si="5">ROUND(ROUND(E20*F$7,2)/365*F$8,2)</f>
        <v>-5378.66</v>
      </c>
      <c r="G18" s="187">
        <f t="shared" si="5"/>
        <v>-6675.3</v>
      </c>
      <c r="H18" s="187">
        <f>ROUND(ROUND(G20*H$7,2)/365*H$8,2)-1.28</f>
        <v>-4685.58</v>
      </c>
      <c r="I18" s="187">
        <f>ROUND(ROUND(H20*I$7,2)/365*I$8,2)-0.01</f>
        <v>-3662.48</v>
      </c>
      <c r="J18" s="493">
        <f>ROUND(ROUND(I20*J$7,2)/365*J$8,2)+639.54</f>
        <v>-3699.3</v>
      </c>
      <c r="K18" s="493">
        <f>ROUND(ROUND(J20*K$7,2)/365*K$8,2)-53864.44-2587.35</f>
        <v>-61562.19</v>
      </c>
      <c r="L18" s="187">
        <f t="shared" si="5"/>
        <v>-7073.3</v>
      </c>
      <c r="M18" s="187">
        <f t="shared" si="5"/>
        <v>-11175.74</v>
      </c>
      <c r="N18" s="231">
        <f>'Ammort Split 2022'!N15</f>
        <v>70557.909999999989</v>
      </c>
      <c r="O18" s="187">
        <f>ROUND(ROUND(N20*O$7,2)/365*O$8,2)</f>
        <v>-5027.0200000000004</v>
      </c>
      <c r="P18" s="187">
        <f t="shared" ref="P18" si="6">ROUND(ROUND(O20*P$7,2)/365*P$8,2)</f>
        <v>-135.32</v>
      </c>
      <c r="Q18" s="100">
        <f>SUM(D18:P18)</f>
        <v>-49904.950000000033</v>
      </c>
      <c r="S18" s="330"/>
      <c r="T18" s="330"/>
      <c r="U18" s="330"/>
      <c r="V18" s="330"/>
      <c r="W18" s="330"/>
      <c r="X18" s="330"/>
      <c r="Y18" s="330"/>
      <c r="Z18" s="330"/>
    </row>
    <row r="19" spans="1:26" x14ac:dyDescent="0.25">
      <c r="A19" s="313"/>
      <c r="B19" s="295"/>
      <c r="C19" s="364" t="s">
        <v>138</v>
      </c>
      <c r="D19" s="189">
        <f t="shared" ref="D19:P19" si="7">SUM(D17:D18)</f>
        <v>429711.0600000007</v>
      </c>
      <c r="E19" s="189">
        <f t="shared" si="7"/>
        <v>-6655.4200000003357</v>
      </c>
      <c r="F19" s="189">
        <f t="shared" si="7"/>
        <v>-550361.82000000018</v>
      </c>
      <c r="G19" s="189">
        <f t="shared" si="7"/>
        <v>801918.57999999984</v>
      </c>
      <c r="H19" s="189">
        <f t="shared" si="7"/>
        <v>325963.96000000002</v>
      </c>
      <c r="I19" s="189">
        <f t="shared" si="7"/>
        <v>-47989.040000000059</v>
      </c>
      <c r="J19" s="189">
        <f t="shared" si="7"/>
        <v>-252346.48999999993</v>
      </c>
      <c r="K19" s="189">
        <f t="shared" si="7"/>
        <v>-719099.35000000009</v>
      </c>
      <c r="L19" s="189">
        <f t="shared" si="7"/>
        <v>-289432.35000000003</v>
      </c>
      <c r="M19" s="189">
        <f t="shared" si="7"/>
        <v>-1007929.5100000002</v>
      </c>
      <c r="N19" s="209">
        <f>SUM(N17:N18)</f>
        <v>2442211.679999996</v>
      </c>
      <c r="O19" s="189">
        <f t="shared" si="7"/>
        <v>1213213.2100000004</v>
      </c>
      <c r="P19" s="189">
        <f t="shared" si="7"/>
        <v>1348953.0999999999</v>
      </c>
      <c r="Q19" s="453">
        <f>SUM(Q17:Q18)</f>
        <v>1316503.8400000001</v>
      </c>
      <c r="S19" s="330"/>
      <c r="T19" s="330"/>
      <c r="U19" s="330"/>
      <c r="V19" s="330"/>
      <c r="W19" s="330"/>
      <c r="X19" s="330"/>
      <c r="Y19" s="330"/>
      <c r="Z19" s="330"/>
    </row>
    <row r="20" spans="1:26" ht="15.75" x14ac:dyDescent="0.25">
      <c r="A20" s="313"/>
      <c r="B20" s="295"/>
      <c r="C20" s="487" t="s">
        <v>139</v>
      </c>
      <c r="D20" s="485">
        <f>'WACAP 2021'!P20+'WACAP 2022'!D19</f>
        <v>-1941942.6599999953</v>
      </c>
      <c r="E20" s="187">
        <f t="shared" ref="E20:P20" si="8">D20+E19</f>
        <v>-1948598.0799999957</v>
      </c>
      <c r="F20" s="187">
        <f t="shared" si="8"/>
        <v>-2498959.8999999957</v>
      </c>
      <c r="G20" s="187">
        <f t="shared" si="8"/>
        <v>-1697041.3199999959</v>
      </c>
      <c r="H20" s="187">
        <f t="shared" si="8"/>
        <v>-1371077.3599999959</v>
      </c>
      <c r="I20" s="187">
        <f t="shared" si="8"/>
        <v>-1419066.3999999959</v>
      </c>
      <c r="J20" s="187">
        <f t="shared" si="8"/>
        <v>-1671412.8899999959</v>
      </c>
      <c r="K20" s="187">
        <f t="shared" si="8"/>
        <v>-2390512.239999996</v>
      </c>
      <c r="L20" s="187">
        <f t="shared" si="8"/>
        <v>-2679944.5899999961</v>
      </c>
      <c r="M20" s="187">
        <f t="shared" si="8"/>
        <v>-3687874.0999999964</v>
      </c>
      <c r="N20" s="208">
        <f t="shared" si="8"/>
        <v>-1245662.4200000004</v>
      </c>
      <c r="O20" s="187">
        <f t="shared" si="8"/>
        <v>-32449.209999999963</v>
      </c>
      <c r="P20" s="397">
        <f t="shared" si="8"/>
        <v>1316503.8899999999</v>
      </c>
      <c r="Q20" s="362"/>
      <c r="S20" s="330"/>
      <c r="T20" s="330"/>
      <c r="U20" s="330"/>
      <c r="V20" s="330"/>
      <c r="W20" s="330"/>
      <c r="X20" s="330"/>
      <c r="Y20" s="330"/>
      <c r="Z20" s="330"/>
    </row>
    <row r="21" spans="1:26" x14ac:dyDescent="0.25">
      <c r="A21" s="313"/>
      <c r="B21" s="295"/>
      <c r="C21" s="368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207"/>
      <c r="O21" s="90"/>
      <c r="P21" s="90"/>
      <c r="Q21" s="362"/>
      <c r="S21" s="330"/>
      <c r="T21" s="330"/>
      <c r="U21" s="330"/>
      <c r="V21" s="330"/>
      <c r="W21" s="330"/>
      <c r="X21" s="330"/>
      <c r="Y21" s="330"/>
      <c r="Z21" s="330"/>
    </row>
    <row r="22" spans="1:26" x14ac:dyDescent="0.25">
      <c r="A22" s="313"/>
      <c r="B22" t="s">
        <v>85</v>
      </c>
      <c r="C22" s="365" t="s">
        <v>198</v>
      </c>
      <c r="D22" s="113"/>
      <c r="E22" s="113"/>
      <c r="F22" s="108"/>
      <c r="G22" s="113"/>
      <c r="H22" s="113"/>
      <c r="I22" s="113"/>
      <c r="J22" s="113"/>
      <c r="K22" s="113"/>
      <c r="L22" s="113"/>
      <c r="M22" s="113"/>
      <c r="N22" s="204"/>
      <c r="O22" s="113"/>
      <c r="P22" s="113"/>
      <c r="Q22" s="362"/>
      <c r="S22" s="330"/>
      <c r="T22" s="330"/>
      <c r="U22" s="444" t="s">
        <v>92</v>
      </c>
      <c r="V22" s="330"/>
      <c r="W22" s="330"/>
      <c r="X22" s="330"/>
      <c r="Y22" s="330"/>
      <c r="Z22" s="330"/>
    </row>
    <row r="23" spans="1:26" ht="15.75" x14ac:dyDescent="0.25">
      <c r="A23" s="313"/>
      <c r="B23" s="295" t="s">
        <v>64</v>
      </c>
      <c r="C23" s="362" t="s">
        <v>172</v>
      </c>
      <c r="D23" s="250">
        <v>490</v>
      </c>
      <c r="E23" s="250">
        <v>491</v>
      </c>
      <c r="F23" s="250">
        <v>489</v>
      </c>
      <c r="G23" s="250">
        <v>489</v>
      </c>
      <c r="H23" s="250">
        <v>489</v>
      </c>
      <c r="I23" s="250">
        <v>488</v>
      </c>
      <c r="J23" s="250">
        <v>487</v>
      </c>
      <c r="K23" s="250">
        <v>488</v>
      </c>
      <c r="L23" s="250">
        <v>490</v>
      </c>
      <c r="M23" s="250">
        <v>491</v>
      </c>
      <c r="N23" s="479"/>
      <c r="O23" s="250">
        <v>493</v>
      </c>
      <c r="P23" s="250">
        <v>497</v>
      </c>
      <c r="Q23" s="99"/>
      <c r="S23" s="330">
        <v>4809</v>
      </c>
      <c r="T23" s="461">
        <v>505</v>
      </c>
      <c r="U23" s="535">
        <v>1945964</v>
      </c>
      <c r="V23" s="333"/>
      <c r="W23" s="444" t="s">
        <v>90</v>
      </c>
      <c r="X23" s="330"/>
      <c r="Y23" s="444" t="s">
        <v>214</v>
      </c>
      <c r="Z23" s="330"/>
    </row>
    <row r="24" spans="1:26" ht="15.75" x14ac:dyDescent="0.25">
      <c r="A24" s="313"/>
      <c r="B24" s="295" t="s">
        <v>71</v>
      </c>
      <c r="C24" s="366" t="s">
        <v>180</v>
      </c>
      <c r="D24" s="251">
        <v>40556.51</v>
      </c>
      <c r="E24" s="251">
        <v>39396.339999999997</v>
      </c>
      <c r="F24" s="251">
        <v>40218.699999999997</v>
      </c>
      <c r="G24" s="251">
        <v>35791.11</v>
      </c>
      <c r="H24" s="251">
        <v>33420.519999999997</v>
      </c>
      <c r="I24" s="251">
        <v>26008.07</v>
      </c>
      <c r="J24" s="251">
        <v>18611.810000000001</v>
      </c>
      <c r="K24" s="251">
        <v>15739.4</v>
      </c>
      <c r="L24" s="251">
        <v>17295.27</v>
      </c>
      <c r="M24" s="251">
        <v>21903.360000000001</v>
      </c>
      <c r="N24" s="480"/>
      <c r="O24" s="251">
        <v>33988.199999999997</v>
      </c>
      <c r="P24" s="251">
        <v>45777.09</v>
      </c>
      <c r="Q24" s="99"/>
      <c r="S24" s="334" t="s">
        <v>227</v>
      </c>
      <c r="T24" s="460">
        <v>45777.09</v>
      </c>
      <c r="U24" s="336">
        <f>T24/U28</f>
        <v>0.22363014167073764</v>
      </c>
      <c r="V24" s="336">
        <f>T24/U28</f>
        <v>0.22363014167073764</v>
      </c>
      <c r="W24" s="330">
        <v>0.22363</v>
      </c>
      <c r="X24" s="330"/>
      <c r="Y24" s="492">
        <f>W24-V24</f>
        <v>-1.4167073764115301E-7</v>
      </c>
      <c r="Z24" s="330"/>
    </row>
    <row r="25" spans="1:26" ht="15.75" x14ac:dyDescent="0.25">
      <c r="A25" s="313"/>
      <c r="B25" s="295" t="s">
        <v>71</v>
      </c>
      <c r="C25" s="366" t="s">
        <v>181</v>
      </c>
      <c r="D25" s="251">
        <v>125433.83</v>
      </c>
      <c r="E25" s="251">
        <v>114589.58</v>
      </c>
      <c r="F25" s="251">
        <v>115375.11</v>
      </c>
      <c r="G25" s="251">
        <v>87508.33</v>
      </c>
      <c r="H25" s="251">
        <v>79073.119999999995</v>
      </c>
      <c r="I25" s="251">
        <v>56570.49</v>
      </c>
      <c r="J25" s="251">
        <v>37124.480000000003</v>
      </c>
      <c r="K25" s="251">
        <v>38039.78</v>
      </c>
      <c r="L25" s="251">
        <v>41619.14</v>
      </c>
      <c r="M25" s="251">
        <v>51373.16</v>
      </c>
      <c r="N25" s="480"/>
      <c r="O25" s="251">
        <v>76974.84</v>
      </c>
      <c r="P25" s="251">
        <v>144243.93</v>
      </c>
      <c r="Q25" s="99"/>
      <c r="S25" s="334" t="s">
        <v>228</v>
      </c>
      <c r="T25" s="460">
        <v>144243.93</v>
      </c>
      <c r="U25" s="336">
        <f>T25/U29</f>
        <v>0.18355007787686292</v>
      </c>
      <c r="V25" s="336">
        <f>T25/U29</f>
        <v>0.18355007787686292</v>
      </c>
      <c r="W25" s="330">
        <v>0.18354999999999999</v>
      </c>
      <c r="X25" s="330"/>
      <c r="Y25" s="492">
        <f>W25-V25</f>
        <v>-7.7876862930592594E-8</v>
      </c>
      <c r="Z25" s="330"/>
    </row>
    <row r="26" spans="1:26" ht="15.75" x14ac:dyDescent="0.25">
      <c r="A26" s="313"/>
      <c r="B26" s="295" t="s">
        <v>71</v>
      </c>
      <c r="C26" s="366" t="s">
        <v>182</v>
      </c>
      <c r="D26" s="252">
        <v>120010.13</v>
      </c>
      <c r="E26" s="252">
        <v>77028.800000000003</v>
      </c>
      <c r="F26" s="252">
        <v>104441.18</v>
      </c>
      <c r="G26" s="252">
        <v>53286.93</v>
      </c>
      <c r="H26" s="252">
        <v>58952.3</v>
      </c>
      <c r="I26" s="252">
        <v>46173.56</v>
      </c>
      <c r="J26" s="252">
        <v>31288.68</v>
      </c>
      <c r="K26" s="252">
        <v>27371.55</v>
      </c>
      <c r="L26" s="252">
        <v>38973.82</v>
      </c>
      <c r="M26" s="252">
        <v>88987.97</v>
      </c>
      <c r="N26" s="481"/>
      <c r="O26" s="252">
        <v>51938.94</v>
      </c>
      <c r="P26" s="251">
        <v>169577.3</v>
      </c>
      <c r="Q26" s="99"/>
      <c r="S26" s="334" t="s">
        <v>229</v>
      </c>
      <c r="T26" s="460">
        <v>169577.3</v>
      </c>
      <c r="U26" s="336">
        <f>T26/U30</f>
        <v>0.17748998083563336</v>
      </c>
      <c r="V26" s="336">
        <f>T26/U30</f>
        <v>0.17748998083563336</v>
      </c>
      <c r="W26" s="330">
        <v>0.17749000000000001</v>
      </c>
      <c r="X26" s="330"/>
      <c r="Y26" s="492">
        <f>W26-V26</f>
        <v>1.9164366649171427E-8</v>
      </c>
      <c r="Z26" s="330"/>
    </row>
    <row r="27" spans="1:26" ht="15.75" x14ac:dyDescent="0.25">
      <c r="A27" s="313"/>
      <c r="B27" s="271"/>
      <c r="C27" s="364" t="s">
        <v>74</v>
      </c>
      <c r="D27" s="108">
        <f t="shared" ref="D27" si="9">SUM(D24:D26)</f>
        <v>286000.46999999997</v>
      </c>
      <c r="E27" s="108">
        <f t="shared" ref="E27:M27" si="10">SUM(E24:E26)</f>
        <v>231014.71999999997</v>
      </c>
      <c r="F27" s="108">
        <f t="shared" si="10"/>
        <v>260034.99</v>
      </c>
      <c r="G27" s="108">
        <f t="shared" si="10"/>
        <v>176586.37</v>
      </c>
      <c r="H27" s="108">
        <f t="shared" si="10"/>
        <v>171445.94</v>
      </c>
      <c r="I27" s="108">
        <f t="shared" si="10"/>
        <v>128752.12</v>
      </c>
      <c r="J27" s="108">
        <f t="shared" si="10"/>
        <v>87024.97</v>
      </c>
      <c r="K27" s="108">
        <f t="shared" si="10"/>
        <v>81150.73</v>
      </c>
      <c r="L27" s="108">
        <f t="shared" si="10"/>
        <v>97888.23000000001</v>
      </c>
      <c r="M27" s="108">
        <f t="shared" si="10"/>
        <v>162264.49</v>
      </c>
      <c r="N27" s="206"/>
      <c r="O27" s="108">
        <f>SUM(O24:O26)</f>
        <v>162901.97999999998</v>
      </c>
      <c r="P27" s="423">
        <f>SUM(P24:P26)</f>
        <v>359598.31999999995</v>
      </c>
      <c r="Q27" s="362"/>
      <c r="S27" s="334" t="s">
        <v>239</v>
      </c>
      <c r="T27" s="460">
        <v>1376778.94</v>
      </c>
      <c r="U27" s="336">
        <f>T27/U23</f>
        <v>0.70750483564958033</v>
      </c>
      <c r="V27" s="336">
        <f>T27/U23</f>
        <v>0.70750483564958033</v>
      </c>
      <c r="W27" s="338">
        <v>0.49941999999999998</v>
      </c>
      <c r="X27" s="330"/>
      <c r="Y27" s="492">
        <f>W27-V27</f>
        <v>-0.20808483564958036</v>
      </c>
      <c r="Z27" s="330"/>
    </row>
    <row r="28" spans="1:26" ht="15.75" x14ac:dyDescent="0.25">
      <c r="A28" s="313"/>
      <c r="B28" s="271"/>
      <c r="C28" s="487" t="s">
        <v>73</v>
      </c>
      <c r="D28" s="484">
        <f>ROUND(-'Authorized Margins 2021'!D11*'WACAP 2022'!D23,2)</f>
        <v>-243490.8</v>
      </c>
      <c r="E28" s="88">
        <f>ROUND(-'Authorized Margins 2021'!E11*'WACAP 2022'!E23,2)</f>
        <v>-276128.58</v>
      </c>
      <c r="F28" s="88">
        <f>ROUND(-'Authorized Margins 2021'!F11*'WACAP 2022'!F23,2)</f>
        <v>-299140.86</v>
      </c>
      <c r="G28" s="88">
        <f>ROUND(-'Authorized Margins 2021'!G11*'WACAP 2022'!G23,2)</f>
        <v>-225590.37</v>
      </c>
      <c r="H28" s="88">
        <f>ROUND(-'Authorized Margins 2021'!H11*'WACAP 2022'!H23,2)</f>
        <v>-135619.26</v>
      </c>
      <c r="I28" s="88">
        <f>ROUND(-'Authorized Margins 2021'!I11*'WACAP 2022'!I23,2)</f>
        <v>-97536.56</v>
      </c>
      <c r="J28" s="88">
        <f>ROUND(-'Authorized Margins 2021'!J11*'WACAP 2022'!J23,2)</f>
        <v>-91219.97</v>
      </c>
      <c r="K28" s="88">
        <f>ROUND(-'Authorized Margins 2021'!K11*'WACAP 2022'!K23,2)</f>
        <v>-93910.720000000001</v>
      </c>
      <c r="L28" s="88">
        <f>ROUND(-'Authorized Margins 22'!L11*'WACAP 2022'!L23,2)</f>
        <v>-116134.9</v>
      </c>
      <c r="M28" s="88">
        <f>ROUND(-'Authorized Margins 2022'!M11*'WACAP 2022'!M23,2)</f>
        <v>-189565.28</v>
      </c>
      <c r="N28" s="209"/>
      <c r="O28" s="88">
        <f>ROUND(-'Authorized Margins 2022'!O11*'WACAP 2022'!O23,2)</f>
        <v>-164173.93</v>
      </c>
      <c r="P28" s="88">
        <f>ROUND(-'Authorized Margins 2022'!P11*'WACAP 2022'!P23,2)</f>
        <v>-257933.06</v>
      </c>
      <c r="Q28" s="362"/>
      <c r="S28" s="330"/>
      <c r="T28" s="330"/>
      <c r="U28" s="337">
        <f>ROUND(T24/W24,0)</f>
        <v>204700</v>
      </c>
      <c r="V28" s="330"/>
      <c r="W28" s="330"/>
      <c r="X28" s="330"/>
      <c r="Y28" s="330"/>
      <c r="Z28" s="330"/>
    </row>
    <row r="29" spans="1:26" x14ac:dyDescent="0.25">
      <c r="A29" s="313"/>
      <c r="B29" s="271"/>
      <c r="C29" s="364" t="s">
        <v>201</v>
      </c>
      <c r="D29" s="187">
        <f t="shared" ref="D29:P29" si="11">SUM(D27:D28)</f>
        <v>42509.669999999984</v>
      </c>
      <c r="E29" s="187">
        <f t="shared" si="11"/>
        <v>-45113.860000000044</v>
      </c>
      <c r="F29" s="187">
        <f t="shared" si="11"/>
        <v>-39105.869999999995</v>
      </c>
      <c r="G29" s="187">
        <f t="shared" si="11"/>
        <v>-49004</v>
      </c>
      <c r="H29" s="187">
        <f t="shared" si="11"/>
        <v>35826.679999999993</v>
      </c>
      <c r="I29" s="187">
        <f t="shared" si="11"/>
        <v>31215.559999999998</v>
      </c>
      <c r="J29" s="187">
        <f t="shared" si="11"/>
        <v>-4195</v>
      </c>
      <c r="K29" s="187">
        <f t="shared" si="11"/>
        <v>-12759.990000000005</v>
      </c>
      <c r="L29" s="187">
        <f t="shared" si="11"/>
        <v>-18246.669999999984</v>
      </c>
      <c r="M29" s="187">
        <f t="shared" si="11"/>
        <v>-27300.790000000008</v>
      </c>
      <c r="N29" s="302">
        <f>-'WACAP 2021'!Q31</f>
        <v>207076.29000000007</v>
      </c>
      <c r="O29" s="187">
        <f t="shared" si="11"/>
        <v>-1271.9500000000116</v>
      </c>
      <c r="P29" s="187">
        <f t="shared" si="11"/>
        <v>101665.25999999995</v>
      </c>
      <c r="Q29" s="99">
        <f>SUM(D29:P29)-N29</f>
        <v>14219.039999999892</v>
      </c>
      <c r="S29" s="330"/>
      <c r="T29" s="330"/>
      <c r="U29" s="337">
        <f>ROUND(T25/W25,0)</f>
        <v>785856</v>
      </c>
      <c r="V29" s="330"/>
      <c r="W29" s="330"/>
      <c r="X29" s="330"/>
      <c r="Y29" s="330"/>
      <c r="Z29" s="330"/>
    </row>
    <row r="30" spans="1:26" ht="15.75" x14ac:dyDescent="0.25">
      <c r="A30" s="313"/>
      <c r="B30" s="295"/>
      <c r="C30" s="487" t="s">
        <v>137</v>
      </c>
      <c r="D30" s="308">
        <f>ROUND(ROUND('WACAP 2021'!P32*D$7,2)/365*D$8,2)</f>
        <v>-571.59</v>
      </c>
      <c r="E30" s="187">
        <f>ROUND(ROUND(D32*E$7,2)/365*E$8,2)</f>
        <v>-411.71</v>
      </c>
      <c r="F30" s="187">
        <f t="shared" ref="F30:P30" si="12">ROUND(ROUND(E32*F$7,2)/365*F$8,2)</f>
        <v>-581.49</v>
      </c>
      <c r="G30" s="187">
        <f t="shared" si="12"/>
        <v>-668.75</v>
      </c>
      <c r="H30" s="187">
        <f t="shared" si="12"/>
        <v>-828.15</v>
      </c>
      <c r="I30" s="187">
        <f t="shared" si="12"/>
        <v>-707.94</v>
      </c>
      <c r="J30" s="187">
        <f t="shared" si="12"/>
        <v>-717.05</v>
      </c>
      <c r="K30" s="187">
        <f t="shared" si="12"/>
        <v>-732.06</v>
      </c>
      <c r="L30" s="187">
        <f t="shared" si="12"/>
        <v>-748.37</v>
      </c>
      <c r="M30" s="187">
        <f t="shared" si="12"/>
        <v>-1133.93</v>
      </c>
      <c r="N30" s="231">
        <f>'Ammort Split 2022'!N28</f>
        <v>6160.6200000000008</v>
      </c>
      <c r="O30" s="187">
        <f>ROUND(ROUND(N32*O$7,2)/365*O$8,2)</f>
        <v>-351.56</v>
      </c>
      <c r="P30" s="187">
        <f t="shared" si="12"/>
        <v>-370.05</v>
      </c>
      <c r="Q30" s="100">
        <f>SUM(D30:P30)</f>
        <v>-1662.0299999999991</v>
      </c>
      <c r="S30" s="330"/>
      <c r="T30" s="330"/>
      <c r="U30" s="337">
        <f>ROUND(T26/W26,0)</f>
        <v>955419</v>
      </c>
      <c r="V30" s="330"/>
      <c r="W30" s="330"/>
      <c r="X30" s="330"/>
      <c r="Y30" s="330"/>
      <c r="Z30" s="330"/>
    </row>
    <row r="31" spans="1:26" x14ac:dyDescent="0.25">
      <c r="A31" s="313"/>
      <c r="B31" s="295"/>
      <c r="C31" s="364" t="s">
        <v>138</v>
      </c>
      <c r="D31" s="189">
        <f t="shared" ref="D31:P31" si="13">SUM(D29:D30)</f>
        <v>41938.079999999987</v>
      </c>
      <c r="E31" s="189">
        <f t="shared" si="13"/>
        <v>-45525.570000000043</v>
      </c>
      <c r="F31" s="189">
        <f t="shared" si="13"/>
        <v>-39687.359999999993</v>
      </c>
      <c r="G31" s="189">
        <f t="shared" si="13"/>
        <v>-49672.75</v>
      </c>
      <c r="H31" s="189">
        <f t="shared" si="13"/>
        <v>34998.529999999992</v>
      </c>
      <c r="I31" s="189">
        <f t="shared" si="13"/>
        <v>30507.62</v>
      </c>
      <c r="J31" s="189">
        <f t="shared" si="13"/>
        <v>-4912.05</v>
      </c>
      <c r="K31" s="189">
        <f t="shared" si="13"/>
        <v>-13492.050000000005</v>
      </c>
      <c r="L31" s="189">
        <f t="shared" si="13"/>
        <v>-18995.039999999983</v>
      </c>
      <c r="M31" s="189">
        <f t="shared" si="13"/>
        <v>-28434.720000000008</v>
      </c>
      <c r="N31" s="209">
        <f>SUM(N29:N30)</f>
        <v>213236.91000000006</v>
      </c>
      <c r="O31" s="189">
        <f t="shared" si="13"/>
        <v>-1623.5100000000116</v>
      </c>
      <c r="P31" s="189">
        <f t="shared" si="13"/>
        <v>101295.20999999995</v>
      </c>
      <c r="Q31" s="453">
        <f>SUM(Q29:Q30)</f>
        <v>12557.009999999893</v>
      </c>
      <c r="S31" s="330"/>
      <c r="T31" s="330"/>
      <c r="U31" s="330"/>
      <c r="V31" s="330"/>
      <c r="W31" s="330"/>
      <c r="X31" s="330"/>
      <c r="Y31" s="330"/>
      <c r="Z31" s="330"/>
    </row>
    <row r="32" spans="1:26" ht="15.75" x14ac:dyDescent="0.25">
      <c r="A32" s="313"/>
      <c r="B32" s="295"/>
      <c r="C32" s="487" t="s">
        <v>139</v>
      </c>
      <c r="D32" s="308">
        <f>'WACAP 2021'!P32+'WACAP 2022'!D31</f>
        <v>-165138.21000000005</v>
      </c>
      <c r="E32" s="187">
        <f t="shared" ref="E32:P32" si="14">D32+E31</f>
        <v>-210663.78000000009</v>
      </c>
      <c r="F32" s="187">
        <f t="shared" si="14"/>
        <v>-250351.14000000007</v>
      </c>
      <c r="G32" s="187">
        <f t="shared" si="14"/>
        <v>-300023.89000000007</v>
      </c>
      <c r="H32" s="187">
        <f t="shared" si="14"/>
        <v>-265025.3600000001</v>
      </c>
      <c r="I32" s="187">
        <f t="shared" si="14"/>
        <v>-234517.74000000011</v>
      </c>
      <c r="J32" s="187">
        <f t="shared" si="14"/>
        <v>-239429.7900000001</v>
      </c>
      <c r="K32" s="187">
        <f t="shared" si="14"/>
        <v>-252921.84000000011</v>
      </c>
      <c r="L32" s="187">
        <f t="shared" si="14"/>
        <v>-271916.88000000012</v>
      </c>
      <c r="M32" s="187">
        <f t="shared" si="14"/>
        <v>-300351.60000000015</v>
      </c>
      <c r="N32" s="208">
        <f>M32+N31</f>
        <v>-87114.69000000009</v>
      </c>
      <c r="O32" s="187">
        <f t="shared" si="14"/>
        <v>-88738.200000000099</v>
      </c>
      <c r="P32" s="397">
        <f t="shared" si="14"/>
        <v>12557.009999999849</v>
      </c>
      <c r="Q32" s="362"/>
      <c r="S32" s="330"/>
      <c r="T32" s="330"/>
      <c r="U32" s="330"/>
      <c r="V32" s="330"/>
      <c r="W32" s="330"/>
      <c r="X32" s="330"/>
      <c r="Y32" s="330"/>
      <c r="Z32" s="330"/>
    </row>
    <row r="33" spans="1:26" x14ac:dyDescent="0.25">
      <c r="A33" s="313"/>
      <c r="B33" s="271"/>
      <c r="C33" s="368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208"/>
      <c r="O33" s="187"/>
      <c r="P33" s="187"/>
      <c r="Q33" s="362"/>
      <c r="S33" s="334"/>
      <c r="T33" s="337"/>
      <c r="U33" s="330"/>
      <c r="V33" s="330"/>
      <c r="W33" s="330"/>
      <c r="X33" s="330"/>
      <c r="Y33" s="330"/>
      <c r="Z33" s="330"/>
    </row>
    <row r="34" spans="1:26" x14ac:dyDescent="0.25">
      <c r="A34" s="313"/>
      <c r="B34" t="s">
        <v>85</v>
      </c>
      <c r="C34" s="365" t="s">
        <v>197</v>
      </c>
      <c r="D34" s="192"/>
      <c r="E34" s="192"/>
      <c r="F34" s="187"/>
      <c r="G34" s="192"/>
      <c r="H34" s="192"/>
      <c r="I34" s="192"/>
      <c r="J34" s="192"/>
      <c r="K34" s="192"/>
      <c r="L34" s="192"/>
      <c r="M34" s="192"/>
      <c r="N34" s="202"/>
      <c r="O34" s="192"/>
      <c r="P34" s="192"/>
      <c r="Q34" s="362"/>
      <c r="S34" s="330"/>
      <c r="T34" s="330"/>
      <c r="U34" s="444" t="s">
        <v>92</v>
      </c>
      <c r="V34" s="330"/>
      <c r="W34" s="330"/>
      <c r="X34" s="330"/>
      <c r="Y34" s="330"/>
      <c r="Z34" s="330"/>
    </row>
    <row r="35" spans="1:26" ht="15.75" x14ac:dyDescent="0.25">
      <c r="A35" s="313"/>
      <c r="B35" s="295" t="s">
        <v>64</v>
      </c>
      <c r="C35" s="362" t="s">
        <v>172</v>
      </c>
      <c r="D35" s="250">
        <v>23</v>
      </c>
      <c r="E35" s="250">
        <v>23</v>
      </c>
      <c r="F35" s="250">
        <v>24</v>
      </c>
      <c r="G35" s="250">
        <v>24</v>
      </c>
      <c r="H35" s="250">
        <v>24</v>
      </c>
      <c r="I35" s="250">
        <v>24</v>
      </c>
      <c r="J35" s="250">
        <v>26</v>
      </c>
      <c r="K35" s="250">
        <v>27</v>
      </c>
      <c r="L35" s="250">
        <v>25</v>
      </c>
      <c r="M35" s="250">
        <v>25</v>
      </c>
      <c r="N35" s="479"/>
      <c r="O35" s="250">
        <v>25</v>
      </c>
      <c r="P35" s="250">
        <v>24</v>
      </c>
      <c r="Q35" s="99"/>
      <c r="S35" s="330">
        <v>4809</v>
      </c>
      <c r="T35" s="461">
        <v>511</v>
      </c>
      <c r="U35" s="535">
        <v>398087</v>
      </c>
      <c r="V35" s="333"/>
      <c r="W35" s="444" t="s">
        <v>90</v>
      </c>
      <c r="X35" s="330"/>
      <c r="Y35" s="444" t="s">
        <v>214</v>
      </c>
      <c r="Z35" s="330"/>
    </row>
    <row r="36" spans="1:26" ht="15.75" x14ac:dyDescent="0.25">
      <c r="A36" s="313"/>
      <c r="B36" s="295" t="s">
        <v>71</v>
      </c>
      <c r="C36" s="366" t="s">
        <v>175</v>
      </c>
      <c r="D36" s="251">
        <v>48274.2</v>
      </c>
      <c r="E36" s="251">
        <v>43750.17</v>
      </c>
      <c r="F36" s="251">
        <v>45399.77</v>
      </c>
      <c r="G36" s="251">
        <v>34605.629999999997</v>
      </c>
      <c r="H36" s="251">
        <v>32825.56</v>
      </c>
      <c r="I36" s="251">
        <v>27630.81</v>
      </c>
      <c r="J36" s="251">
        <v>23432.14</v>
      </c>
      <c r="K36" s="251">
        <v>23190.99</v>
      </c>
      <c r="L36" s="251">
        <v>25700.58</v>
      </c>
      <c r="M36" s="251">
        <v>31371.759999999998</v>
      </c>
      <c r="N36" s="480"/>
      <c r="O36" s="251">
        <v>39009.54</v>
      </c>
      <c r="P36" s="251">
        <v>46762.33</v>
      </c>
      <c r="Q36" s="99"/>
      <c r="S36" s="334" t="s">
        <v>230</v>
      </c>
      <c r="T36" s="460">
        <v>46762.33</v>
      </c>
      <c r="U36" s="336">
        <f>T36/U40</f>
        <v>0.17769003070282102</v>
      </c>
      <c r="V36" s="336">
        <f>T36/U40</f>
        <v>0.17769003070282102</v>
      </c>
      <c r="W36" s="338">
        <v>0.17768999999999999</v>
      </c>
      <c r="X36" s="330"/>
      <c r="Y36" s="492">
        <f>W36-V36</f>
        <v>-3.070282103556643E-8</v>
      </c>
      <c r="Z36" s="330"/>
    </row>
    <row r="37" spans="1:26" ht="15.75" x14ac:dyDescent="0.25">
      <c r="B37" s="87" t="s">
        <v>71</v>
      </c>
      <c r="C37" s="366" t="s">
        <v>176</v>
      </c>
      <c r="D37" s="251">
        <v>25718.25</v>
      </c>
      <c r="E37" s="251">
        <v>21039.94</v>
      </c>
      <c r="F37" s="251">
        <v>27858.400000000001</v>
      </c>
      <c r="G37" s="251">
        <v>20066.41</v>
      </c>
      <c r="H37" s="251">
        <v>15663.47</v>
      </c>
      <c r="I37" s="251">
        <v>22063.37</v>
      </c>
      <c r="J37" s="251">
        <v>22910</v>
      </c>
      <c r="K37" s="251">
        <v>18255.650000000001</v>
      </c>
      <c r="L37" s="251">
        <v>20696.8</v>
      </c>
      <c r="M37" s="251">
        <v>27232.1</v>
      </c>
      <c r="N37" s="480"/>
      <c r="O37" s="251">
        <v>31578.54</v>
      </c>
      <c r="P37" s="251">
        <v>18644.45</v>
      </c>
      <c r="Q37" s="99"/>
      <c r="S37" s="334" t="s">
        <v>231</v>
      </c>
      <c r="T37" s="460">
        <v>18644.45</v>
      </c>
      <c r="U37" s="336">
        <f>T37/U41</f>
        <v>0.13818995100764161</v>
      </c>
      <c r="V37" s="336">
        <f>T37/U41</f>
        <v>0.13818995100764161</v>
      </c>
      <c r="W37" s="330">
        <v>0.13819000000000001</v>
      </c>
      <c r="X37" s="330"/>
      <c r="Y37" s="492">
        <f>W37-V37</f>
        <v>4.8992358392396795E-8</v>
      </c>
      <c r="Z37" s="330"/>
    </row>
    <row r="38" spans="1:26" ht="15.75" x14ac:dyDescent="0.25">
      <c r="A38" s="313"/>
      <c r="B38" s="295" t="s">
        <v>71</v>
      </c>
      <c r="C38" s="366" t="s">
        <v>177</v>
      </c>
      <c r="D38" s="252">
        <v>0</v>
      </c>
      <c r="E38" s="95"/>
      <c r="F38" s="252">
        <v>162.80000000000001</v>
      </c>
      <c r="G38" s="252">
        <v>129.16</v>
      </c>
      <c r="H38" s="252"/>
      <c r="I38" s="252">
        <v>1448.29</v>
      </c>
      <c r="J38" s="252">
        <v>1887.11</v>
      </c>
      <c r="K38" s="252">
        <v>2295.87</v>
      </c>
      <c r="L38" s="252">
        <v>1236.57</v>
      </c>
      <c r="M38" s="252">
        <v>427.54</v>
      </c>
      <c r="N38" s="481"/>
      <c r="O38" s="252">
        <v>3298.2</v>
      </c>
      <c r="P38" s="252"/>
      <c r="Q38" s="99"/>
      <c r="S38" s="334" t="s">
        <v>232</v>
      </c>
      <c r="T38" s="460"/>
      <c r="U38" s="336" t="e">
        <f>T38/U42</f>
        <v>#DIV/0!</v>
      </c>
      <c r="V38" s="336" t="e">
        <f>T38/U42</f>
        <v>#DIV/0!</v>
      </c>
      <c r="W38" s="330">
        <v>4.0489999999999998E-2</v>
      </c>
      <c r="X38" s="330"/>
      <c r="Y38" s="336" t="e">
        <f>W38-V38</f>
        <v>#DIV/0!</v>
      </c>
      <c r="Z38" s="330"/>
    </row>
    <row r="39" spans="1:26" ht="15.75" x14ac:dyDescent="0.25">
      <c r="A39" s="313"/>
      <c r="B39" s="295"/>
      <c r="C39" s="364" t="s">
        <v>74</v>
      </c>
      <c r="D39" s="108">
        <f t="shared" ref="D39:M39" si="15">SUM(D36:D38)</f>
        <v>73992.45</v>
      </c>
      <c r="E39" s="108">
        <f t="shared" si="15"/>
        <v>64790.11</v>
      </c>
      <c r="F39" s="108">
        <f t="shared" si="15"/>
        <v>73420.97</v>
      </c>
      <c r="G39" s="108">
        <f t="shared" si="15"/>
        <v>54801.2</v>
      </c>
      <c r="H39" s="108">
        <f t="shared" si="15"/>
        <v>48489.03</v>
      </c>
      <c r="I39" s="108">
        <f t="shared" si="15"/>
        <v>51142.47</v>
      </c>
      <c r="J39" s="108">
        <f t="shared" si="15"/>
        <v>48229.25</v>
      </c>
      <c r="K39" s="108">
        <f t="shared" si="15"/>
        <v>43742.51</v>
      </c>
      <c r="L39" s="108">
        <f t="shared" si="15"/>
        <v>47633.950000000004</v>
      </c>
      <c r="M39" s="108">
        <f t="shared" si="15"/>
        <v>59031.4</v>
      </c>
      <c r="N39" s="206"/>
      <c r="O39" s="108">
        <f>SUM(O36:O38)</f>
        <v>73886.28</v>
      </c>
      <c r="P39" s="423">
        <f>SUM(P36:P38)</f>
        <v>65406.78</v>
      </c>
      <c r="Q39" s="362"/>
      <c r="S39" s="334" t="s">
        <v>239</v>
      </c>
      <c r="T39" s="460">
        <v>283604.46999999997</v>
      </c>
      <c r="U39" s="336">
        <f>T39/U35</f>
        <v>0.71241831559432978</v>
      </c>
      <c r="V39" s="336">
        <f>T39/U35</f>
        <v>0.71241831559432978</v>
      </c>
      <c r="W39" s="338">
        <f>+W27</f>
        <v>0.49941999999999998</v>
      </c>
      <c r="X39" s="330"/>
      <c r="Y39" s="492">
        <f>W39-V39</f>
        <v>-0.2129983155943298</v>
      </c>
      <c r="Z39" s="330"/>
    </row>
    <row r="40" spans="1:26" ht="15.75" x14ac:dyDescent="0.25">
      <c r="A40" s="313"/>
      <c r="B40" s="295"/>
      <c r="C40" s="487" t="s">
        <v>73</v>
      </c>
      <c r="D40" s="484">
        <f>ROUND(-'Authorized Margins 2021'!D13*'WACAP 2022'!D35,2)</f>
        <v>-65764.36</v>
      </c>
      <c r="E40" s="309">
        <f>ROUND(-'Authorized Margins 2021'!E13*'WACAP 2022'!E35,2)</f>
        <v>-67395.75</v>
      </c>
      <c r="F40" s="88">
        <f>ROUND(-'Authorized Margins 2021'!F13*'WACAP 2022'!F35,2)</f>
        <v>-73997.759999999995</v>
      </c>
      <c r="G40" s="88">
        <f>ROUND(-'Authorized Margins 2021'!G13*'WACAP 2022'!G35,2)</f>
        <v>-53733.84</v>
      </c>
      <c r="H40" s="88">
        <f>ROUND(-'Authorized Margins 2021'!H13*'WACAP 2022'!H35,2)</f>
        <v>-38154.480000000003</v>
      </c>
      <c r="I40" s="88">
        <f>ROUND(-'Authorized Margins 2021'!I13*'WACAP 2022'!I35,2)</f>
        <v>-30010.560000000001</v>
      </c>
      <c r="J40" s="88">
        <f>ROUND(-'Authorized Margins 2021'!J13*'WACAP 2022'!J35,2)</f>
        <v>-30696.38</v>
      </c>
      <c r="K40" s="88">
        <f>ROUND(-'Authorized Margins 2021'!K13*'WACAP 2022'!K35,2)</f>
        <v>-31763.61</v>
      </c>
      <c r="L40" s="88">
        <f>ROUND(-'Authorized Margins 22'!L13*'WACAP 2022'!L35,2)</f>
        <v>-32683.25</v>
      </c>
      <c r="M40" s="88">
        <f>ROUND(-'Authorized Margins 2022'!M13*'WACAP 2022'!M35,2)</f>
        <v>-39509.5</v>
      </c>
      <c r="N40" s="209"/>
      <c r="O40" s="88">
        <f>ROUND(-'Authorized Margins 2022'!O13*'WACAP 2022'!O35,2)</f>
        <v>-45966.5</v>
      </c>
      <c r="P40" s="88">
        <f>ROUND(-'Authorized Margins 2022'!P13*'WACAP 2022'!P35,2)</f>
        <v>-70172.399999999994</v>
      </c>
      <c r="Q40" s="362"/>
      <c r="S40" s="330"/>
      <c r="T40" s="330"/>
      <c r="U40" s="337">
        <f>ROUND(T36/W36,0)</f>
        <v>263168</v>
      </c>
      <c r="V40" s="330"/>
      <c r="W40" s="330"/>
      <c r="X40" s="330"/>
      <c r="Y40" s="330"/>
      <c r="Z40" s="330"/>
    </row>
    <row r="41" spans="1:26" x14ac:dyDescent="0.25">
      <c r="A41" s="313"/>
      <c r="B41" s="295"/>
      <c r="C41" s="364" t="s">
        <v>201</v>
      </c>
      <c r="D41" s="187">
        <f t="shared" ref="D41:P41" si="16">SUM(D39:D40)</f>
        <v>8228.0899999999965</v>
      </c>
      <c r="E41" s="187">
        <f t="shared" si="16"/>
        <v>-2605.6399999999994</v>
      </c>
      <c r="F41" s="187">
        <f t="shared" si="16"/>
        <v>-576.7899999999936</v>
      </c>
      <c r="G41" s="187">
        <f t="shared" si="16"/>
        <v>1067.3600000000006</v>
      </c>
      <c r="H41" s="187">
        <f t="shared" si="16"/>
        <v>10334.549999999996</v>
      </c>
      <c r="I41" s="187">
        <f t="shared" si="16"/>
        <v>21131.91</v>
      </c>
      <c r="J41" s="187">
        <f t="shared" si="16"/>
        <v>17532.87</v>
      </c>
      <c r="K41" s="187">
        <f t="shared" si="16"/>
        <v>11978.900000000001</v>
      </c>
      <c r="L41" s="187">
        <f t="shared" si="16"/>
        <v>14950.700000000004</v>
      </c>
      <c r="M41" s="187">
        <f t="shared" si="16"/>
        <v>19521.900000000001</v>
      </c>
      <c r="N41" s="302">
        <f>-'WACAP 2021'!Q43</f>
        <v>-128981.43800000002</v>
      </c>
      <c r="O41" s="187">
        <f t="shared" si="16"/>
        <v>27919.78</v>
      </c>
      <c r="P41" s="397">
        <f t="shared" si="16"/>
        <v>-4765.6199999999953</v>
      </c>
      <c r="Q41" s="99">
        <f>SUM(D41:P41)-N41</f>
        <v>124718.01000000001</v>
      </c>
      <c r="S41" s="330"/>
      <c r="T41" s="330"/>
      <c r="U41" s="337">
        <f>ROUND(T37/W37,0)</f>
        <v>134919</v>
      </c>
      <c r="V41" s="330"/>
      <c r="W41" s="330"/>
      <c r="X41" s="330"/>
      <c r="Y41" s="330"/>
      <c r="Z41" s="330"/>
    </row>
    <row r="42" spans="1:26" ht="15.75" x14ac:dyDescent="0.25">
      <c r="A42" s="313"/>
      <c r="B42" s="295"/>
      <c r="C42" s="487" t="s">
        <v>137</v>
      </c>
      <c r="D42" s="308">
        <f>ROUND(ROUND('WACAP 2021'!P44*D$7,2)/365*D$8,2)</f>
        <v>356.02</v>
      </c>
      <c r="E42" s="187">
        <f>ROUND(ROUND(D44*E$7,2)/365*E$8,2)</f>
        <v>342.97</v>
      </c>
      <c r="F42" s="187">
        <f t="shared" ref="F42:P42" si="17">ROUND(ROUND(E44*F$7,2)/365*F$8,2)</f>
        <v>373.47</v>
      </c>
      <c r="G42" s="187">
        <f t="shared" si="17"/>
        <v>360.88</v>
      </c>
      <c r="H42" s="187">
        <f t="shared" si="17"/>
        <v>376.85</v>
      </c>
      <c r="I42" s="187">
        <f t="shared" si="17"/>
        <v>393.31</v>
      </c>
      <c r="J42" s="187">
        <f t="shared" si="17"/>
        <v>516</v>
      </c>
      <c r="K42" s="187">
        <f t="shared" si="17"/>
        <v>571.19000000000005</v>
      </c>
      <c r="L42" s="187">
        <f t="shared" si="17"/>
        <v>589.9</v>
      </c>
      <c r="M42" s="187">
        <f t="shared" si="17"/>
        <v>896.18</v>
      </c>
      <c r="N42" s="231">
        <f>'Ammort Split 2022'!N41</f>
        <v>-3837.2599999999998</v>
      </c>
      <c r="O42" s="187">
        <f>ROUND(ROUND(N44*O$7,2)/365*O$8,2)</f>
        <v>413.66</v>
      </c>
      <c r="P42" s="187">
        <f t="shared" si="17"/>
        <v>545.61</v>
      </c>
      <c r="Q42" s="100">
        <f>SUM(D42:P42)</f>
        <v>1898.7800000000007</v>
      </c>
      <c r="S42" s="330"/>
      <c r="T42" s="330"/>
      <c r="U42" s="337">
        <f>ROUND(T38/W38,0)</f>
        <v>0</v>
      </c>
      <c r="V42" s="330"/>
      <c r="W42" s="330"/>
      <c r="X42" s="330"/>
      <c r="Y42" s="330"/>
      <c r="Z42" s="330"/>
    </row>
    <row r="43" spans="1:26" x14ac:dyDescent="0.25">
      <c r="A43" s="313"/>
      <c r="B43" s="295"/>
      <c r="C43" s="364" t="s">
        <v>138</v>
      </c>
      <c r="D43" s="189">
        <f t="shared" ref="D43:P43" si="18">SUM(D41:D42)</f>
        <v>8584.1099999999969</v>
      </c>
      <c r="E43" s="189">
        <f t="shared" si="18"/>
        <v>-2262.6699999999992</v>
      </c>
      <c r="F43" s="189">
        <f t="shared" si="18"/>
        <v>-203.31999999999357</v>
      </c>
      <c r="G43" s="189">
        <f t="shared" si="18"/>
        <v>1428.2400000000007</v>
      </c>
      <c r="H43" s="189">
        <f t="shared" si="18"/>
        <v>10711.399999999996</v>
      </c>
      <c r="I43" s="189">
        <f t="shared" si="18"/>
        <v>21525.22</v>
      </c>
      <c r="J43" s="189">
        <f t="shared" si="18"/>
        <v>18048.87</v>
      </c>
      <c r="K43" s="189">
        <f t="shared" si="18"/>
        <v>12550.090000000002</v>
      </c>
      <c r="L43" s="189">
        <f t="shared" si="18"/>
        <v>15540.600000000004</v>
      </c>
      <c r="M43" s="189">
        <f t="shared" si="18"/>
        <v>20418.080000000002</v>
      </c>
      <c r="N43" s="209">
        <f>SUM(N41:N42)</f>
        <v>-132818.69800000003</v>
      </c>
      <c r="O43" s="189">
        <f t="shared" si="18"/>
        <v>28333.439999999999</v>
      </c>
      <c r="P43" s="189">
        <f t="shared" si="18"/>
        <v>-4220.0099999999957</v>
      </c>
      <c r="Q43" s="453">
        <f>SUM(Q41:Q42)</f>
        <v>126616.79000000001</v>
      </c>
      <c r="S43" s="330"/>
      <c r="T43" s="330"/>
      <c r="U43" s="330"/>
      <c r="V43" s="330"/>
      <c r="W43" s="330"/>
      <c r="X43" s="330"/>
      <c r="Y43" s="330"/>
      <c r="Z43" s="330"/>
    </row>
    <row r="44" spans="1:26" ht="15.75" x14ac:dyDescent="0.25">
      <c r="A44" s="313"/>
      <c r="B44" s="295"/>
      <c r="C44" s="487" t="s">
        <v>139</v>
      </c>
      <c r="D44" s="308">
        <f>'WACAP 2021'!P44+'WACAP 2022'!D43</f>
        <v>137565.54799999998</v>
      </c>
      <c r="E44" s="187">
        <f t="shared" ref="E44:P44" si="19">D44+E43</f>
        <v>135302.87799999997</v>
      </c>
      <c r="F44" s="187">
        <f t="shared" si="19"/>
        <v>135099.55799999996</v>
      </c>
      <c r="G44" s="187">
        <f t="shared" si="19"/>
        <v>136527.79799999995</v>
      </c>
      <c r="H44" s="187">
        <f t="shared" si="19"/>
        <v>147239.19799999995</v>
      </c>
      <c r="I44" s="187">
        <f t="shared" si="19"/>
        <v>168764.41799999995</v>
      </c>
      <c r="J44" s="187">
        <f t="shared" si="19"/>
        <v>186813.28799999994</v>
      </c>
      <c r="K44" s="187">
        <f t="shared" si="19"/>
        <v>199363.37799999994</v>
      </c>
      <c r="L44" s="187">
        <f t="shared" si="19"/>
        <v>214903.97799999994</v>
      </c>
      <c r="M44" s="187">
        <f t="shared" si="19"/>
        <v>235322.05799999996</v>
      </c>
      <c r="N44" s="208">
        <f t="shared" si="19"/>
        <v>102503.35999999993</v>
      </c>
      <c r="O44" s="187">
        <f t="shared" si="19"/>
        <v>130836.79999999993</v>
      </c>
      <c r="P44" s="187">
        <f t="shared" si="19"/>
        <v>126616.78999999994</v>
      </c>
      <c r="Q44" s="362"/>
      <c r="S44" s="330"/>
      <c r="T44" s="330"/>
      <c r="U44" s="330"/>
      <c r="V44" s="330"/>
      <c r="W44" s="330"/>
      <c r="X44" s="330"/>
      <c r="Y44" s="330"/>
      <c r="Z44" s="330"/>
    </row>
    <row r="45" spans="1:26" ht="17.25" x14ac:dyDescent="0.3">
      <c r="A45" s="313"/>
      <c r="B45" s="295"/>
      <c r="C45" s="441"/>
      <c r="D45" s="113"/>
      <c r="E45" s="187"/>
      <c r="F45" s="187"/>
      <c r="G45" s="187"/>
      <c r="H45" s="187"/>
      <c r="I45" s="187"/>
      <c r="J45" s="187"/>
      <c r="K45" s="187"/>
      <c r="L45" s="187"/>
      <c r="M45" s="187"/>
      <c r="N45" s="208"/>
      <c r="O45" s="187"/>
      <c r="P45" s="187"/>
      <c r="Q45" s="362"/>
      <c r="S45" s="330"/>
      <c r="T45" s="330"/>
      <c r="U45" s="330"/>
      <c r="V45" s="330"/>
      <c r="W45" s="330"/>
      <c r="X45" s="330"/>
      <c r="Y45" s="330"/>
      <c r="Z45" s="330"/>
    </row>
    <row r="46" spans="1:26" x14ac:dyDescent="0.25">
      <c r="A46" s="313"/>
      <c r="B46" t="s">
        <v>86</v>
      </c>
      <c r="C46" s="365" t="s">
        <v>196</v>
      </c>
      <c r="D46" s="113"/>
      <c r="E46" s="113"/>
      <c r="F46" s="108"/>
      <c r="G46" s="113"/>
      <c r="H46" s="113"/>
      <c r="I46" s="113"/>
      <c r="J46" s="113"/>
      <c r="K46" s="113"/>
      <c r="L46" s="113"/>
      <c r="M46" s="113"/>
      <c r="N46" s="274"/>
      <c r="O46" s="113"/>
      <c r="P46" s="113"/>
      <c r="Q46" s="362"/>
      <c r="S46" s="330"/>
      <c r="T46" s="330"/>
      <c r="U46" s="444" t="s">
        <v>92</v>
      </c>
      <c r="V46" s="330"/>
      <c r="W46" s="330"/>
      <c r="X46" s="330"/>
      <c r="Y46" s="330"/>
      <c r="Z46" s="330"/>
    </row>
    <row r="47" spans="1:26" ht="15.75" x14ac:dyDescent="0.25">
      <c r="A47" s="313"/>
      <c r="B47" s="295" t="s">
        <v>64</v>
      </c>
      <c r="C47" s="362" t="s">
        <v>172</v>
      </c>
      <c r="D47" s="250">
        <v>1</v>
      </c>
      <c r="E47" s="250">
        <v>1</v>
      </c>
      <c r="F47" s="250">
        <v>1</v>
      </c>
      <c r="G47" s="250">
        <v>1</v>
      </c>
      <c r="H47" s="250">
        <v>1</v>
      </c>
      <c r="I47" s="250">
        <v>1</v>
      </c>
      <c r="J47" s="250">
        <v>1</v>
      </c>
      <c r="K47" s="250">
        <v>1</v>
      </c>
      <c r="L47" s="250">
        <v>1</v>
      </c>
      <c r="M47" s="250">
        <v>1</v>
      </c>
      <c r="N47" s="480"/>
      <c r="O47" s="250">
        <v>1</v>
      </c>
      <c r="P47" s="250">
        <v>1</v>
      </c>
      <c r="Q47" s="452"/>
      <c r="S47" s="437">
        <v>4810</v>
      </c>
      <c r="T47" s="461" t="s">
        <v>154</v>
      </c>
      <c r="U47" s="535">
        <v>8848</v>
      </c>
      <c r="V47" s="333">
        <f>U47</f>
        <v>8848</v>
      </c>
      <c r="W47" s="444" t="s">
        <v>90</v>
      </c>
      <c r="X47" s="330"/>
      <c r="Y47" s="444" t="s">
        <v>214</v>
      </c>
      <c r="Z47" s="330"/>
    </row>
    <row r="48" spans="1:26" ht="15.75" x14ac:dyDescent="0.25">
      <c r="A48" s="313"/>
      <c r="B48" s="295" t="s">
        <v>71</v>
      </c>
      <c r="C48" s="366" t="s">
        <v>199</v>
      </c>
      <c r="D48" s="251">
        <v>3688.03</v>
      </c>
      <c r="E48" s="251">
        <v>3341.36</v>
      </c>
      <c r="F48" s="251">
        <v>1745.98</v>
      </c>
      <c r="G48" s="251">
        <v>1489.98</v>
      </c>
      <c r="H48" s="251">
        <v>2880.88</v>
      </c>
      <c r="I48" s="251">
        <v>1546.49</v>
      </c>
      <c r="J48" s="251">
        <v>685.46</v>
      </c>
      <c r="K48" s="251">
        <v>369.28</v>
      </c>
      <c r="L48" s="251">
        <v>402.66</v>
      </c>
      <c r="M48" s="251">
        <v>329.12</v>
      </c>
      <c r="N48" s="480"/>
      <c r="O48" s="251">
        <v>1074.8399999999999</v>
      </c>
      <c r="P48" s="251">
        <v>2565.48</v>
      </c>
      <c r="Q48" s="99"/>
      <c r="S48" s="334" t="s">
        <v>90</v>
      </c>
      <c r="T48" s="460">
        <v>2565.48</v>
      </c>
      <c r="U48" s="336">
        <f>T48/U47</f>
        <v>0.28995027124773959</v>
      </c>
      <c r="V48" s="336">
        <f>T48/V47</f>
        <v>0.28995027124773959</v>
      </c>
      <c r="W48" s="330">
        <v>0.28994999999999999</v>
      </c>
      <c r="X48" s="330"/>
      <c r="Y48" s="492">
        <f>W48-V48</f>
        <v>-2.712477396027424E-7</v>
      </c>
      <c r="Z48" s="330"/>
    </row>
    <row r="49" spans="1:27" ht="15.75" x14ac:dyDescent="0.25">
      <c r="A49" s="313"/>
      <c r="B49" s="295" t="s">
        <v>72</v>
      </c>
      <c r="C49" s="377" t="s">
        <v>209</v>
      </c>
      <c r="D49" s="276">
        <v>3341.36</v>
      </c>
      <c r="E49" s="276">
        <v>1745.98</v>
      </c>
      <c r="F49" s="276">
        <v>1489.98</v>
      </c>
      <c r="G49" s="276">
        <v>2880.88</v>
      </c>
      <c r="H49" s="276">
        <v>1546.49</v>
      </c>
      <c r="I49" s="276">
        <v>685.46</v>
      </c>
      <c r="J49" s="276">
        <v>369.28</v>
      </c>
      <c r="K49" s="276">
        <v>402.66</v>
      </c>
      <c r="L49" s="276">
        <v>329.12</v>
      </c>
      <c r="M49" s="276">
        <v>1074.8399999999999</v>
      </c>
      <c r="N49" s="480"/>
      <c r="O49" s="276">
        <v>2565.48</v>
      </c>
      <c r="P49" s="276">
        <v>2659.13</v>
      </c>
      <c r="Q49" s="99"/>
      <c r="S49" s="334" t="s">
        <v>239</v>
      </c>
      <c r="T49" s="460">
        <v>6453.38</v>
      </c>
      <c r="U49" s="336">
        <f>T49/U47</f>
        <v>0.72936030741410485</v>
      </c>
      <c r="V49" s="336">
        <f>T49/V47</f>
        <v>0.72936030741410485</v>
      </c>
      <c r="W49" s="330">
        <v>0.51334000000000002</v>
      </c>
      <c r="X49" s="330"/>
      <c r="Y49" s="492">
        <f>W49-V49</f>
        <v>-0.21602030741410483</v>
      </c>
      <c r="Z49" s="330"/>
    </row>
    <row r="50" spans="1:27" x14ac:dyDescent="0.25">
      <c r="A50" s="313"/>
      <c r="B50" s="295" t="s">
        <v>72</v>
      </c>
      <c r="C50" s="483" t="s">
        <v>179</v>
      </c>
      <c r="D50" s="189">
        <f>+'WACAP 2021'!P49</f>
        <v>3688.03</v>
      </c>
      <c r="E50" s="189">
        <f t="shared" ref="E50:M50" si="20">-D49</f>
        <v>-3341.36</v>
      </c>
      <c r="F50" s="189">
        <f t="shared" si="20"/>
        <v>-1745.98</v>
      </c>
      <c r="G50" s="189">
        <f t="shared" si="20"/>
        <v>-1489.98</v>
      </c>
      <c r="H50" s="189">
        <f t="shared" si="20"/>
        <v>-2880.88</v>
      </c>
      <c r="I50" s="189">
        <f t="shared" si="20"/>
        <v>-1546.49</v>
      </c>
      <c r="J50" s="189">
        <f t="shared" si="20"/>
        <v>-685.46</v>
      </c>
      <c r="K50" s="189">
        <f t="shared" si="20"/>
        <v>-369.28</v>
      </c>
      <c r="L50" s="189">
        <f>-K49</f>
        <v>-402.66</v>
      </c>
      <c r="M50" s="189">
        <f t="shared" si="20"/>
        <v>-329.12</v>
      </c>
      <c r="N50" s="482"/>
      <c r="O50" s="189">
        <f>-M49</f>
        <v>-1074.8399999999999</v>
      </c>
      <c r="P50" s="189">
        <f>-O49</f>
        <v>-2565.48</v>
      </c>
      <c r="Q50" s="99"/>
      <c r="S50" s="334"/>
      <c r="T50" s="337"/>
      <c r="U50" s="336"/>
      <c r="V50" s="336"/>
      <c r="W50" s="330"/>
      <c r="X50" s="330"/>
      <c r="Y50" s="336"/>
      <c r="Z50" s="330"/>
    </row>
    <row r="51" spans="1:27" x14ac:dyDescent="0.25">
      <c r="A51" s="313"/>
      <c r="C51" s="364" t="s">
        <v>74</v>
      </c>
      <c r="D51" s="187">
        <f t="shared" ref="D51:F51" si="21">SUM(D48:D50)</f>
        <v>10717.42</v>
      </c>
      <c r="E51" s="187">
        <f t="shared" si="21"/>
        <v>1745.98</v>
      </c>
      <c r="F51" s="187">
        <f t="shared" si="21"/>
        <v>1489.98</v>
      </c>
      <c r="G51" s="187">
        <f>SUM(G48:G50)</f>
        <v>2880.8800000000006</v>
      </c>
      <c r="H51" s="187">
        <f t="shared" ref="H51:P51" si="22">SUM(H48:H50)</f>
        <v>1546.4899999999998</v>
      </c>
      <c r="I51" s="187">
        <f t="shared" si="22"/>
        <v>685.45999999999981</v>
      </c>
      <c r="J51" s="187">
        <f t="shared" si="22"/>
        <v>369.28</v>
      </c>
      <c r="K51" s="187">
        <f t="shared" si="22"/>
        <v>402.66000000000008</v>
      </c>
      <c r="L51" s="187">
        <f t="shared" si="22"/>
        <v>329.11999999999995</v>
      </c>
      <c r="M51" s="187">
        <f t="shared" si="22"/>
        <v>1074.8400000000001</v>
      </c>
      <c r="N51" s="208"/>
      <c r="O51" s="187">
        <f t="shared" si="22"/>
        <v>2565.4799999999996</v>
      </c>
      <c r="P51" s="397">
        <f t="shared" si="22"/>
        <v>2659.1300000000006</v>
      </c>
      <c r="Q51" s="362"/>
      <c r="S51" s="330"/>
      <c r="T51" s="330"/>
      <c r="U51" s="330"/>
      <c r="V51" s="330"/>
      <c r="W51" s="330"/>
      <c r="X51" s="330"/>
      <c r="Y51" s="330"/>
      <c r="Z51" s="330"/>
    </row>
    <row r="52" spans="1:27" ht="15.75" x14ac:dyDescent="0.25">
      <c r="A52" s="313"/>
      <c r="B52" s="295"/>
      <c r="C52" s="487" t="s">
        <v>73</v>
      </c>
      <c r="D52" s="307">
        <f>ROUND(-'Authorized Margins 2021'!D9*'WACAP 2022'!D47,2)</f>
        <v>-145.25</v>
      </c>
      <c r="E52" s="189">
        <f>ROUND(-'Authorized Margins 2021'!E9*'WACAP 2022'!E47,2)</f>
        <v>-115.92</v>
      </c>
      <c r="F52" s="189">
        <f>ROUND(-'Authorized Margins 2021'!F9*'WACAP 2022'!F47,2)</f>
        <v>-92.36</v>
      </c>
      <c r="G52" s="189">
        <f>ROUND(-'Authorized Margins 2021'!G9*'WACAP 2022'!G47,2)</f>
        <v>-60.03</v>
      </c>
      <c r="H52" s="189">
        <f>ROUND(-'Authorized Margins 2021'!H9*'WACAP 2022'!H47,2)</f>
        <v>-43.76</v>
      </c>
      <c r="I52" s="189">
        <f>ROUND(-'Authorized Margins 2021'!I9*'WACAP 2022'!I47,2)</f>
        <v>-30.93</v>
      </c>
      <c r="J52" s="88">
        <f>ROUND(-'Authorized Margins 2021'!J9*'WACAP 2022'!J47,2)</f>
        <v>-30.62</v>
      </c>
      <c r="K52" s="88">
        <f>ROUND(-'Authorized Margins 2021'!K9*'WACAP 2022'!K47,2)</f>
        <v>-30.8</v>
      </c>
      <c r="L52" s="88">
        <f>ROUND(-'Authorized Margins 22'!L9*'WACAP 2022'!L47,2)</f>
        <v>-39.96</v>
      </c>
      <c r="M52" s="88">
        <f>ROUND(-'Authorized Margins 2022'!M9*'WACAP 2022'!M47,2)</f>
        <v>-73.97</v>
      </c>
      <c r="N52" s="209"/>
      <c r="O52" s="88">
        <f>ROUND(-'Authorized Margins 2022'!O9*'WACAP 2022'!O47,2)</f>
        <v>-112.14</v>
      </c>
      <c r="P52" s="88">
        <f>ROUND(-'Authorized Margins 2022'!P9*'WACAP 2022'!P47,2)</f>
        <v>-144</v>
      </c>
      <c r="Q52" s="362"/>
      <c r="S52" s="330"/>
      <c r="T52" s="337"/>
      <c r="U52" s="330"/>
      <c r="V52" s="330"/>
      <c r="W52" s="330"/>
      <c r="X52" s="330"/>
      <c r="Y52" s="330"/>
      <c r="Z52" s="330"/>
    </row>
    <row r="53" spans="1:27" x14ac:dyDescent="0.25">
      <c r="A53" s="313"/>
      <c r="B53" s="295"/>
      <c r="C53" s="364" t="s">
        <v>201</v>
      </c>
      <c r="D53" s="187">
        <f t="shared" ref="D53:P53" si="23">SUM(D51:D52)</f>
        <v>10572.17</v>
      </c>
      <c r="E53" s="187">
        <f t="shared" si="23"/>
        <v>1630.06</v>
      </c>
      <c r="F53" s="187">
        <f t="shared" si="23"/>
        <v>1397.6200000000001</v>
      </c>
      <c r="G53" s="187">
        <f t="shared" si="23"/>
        <v>2820.8500000000004</v>
      </c>
      <c r="H53" s="187">
        <f t="shared" si="23"/>
        <v>1502.7299999999998</v>
      </c>
      <c r="I53" s="187">
        <f t="shared" si="23"/>
        <v>654.52999999999986</v>
      </c>
      <c r="J53" s="187">
        <f t="shared" si="23"/>
        <v>338.65999999999997</v>
      </c>
      <c r="K53" s="187">
        <f t="shared" si="23"/>
        <v>371.86000000000007</v>
      </c>
      <c r="L53" s="187">
        <f t="shared" si="23"/>
        <v>289.15999999999997</v>
      </c>
      <c r="M53" s="187">
        <f t="shared" si="23"/>
        <v>1000.8700000000001</v>
      </c>
      <c r="N53" s="302">
        <f>-'WACAP 2021'!Q55</f>
        <v>-18834.519999999997</v>
      </c>
      <c r="O53" s="187">
        <f t="shared" si="23"/>
        <v>2453.3399999999997</v>
      </c>
      <c r="P53" s="187">
        <f t="shared" si="23"/>
        <v>2515.1300000000006</v>
      </c>
      <c r="Q53" s="99">
        <f>SUM(D53:P53)-N53</f>
        <v>25546.98</v>
      </c>
      <c r="S53" s="330"/>
      <c r="T53" s="337"/>
      <c r="U53" s="330"/>
      <c r="V53" s="330"/>
      <c r="W53" s="330"/>
      <c r="X53" s="330"/>
      <c r="Y53" s="330"/>
      <c r="Z53" s="330"/>
    </row>
    <row r="54" spans="1:27" ht="15.75" x14ac:dyDescent="0.25">
      <c r="A54" s="313"/>
      <c r="B54" s="295"/>
      <c r="C54" s="487" t="s">
        <v>137</v>
      </c>
      <c r="D54" s="308">
        <f>ROUND(ROUND('WACAP 2021'!P56*D$7,2)/365*D$8,2)</f>
        <v>51.99</v>
      </c>
      <c r="E54" s="187">
        <f>ROUND(ROUND(D56*E$7,2)/365*E$8,2)</f>
        <v>73.45</v>
      </c>
      <c r="F54" s="187">
        <f t="shared" ref="F54:M54" si="24">ROUND(ROUND(E56*F$7,2)/365*F$8,2)</f>
        <v>86.02</v>
      </c>
      <c r="G54" s="187">
        <f t="shared" si="24"/>
        <v>87.2</v>
      </c>
      <c r="H54" s="187">
        <f t="shared" si="24"/>
        <v>98.14</v>
      </c>
      <c r="I54" s="187">
        <f t="shared" si="24"/>
        <v>99.25</v>
      </c>
      <c r="J54" s="187">
        <f t="shared" si="24"/>
        <v>115.91</v>
      </c>
      <c r="K54" s="187">
        <f t="shared" si="24"/>
        <v>117.3</v>
      </c>
      <c r="L54" s="187">
        <f t="shared" si="24"/>
        <v>114.96</v>
      </c>
      <c r="M54" s="187">
        <f t="shared" si="24"/>
        <v>163.69999999999999</v>
      </c>
      <c r="N54" s="231">
        <f>'Ammort Split 2022'!N53</f>
        <v>-560.34</v>
      </c>
      <c r="O54" s="187">
        <f>ROUND(ROUND(N56*O$7,2)/365*O$8,2)</f>
        <v>84.85</v>
      </c>
      <c r="P54" s="187">
        <f t="shared" ref="P54" si="25">ROUND(ROUND(O56*P$7,2)/365*P$8,2)</f>
        <v>98.27</v>
      </c>
      <c r="Q54" s="100">
        <f>SUM(D54:P54)</f>
        <v>630.69999999999982</v>
      </c>
      <c r="S54" s="330"/>
      <c r="T54" s="337"/>
      <c r="U54" s="330"/>
      <c r="V54" s="330"/>
      <c r="W54" s="330"/>
      <c r="X54" s="330"/>
      <c r="Y54" s="330"/>
      <c r="Z54" s="330"/>
    </row>
    <row r="55" spans="1:27" x14ac:dyDescent="0.25">
      <c r="A55" s="313"/>
      <c r="B55" s="295"/>
      <c r="C55" s="364" t="s">
        <v>138</v>
      </c>
      <c r="D55" s="189">
        <f t="shared" ref="D55:P55" si="26">SUM(D53:D54)</f>
        <v>10624.16</v>
      </c>
      <c r="E55" s="189">
        <f t="shared" si="26"/>
        <v>1703.51</v>
      </c>
      <c r="F55" s="189">
        <f t="shared" si="26"/>
        <v>1483.64</v>
      </c>
      <c r="G55" s="189">
        <f t="shared" si="26"/>
        <v>2908.05</v>
      </c>
      <c r="H55" s="189">
        <f t="shared" si="26"/>
        <v>1600.87</v>
      </c>
      <c r="I55" s="189">
        <f t="shared" si="26"/>
        <v>753.77999999999986</v>
      </c>
      <c r="J55" s="189">
        <f t="shared" si="26"/>
        <v>454.56999999999994</v>
      </c>
      <c r="K55" s="189">
        <f t="shared" si="26"/>
        <v>489.16000000000008</v>
      </c>
      <c r="L55" s="189">
        <f t="shared" si="26"/>
        <v>404.11999999999995</v>
      </c>
      <c r="M55" s="189">
        <f t="shared" si="26"/>
        <v>1164.5700000000002</v>
      </c>
      <c r="N55" s="209">
        <f>SUM(N53:N54)</f>
        <v>-19394.859999999997</v>
      </c>
      <c r="O55" s="189">
        <f t="shared" si="26"/>
        <v>2538.1899999999996</v>
      </c>
      <c r="P55" s="189">
        <f t="shared" si="26"/>
        <v>2613.4000000000005</v>
      </c>
      <c r="Q55" s="453">
        <f>SUM(Q53:Q54)</f>
        <v>26177.68</v>
      </c>
      <c r="S55" s="330"/>
      <c r="T55" s="337"/>
      <c r="U55" s="330"/>
      <c r="V55" s="330"/>
      <c r="W55" s="330"/>
      <c r="X55" s="330"/>
      <c r="Y55" s="330"/>
      <c r="Z55" s="330"/>
    </row>
    <row r="56" spans="1:27" ht="15.75" x14ac:dyDescent="0.25">
      <c r="A56" s="313"/>
      <c r="B56" s="295"/>
      <c r="C56" s="487" t="s">
        <v>139</v>
      </c>
      <c r="D56" s="308">
        <f>'WACAP 2021'!P56+'WACAP 2022'!D55</f>
        <v>29458.679999999997</v>
      </c>
      <c r="E56" s="187">
        <f t="shared" ref="E56:P56" si="27">D56+E55</f>
        <v>31162.189999999995</v>
      </c>
      <c r="F56" s="187">
        <f>E56+F55</f>
        <v>32645.829999999994</v>
      </c>
      <c r="G56" s="187">
        <f t="shared" si="27"/>
        <v>35553.879999999997</v>
      </c>
      <c r="H56" s="187">
        <f t="shared" si="27"/>
        <v>37154.75</v>
      </c>
      <c r="I56" s="187">
        <f t="shared" si="27"/>
        <v>37908.53</v>
      </c>
      <c r="J56" s="187">
        <f t="shared" si="27"/>
        <v>38363.1</v>
      </c>
      <c r="K56" s="187">
        <f t="shared" si="27"/>
        <v>38852.26</v>
      </c>
      <c r="L56" s="187">
        <f t="shared" si="27"/>
        <v>39256.380000000005</v>
      </c>
      <c r="M56" s="187">
        <f t="shared" si="27"/>
        <v>40420.950000000004</v>
      </c>
      <c r="N56" s="208">
        <f t="shared" si="27"/>
        <v>21026.090000000007</v>
      </c>
      <c r="O56" s="187">
        <f t="shared" si="27"/>
        <v>23564.280000000006</v>
      </c>
      <c r="P56" s="397">
        <f t="shared" si="27"/>
        <v>26177.680000000008</v>
      </c>
      <c r="Q56" s="362"/>
      <c r="S56" s="330"/>
      <c r="T56" s="337"/>
      <c r="U56" s="337"/>
      <c r="V56" s="330"/>
      <c r="W56" s="330"/>
      <c r="X56" s="330"/>
      <c r="Y56" s="330"/>
      <c r="Z56" s="330"/>
    </row>
    <row r="57" spans="1:27" hidden="1" x14ac:dyDescent="0.25">
      <c r="A57" s="313"/>
      <c r="B57" s="295"/>
      <c r="C57" s="368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204"/>
      <c r="O57" s="90"/>
      <c r="P57" s="90"/>
      <c r="Q57" s="362"/>
      <c r="S57" s="334"/>
      <c r="T57" s="337"/>
      <c r="U57" s="337"/>
      <c r="V57" s="330"/>
      <c r="W57" s="330"/>
      <c r="X57" s="330"/>
      <c r="Y57" s="330"/>
      <c r="Z57" s="330"/>
    </row>
    <row r="58" spans="1:27" x14ac:dyDescent="0.25">
      <c r="A58" s="313"/>
      <c r="B58" s="295"/>
      <c r="C58" s="440"/>
      <c r="D58" s="378"/>
      <c r="E58" s="380"/>
      <c r="F58" s="90"/>
      <c r="G58" s="380"/>
      <c r="H58" s="380"/>
      <c r="I58" s="380"/>
      <c r="J58" s="380"/>
      <c r="K58" s="380"/>
      <c r="L58" s="380"/>
      <c r="M58" s="380"/>
      <c r="N58" s="274"/>
      <c r="O58" s="380"/>
      <c r="P58" s="380"/>
      <c r="Q58" s="457"/>
      <c r="R58" s="358"/>
      <c r="S58" s="334"/>
      <c r="T58" s="337"/>
      <c r="U58" s="337"/>
      <c r="V58" s="330"/>
      <c r="W58" s="330"/>
      <c r="X58" s="330"/>
      <c r="Y58" s="330"/>
      <c r="Z58" s="330"/>
    </row>
    <row r="59" spans="1:27" x14ac:dyDescent="0.25">
      <c r="A59" s="313"/>
      <c r="B59" s="295"/>
      <c r="C59" s="381" t="s">
        <v>194</v>
      </c>
      <c r="D59" s="379"/>
      <c r="E59" s="113"/>
      <c r="F59" s="423"/>
      <c r="G59" s="113"/>
      <c r="H59" s="113"/>
      <c r="I59" s="113"/>
      <c r="J59" s="113"/>
      <c r="K59" s="113"/>
      <c r="L59" s="113"/>
      <c r="M59" s="113"/>
      <c r="N59" s="274"/>
      <c r="O59" s="113"/>
      <c r="P59" s="113"/>
      <c r="Q59" s="449"/>
      <c r="S59" s="432"/>
      <c r="T59" s="337"/>
      <c r="U59" s="444" t="s">
        <v>92</v>
      </c>
      <c r="V59" s="330"/>
      <c r="W59" s="330"/>
      <c r="X59" s="330"/>
      <c r="Y59" s="330"/>
      <c r="Z59" s="330"/>
      <c r="AA59" s="104"/>
    </row>
    <row r="60" spans="1:27" ht="15.75" x14ac:dyDescent="0.25">
      <c r="A60" s="313"/>
      <c r="B60" s="295"/>
      <c r="C60" s="362" t="s">
        <v>172</v>
      </c>
      <c r="D60" s="250">
        <v>3</v>
      </c>
      <c r="E60" s="250">
        <v>3</v>
      </c>
      <c r="F60" s="250">
        <v>3</v>
      </c>
      <c r="G60" s="250">
        <v>3</v>
      </c>
      <c r="H60" s="250">
        <v>3</v>
      </c>
      <c r="I60" s="250">
        <v>3</v>
      </c>
      <c r="J60" s="250">
        <v>3</v>
      </c>
      <c r="K60" s="250">
        <v>3</v>
      </c>
      <c r="L60" s="250">
        <v>3</v>
      </c>
      <c r="M60" s="250">
        <v>3</v>
      </c>
      <c r="N60" s="479"/>
      <c r="O60" s="250">
        <v>3</v>
      </c>
      <c r="P60" s="250">
        <v>3</v>
      </c>
      <c r="Q60" s="452"/>
      <c r="S60" s="437">
        <v>4810</v>
      </c>
      <c r="T60" s="461" t="s">
        <v>169</v>
      </c>
      <c r="U60" s="535">
        <v>152704</v>
      </c>
      <c r="V60" s="333"/>
      <c r="W60" s="444" t="s">
        <v>90</v>
      </c>
      <c r="X60" s="330"/>
      <c r="Y60" s="444" t="s">
        <v>214</v>
      </c>
      <c r="Z60" s="330"/>
      <c r="AA60" s="104"/>
    </row>
    <row r="61" spans="1:27" ht="15.75" x14ac:dyDescent="0.25">
      <c r="A61" s="313"/>
      <c r="B61" s="295"/>
      <c r="C61" s="366" t="s">
        <v>175</v>
      </c>
      <c r="D61" s="251">
        <v>9697.7999999999993</v>
      </c>
      <c r="E61" s="251">
        <v>9697.7999999999993</v>
      </c>
      <c r="F61" s="251">
        <v>9174.44</v>
      </c>
      <c r="G61" s="251">
        <v>8256.3799999999992</v>
      </c>
      <c r="H61" s="251">
        <v>8198.52</v>
      </c>
      <c r="I61" s="251">
        <v>6674.67</v>
      </c>
      <c r="J61" s="251">
        <v>1743.83</v>
      </c>
      <c r="K61" s="251">
        <v>1194.92</v>
      </c>
      <c r="L61" s="251">
        <v>1187.82</v>
      </c>
      <c r="M61" s="251">
        <v>1673.61</v>
      </c>
      <c r="N61" s="480"/>
      <c r="O61" s="251">
        <v>6282.06</v>
      </c>
      <c r="P61" s="251">
        <v>10661.4</v>
      </c>
      <c r="Q61" s="99"/>
      <c r="S61" s="334" t="s">
        <v>90</v>
      </c>
      <c r="T61" s="460">
        <v>10661.4</v>
      </c>
      <c r="U61" s="336">
        <f>T61/U60</f>
        <v>6.9817424559932936E-2</v>
      </c>
      <c r="V61" s="336">
        <f>T61/U65</f>
        <v>0.17768999999999999</v>
      </c>
      <c r="W61" s="338">
        <f>+W36</f>
        <v>0.17768999999999999</v>
      </c>
      <c r="X61" s="330"/>
      <c r="Y61" s="492">
        <f>W61-V61</f>
        <v>0</v>
      </c>
      <c r="Z61" s="330"/>
      <c r="AA61" s="104"/>
    </row>
    <row r="62" spans="1:27" ht="15.75" x14ac:dyDescent="0.25">
      <c r="A62" s="313"/>
      <c r="B62" s="295"/>
      <c r="C62" s="366" t="s">
        <v>176</v>
      </c>
      <c r="D62" s="251">
        <v>12495.25</v>
      </c>
      <c r="E62" s="251">
        <v>15145.36</v>
      </c>
      <c r="F62" s="251">
        <v>9578.0400000000009</v>
      </c>
      <c r="G62" s="251">
        <v>4655.1099999999997</v>
      </c>
      <c r="H62" s="251">
        <v>3777.25</v>
      </c>
      <c r="I62" s="251"/>
      <c r="J62" s="251"/>
      <c r="K62" s="251"/>
      <c r="L62" s="251"/>
      <c r="M62" s="251"/>
      <c r="N62" s="480"/>
      <c r="O62" s="251"/>
      <c r="P62" s="251">
        <v>12810.77</v>
      </c>
      <c r="Q62" s="99"/>
      <c r="S62" s="334" t="s">
        <v>90</v>
      </c>
      <c r="T62" s="460">
        <v>12810.77</v>
      </c>
      <c r="U62" s="336">
        <f>T62/U60</f>
        <v>8.389282533528919E-2</v>
      </c>
      <c r="V62" s="336">
        <f>T62/U66</f>
        <v>0.13819004573696927</v>
      </c>
      <c r="W62" s="330">
        <f>+W37</f>
        <v>0.13819000000000001</v>
      </c>
      <c r="X62" s="330"/>
      <c r="Y62" s="492">
        <f>W62-V62</f>
        <v>-4.5736969267462513E-8</v>
      </c>
      <c r="Z62" s="330"/>
      <c r="AA62" s="104"/>
    </row>
    <row r="63" spans="1:27" ht="15.75" x14ac:dyDescent="0.25">
      <c r="A63" s="313"/>
      <c r="B63" s="295"/>
      <c r="C63" s="366" t="s">
        <v>177</v>
      </c>
      <c r="D63" s="116">
        <v>0</v>
      </c>
      <c r="E63" s="116"/>
      <c r="F63" s="251"/>
      <c r="G63" s="251"/>
      <c r="H63" s="251"/>
      <c r="I63" s="251"/>
      <c r="J63" s="251"/>
      <c r="K63" s="251"/>
      <c r="L63" s="251"/>
      <c r="M63" s="251"/>
      <c r="N63" s="480"/>
      <c r="O63" s="251"/>
      <c r="P63" s="251"/>
      <c r="Q63" s="99"/>
      <c r="S63" s="334" t="s">
        <v>90</v>
      </c>
      <c r="T63" s="460">
        <v>0</v>
      </c>
      <c r="U63" s="336">
        <f>T63/U61</f>
        <v>0</v>
      </c>
      <c r="V63" s="336" t="e">
        <f>T63/U68</f>
        <v>#DIV/0!</v>
      </c>
      <c r="W63" s="330">
        <f>+W38</f>
        <v>4.0489999999999998E-2</v>
      </c>
      <c r="X63" s="330"/>
      <c r="Y63" s="336" t="e">
        <f>W63-V63</f>
        <v>#DIV/0!</v>
      </c>
      <c r="Z63" s="330"/>
      <c r="AA63" s="104"/>
    </row>
    <row r="64" spans="1:27" ht="15.75" x14ac:dyDescent="0.25">
      <c r="A64" s="313"/>
      <c r="B64" s="295"/>
      <c r="C64" s="318" t="s">
        <v>206</v>
      </c>
      <c r="D64" s="276">
        <v>12930.4</v>
      </c>
      <c r="E64" s="276">
        <v>9174.44</v>
      </c>
      <c r="F64" s="276">
        <v>8256.3799999999992</v>
      </c>
      <c r="G64" s="276">
        <v>8198.52</v>
      </c>
      <c r="H64" s="276">
        <v>6674.67</v>
      </c>
      <c r="I64" s="276">
        <v>1743.83</v>
      </c>
      <c r="J64" s="276">
        <v>1194.92</v>
      </c>
      <c r="K64" s="276">
        <v>1187.82</v>
      </c>
      <c r="L64" s="276">
        <v>1673.61</v>
      </c>
      <c r="M64" s="276">
        <v>6282.06</v>
      </c>
      <c r="N64" s="207"/>
      <c r="O64" s="276">
        <v>10661.4</v>
      </c>
      <c r="P64" s="276">
        <v>10661.4</v>
      </c>
      <c r="Q64" s="99"/>
      <c r="S64" s="334" t="s">
        <v>239</v>
      </c>
      <c r="T64" s="460">
        <v>109285.67</v>
      </c>
      <c r="U64" s="336">
        <f>T64/U60</f>
        <v>0.71566998899832357</v>
      </c>
      <c r="V64" s="336">
        <f>T64/U60</f>
        <v>0.71566998899832357</v>
      </c>
      <c r="W64" s="338">
        <v>0.49941999999999998</v>
      </c>
      <c r="X64" s="330"/>
      <c r="Y64" s="492">
        <f>W64-V64</f>
        <v>-0.21624998899832359</v>
      </c>
      <c r="Z64" s="330"/>
      <c r="AA64" s="104"/>
    </row>
    <row r="65" spans="1:27" x14ac:dyDescent="0.25">
      <c r="A65" s="313"/>
      <c r="B65" s="295"/>
      <c r="C65" s="318" t="s">
        <v>207</v>
      </c>
      <c r="D65" s="276">
        <v>21309.16</v>
      </c>
      <c r="E65" s="276">
        <v>9578.0400000000009</v>
      </c>
      <c r="F65" s="276">
        <v>4655.1099999999997</v>
      </c>
      <c r="G65" s="276">
        <v>3777.25</v>
      </c>
      <c r="H65" s="276"/>
      <c r="I65" s="276"/>
      <c r="J65" s="276"/>
      <c r="K65" s="276"/>
      <c r="L65" s="276"/>
      <c r="M65" s="276"/>
      <c r="N65" s="207"/>
      <c r="O65" s="276">
        <v>12810.77</v>
      </c>
      <c r="P65" s="276">
        <v>20560.05</v>
      </c>
      <c r="Q65" s="99"/>
      <c r="S65" s="334"/>
      <c r="T65" s="337"/>
      <c r="U65" s="337">
        <f>ROUND(T61/W61,0)</f>
        <v>60000</v>
      </c>
      <c r="V65" s="330"/>
      <c r="W65" s="330"/>
      <c r="X65" s="330"/>
      <c r="Y65" s="330"/>
      <c r="Z65" s="330"/>
      <c r="AA65" s="104"/>
    </row>
    <row r="66" spans="1:27" x14ac:dyDescent="0.25">
      <c r="A66" s="313"/>
      <c r="B66" s="295"/>
      <c r="C66" s="319" t="s">
        <v>208</v>
      </c>
      <c r="D66" s="489">
        <v>0</v>
      </c>
      <c r="E66" s="488"/>
      <c r="F66" s="276"/>
      <c r="G66" s="351"/>
      <c r="H66" s="351"/>
      <c r="I66" s="351"/>
      <c r="J66" s="351"/>
      <c r="K66" s="351"/>
      <c r="L66" s="351"/>
      <c r="M66" s="351"/>
      <c r="N66" s="207"/>
      <c r="O66" s="351"/>
      <c r="P66" s="490"/>
      <c r="Q66" s="99"/>
      <c r="S66" s="334"/>
      <c r="T66" s="337"/>
      <c r="U66" s="337">
        <f>ROUND(T62/W62,0)</f>
        <v>92704</v>
      </c>
      <c r="V66" s="330"/>
      <c r="W66" s="330"/>
      <c r="X66" s="330"/>
      <c r="Y66" s="330"/>
      <c r="Z66" s="330"/>
      <c r="AA66" s="104"/>
    </row>
    <row r="67" spans="1:27" x14ac:dyDescent="0.25">
      <c r="A67" s="313"/>
      <c r="B67" s="295"/>
      <c r="C67" s="483" t="s">
        <v>179</v>
      </c>
      <c r="D67" s="189">
        <f>-'WACAP 2021'!P64-'WACAP 2021'!P65-'WACAP 2021'!P66</f>
        <v>-14188.23</v>
      </c>
      <c r="E67" s="189">
        <f t="shared" ref="E67:M67" si="28">-D64-D65-D66</f>
        <v>-34239.56</v>
      </c>
      <c r="F67" s="375">
        <f t="shared" si="28"/>
        <v>-18752.480000000003</v>
      </c>
      <c r="G67" s="189">
        <f t="shared" si="28"/>
        <v>-12911.489999999998</v>
      </c>
      <c r="H67" s="189">
        <f t="shared" si="28"/>
        <v>-11975.77</v>
      </c>
      <c r="I67" s="189">
        <f t="shared" si="28"/>
        <v>-6674.67</v>
      </c>
      <c r="J67" s="189">
        <f t="shared" si="28"/>
        <v>-1743.83</v>
      </c>
      <c r="K67" s="189">
        <f t="shared" si="28"/>
        <v>-1194.92</v>
      </c>
      <c r="L67" s="189">
        <f t="shared" si="28"/>
        <v>-1187.82</v>
      </c>
      <c r="M67" s="189">
        <f t="shared" si="28"/>
        <v>-1673.61</v>
      </c>
      <c r="N67" s="208"/>
      <c r="O67" s="189">
        <f>-M64-M65-M66</f>
        <v>-6282.06</v>
      </c>
      <c r="P67" s="189">
        <f>-O64-O65-O66</f>
        <v>-23472.17</v>
      </c>
      <c r="Q67" s="362"/>
      <c r="S67" s="334"/>
      <c r="T67" s="334"/>
      <c r="U67" s="334"/>
      <c r="V67" s="334"/>
      <c r="W67" s="334"/>
      <c r="X67" s="334"/>
      <c r="Y67" s="334"/>
      <c r="Z67" s="334"/>
      <c r="AA67" s="104"/>
    </row>
    <row r="68" spans="1:27" x14ac:dyDescent="0.25">
      <c r="A68" s="313"/>
      <c r="B68" s="295"/>
      <c r="C68" s="311" t="s">
        <v>74</v>
      </c>
      <c r="D68" s="108">
        <f t="shared" ref="D68:M68" si="29">SUM(D61:D67)</f>
        <v>42244.380000000005</v>
      </c>
      <c r="E68" s="108">
        <f t="shared" si="29"/>
        <v>9356.0800000000017</v>
      </c>
      <c r="F68" s="108">
        <f t="shared" si="29"/>
        <v>12911.489999999998</v>
      </c>
      <c r="G68" s="108">
        <f t="shared" si="29"/>
        <v>11975.77</v>
      </c>
      <c r="H68" s="108">
        <f t="shared" si="29"/>
        <v>6674.6700000000019</v>
      </c>
      <c r="I68" s="108">
        <f t="shared" si="29"/>
        <v>1743.83</v>
      </c>
      <c r="J68" s="108">
        <f t="shared" si="29"/>
        <v>1194.92</v>
      </c>
      <c r="K68" s="108">
        <f t="shared" si="29"/>
        <v>1187.8199999999997</v>
      </c>
      <c r="L68" s="108">
        <f t="shared" si="29"/>
        <v>1673.61</v>
      </c>
      <c r="M68" s="187">
        <f t="shared" si="29"/>
        <v>6282.06</v>
      </c>
      <c r="N68" s="304"/>
      <c r="O68" s="397">
        <f>SUM(O61:O67)</f>
        <v>23472.17</v>
      </c>
      <c r="P68" s="187">
        <f>SUM(P61:P67)</f>
        <v>31221.449999999997</v>
      </c>
      <c r="Q68" s="362"/>
      <c r="R68" s="358"/>
      <c r="S68" s="334"/>
      <c r="T68" s="337"/>
      <c r="U68" s="337">
        <f>ROUND(T63/W63,0)</f>
        <v>0</v>
      </c>
      <c r="V68" s="330"/>
      <c r="W68" s="330"/>
      <c r="X68" s="330"/>
      <c r="Y68" s="330"/>
      <c r="Z68" s="330"/>
      <c r="AA68" s="104"/>
    </row>
    <row r="69" spans="1:27" ht="15.75" x14ac:dyDescent="0.25">
      <c r="A69" s="313"/>
      <c r="B69" s="295"/>
      <c r="C69" s="487" t="s">
        <v>73</v>
      </c>
      <c r="D69" s="309">
        <f>ROUND(-'Authorized Margins 2021'!D13*'WACAP 2022'!D60,2)</f>
        <v>-8577.9599999999991</v>
      </c>
      <c r="E69" s="88">
        <f>ROUND(-'Authorized Margins 2021'!E13*'WACAP 2022'!E60,2)</f>
        <v>-8790.75</v>
      </c>
      <c r="F69" s="88">
        <f>ROUND(-'Authorized Margins 2021'!F13*'WACAP 2022'!F60,2)</f>
        <v>-9249.7199999999993</v>
      </c>
      <c r="G69" s="88">
        <f>ROUND(-'Authorized Margins 2021'!G13*'WACAP 2022'!G60,2)</f>
        <v>-6716.73</v>
      </c>
      <c r="H69" s="88">
        <f>ROUND(-'Authorized Margins 2021'!H13*'WACAP 2022'!H60,2)</f>
        <v>-4769.3100000000004</v>
      </c>
      <c r="I69" s="88">
        <f>ROUND(-'Authorized Margins 2021'!I13*'WACAP 2022'!I60,2)</f>
        <v>-3751.32</v>
      </c>
      <c r="J69" s="88">
        <f>ROUND(-'Authorized Margins 2021'!J13*'WACAP 2022'!J60,2)</f>
        <v>-3541.89</v>
      </c>
      <c r="K69" s="88">
        <f>ROUND(-'Authorized Margins 2021'!K13*'WACAP 2022'!K60,2)</f>
        <v>-3529.29</v>
      </c>
      <c r="L69" s="88">
        <f>ROUND(-'Authorized Margins 22'!L13*'WACAP 2022'!L60,2)</f>
        <v>-3921.99</v>
      </c>
      <c r="M69" s="88">
        <f>ROUND(-'Authorized Margins 2022'!M13*'WACAP 2022'!M60,2)</f>
        <v>-4741.1400000000003</v>
      </c>
      <c r="N69" s="209"/>
      <c r="O69" s="88">
        <f>ROUND(-'Authorized Margins 2022'!O13*'WACAP 2022'!O60,2)</f>
        <v>-5515.98</v>
      </c>
      <c r="P69" s="88">
        <f>ROUND(-'Authorized Margins 2022'!P13*'WACAP 2022'!P60,2)</f>
        <v>-8771.5499999999993</v>
      </c>
      <c r="Q69" s="362"/>
      <c r="S69" s="334"/>
      <c r="T69" s="337"/>
      <c r="U69" s="337"/>
      <c r="V69" s="330"/>
      <c r="W69" s="330"/>
      <c r="X69" s="330"/>
      <c r="Y69" s="330"/>
      <c r="Z69" s="330"/>
      <c r="AA69" s="104"/>
    </row>
    <row r="70" spans="1:27" x14ac:dyDescent="0.25">
      <c r="A70" s="313"/>
      <c r="B70" s="295"/>
      <c r="C70" s="364" t="s">
        <v>201</v>
      </c>
      <c r="D70" s="187">
        <f t="shared" ref="D70:M70" si="30">SUM(D68:D69)</f>
        <v>33666.420000000006</v>
      </c>
      <c r="E70" s="187">
        <f t="shared" si="30"/>
        <v>565.33000000000175</v>
      </c>
      <c r="F70" s="187">
        <f t="shared" si="30"/>
        <v>3661.7699999999986</v>
      </c>
      <c r="G70" s="187">
        <f t="shared" si="30"/>
        <v>5259.0400000000009</v>
      </c>
      <c r="H70" s="187">
        <f t="shared" si="30"/>
        <v>1905.3600000000015</v>
      </c>
      <c r="I70" s="90">
        <f t="shared" si="30"/>
        <v>-2007.4900000000002</v>
      </c>
      <c r="J70" s="90">
        <f t="shared" si="30"/>
        <v>-2346.9699999999998</v>
      </c>
      <c r="K70" s="90">
        <f t="shared" si="30"/>
        <v>-2341.4700000000003</v>
      </c>
      <c r="L70" s="90">
        <f t="shared" si="30"/>
        <v>-2248.38</v>
      </c>
      <c r="M70" s="187">
        <f t="shared" si="30"/>
        <v>1540.92</v>
      </c>
      <c r="N70" s="302">
        <f>-'WACAP 2021'!Q72</f>
        <v>-25884.017000000033</v>
      </c>
      <c r="O70" s="187">
        <f>SUM(O68:O69)</f>
        <v>17956.189999999999</v>
      </c>
      <c r="P70" s="187">
        <f>SUM(P68:P69)</f>
        <v>22449.899999999998</v>
      </c>
      <c r="Q70" s="99">
        <f>SUM(D70:P70)-N70</f>
        <v>78060.62000000001</v>
      </c>
      <c r="S70" s="334"/>
      <c r="T70" s="337"/>
      <c r="U70" s="337"/>
      <c r="V70" s="330"/>
      <c r="W70" s="330"/>
      <c r="X70" s="330"/>
      <c r="Y70" s="330"/>
      <c r="Z70" s="330"/>
      <c r="AA70" s="104"/>
    </row>
    <row r="71" spans="1:27" ht="15.75" x14ac:dyDescent="0.25">
      <c r="A71" s="313"/>
      <c r="B71" s="295"/>
      <c r="C71" s="487" t="s">
        <v>137</v>
      </c>
      <c r="D71" s="308">
        <f>ROUND(ROUND('WACAP 2021'!P73*D$7,2)/365*D$8,2)</f>
        <v>71.45</v>
      </c>
      <c r="E71" s="187">
        <f t="shared" ref="E71:M71" si="31">ROUND(ROUND(D73*E$7,2)/365*E$8,2)</f>
        <v>148.65</v>
      </c>
      <c r="F71" s="187">
        <f t="shared" si="31"/>
        <v>166.54</v>
      </c>
      <c r="G71" s="187">
        <f t="shared" si="31"/>
        <v>171.4</v>
      </c>
      <c r="H71" s="187">
        <f t="shared" si="31"/>
        <v>192.1</v>
      </c>
      <c r="I71" s="187">
        <f t="shared" si="31"/>
        <v>191.51</v>
      </c>
      <c r="J71" s="187">
        <f t="shared" si="31"/>
        <v>213.65</v>
      </c>
      <c r="K71" s="187">
        <f t="shared" si="31"/>
        <v>207.13</v>
      </c>
      <c r="L71" s="187">
        <f t="shared" si="31"/>
        <v>194.13</v>
      </c>
      <c r="M71" s="187">
        <f t="shared" si="31"/>
        <v>265.02999999999997</v>
      </c>
      <c r="N71" s="231">
        <f>'Ammort Split 2022'!N69</f>
        <v>-770.06999999999994</v>
      </c>
      <c r="O71" s="187">
        <f>ROUND(ROUND(N73*O$7,2)/365*O$8,2)</f>
        <v>156.19999999999999</v>
      </c>
      <c r="P71" s="187">
        <f>ROUND(ROUND(O73*P$7,2)/365*P$8,2)</f>
        <v>236.94</v>
      </c>
      <c r="Q71" s="100">
        <f>SUM(D71:P71)</f>
        <v>1444.66</v>
      </c>
      <c r="S71" s="334"/>
      <c r="T71" s="337"/>
      <c r="U71" s="337"/>
      <c r="V71" s="330"/>
      <c r="W71" s="330"/>
      <c r="X71" s="330"/>
      <c r="Y71" s="330"/>
      <c r="Z71" s="330"/>
      <c r="AA71" s="104"/>
    </row>
    <row r="72" spans="1:27" x14ac:dyDescent="0.25">
      <c r="A72" s="313"/>
      <c r="B72" s="295"/>
      <c r="C72" s="364" t="s">
        <v>138</v>
      </c>
      <c r="D72" s="189">
        <f t="shared" ref="D72:Q72" si="32">SUM(D70:D71)</f>
        <v>33737.870000000003</v>
      </c>
      <c r="E72" s="189">
        <f t="shared" si="32"/>
        <v>713.98000000000172</v>
      </c>
      <c r="F72" s="189">
        <f t="shared" si="32"/>
        <v>3828.3099999999986</v>
      </c>
      <c r="G72" s="189">
        <f t="shared" si="32"/>
        <v>5430.4400000000005</v>
      </c>
      <c r="H72" s="189">
        <f t="shared" si="32"/>
        <v>2097.4600000000014</v>
      </c>
      <c r="I72" s="189">
        <f t="shared" si="32"/>
        <v>-1815.9800000000002</v>
      </c>
      <c r="J72" s="189">
        <f t="shared" si="32"/>
        <v>-2133.3199999999997</v>
      </c>
      <c r="K72" s="189">
        <f t="shared" si="32"/>
        <v>-2134.34</v>
      </c>
      <c r="L72" s="189">
        <f t="shared" si="32"/>
        <v>-2054.25</v>
      </c>
      <c r="M72" s="189">
        <f t="shared" si="32"/>
        <v>1805.95</v>
      </c>
      <c r="N72" s="209">
        <f t="shared" si="32"/>
        <v>-26654.087000000032</v>
      </c>
      <c r="O72" s="189">
        <f t="shared" si="32"/>
        <v>18112.39</v>
      </c>
      <c r="P72" s="189">
        <f t="shared" si="32"/>
        <v>22686.839999999997</v>
      </c>
      <c r="Q72" s="453">
        <f t="shared" si="32"/>
        <v>79505.280000000013</v>
      </c>
      <c r="S72" s="334"/>
      <c r="T72" s="337"/>
      <c r="U72" s="337"/>
      <c r="V72" s="433"/>
      <c r="W72" s="433"/>
      <c r="X72" s="433"/>
      <c r="Y72" s="433"/>
      <c r="Z72" s="433"/>
      <c r="AA72" s="104"/>
    </row>
    <row r="73" spans="1:27" ht="15.75" x14ac:dyDescent="0.25">
      <c r="A73" s="313"/>
      <c r="B73" s="295"/>
      <c r="C73" s="487" t="s">
        <v>139</v>
      </c>
      <c r="D73" s="308">
        <f>'WACAP 2021'!P73+'WACAP 2022'!D72</f>
        <v>59621.886999999813</v>
      </c>
      <c r="E73" s="187">
        <f t="shared" ref="E73:P73" si="33">D73+E72</f>
        <v>60335.866999999816</v>
      </c>
      <c r="F73" s="187">
        <f t="shared" si="33"/>
        <v>64164.176999999814</v>
      </c>
      <c r="G73" s="187">
        <f t="shared" si="33"/>
        <v>69594.616999999809</v>
      </c>
      <c r="H73" s="187">
        <f t="shared" si="33"/>
        <v>71692.076999999816</v>
      </c>
      <c r="I73" s="187">
        <f t="shared" si="33"/>
        <v>69876.09699999982</v>
      </c>
      <c r="J73" s="187">
        <f t="shared" si="33"/>
        <v>67742.776999999827</v>
      </c>
      <c r="K73" s="187">
        <f t="shared" si="33"/>
        <v>65608.436999999831</v>
      </c>
      <c r="L73" s="187">
        <f t="shared" si="33"/>
        <v>63554.186999999831</v>
      </c>
      <c r="M73" s="187">
        <f t="shared" si="33"/>
        <v>65360.136999999828</v>
      </c>
      <c r="N73" s="208">
        <f t="shared" si="33"/>
        <v>38706.049999999799</v>
      </c>
      <c r="O73" s="187">
        <f t="shared" si="33"/>
        <v>56818.439999999799</v>
      </c>
      <c r="P73" s="397">
        <f t="shared" si="33"/>
        <v>79505.279999999795</v>
      </c>
      <c r="Q73" s="362"/>
      <c r="S73" s="334"/>
      <c r="T73" s="337"/>
      <c r="U73" s="337"/>
      <c r="V73" s="330"/>
      <c r="W73" s="330"/>
      <c r="X73" s="330"/>
      <c r="Y73" s="330"/>
      <c r="Z73" s="330"/>
    </row>
    <row r="74" spans="1:27" ht="6.75" customHeight="1" thickBot="1" x14ac:dyDescent="0.3">
      <c r="A74" s="313"/>
      <c r="B74" s="295"/>
      <c r="C74" s="438"/>
      <c r="D74" s="438"/>
      <c r="E74" s="439"/>
      <c r="F74" s="439"/>
      <c r="G74" s="439"/>
      <c r="H74" s="439"/>
      <c r="I74" s="439"/>
      <c r="J74" s="439"/>
      <c r="K74" s="439"/>
      <c r="L74" s="439"/>
      <c r="M74" s="439"/>
      <c r="N74" s="439"/>
      <c r="O74" s="439"/>
      <c r="P74" s="439"/>
      <c r="Q74" s="450"/>
      <c r="S74" s="334"/>
      <c r="T74" s="337"/>
      <c r="U74" s="675"/>
      <c r="V74" s="330"/>
      <c r="W74" s="330"/>
      <c r="X74" s="330"/>
      <c r="Y74" s="330"/>
      <c r="Z74" s="330"/>
    </row>
    <row r="75" spans="1:27" ht="4.5" customHeight="1" x14ac:dyDescent="0.25">
      <c r="B75" s="295"/>
      <c r="C75" s="442"/>
      <c r="D75" s="442"/>
      <c r="E75" s="443"/>
      <c r="F75" s="443"/>
      <c r="G75" s="443"/>
      <c r="H75" s="443"/>
      <c r="I75" s="443"/>
      <c r="J75" s="443"/>
      <c r="K75" s="443"/>
      <c r="L75" s="443"/>
      <c r="M75" s="443"/>
      <c r="N75" s="443"/>
      <c r="O75" s="187"/>
      <c r="P75" s="187"/>
      <c r="Q75" s="240"/>
      <c r="S75" s="334"/>
      <c r="T75" s="337"/>
      <c r="U75" s="675"/>
      <c r="V75" s="330"/>
      <c r="W75" s="330"/>
      <c r="X75" s="330"/>
      <c r="Y75" s="330"/>
      <c r="Z75" s="330"/>
    </row>
    <row r="76" spans="1:27" ht="4.5" customHeight="1" x14ac:dyDescent="0.25">
      <c r="B76" s="295"/>
      <c r="C76" s="446"/>
      <c r="D76" s="446"/>
      <c r="E76" s="189"/>
      <c r="F76" s="187"/>
      <c r="G76" s="189"/>
      <c r="H76" s="189"/>
      <c r="I76" s="189"/>
      <c r="J76" s="189"/>
      <c r="K76" s="189"/>
      <c r="L76" s="189"/>
      <c r="M76" s="189"/>
      <c r="N76" s="189"/>
      <c r="O76" s="189"/>
      <c r="P76" s="189"/>
      <c r="Q76" s="356"/>
      <c r="S76" s="334"/>
      <c r="T76" s="337"/>
      <c r="U76" s="675"/>
      <c r="V76" s="330"/>
      <c r="W76" s="330"/>
      <c r="X76" s="330"/>
      <c r="Y76" s="330"/>
      <c r="Z76" s="330"/>
    </row>
    <row r="77" spans="1:27" x14ac:dyDescent="0.25">
      <c r="A77" s="313"/>
      <c r="B77" t="s">
        <v>86</v>
      </c>
      <c r="C77" s="365" t="s">
        <v>195</v>
      </c>
      <c r="D77" s="447"/>
      <c r="E77" s="448"/>
      <c r="F77" s="423"/>
      <c r="G77" s="448"/>
      <c r="H77" s="113"/>
      <c r="I77" s="113"/>
      <c r="J77" s="113"/>
      <c r="K77" s="113"/>
      <c r="L77" s="113"/>
      <c r="M77" s="113"/>
      <c r="N77" s="113"/>
      <c r="O77" s="113"/>
      <c r="P77" s="448"/>
      <c r="Q77" s="449"/>
      <c r="S77" s="330"/>
      <c r="T77" s="337"/>
      <c r="U77" s="444" t="s">
        <v>92</v>
      </c>
      <c r="V77" s="330"/>
      <c r="W77" s="330"/>
      <c r="X77" s="330"/>
      <c r="Y77" s="330"/>
      <c r="Z77" s="330"/>
    </row>
    <row r="78" spans="1:27" ht="15.75" x14ac:dyDescent="0.25">
      <c r="A78" s="313"/>
      <c r="B78" s="295" t="s">
        <v>64</v>
      </c>
      <c r="C78" s="362" t="s">
        <v>172</v>
      </c>
      <c r="D78" s="250">
        <v>27318</v>
      </c>
      <c r="E78" s="250">
        <v>27347</v>
      </c>
      <c r="F78" s="250">
        <v>27339</v>
      </c>
      <c r="G78" s="250">
        <v>27249</v>
      </c>
      <c r="H78" s="250">
        <v>27206</v>
      </c>
      <c r="I78" s="250">
        <v>27170</v>
      </c>
      <c r="J78" s="250">
        <v>27165</v>
      </c>
      <c r="K78" s="250">
        <v>27153</v>
      </c>
      <c r="L78" s="250">
        <v>27154</v>
      </c>
      <c r="M78" s="250">
        <v>27241</v>
      </c>
      <c r="N78" s="479"/>
      <c r="O78" s="250">
        <v>27459</v>
      </c>
      <c r="P78" s="250">
        <v>27570</v>
      </c>
      <c r="Q78" s="452"/>
      <c r="S78" s="437">
        <v>4810</v>
      </c>
      <c r="T78" s="461">
        <v>504</v>
      </c>
      <c r="U78" s="535">
        <v>15406053</v>
      </c>
      <c r="V78" s="333"/>
      <c r="W78" s="444" t="s">
        <v>90</v>
      </c>
      <c r="X78" s="330"/>
      <c r="Y78" s="444" t="s">
        <v>214</v>
      </c>
      <c r="Z78" s="330"/>
    </row>
    <row r="79" spans="1:27" ht="15.75" x14ac:dyDescent="0.25">
      <c r="A79" s="313"/>
      <c r="B79" s="295" t="s">
        <v>71</v>
      </c>
      <c r="C79" s="366" t="s">
        <v>178</v>
      </c>
      <c r="D79" s="251">
        <v>4581013.8600000003</v>
      </c>
      <c r="E79" s="251">
        <v>3641971.21</v>
      </c>
      <c r="F79" s="251">
        <v>3509813.86</v>
      </c>
      <c r="G79" s="251">
        <v>2272084.1</v>
      </c>
      <c r="H79" s="251">
        <v>1990363.05</v>
      </c>
      <c r="I79" s="251">
        <v>1302737.21</v>
      </c>
      <c r="J79" s="251">
        <v>825035</v>
      </c>
      <c r="K79" s="251">
        <v>715625.19</v>
      </c>
      <c r="L79" s="251">
        <v>722625.38</v>
      </c>
      <c r="M79" s="251">
        <v>918007.82</v>
      </c>
      <c r="N79" s="480"/>
      <c r="O79" s="251">
        <v>1831183.63</v>
      </c>
      <c r="P79" s="251">
        <v>4466990.07</v>
      </c>
      <c r="Q79" s="99"/>
      <c r="S79" s="334" t="s">
        <v>90</v>
      </c>
      <c r="T79" s="460">
        <v>4466990.07</v>
      </c>
      <c r="U79" s="336">
        <f>T79/U78</f>
        <v>0.28995032471977089</v>
      </c>
      <c r="V79" s="336">
        <f>T79/U78</f>
        <v>0.28995032471977089</v>
      </c>
      <c r="W79" s="338">
        <f>+W48</f>
        <v>0.28994999999999999</v>
      </c>
      <c r="X79" s="330"/>
      <c r="Y79" s="492">
        <f>W79-V79</f>
        <v>-3.2471977090553494E-7</v>
      </c>
      <c r="Z79" s="330"/>
    </row>
    <row r="80" spans="1:27" ht="15.75" x14ac:dyDescent="0.25">
      <c r="A80" s="313"/>
      <c r="B80" s="295"/>
      <c r="C80" s="367" t="s">
        <v>222</v>
      </c>
      <c r="D80" s="468">
        <v>12043276</v>
      </c>
      <c r="E80" s="465">
        <v>11169111</v>
      </c>
      <c r="F80" s="465">
        <v>6607346</v>
      </c>
      <c r="G80" s="465">
        <v>6413811</v>
      </c>
      <c r="H80" s="465">
        <v>4060717</v>
      </c>
      <c r="I80" s="465">
        <v>2056705</v>
      </c>
      <c r="J80" s="465">
        <v>1121403</v>
      </c>
      <c r="K80" s="465">
        <v>1362124</v>
      </c>
      <c r="L80" s="465">
        <v>1858208</v>
      </c>
      <c r="M80" s="465">
        <v>4485589</v>
      </c>
      <c r="N80" s="479"/>
      <c r="O80" s="465">
        <v>11435350</v>
      </c>
      <c r="P80" s="465">
        <v>14028311</v>
      </c>
      <c r="Q80" s="99"/>
      <c r="S80" s="334" t="s">
        <v>239</v>
      </c>
      <c r="T80" s="460">
        <v>11134798.560000001</v>
      </c>
      <c r="U80" s="336">
        <f>T80/U78</f>
        <v>0.72275478735533372</v>
      </c>
      <c r="V80" s="336">
        <f>T80/U78</f>
        <v>0.72275478735533372</v>
      </c>
      <c r="W80" s="330">
        <f>+W49</f>
        <v>0.51334000000000002</v>
      </c>
      <c r="X80" s="330"/>
      <c r="Y80" s="492">
        <f>W80-V80</f>
        <v>-0.2094147873553337</v>
      </c>
      <c r="Z80" s="330"/>
    </row>
    <row r="81" spans="1:26" x14ac:dyDescent="0.25">
      <c r="A81" s="313"/>
      <c r="B81" s="295"/>
      <c r="C81" s="367" t="s">
        <v>225</v>
      </c>
      <c r="D81" s="467">
        <v>0.91469999999999996</v>
      </c>
      <c r="E81" s="467">
        <v>0.91310000000000002</v>
      </c>
      <c r="F81" s="467">
        <v>0.9113</v>
      </c>
      <c r="G81" s="467">
        <v>0.90549999999999997</v>
      </c>
      <c r="H81" s="467">
        <v>0.90239999999999998</v>
      </c>
      <c r="I81" s="467">
        <v>0.89529999999999998</v>
      </c>
      <c r="J81" s="467">
        <v>0.89829999999999999</v>
      </c>
      <c r="K81" s="467">
        <v>0.89300000000000002</v>
      </c>
      <c r="L81" s="467">
        <v>0.89649999999999996</v>
      </c>
      <c r="M81" s="467">
        <v>0.89100000000000001</v>
      </c>
      <c r="N81" s="480"/>
      <c r="O81" s="467">
        <v>0.8972</v>
      </c>
      <c r="P81" s="467">
        <v>0.90590000000000004</v>
      </c>
      <c r="Q81" s="99"/>
      <c r="S81" s="334"/>
      <c r="T81" s="337"/>
      <c r="U81" s="337">
        <f>ROUND(T94/W94,0)</f>
        <v>971790</v>
      </c>
      <c r="V81" s="336"/>
      <c r="W81" s="330"/>
      <c r="X81" s="330"/>
      <c r="Y81" s="336"/>
      <c r="Z81" s="330"/>
    </row>
    <row r="82" spans="1:26" x14ac:dyDescent="0.25">
      <c r="A82" s="313"/>
      <c r="B82" s="376" t="s">
        <v>72</v>
      </c>
      <c r="C82" s="367" t="s">
        <v>224</v>
      </c>
      <c r="D82" s="349">
        <f t="shared" ref="D82:K82" si="34">ROUND(ROUND(D80*D81,0)*0.26283,2)</f>
        <v>2895331.34</v>
      </c>
      <c r="E82" s="349">
        <f t="shared" si="34"/>
        <v>2680475.7000000002</v>
      </c>
      <c r="F82" s="349">
        <f t="shared" si="34"/>
        <v>1582571.45</v>
      </c>
      <c r="G82" s="349">
        <f t="shared" si="34"/>
        <v>1526439.37</v>
      </c>
      <c r="H82" s="349">
        <f t="shared" si="34"/>
        <v>963111.89</v>
      </c>
      <c r="I82" s="349">
        <f t="shared" si="34"/>
        <v>483966.75</v>
      </c>
      <c r="J82" s="349">
        <f t="shared" si="34"/>
        <v>264763.38</v>
      </c>
      <c r="K82" s="349">
        <f t="shared" si="34"/>
        <v>319700.37</v>
      </c>
      <c r="L82" s="349">
        <f>ROUND(ROUND(L80*L81,0)*0.28644,2)</f>
        <v>477175.53</v>
      </c>
      <c r="M82" s="349">
        <f>ROUND(ROUND(M80*M81,0)*0.28995,2)</f>
        <v>1158831.57</v>
      </c>
      <c r="N82" s="480"/>
      <c r="O82" s="349">
        <f>ROUND(ROUND(O80*O81,0)*0.28995,2)</f>
        <v>2974827.85</v>
      </c>
      <c r="P82" s="349">
        <f>ROUND(ROUND(P80*P81,0)*0.28995,2)</f>
        <v>3684756.22</v>
      </c>
      <c r="Q82" s="99"/>
      <c r="S82" s="337"/>
      <c r="T82" s="337"/>
      <c r="U82" s="337"/>
      <c r="V82" s="337"/>
      <c r="W82" s="337"/>
      <c r="X82" s="337"/>
      <c r="Y82" s="337"/>
      <c r="Z82" s="330"/>
    </row>
    <row r="83" spans="1:26" x14ac:dyDescent="0.25">
      <c r="A83" s="313"/>
      <c r="B83" s="295" t="s">
        <v>72</v>
      </c>
      <c r="C83" s="483" t="s">
        <v>184</v>
      </c>
      <c r="D83" s="189">
        <f>-'WACAP 2021'!P82</f>
        <v>-3235044.63</v>
      </c>
      <c r="E83" s="189">
        <f t="shared" ref="E83:F83" si="35">-D82</f>
        <v>-2895331.34</v>
      </c>
      <c r="F83" s="189">
        <f t="shared" si="35"/>
        <v>-2680475.7000000002</v>
      </c>
      <c r="G83" s="189">
        <f>-F82</f>
        <v>-1582571.45</v>
      </c>
      <c r="H83" s="189">
        <f>-G82</f>
        <v>-1526439.37</v>
      </c>
      <c r="I83" s="189">
        <f>-H82</f>
        <v>-963111.89</v>
      </c>
      <c r="J83" s="189">
        <f>-I82</f>
        <v>-483966.75</v>
      </c>
      <c r="K83" s="189">
        <f t="shared" ref="K83:M83" si="36">-J82</f>
        <v>-264763.38</v>
      </c>
      <c r="L83" s="189">
        <f>-K82</f>
        <v>-319700.37</v>
      </c>
      <c r="M83" s="189">
        <f t="shared" si="36"/>
        <v>-477175.53</v>
      </c>
      <c r="N83" s="209"/>
      <c r="O83" s="189">
        <f>-M82</f>
        <v>-1158831.57</v>
      </c>
      <c r="P83" s="189">
        <f>-O82</f>
        <v>-2974827.85</v>
      </c>
      <c r="Q83" s="99"/>
      <c r="S83" s="337"/>
      <c r="T83" s="337"/>
      <c r="U83" s="337"/>
      <c r="V83" s="337"/>
      <c r="W83" s="337"/>
      <c r="X83" s="337"/>
      <c r="Y83" s="337"/>
      <c r="Z83" s="330"/>
    </row>
    <row r="84" spans="1:26" x14ac:dyDescent="0.25">
      <c r="A84" s="313"/>
      <c r="B84" s="295"/>
      <c r="C84" s="311" t="s">
        <v>74</v>
      </c>
      <c r="D84" s="187">
        <f>+D83+D82+D79</f>
        <v>4241300.57</v>
      </c>
      <c r="E84" s="187">
        <f t="shared" ref="E84:P84" si="37">+E83+E82+E79</f>
        <v>3427115.5700000003</v>
      </c>
      <c r="F84" s="187">
        <f t="shared" si="37"/>
        <v>2411909.6099999994</v>
      </c>
      <c r="G84" s="187">
        <f t="shared" si="37"/>
        <v>2215952.0200000005</v>
      </c>
      <c r="H84" s="187">
        <f t="shared" si="37"/>
        <v>1427035.5699999998</v>
      </c>
      <c r="I84" s="187">
        <f t="shared" si="37"/>
        <v>823592.07</v>
      </c>
      <c r="J84" s="187">
        <f t="shared" si="37"/>
        <v>605831.63</v>
      </c>
      <c r="K84" s="187">
        <f t="shared" si="37"/>
        <v>770562.17999999993</v>
      </c>
      <c r="L84" s="187">
        <f t="shared" si="37"/>
        <v>880100.54</v>
      </c>
      <c r="M84" s="187">
        <f t="shared" si="37"/>
        <v>1599663.8599999999</v>
      </c>
      <c r="N84" s="208"/>
      <c r="O84" s="187">
        <f t="shared" si="37"/>
        <v>3647179.91</v>
      </c>
      <c r="P84" s="187">
        <f t="shared" si="37"/>
        <v>5176918.4400000004</v>
      </c>
      <c r="Q84" s="362"/>
      <c r="S84" s="337"/>
      <c r="T84" s="337"/>
      <c r="U84" s="337"/>
      <c r="V84" s="337"/>
      <c r="W84" s="337"/>
      <c r="X84" s="337"/>
      <c r="Y84" s="337"/>
      <c r="Z84" s="330"/>
    </row>
    <row r="85" spans="1:26" ht="15.75" x14ac:dyDescent="0.25">
      <c r="A85" s="313"/>
      <c r="B85" s="295"/>
      <c r="C85" s="487" t="s">
        <v>73</v>
      </c>
      <c r="D85" s="307">
        <f>ROUND(-'Authorized Margins 2021'!D9*'WACAP 2022'!D78,2)</f>
        <v>-3967939.5</v>
      </c>
      <c r="E85" s="189">
        <f>ROUND(-'Authorized Margins 2021'!E9*'WACAP 2022'!E78,2)</f>
        <v>-3170064.24</v>
      </c>
      <c r="F85" s="189">
        <f>ROUND(-'Authorized Margins 2021'!F9*'WACAP 2022'!F78,2)</f>
        <v>-2525030.04</v>
      </c>
      <c r="G85" s="189">
        <f>ROUND(-'Authorized Margins 2021'!G9*'WACAP 2022'!G78,2)</f>
        <v>-1635757.47</v>
      </c>
      <c r="H85" s="189">
        <f>ROUND(-'Authorized Margins 2021'!H9*'WACAP 2022'!H78,2)</f>
        <v>-1190534.56</v>
      </c>
      <c r="I85" s="189">
        <f>ROUND(-'Authorized Margins 2021'!I9*'WACAP 2022'!I78,2)</f>
        <v>-840368.1</v>
      </c>
      <c r="J85" s="88">
        <f>ROUND(-'Authorized Margins 2021'!J9*'WACAP 2022'!J78,2)</f>
        <v>-831792.3</v>
      </c>
      <c r="K85" s="88">
        <f>ROUND(-'Authorized Margins 2021'!K9*'WACAP 2022'!K78,2)</f>
        <v>-836312.4</v>
      </c>
      <c r="L85" s="88">
        <f>ROUND(-'Authorized Margins 22'!L9*'WACAP 2022'!L78,2)</f>
        <v>-1085073.8400000001</v>
      </c>
      <c r="M85" s="88">
        <f>ROUND(-'Authorized Margins 2022'!M9*'WACAP 2022'!M78,2)</f>
        <v>-2015016.77</v>
      </c>
      <c r="N85" s="209"/>
      <c r="O85" s="88">
        <f>ROUND(-'Authorized Margins 2022'!O9*'WACAP 2022'!O78,2)</f>
        <v>-3079252.26</v>
      </c>
      <c r="P85" s="88">
        <f>ROUND(-'Authorized Margins 2022'!P9*'WACAP 2022'!P78,2)</f>
        <v>-3970080</v>
      </c>
      <c r="Q85" s="362"/>
      <c r="S85" s="337"/>
      <c r="T85" s="337"/>
      <c r="U85" s="330"/>
      <c r="V85" s="330"/>
      <c r="W85" s="330"/>
      <c r="X85" s="330"/>
      <c r="Y85" s="330"/>
      <c r="Z85" s="330"/>
    </row>
    <row r="86" spans="1:26" x14ac:dyDescent="0.25">
      <c r="A86" s="313"/>
      <c r="B86" s="295"/>
      <c r="C86" s="364" t="s">
        <v>201</v>
      </c>
      <c r="D86" s="187">
        <f t="shared" ref="D86:P86" si="38">SUM(D84:D85)</f>
        <v>273361.0700000003</v>
      </c>
      <c r="E86" s="187">
        <f t="shared" si="38"/>
        <v>257051.33000000007</v>
      </c>
      <c r="F86" s="187">
        <f t="shared" si="38"/>
        <v>-113120.43000000063</v>
      </c>
      <c r="G86" s="187">
        <f t="shared" si="38"/>
        <v>580194.55000000051</v>
      </c>
      <c r="H86" s="187">
        <f t="shared" si="38"/>
        <v>236501.00999999978</v>
      </c>
      <c r="I86" s="187">
        <f t="shared" si="38"/>
        <v>-16776.030000000028</v>
      </c>
      <c r="J86" s="187">
        <f t="shared" si="38"/>
        <v>-225960.67000000004</v>
      </c>
      <c r="K86" s="187">
        <f t="shared" si="38"/>
        <v>-65750.220000000088</v>
      </c>
      <c r="L86" s="187">
        <f t="shared" si="38"/>
        <v>-204973.30000000005</v>
      </c>
      <c r="M86" s="187">
        <f t="shared" si="38"/>
        <v>-415352.91000000015</v>
      </c>
      <c r="N86" s="302">
        <f>-'WACAP 2021'!Q88</f>
        <v>1493061.1700000011</v>
      </c>
      <c r="O86" s="187">
        <f t="shared" si="38"/>
        <v>567927.65000000037</v>
      </c>
      <c r="P86" s="187">
        <f t="shared" si="38"/>
        <v>1206838.4400000004</v>
      </c>
      <c r="Q86" s="99">
        <f>SUM(D86:P86)-N86</f>
        <v>2079940.4900000005</v>
      </c>
      <c r="S86" s="337"/>
      <c r="T86" s="337"/>
      <c r="U86" s="330"/>
      <c r="V86" s="330"/>
      <c r="W86" s="330"/>
      <c r="X86" s="330"/>
      <c r="Y86" s="330"/>
      <c r="Z86" s="330"/>
    </row>
    <row r="87" spans="1:26" ht="15.75" x14ac:dyDescent="0.25">
      <c r="A87" s="313"/>
      <c r="B87" s="295"/>
      <c r="C87" s="487" t="s">
        <v>137</v>
      </c>
      <c r="D87" s="308">
        <f>ROUND(ROUND('WACAP 2021'!P89*D$7,2)/365*D$8,2)</f>
        <v>-4121.26</v>
      </c>
      <c r="E87" s="187">
        <f>ROUND(ROUND(D89*E$7,2)/365*E$8,2)</f>
        <v>-3051.17</v>
      </c>
      <c r="F87" s="187">
        <f>ROUND(ROUND(E89*F$7,2)/365*F$8,2)</f>
        <v>-2676.97</v>
      </c>
      <c r="G87" s="187">
        <f t="shared" ref="G87:P87" si="39">ROUND(ROUND(F89*G$7,2)/365*G$8,2)</f>
        <v>-2899.94</v>
      </c>
      <c r="H87" s="187">
        <f t="shared" si="39"/>
        <v>-1403.11</v>
      </c>
      <c r="I87" s="187">
        <f t="shared" si="39"/>
        <v>-729.85</v>
      </c>
      <c r="J87" s="187">
        <f t="shared" si="39"/>
        <v>-888.92</v>
      </c>
      <c r="K87" s="187">
        <f t="shared" si="39"/>
        <v>-1582.52</v>
      </c>
      <c r="L87" s="187">
        <f t="shared" si="39"/>
        <v>-1730.7</v>
      </c>
      <c r="M87" s="187">
        <f t="shared" si="39"/>
        <v>-3301.16</v>
      </c>
      <c r="N87" s="231">
        <f>'Ammort Split 2022'!N81</f>
        <v>44419.329999999994</v>
      </c>
      <c r="O87" s="187">
        <f>ROUND(ROUND(N89*O$7,2)/365*O$8,2)</f>
        <v>1320.49</v>
      </c>
      <c r="P87" s="187">
        <f t="shared" si="39"/>
        <v>3738.35</v>
      </c>
      <c r="Q87" s="100">
        <f>SUM(D87:P87)</f>
        <v>27092.569999999992</v>
      </c>
      <c r="S87" s="330"/>
      <c r="T87" s="330"/>
      <c r="U87" s="330"/>
      <c r="V87" s="330"/>
      <c r="W87" s="330"/>
      <c r="X87" s="330"/>
      <c r="Y87" s="330"/>
      <c r="Z87" s="330"/>
    </row>
    <row r="88" spans="1:26" x14ac:dyDescent="0.25">
      <c r="A88" s="313"/>
      <c r="B88" s="295"/>
      <c r="C88" s="364" t="s">
        <v>138</v>
      </c>
      <c r="D88" s="189">
        <f t="shared" ref="D88:P88" si="40">SUM(D86:D87)</f>
        <v>269239.81000000029</v>
      </c>
      <c r="E88" s="189">
        <f t="shared" si="40"/>
        <v>254000.16000000006</v>
      </c>
      <c r="F88" s="189">
        <f t="shared" si="40"/>
        <v>-115797.40000000063</v>
      </c>
      <c r="G88" s="189">
        <f t="shared" si="40"/>
        <v>577294.61000000057</v>
      </c>
      <c r="H88" s="189">
        <f t="shared" si="40"/>
        <v>235097.89999999979</v>
      </c>
      <c r="I88" s="189">
        <f t="shared" si="40"/>
        <v>-17505.880000000026</v>
      </c>
      <c r="J88" s="189">
        <f t="shared" si="40"/>
        <v>-226849.59000000005</v>
      </c>
      <c r="K88" s="189">
        <f t="shared" si="40"/>
        <v>-67332.740000000093</v>
      </c>
      <c r="L88" s="189">
        <f t="shared" si="40"/>
        <v>-206704.00000000006</v>
      </c>
      <c r="M88" s="189">
        <f t="shared" si="40"/>
        <v>-418654.07000000012</v>
      </c>
      <c r="N88" s="209">
        <f>SUM(N86:N87)</f>
        <v>1537480.5000000012</v>
      </c>
      <c r="O88" s="189">
        <f t="shared" si="40"/>
        <v>569248.14000000036</v>
      </c>
      <c r="P88" s="189">
        <f t="shared" si="40"/>
        <v>1210576.7900000005</v>
      </c>
      <c r="Q88" s="453">
        <f>SUM(Q86:Q87)</f>
        <v>2107033.0600000005</v>
      </c>
      <c r="S88" s="330"/>
      <c r="T88" s="330"/>
      <c r="U88" s="330"/>
      <c r="V88" s="330"/>
      <c r="W88" s="330"/>
      <c r="X88" s="330"/>
      <c r="Y88" s="330"/>
      <c r="Z88" s="330"/>
    </row>
    <row r="89" spans="1:26" ht="16.5" thickBot="1" x14ac:dyDescent="0.3">
      <c r="A89" s="313"/>
      <c r="B89" s="283"/>
      <c r="C89" s="487" t="s">
        <v>139</v>
      </c>
      <c r="D89" s="307">
        <f>'WACAP 2021'!P89+'WACAP 2022'!D88</f>
        <v>-1223821.360000002</v>
      </c>
      <c r="E89" s="375">
        <f t="shared" ref="E89:P89" si="41">D89+E88</f>
        <v>-969821.20000000193</v>
      </c>
      <c r="F89" s="187">
        <f t="shared" si="41"/>
        <v>-1085618.6000000027</v>
      </c>
      <c r="G89" s="375">
        <f t="shared" si="41"/>
        <v>-508323.99000000209</v>
      </c>
      <c r="H89" s="375">
        <f t="shared" si="41"/>
        <v>-273226.0900000023</v>
      </c>
      <c r="I89" s="375">
        <f t="shared" si="41"/>
        <v>-290731.9700000023</v>
      </c>
      <c r="J89" s="375">
        <f t="shared" si="41"/>
        <v>-517581.56000000238</v>
      </c>
      <c r="K89" s="375">
        <f t="shared" si="41"/>
        <v>-584914.30000000249</v>
      </c>
      <c r="L89" s="375">
        <f t="shared" si="41"/>
        <v>-791618.30000000261</v>
      </c>
      <c r="M89" s="375">
        <f t="shared" si="41"/>
        <v>-1210272.3700000027</v>
      </c>
      <c r="N89" s="386">
        <f t="shared" si="41"/>
        <v>327208.12999999849</v>
      </c>
      <c r="O89" s="375">
        <f t="shared" si="41"/>
        <v>896456.26999999885</v>
      </c>
      <c r="P89" s="375">
        <f t="shared" si="41"/>
        <v>2107033.0599999996</v>
      </c>
      <c r="Q89" s="458"/>
      <c r="S89" s="330"/>
      <c r="T89" s="330"/>
      <c r="U89" s="337"/>
      <c r="V89" s="330"/>
      <c r="W89" s="330"/>
      <c r="X89" s="330"/>
      <c r="Y89" s="330"/>
      <c r="Z89" s="330"/>
    </row>
    <row r="90" spans="1:26" ht="7.5" hidden="1" customHeight="1" x14ac:dyDescent="0.25">
      <c r="B90" s="295"/>
      <c r="C90" s="364"/>
      <c r="D90" s="233"/>
      <c r="E90" s="90"/>
      <c r="F90" s="233"/>
      <c r="G90" s="90"/>
      <c r="H90" s="90"/>
      <c r="I90" s="90"/>
      <c r="J90" s="90"/>
      <c r="K90" s="90"/>
      <c r="L90" s="90"/>
      <c r="M90" s="90"/>
      <c r="N90" s="90"/>
      <c r="O90" s="90"/>
      <c r="P90" s="233"/>
      <c r="Q90" s="459"/>
      <c r="R90" s="358"/>
      <c r="S90" s="330"/>
      <c r="T90" s="330"/>
      <c r="U90" s="337"/>
      <c r="V90" s="330"/>
      <c r="W90" s="330"/>
      <c r="X90" s="330"/>
      <c r="Y90" s="330"/>
      <c r="Z90" s="330"/>
    </row>
    <row r="91" spans="1:26" x14ac:dyDescent="0.25">
      <c r="A91" s="313"/>
      <c r="B91" s="295"/>
      <c r="C91" s="315"/>
      <c r="D91" s="90"/>
      <c r="E91" s="90"/>
      <c r="F91" s="233"/>
      <c r="G91" s="90"/>
      <c r="H91" s="90"/>
      <c r="I91" s="90"/>
      <c r="J91" s="90"/>
      <c r="K91" s="90"/>
      <c r="L91" s="90"/>
      <c r="M91" s="90"/>
      <c r="N91" s="204"/>
      <c r="O91" s="90"/>
      <c r="P91" s="90"/>
      <c r="Q91" s="362"/>
      <c r="S91" s="334"/>
      <c r="T91" s="337"/>
      <c r="U91" s="330"/>
      <c r="V91" s="330"/>
      <c r="W91" s="330"/>
      <c r="X91" s="330"/>
      <c r="Y91" s="330"/>
      <c r="Z91" s="330"/>
    </row>
    <row r="92" spans="1:26" x14ac:dyDescent="0.25">
      <c r="A92" s="313"/>
      <c r="B92" t="s">
        <v>86</v>
      </c>
      <c r="C92" s="312" t="s">
        <v>193</v>
      </c>
      <c r="D92" s="113"/>
      <c r="E92" s="113"/>
      <c r="F92" s="108"/>
      <c r="G92" s="113"/>
      <c r="H92" s="113"/>
      <c r="I92" s="113"/>
      <c r="J92" s="113"/>
      <c r="K92" s="113"/>
      <c r="L92" s="113"/>
      <c r="M92" s="113"/>
      <c r="N92" s="204"/>
      <c r="O92" s="113"/>
      <c r="P92" s="113"/>
      <c r="Q92" s="362"/>
      <c r="S92" s="330"/>
      <c r="T92" s="337"/>
      <c r="U92" s="444" t="s">
        <v>92</v>
      </c>
      <c r="V92" s="330"/>
      <c r="W92" s="330"/>
      <c r="X92" s="330"/>
      <c r="Y92" s="330"/>
      <c r="Z92" s="330"/>
    </row>
    <row r="93" spans="1:26" ht="15.75" x14ac:dyDescent="0.25">
      <c r="A93" s="313"/>
      <c r="B93" s="295" t="s">
        <v>64</v>
      </c>
      <c r="C93" s="313" t="s">
        <v>172</v>
      </c>
      <c r="D93" s="250">
        <v>72</v>
      </c>
      <c r="E93" s="250">
        <v>72</v>
      </c>
      <c r="F93" s="250">
        <v>72</v>
      </c>
      <c r="G93" s="250">
        <v>72</v>
      </c>
      <c r="H93" s="250">
        <v>72</v>
      </c>
      <c r="I93" s="250">
        <v>72</v>
      </c>
      <c r="J93" s="250">
        <v>72</v>
      </c>
      <c r="K93" s="250">
        <v>72</v>
      </c>
      <c r="L93" s="250">
        <v>72</v>
      </c>
      <c r="M93" s="250">
        <v>72</v>
      </c>
      <c r="N93" s="479"/>
      <c r="O93" s="250">
        <v>72</v>
      </c>
      <c r="P93" s="250">
        <v>72</v>
      </c>
      <c r="Q93" s="452"/>
      <c r="S93" s="334">
        <v>4810</v>
      </c>
      <c r="T93" s="461">
        <v>511</v>
      </c>
      <c r="U93" s="535">
        <v>1599613</v>
      </c>
      <c r="V93" s="333"/>
      <c r="W93" s="444" t="s">
        <v>90</v>
      </c>
      <c r="X93" s="330"/>
      <c r="Y93" s="444" t="s">
        <v>214</v>
      </c>
      <c r="Z93" s="330"/>
    </row>
    <row r="94" spans="1:26" ht="15.75" x14ac:dyDescent="0.25">
      <c r="A94" s="313"/>
      <c r="B94" s="295" t="s">
        <v>71</v>
      </c>
      <c r="C94" s="314" t="s">
        <v>175</v>
      </c>
      <c r="D94" s="251">
        <v>164462.39000000001</v>
      </c>
      <c r="E94" s="251">
        <v>146733.71</v>
      </c>
      <c r="F94" s="251">
        <v>142882.37</v>
      </c>
      <c r="G94" s="251">
        <v>109265.27</v>
      </c>
      <c r="H94" s="251">
        <v>99267.85</v>
      </c>
      <c r="I94" s="251">
        <v>69255.91</v>
      </c>
      <c r="J94" s="251">
        <v>46287.61</v>
      </c>
      <c r="K94" s="251">
        <v>40225.67</v>
      </c>
      <c r="L94" s="251">
        <v>40297.730000000003</v>
      </c>
      <c r="M94" s="251">
        <v>51806.26</v>
      </c>
      <c r="N94" s="480"/>
      <c r="O94" s="251">
        <v>90395.31</v>
      </c>
      <c r="P94" s="251">
        <v>172677.38</v>
      </c>
      <c r="Q94" s="99"/>
      <c r="S94" s="334" t="s">
        <v>230</v>
      </c>
      <c r="T94" s="460">
        <v>172677.38</v>
      </c>
      <c r="U94" s="336">
        <f>T94/U81</f>
        <v>0.1776900153325307</v>
      </c>
      <c r="V94" s="336">
        <f>T94/U81</f>
        <v>0.1776900153325307</v>
      </c>
      <c r="W94" s="338">
        <f>+W61</f>
        <v>0.17768999999999999</v>
      </c>
      <c r="X94" s="330"/>
      <c r="Y94" s="492">
        <f>W94-V94</f>
        <v>-1.5332530717282467E-8</v>
      </c>
      <c r="Z94" s="330"/>
    </row>
    <row r="95" spans="1:26" ht="15.75" x14ac:dyDescent="0.25">
      <c r="A95" s="313"/>
      <c r="B95" s="295" t="s">
        <v>71</v>
      </c>
      <c r="C95" s="314" t="s">
        <v>176</v>
      </c>
      <c r="D95" s="251">
        <v>53572.63</v>
      </c>
      <c r="E95" s="251">
        <v>38301.65</v>
      </c>
      <c r="F95" s="251">
        <v>38961.54</v>
      </c>
      <c r="G95" s="251">
        <v>23818.1</v>
      </c>
      <c r="H95" s="251">
        <v>22061.360000000001</v>
      </c>
      <c r="I95" s="251">
        <v>18284.759999999998</v>
      </c>
      <c r="J95" s="251">
        <v>8672.73</v>
      </c>
      <c r="K95" s="251">
        <v>9679.98</v>
      </c>
      <c r="L95" s="251">
        <v>8629.69</v>
      </c>
      <c r="M95" s="251">
        <v>13421.68</v>
      </c>
      <c r="N95" s="480"/>
      <c r="O95" s="251">
        <v>27477</v>
      </c>
      <c r="P95" s="251">
        <v>56728.800000000003</v>
      </c>
      <c r="Q95" s="99"/>
      <c r="S95" s="334" t="s">
        <v>231</v>
      </c>
      <c r="T95" s="460">
        <v>56728.800000000003</v>
      </c>
      <c r="U95" s="336">
        <f>T95/U98</f>
        <v>0.13819002077887912</v>
      </c>
      <c r="V95" s="336">
        <f>T95/U98</f>
        <v>0.13819002077887912</v>
      </c>
      <c r="W95" s="330">
        <f>+W62</f>
        <v>0.13819000000000001</v>
      </c>
      <c r="X95" s="330"/>
      <c r="Y95" s="492">
        <f>W95-V95</f>
        <v>-2.077887911733356E-8</v>
      </c>
      <c r="Z95" s="330"/>
    </row>
    <row r="96" spans="1:26" ht="15.75" x14ac:dyDescent="0.25">
      <c r="A96" s="313"/>
      <c r="B96" s="295" t="s">
        <v>71</v>
      </c>
      <c r="C96" s="314" t="s">
        <v>177</v>
      </c>
      <c r="D96" s="251">
        <v>6466.43</v>
      </c>
      <c r="E96" s="251">
        <v>3794.2</v>
      </c>
      <c r="F96" s="251">
        <v>3733.72</v>
      </c>
      <c r="G96" s="251">
        <v>1275.67</v>
      </c>
      <c r="H96" s="251">
        <v>1042.93</v>
      </c>
      <c r="I96" s="251">
        <v>184.38</v>
      </c>
      <c r="J96" s="251"/>
      <c r="K96" s="251"/>
      <c r="L96" s="251"/>
      <c r="M96" s="251"/>
      <c r="N96" s="480"/>
      <c r="O96" s="251">
        <v>666.1</v>
      </c>
      <c r="P96" s="251">
        <v>8798.8799999999992</v>
      </c>
      <c r="Q96" s="99"/>
      <c r="S96" s="334" t="s">
        <v>232</v>
      </c>
      <c r="T96" s="460">
        <v>8798.8799999999992</v>
      </c>
      <c r="U96" s="336">
        <f>T96/U99</f>
        <v>4.0489991256730015E-2</v>
      </c>
      <c r="V96" s="336">
        <f>T96/U99</f>
        <v>4.0489991256730015E-2</v>
      </c>
      <c r="W96" s="330">
        <f>+W63</f>
        <v>4.0489999999999998E-2</v>
      </c>
      <c r="X96" s="330"/>
      <c r="Y96" s="492">
        <f>W96-V96</f>
        <v>8.7432699830136684E-9</v>
      </c>
      <c r="Z96" s="330"/>
    </row>
    <row r="97" spans="1:26" ht="15.75" x14ac:dyDescent="0.25">
      <c r="A97" s="313"/>
      <c r="B97" s="295"/>
      <c r="C97" s="367" t="s">
        <v>222</v>
      </c>
      <c r="D97" s="465">
        <f t="shared" ref="D97:M97" si="42">+D80</f>
        <v>12043276</v>
      </c>
      <c r="E97" s="465">
        <f t="shared" si="42"/>
        <v>11169111</v>
      </c>
      <c r="F97" s="465">
        <f t="shared" si="42"/>
        <v>6607346</v>
      </c>
      <c r="G97" s="465">
        <f t="shared" si="42"/>
        <v>6413811</v>
      </c>
      <c r="H97" s="465">
        <f t="shared" si="42"/>
        <v>4060717</v>
      </c>
      <c r="I97" s="465">
        <f t="shared" si="42"/>
        <v>2056705</v>
      </c>
      <c r="J97" s="465">
        <f t="shared" si="42"/>
        <v>1121403</v>
      </c>
      <c r="K97" s="465">
        <f t="shared" si="42"/>
        <v>1362124</v>
      </c>
      <c r="L97" s="465">
        <f t="shared" si="42"/>
        <v>1858208</v>
      </c>
      <c r="M97" s="465">
        <f t="shared" si="42"/>
        <v>4485589</v>
      </c>
      <c r="N97" s="479"/>
      <c r="O97" s="465">
        <f>+O80</f>
        <v>11435350</v>
      </c>
      <c r="P97" s="465">
        <f>+P80</f>
        <v>14028311</v>
      </c>
      <c r="Q97" s="99"/>
      <c r="S97" s="334" t="s">
        <v>239</v>
      </c>
      <c r="T97" s="460">
        <v>1139121.54</v>
      </c>
      <c r="U97" s="336">
        <f>T97/U93</f>
        <v>0.71212320730076595</v>
      </c>
      <c r="V97" s="336">
        <f>T97/U93</f>
        <v>0.71212320730076595</v>
      </c>
      <c r="W97" s="338">
        <f>+W39</f>
        <v>0.49941999999999998</v>
      </c>
      <c r="X97" s="330"/>
      <c r="Y97" s="492">
        <f>W97-V97</f>
        <v>-0.21270320730076597</v>
      </c>
      <c r="Z97" s="330"/>
    </row>
    <row r="98" spans="1:26" x14ac:dyDescent="0.25">
      <c r="A98" s="313"/>
      <c r="B98" s="295"/>
      <c r="C98" s="367" t="s">
        <v>226</v>
      </c>
      <c r="D98" s="467">
        <f>1-'WACAP 2022'!D81</f>
        <v>8.5300000000000042E-2</v>
      </c>
      <c r="E98" s="467">
        <f>1-'WACAP 2022'!E81</f>
        <v>8.6899999999999977E-2</v>
      </c>
      <c r="F98" s="467">
        <f>1-'WACAP 2022'!F81</f>
        <v>8.8700000000000001E-2</v>
      </c>
      <c r="G98" s="467">
        <f>1-'WACAP 2022'!G81</f>
        <v>9.4500000000000028E-2</v>
      </c>
      <c r="H98" s="467">
        <f>1-'WACAP 2022'!H81</f>
        <v>9.760000000000002E-2</v>
      </c>
      <c r="I98" s="467">
        <f>1-'WACAP 2022'!I81</f>
        <v>0.10470000000000002</v>
      </c>
      <c r="J98" s="467">
        <f>1-'WACAP 2022'!J81</f>
        <v>0.10170000000000001</v>
      </c>
      <c r="K98" s="467">
        <f>1-'WACAP 2022'!K81</f>
        <v>0.10699999999999998</v>
      </c>
      <c r="L98" s="467">
        <f>1-'WACAP 2022'!L81</f>
        <v>0.10350000000000004</v>
      </c>
      <c r="M98" s="467">
        <f>1-'WACAP 2022'!M81</f>
        <v>0.10899999999999999</v>
      </c>
      <c r="N98" s="480"/>
      <c r="O98" s="467">
        <f>1-'WACAP 2022'!O81</f>
        <v>0.1028</v>
      </c>
      <c r="P98" s="467">
        <f>1-'WACAP 2022'!P81</f>
        <v>9.4099999999999961E-2</v>
      </c>
      <c r="Q98" s="99"/>
      <c r="S98" s="334"/>
      <c r="T98" s="330"/>
      <c r="U98" s="337">
        <f>ROUND(T95/W95,0)</f>
        <v>410513</v>
      </c>
      <c r="V98" s="336"/>
      <c r="W98" s="330"/>
      <c r="X98" s="330"/>
      <c r="Y98" s="336"/>
      <c r="Z98" s="330"/>
    </row>
    <row r="99" spans="1:26" x14ac:dyDescent="0.25">
      <c r="A99" s="313"/>
      <c r="B99" s="376" t="s">
        <v>72</v>
      </c>
      <c r="C99" s="367" t="s">
        <v>224</v>
      </c>
      <c r="D99" s="349">
        <f t="shared" ref="D99:I99" si="43">ROUND(ROUND(D97*D98,0)*0.12539,2)</f>
        <v>128812.02</v>
      </c>
      <c r="E99" s="349">
        <f t="shared" si="43"/>
        <v>121703.03</v>
      </c>
      <c r="F99" s="349">
        <f t="shared" si="43"/>
        <v>73487.570000000007</v>
      </c>
      <c r="G99" s="349">
        <f t="shared" si="43"/>
        <v>75999.509999999995</v>
      </c>
      <c r="H99" s="349">
        <f t="shared" si="43"/>
        <v>49695.32</v>
      </c>
      <c r="I99" s="349">
        <f t="shared" si="43"/>
        <v>27001.11</v>
      </c>
      <c r="J99" s="349">
        <f t="shared" ref="J99:K99" si="44">ROUND(ROUND(J97*J98,0)*0.12539,2)</f>
        <v>14300.35</v>
      </c>
      <c r="K99" s="349">
        <f t="shared" si="44"/>
        <v>18275.22</v>
      </c>
      <c r="L99" s="349">
        <f>ROUND(ROUND(L97*L98,0)*0.13665,2)</f>
        <v>26281.21</v>
      </c>
      <c r="M99" s="349">
        <f>ROUND(ROUND(M97*M98,0)*0.13819,2)</f>
        <v>67565.100000000006</v>
      </c>
      <c r="N99" s="481"/>
      <c r="O99" s="349">
        <f>ROUND(ROUND(O97*O98,0)*0.13819,2)</f>
        <v>162449.81</v>
      </c>
      <c r="P99" s="349">
        <f>ROUND(ROUND(P97*P98,0)*0.13819,2)</f>
        <v>182419.64</v>
      </c>
      <c r="Q99" s="99"/>
      <c r="S99" s="330"/>
      <c r="T99" s="330"/>
      <c r="U99" s="337">
        <f>ROUND(T96/W96,0)</f>
        <v>217310</v>
      </c>
      <c r="V99" s="330"/>
      <c r="W99" s="330"/>
      <c r="X99" s="330"/>
      <c r="Y99" s="330"/>
      <c r="Z99" s="330"/>
    </row>
    <row r="100" spans="1:26" x14ac:dyDescent="0.25">
      <c r="A100" s="313"/>
      <c r="B100" s="295" t="s">
        <v>72</v>
      </c>
      <c r="C100" s="483" t="s">
        <v>184</v>
      </c>
      <c r="D100" s="189">
        <f>-'WACAP 2021'!P99</f>
        <v>-164463.78</v>
      </c>
      <c r="E100" s="189">
        <f t="shared" ref="E100:F100" si="45">-D99</f>
        <v>-128812.02</v>
      </c>
      <c r="F100" s="189">
        <f t="shared" si="45"/>
        <v>-121703.03</v>
      </c>
      <c r="G100" s="189">
        <f>-F99</f>
        <v>-73487.570000000007</v>
      </c>
      <c r="H100" s="375">
        <f>-G99</f>
        <v>-75999.509999999995</v>
      </c>
      <c r="I100" s="375">
        <f>-H99</f>
        <v>-49695.32</v>
      </c>
      <c r="J100" s="189">
        <f>-I99</f>
        <v>-27001.11</v>
      </c>
      <c r="K100" s="189">
        <f t="shared" ref="K100:M100" si="46">-J99</f>
        <v>-14300.35</v>
      </c>
      <c r="L100" s="189">
        <f t="shared" si="46"/>
        <v>-18275.22</v>
      </c>
      <c r="M100" s="189">
        <f t="shared" si="46"/>
        <v>-26281.21</v>
      </c>
      <c r="N100" s="386"/>
      <c r="O100" s="189">
        <f>-M99</f>
        <v>-67565.100000000006</v>
      </c>
      <c r="P100" s="189">
        <f>-O99</f>
        <v>-162449.81</v>
      </c>
      <c r="Q100" s="99"/>
      <c r="S100" s="330"/>
      <c r="T100" s="330"/>
      <c r="U100" s="330"/>
      <c r="V100" s="330"/>
      <c r="W100" s="330"/>
      <c r="X100" s="330"/>
      <c r="Y100" s="330"/>
      <c r="Z100" s="330"/>
    </row>
    <row r="101" spans="1:26" x14ac:dyDescent="0.25">
      <c r="A101" s="313"/>
      <c r="B101" s="295"/>
      <c r="C101" s="311" t="s">
        <v>74</v>
      </c>
      <c r="D101" s="187">
        <f>+D94+D95+D96+D99+D100</f>
        <v>188849.69000000003</v>
      </c>
      <c r="E101" s="187">
        <f t="shared" ref="E101:P101" si="47">+E94+E95+E96+E99+E100</f>
        <v>181720.56999999995</v>
      </c>
      <c r="F101" s="187">
        <f t="shared" si="47"/>
        <v>137362.17000000001</v>
      </c>
      <c r="G101" s="187">
        <f t="shared" si="47"/>
        <v>136870.97999999998</v>
      </c>
      <c r="H101" s="187">
        <f t="shared" si="47"/>
        <v>96067.95</v>
      </c>
      <c r="I101" s="187">
        <f t="shared" si="47"/>
        <v>65030.840000000004</v>
      </c>
      <c r="J101" s="187">
        <f t="shared" si="47"/>
        <v>42259.58</v>
      </c>
      <c r="K101" s="187">
        <f t="shared" si="47"/>
        <v>53880.52</v>
      </c>
      <c r="L101" s="187">
        <f t="shared" si="47"/>
        <v>56933.41</v>
      </c>
      <c r="M101" s="187">
        <f t="shared" si="47"/>
        <v>106511.83000000002</v>
      </c>
      <c r="N101" s="208"/>
      <c r="O101" s="187">
        <f t="shared" si="47"/>
        <v>213423.11999999997</v>
      </c>
      <c r="P101" s="187">
        <f t="shared" si="47"/>
        <v>258174.89</v>
      </c>
      <c r="Q101" s="362"/>
      <c r="S101" s="330"/>
      <c r="T101" s="330"/>
      <c r="U101" s="330"/>
      <c r="V101" s="330"/>
      <c r="W101" s="330"/>
      <c r="X101" s="330"/>
      <c r="Y101" s="330"/>
      <c r="Z101" s="330"/>
    </row>
    <row r="102" spans="1:26" ht="15.75" x14ac:dyDescent="0.25">
      <c r="A102" s="313"/>
      <c r="B102" s="295"/>
      <c r="C102" s="487" t="s">
        <v>73</v>
      </c>
      <c r="D102" s="307">
        <f>ROUND(-'Authorized Margins 2021'!D13*'WACAP 2022'!D93,2)</f>
        <v>-205871.04</v>
      </c>
      <c r="E102" s="189">
        <f>ROUND(-'Authorized Margins 2021'!E13*'WACAP 2022'!E93,2)</f>
        <v>-210978</v>
      </c>
      <c r="F102" s="189">
        <f>ROUND(-'Authorized Margins 2021'!F13*'WACAP 2022'!F93,2)</f>
        <v>-221993.28</v>
      </c>
      <c r="G102" s="189">
        <f>ROUND(-'Authorized Margins 2021'!G13*'WACAP 2022'!G93,2)</f>
        <v>-161201.51999999999</v>
      </c>
      <c r="H102" s="189">
        <f>ROUND(-'Authorized Margins 2021'!H13*'WACAP 2022'!H93,2)</f>
        <v>-114463.44</v>
      </c>
      <c r="I102" s="189">
        <f>ROUND(-'Authorized Margins 2021'!I13*'WACAP 2022'!I93,2)</f>
        <v>-90031.679999999993</v>
      </c>
      <c r="J102" s="88">
        <f>ROUND(-'Authorized Margins 2021'!J13*'WACAP 2022'!J93,2)</f>
        <v>-85005.36</v>
      </c>
      <c r="K102" s="88">
        <f>ROUND(-'Authorized Margins 2021'!K13*'WACAP 2022'!K93,2)</f>
        <v>-84702.96</v>
      </c>
      <c r="L102" s="88">
        <f>ROUND(-'Authorized Margins 22'!L13*'WACAP 2022'!L93,2)</f>
        <v>-94127.76</v>
      </c>
      <c r="M102" s="88">
        <f>ROUND(-'Authorized Margins 2022'!M13*'WACAP 2022'!M93,2)</f>
        <v>-113787.36</v>
      </c>
      <c r="N102" s="209"/>
      <c r="O102" s="88">
        <f>ROUND(-'Authorized Margins 2022'!O13*'WACAP 2022'!O93,2)</f>
        <v>-132383.51999999999</v>
      </c>
      <c r="P102" s="88">
        <f>ROUND(-'Authorized Margins 2022'!P13*'WACAP 2022'!P93,2)</f>
        <v>-210517.2</v>
      </c>
      <c r="Q102" s="362"/>
      <c r="S102" s="330"/>
      <c r="T102" s="330"/>
      <c r="U102" s="330"/>
      <c r="V102" s="330"/>
      <c r="W102" s="330"/>
      <c r="X102" s="330"/>
      <c r="Y102" s="330"/>
      <c r="Z102" s="330"/>
    </row>
    <row r="103" spans="1:26" x14ac:dyDescent="0.25">
      <c r="A103" s="313"/>
      <c r="B103" s="295"/>
      <c r="C103" s="364" t="s">
        <v>201</v>
      </c>
      <c r="D103" s="187">
        <f t="shared" ref="D103:P103" si="48">SUM(D101:D102)</f>
        <v>-17021.349999999977</v>
      </c>
      <c r="E103" s="187">
        <f t="shared" si="48"/>
        <v>-29257.430000000051</v>
      </c>
      <c r="F103" s="187">
        <f t="shared" si="48"/>
        <v>-84631.109999999986</v>
      </c>
      <c r="G103" s="187">
        <f t="shared" si="48"/>
        <v>-24330.540000000008</v>
      </c>
      <c r="H103" s="397">
        <f t="shared" si="48"/>
        <v>-18395.490000000005</v>
      </c>
      <c r="I103" s="187">
        <f t="shared" si="48"/>
        <v>-25000.839999999989</v>
      </c>
      <c r="J103" s="187">
        <f t="shared" si="48"/>
        <v>-42745.78</v>
      </c>
      <c r="K103" s="187">
        <f t="shared" si="48"/>
        <v>-30822.44000000001</v>
      </c>
      <c r="L103" s="187">
        <f t="shared" si="48"/>
        <v>-37194.349999999991</v>
      </c>
      <c r="M103" s="187">
        <f t="shared" si="48"/>
        <v>-7275.5299999999843</v>
      </c>
      <c r="N103" s="302">
        <f>-'WACAP 2021'!Q105</f>
        <v>277047.62000000005</v>
      </c>
      <c r="O103" s="187">
        <f t="shared" si="48"/>
        <v>81039.599999999977</v>
      </c>
      <c r="P103" s="187">
        <f t="shared" si="48"/>
        <v>47657.69</v>
      </c>
      <c r="Q103" s="99">
        <f>SUM(D103:P103)-N103</f>
        <v>-187977.57</v>
      </c>
      <c r="S103" s="330"/>
      <c r="T103" s="330"/>
      <c r="U103" s="330"/>
      <c r="V103" s="330"/>
      <c r="W103" s="330"/>
      <c r="X103" s="330"/>
      <c r="Y103" s="330"/>
      <c r="Z103" s="330"/>
    </row>
    <row r="104" spans="1:26" ht="15.75" x14ac:dyDescent="0.25">
      <c r="A104" s="313"/>
      <c r="B104" s="295"/>
      <c r="C104" s="487" t="s">
        <v>137</v>
      </c>
      <c r="D104" s="308">
        <f>ROUND(ROUND('WACAP 2021'!P106*D$7,2)/365*D$8,2)</f>
        <v>-764.73</v>
      </c>
      <c r="E104" s="187">
        <f>ROUND(ROUND(D106*E$7,2)/365*E$8,2)</f>
        <v>-735.07</v>
      </c>
      <c r="F104" s="187">
        <f t="shared" ref="F104:P104" si="49">ROUND(ROUND(E106*F$7,2)/365*F$8,2)</f>
        <v>-896.61</v>
      </c>
      <c r="G104" s="187">
        <f t="shared" si="49"/>
        <v>-1096.1500000000001</v>
      </c>
      <c r="H104" s="187">
        <f t="shared" si="49"/>
        <v>-1202.8699999999999</v>
      </c>
      <c r="I104" s="187">
        <f t="shared" si="49"/>
        <v>-1216.42</v>
      </c>
      <c r="J104" s="187">
        <f t="shared" si="49"/>
        <v>-1472.5</v>
      </c>
      <c r="K104" s="187">
        <f t="shared" si="49"/>
        <v>-1607.7</v>
      </c>
      <c r="L104" s="187">
        <f t="shared" si="49"/>
        <v>-1651.79</v>
      </c>
      <c r="M104" s="187">
        <f t="shared" si="49"/>
        <v>-2489.9499999999998</v>
      </c>
      <c r="N104" s="231">
        <f>'Ammort Split 2022'!N96</f>
        <v>8242.32</v>
      </c>
      <c r="O104" s="187">
        <f>ROUND(ROUND(N106*O$7,2)/365*O$8,2)</f>
        <v>-1297.72</v>
      </c>
      <c r="P104" s="187">
        <f t="shared" si="49"/>
        <v>-1008.44</v>
      </c>
      <c r="Q104" s="100">
        <f>SUM(D104:P104)</f>
        <v>-7197.630000000001</v>
      </c>
      <c r="S104" s="330"/>
      <c r="T104" s="330"/>
      <c r="U104" s="330"/>
      <c r="V104" s="330"/>
      <c r="W104" s="330"/>
      <c r="X104" s="330"/>
      <c r="Y104" s="330"/>
      <c r="Z104" s="330"/>
    </row>
    <row r="105" spans="1:26" x14ac:dyDescent="0.25">
      <c r="A105" s="313"/>
      <c r="B105" s="295"/>
      <c r="C105" s="364" t="s">
        <v>138</v>
      </c>
      <c r="D105" s="189">
        <f t="shared" ref="D105:P105" si="50">SUM(D103:D104)</f>
        <v>-17786.079999999976</v>
      </c>
      <c r="E105" s="189">
        <f t="shared" si="50"/>
        <v>-29992.500000000051</v>
      </c>
      <c r="F105" s="189">
        <f t="shared" si="50"/>
        <v>-85527.719999999987</v>
      </c>
      <c r="G105" s="189">
        <f t="shared" si="50"/>
        <v>-25426.69000000001</v>
      </c>
      <c r="H105" s="189">
        <f t="shared" si="50"/>
        <v>-19598.360000000004</v>
      </c>
      <c r="I105" s="189">
        <f t="shared" si="50"/>
        <v>-26217.259999999987</v>
      </c>
      <c r="J105" s="189">
        <f t="shared" si="50"/>
        <v>-44218.28</v>
      </c>
      <c r="K105" s="189">
        <f t="shared" si="50"/>
        <v>-32430.14000000001</v>
      </c>
      <c r="L105" s="189">
        <f t="shared" si="50"/>
        <v>-38846.139999999992</v>
      </c>
      <c r="M105" s="189">
        <f t="shared" si="50"/>
        <v>-9765.479999999985</v>
      </c>
      <c r="N105" s="209">
        <f>SUM(N103:N104)</f>
        <v>285289.94000000006</v>
      </c>
      <c r="O105" s="189">
        <f t="shared" si="50"/>
        <v>79741.879999999976</v>
      </c>
      <c r="P105" s="189">
        <f t="shared" si="50"/>
        <v>46649.25</v>
      </c>
      <c r="Q105" s="453">
        <f>SUM(Q103:Q104)</f>
        <v>-195175.2</v>
      </c>
      <c r="S105" s="330"/>
      <c r="T105" s="330"/>
      <c r="U105" s="330"/>
      <c r="V105" s="330"/>
      <c r="W105" s="330"/>
      <c r="X105" s="330"/>
      <c r="Y105" s="330"/>
      <c r="Z105" s="330"/>
    </row>
    <row r="106" spans="1:26" ht="15.75" x14ac:dyDescent="0.25">
      <c r="A106" s="313"/>
      <c r="B106" s="295"/>
      <c r="C106" s="487" t="s">
        <v>139</v>
      </c>
      <c r="D106" s="308">
        <f>'WACAP 2021'!P106+'WACAP 2022'!D105</f>
        <v>-294833.6999999999</v>
      </c>
      <c r="E106" s="187">
        <f t="shared" ref="E106:P106" si="51">D106+E105</f>
        <v>-324826.19999999995</v>
      </c>
      <c r="F106" s="187">
        <f t="shared" si="51"/>
        <v>-410353.91999999993</v>
      </c>
      <c r="G106" s="187">
        <f t="shared" si="51"/>
        <v>-435780.60999999993</v>
      </c>
      <c r="H106" s="187">
        <f t="shared" si="51"/>
        <v>-455378.96999999991</v>
      </c>
      <c r="I106" s="187">
        <f t="shared" si="51"/>
        <v>-481596.22999999992</v>
      </c>
      <c r="J106" s="187">
        <f t="shared" si="51"/>
        <v>-525814.50999999989</v>
      </c>
      <c r="K106" s="187">
        <f t="shared" si="51"/>
        <v>-558244.64999999991</v>
      </c>
      <c r="L106" s="187">
        <f t="shared" si="51"/>
        <v>-597090.78999999992</v>
      </c>
      <c r="M106" s="187">
        <f t="shared" si="51"/>
        <v>-606856.2699999999</v>
      </c>
      <c r="N106" s="208">
        <f t="shared" si="51"/>
        <v>-321566.32999999984</v>
      </c>
      <c r="O106" s="187">
        <f t="shared" si="51"/>
        <v>-241824.44999999987</v>
      </c>
      <c r="P106" s="397">
        <f t="shared" si="51"/>
        <v>-195175.19999999987</v>
      </c>
      <c r="Q106" s="362"/>
      <c r="S106" s="330"/>
      <c r="T106" s="330"/>
      <c r="U106" s="330"/>
      <c r="V106" s="330"/>
      <c r="W106" s="330"/>
      <c r="X106" s="330"/>
      <c r="Y106" s="330"/>
      <c r="Z106" s="330"/>
    </row>
    <row r="107" spans="1:26" x14ac:dyDescent="0.25">
      <c r="A107" s="313"/>
      <c r="B107" s="271"/>
      <c r="C107" s="313"/>
      <c r="D107" s="192"/>
      <c r="E107" s="192"/>
      <c r="F107" s="187"/>
      <c r="G107" s="192"/>
      <c r="H107" s="192"/>
      <c r="I107" s="192"/>
      <c r="J107" s="192"/>
      <c r="K107" s="192"/>
      <c r="L107" s="192"/>
      <c r="M107" s="192"/>
      <c r="N107" s="202"/>
      <c r="O107" s="192"/>
      <c r="P107" s="192"/>
      <c r="Q107" s="362"/>
      <c r="S107" s="330"/>
      <c r="T107" s="330"/>
      <c r="U107" s="330"/>
      <c r="V107" s="330"/>
      <c r="W107" s="330"/>
      <c r="X107" s="330"/>
      <c r="Y107" s="330"/>
      <c r="Z107" s="330"/>
    </row>
    <row r="108" spans="1:26" x14ac:dyDescent="0.25">
      <c r="A108" s="313"/>
      <c r="B108" t="s">
        <v>87</v>
      </c>
      <c r="C108" s="312" t="s">
        <v>192</v>
      </c>
      <c r="D108" s="192"/>
      <c r="E108" s="192"/>
      <c r="F108" s="187"/>
      <c r="G108" s="192"/>
      <c r="H108" s="192"/>
      <c r="I108" s="192"/>
      <c r="J108" s="192"/>
      <c r="K108" s="192"/>
      <c r="L108" s="192"/>
      <c r="M108" s="192"/>
      <c r="N108" s="202"/>
      <c r="O108" s="192"/>
      <c r="P108" s="192"/>
      <c r="Q108" s="362"/>
      <c r="S108" s="330"/>
      <c r="T108" s="330"/>
      <c r="U108" s="330"/>
      <c r="V108" s="330"/>
      <c r="W108" s="330"/>
      <c r="X108" s="330"/>
      <c r="Y108" s="330"/>
      <c r="Z108" s="330"/>
    </row>
    <row r="109" spans="1:26" ht="15.75" x14ac:dyDescent="0.25">
      <c r="A109" s="313"/>
      <c r="B109" s="295" t="s">
        <v>64</v>
      </c>
      <c r="C109" s="313" t="s">
        <v>172</v>
      </c>
      <c r="D109" s="250">
        <v>1</v>
      </c>
      <c r="E109" s="250">
        <v>1</v>
      </c>
      <c r="F109" s="250">
        <v>1</v>
      </c>
      <c r="G109" s="250"/>
      <c r="H109" s="250"/>
      <c r="I109" s="250"/>
      <c r="J109" s="250"/>
      <c r="K109" s="250"/>
      <c r="L109" s="250"/>
      <c r="M109" s="250"/>
      <c r="N109" s="479"/>
      <c r="O109" s="250"/>
      <c r="P109" s="250"/>
      <c r="Q109" s="452"/>
      <c r="S109" s="330"/>
      <c r="T109" s="461"/>
      <c r="U109" s="444" t="s">
        <v>92</v>
      </c>
      <c r="V109" s="330"/>
      <c r="W109" s="330"/>
      <c r="X109" s="330"/>
      <c r="Y109" s="330"/>
      <c r="Z109" s="330"/>
    </row>
    <row r="110" spans="1:26" ht="15.75" x14ac:dyDescent="0.25">
      <c r="A110" s="313"/>
      <c r="B110" s="295" t="s">
        <v>71</v>
      </c>
      <c r="C110" s="314" t="s">
        <v>180</v>
      </c>
      <c r="D110" s="116">
        <v>0</v>
      </c>
      <c r="E110" s="251"/>
      <c r="F110" s="251"/>
      <c r="G110" s="251"/>
      <c r="H110" s="251"/>
      <c r="I110" s="251"/>
      <c r="J110" s="251"/>
      <c r="K110" s="251"/>
      <c r="L110" s="251"/>
      <c r="M110" s="251"/>
      <c r="N110" s="480"/>
      <c r="O110" s="251"/>
      <c r="P110" s="251"/>
      <c r="Q110" s="99"/>
      <c r="S110" s="334"/>
      <c r="T110" s="461">
        <v>505</v>
      </c>
      <c r="U110" s="330"/>
      <c r="V110" s="333"/>
      <c r="W110" s="444" t="s">
        <v>90</v>
      </c>
      <c r="X110" s="330"/>
      <c r="Y110" s="444" t="s">
        <v>214</v>
      </c>
      <c r="Z110" s="330"/>
    </row>
    <row r="111" spans="1:26" ht="15.75" x14ac:dyDescent="0.25">
      <c r="A111" s="313"/>
      <c r="B111" s="295" t="s">
        <v>71</v>
      </c>
      <c r="C111" s="314" t="s">
        <v>181</v>
      </c>
      <c r="D111" s="251"/>
      <c r="E111" s="251"/>
      <c r="F111" s="251"/>
      <c r="G111" s="251"/>
      <c r="H111" s="251"/>
      <c r="I111" s="251"/>
      <c r="J111" s="251"/>
      <c r="K111" s="251"/>
      <c r="L111" s="251"/>
      <c r="M111" s="251"/>
      <c r="N111" s="480"/>
      <c r="O111" s="251"/>
      <c r="P111" s="251"/>
      <c r="Q111" s="99"/>
      <c r="S111" s="334" t="s">
        <v>90</v>
      </c>
      <c r="T111" s="460">
        <v>0</v>
      </c>
      <c r="U111" s="336" t="e">
        <f>T111/U116</f>
        <v>#DIV/0!</v>
      </c>
      <c r="V111" s="336" t="e">
        <f>T111/U116</f>
        <v>#DIV/0!</v>
      </c>
      <c r="W111" s="330">
        <f>+W24</f>
        <v>0.22363</v>
      </c>
      <c r="X111" s="330"/>
      <c r="Y111" s="336" t="e">
        <f>W111-V111</f>
        <v>#DIV/0!</v>
      </c>
      <c r="Z111" s="330"/>
    </row>
    <row r="112" spans="1:26" ht="15.75" x14ac:dyDescent="0.25">
      <c r="A112" s="313"/>
      <c r="B112" s="295" t="s">
        <v>72</v>
      </c>
      <c r="C112" s="318" t="s">
        <v>204</v>
      </c>
      <c r="D112" s="277"/>
      <c r="E112" s="276"/>
      <c r="F112" s="276"/>
      <c r="G112" s="276"/>
      <c r="H112" s="276"/>
      <c r="I112" s="276"/>
      <c r="J112" s="276"/>
      <c r="K112" s="276"/>
      <c r="L112" s="276"/>
      <c r="M112" s="276"/>
      <c r="N112" s="207"/>
      <c r="O112" s="276"/>
      <c r="P112" s="276"/>
      <c r="Q112" s="99"/>
      <c r="S112" s="334" t="s">
        <v>90</v>
      </c>
      <c r="T112" s="460">
        <v>0</v>
      </c>
      <c r="U112" s="336" t="e">
        <f>T112/T108</f>
        <v>#DIV/0!</v>
      </c>
      <c r="V112" s="336" t="e">
        <f>T112/T108</f>
        <v>#DIV/0!</v>
      </c>
      <c r="W112" s="330">
        <f>+W25</f>
        <v>0.18354999999999999</v>
      </c>
      <c r="X112" s="330"/>
      <c r="Y112" s="336" t="e">
        <f>W112-V112</f>
        <v>#DIV/0!</v>
      </c>
      <c r="Z112" s="330"/>
    </row>
    <row r="113" spans="1:26" ht="15.75" x14ac:dyDescent="0.25">
      <c r="A113" s="313"/>
      <c r="B113" s="376" t="s">
        <v>72</v>
      </c>
      <c r="C113" s="319" t="s">
        <v>205</v>
      </c>
      <c r="D113" s="350"/>
      <c r="E113" s="351"/>
      <c r="F113" s="276"/>
      <c r="G113" s="351"/>
      <c r="H113" s="351"/>
      <c r="I113" s="351"/>
      <c r="J113" s="351"/>
      <c r="K113" s="351"/>
      <c r="L113" s="351"/>
      <c r="M113" s="351"/>
      <c r="N113" s="207"/>
      <c r="O113" s="351"/>
      <c r="P113" s="351"/>
      <c r="Q113" s="99"/>
      <c r="S113" s="334" t="s">
        <v>90</v>
      </c>
      <c r="T113" s="460">
        <v>0</v>
      </c>
      <c r="U113" s="336" t="e">
        <f>T113/U115</f>
        <v>#DIV/0!</v>
      </c>
      <c r="V113" s="336" t="e">
        <f>T113/U115</f>
        <v>#DIV/0!</v>
      </c>
      <c r="W113" s="330">
        <f>+W26</f>
        <v>0.17749000000000001</v>
      </c>
      <c r="X113" s="330"/>
      <c r="Y113" s="336" t="e">
        <f>W113-V113</f>
        <v>#DIV/0!</v>
      </c>
      <c r="Z113" s="330"/>
    </row>
    <row r="114" spans="1:26" ht="15.75" x14ac:dyDescent="0.25">
      <c r="A114" s="313"/>
      <c r="B114" s="295" t="s">
        <v>72</v>
      </c>
      <c r="C114" s="483" t="s">
        <v>185</v>
      </c>
      <c r="D114" s="187">
        <f>+-'WACAP 2021'!P112</f>
        <v>0</v>
      </c>
      <c r="E114" s="187">
        <f>-D112</f>
        <v>0</v>
      </c>
      <c r="F114" s="397">
        <f t="shared" ref="E114:P115" si="52">-E112</f>
        <v>0</v>
      </c>
      <c r="G114" s="187">
        <f t="shared" si="52"/>
        <v>0</v>
      </c>
      <c r="H114" s="187">
        <f t="shared" si="52"/>
        <v>0</v>
      </c>
      <c r="I114" s="187">
        <f t="shared" si="52"/>
        <v>0</v>
      </c>
      <c r="J114" s="187">
        <f t="shared" si="52"/>
        <v>0</v>
      </c>
      <c r="K114" s="187">
        <f>-J112</f>
        <v>0</v>
      </c>
      <c r="L114" s="187">
        <f>-K112</f>
        <v>0</v>
      </c>
      <c r="M114" s="187">
        <f t="shared" si="52"/>
        <v>0</v>
      </c>
      <c r="N114" s="208"/>
      <c r="O114" s="187">
        <f>-M112</f>
        <v>0</v>
      </c>
      <c r="P114" s="187">
        <f t="shared" si="52"/>
        <v>0</v>
      </c>
      <c r="Q114" s="99"/>
      <c r="S114" s="334" t="s">
        <v>239</v>
      </c>
      <c r="T114" s="460">
        <v>0</v>
      </c>
      <c r="U114" s="336" t="e">
        <f>T114/U116</f>
        <v>#DIV/0!</v>
      </c>
      <c r="V114" s="336" t="e">
        <f>T114/U116</f>
        <v>#DIV/0!</v>
      </c>
      <c r="W114" s="338">
        <f>+W27</f>
        <v>0.49941999999999998</v>
      </c>
      <c r="X114" s="330"/>
      <c r="Y114" s="336" t="e">
        <f>W114-V114</f>
        <v>#DIV/0!</v>
      </c>
      <c r="Z114" s="330"/>
    </row>
    <row r="115" spans="1:26" x14ac:dyDescent="0.25">
      <c r="A115" s="313"/>
      <c r="B115" s="295" t="s">
        <v>72</v>
      </c>
      <c r="C115" s="483" t="s">
        <v>186</v>
      </c>
      <c r="D115" s="189">
        <f>-'WACAP 2021'!P113</f>
        <v>0</v>
      </c>
      <c r="E115" s="189">
        <f t="shared" si="52"/>
        <v>0</v>
      </c>
      <c r="F115" s="189">
        <f t="shared" si="52"/>
        <v>0</v>
      </c>
      <c r="G115" s="189">
        <f t="shared" si="52"/>
        <v>0</v>
      </c>
      <c r="H115" s="189">
        <f t="shared" si="52"/>
        <v>0</v>
      </c>
      <c r="I115" s="189">
        <f t="shared" si="52"/>
        <v>0</v>
      </c>
      <c r="J115" s="189">
        <f t="shared" si="52"/>
        <v>0</v>
      </c>
      <c r="K115" s="189">
        <f t="shared" si="52"/>
        <v>0</v>
      </c>
      <c r="L115" s="189">
        <f>-K113</f>
        <v>0</v>
      </c>
      <c r="M115" s="189">
        <f t="shared" si="52"/>
        <v>0</v>
      </c>
      <c r="N115" s="209"/>
      <c r="O115" s="189">
        <f>-M113</f>
        <v>0</v>
      </c>
      <c r="P115" s="189">
        <f t="shared" si="52"/>
        <v>0</v>
      </c>
      <c r="Q115" s="99"/>
      <c r="S115" s="330"/>
      <c r="T115" s="330"/>
      <c r="U115" s="337">
        <f>ROUND(T113/W113,0)</f>
        <v>0</v>
      </c>
      <c r="V115" s="330"/>
      <c r="W115" s="330"/>
      <c r="X115" s="330"/>
      <c r="Y115" s="330"/>
      <c r="Z115" s="330"/>
    </row>
    <row r="116" spans="1:26" ht="15.75" x14ac:dyDescent="0.25">
      <c r="A116" s="313"/>
      <c r="B116" s="271"/>
      <c r="C116" s="311" t="s">
        <v>74</v>
      </c>
      <c r="D116" s="187">
        <f t="shared" ref="D116:P116" si="53">SUM(D110:D115)</f>
        <v>0</v>
      </c>
      <c r="E116" s="187">
        <f t="shared" si="53"/>
        <v>0</v>
      </c>
      <c r="F116" s="187">
        <f t="shared" si="53"/>
        <v>0</v>
      </c>
      <c r="G116" s="187">
        <f t="shared" si="53"/>
        <v>0</v>
      </c>
      <c r="H116" s="187">
        <f t="shared" si="53"/>
        <v>0</v>
      </c>
      <c r="I116" s="187">
        <f t="shared" si="53"/>
        <v>0</v>
      </c>
      <c r="J116" s="187">
        <f t="shared" si="53"/>
        <v>0</v>
      </c>
      <c r="K116" s="187">
        <f t="shared" si="53"/>
        <v>0</v>
      </c>
      <c r="L116" s="187">
        <f t="shared" si="53"/>
        <v>0</v>
      </c>
      <c r="M116" s="187">
        <f t="shared" si="53"/>
        <v>0</v>
      </c>
      <c r="N116" s="208"/>
      <c r="O116" s="187">
        <f t="shared" si="53"/>
        <v>0</v>
      </c>
      <c r="P116" s="187">
        <f t="shared" si="53"/>
        <v>0</v>
      </c>
      <c r="Q116" s="362"/>
      <c r="S116" s="330"/>
      <c r="T116" s="330"/>
      <c r="U116" s="535">
        <v>0</v>
      </c>
      <c r="V116" s="330"/>
      <c r="W116" s="330"/>
      <c r="X116" s="330"/>
      <c r="Y116" s="330"/>
      <c r="Z116" s="330"/>
    </row>
    <row r="117" spans="1:26" ht="15.75" x14ac:dyDescent="0.25">
      <c r="A117" s="313"/>
      <c r="B117" s="271"/>
      <c r="C117" s="487" t="s">
        <v>73</v>
      </c>
      <c r="D117" s="307">
        <f>ROUND(-'Authorized Margins 2021'!D11*'WACAP 2022'!D109,2)</f>
        <v>-496.92</v>
      </c>
      <c r="E117" s="189">
        <f>ROUND(-'Authorized Margins 2021'!E11*'WACAP 2022'!E109,2)</f>
        <v>-562.38</v>
      </c>
      <c r="F117" s="189">
        <f>ROUND(-'Authorized Margins 2021'!F11*'WACAP 2022'!F109,2)</f>
        <v>-611.74</v>
      </c>
      <c r="G117" s="189">
        <f>ROUND(-'Authorized Margins 2021'!G11*'WACAP 2022'!G109,2)</f>
        <v>0</v>
      </c>
      <c r="H117" s="189">
        <f>ROUND(-'Authorized Margins 2021'!H11*'WACAP 2022'!H109,2)</f>
        <v>0</v>
      </c>
      <c r="I117" s="189">
        <f>ROUND(-'Authorized Margins 2021'!I11*'WACAP 2022'!I109,2)</f>
        <v>0</v>
      </c>
      <c r="J117" s="88">
        <f>ROUND(-'Authorized Margins 2021'!J11*'WACAP 2022'!J109,2)</f>
        <v>0</v>
      </c>
      <c r="K117" s="88">
        <f>ROUND(-'Authorized Margins 2021'!K11*'WACAP 2022'!K109,2)</f>
        <v>0</v>
      </c>
      <c r="L117" s="88">
        <f>ROUND(-'Authorized Margins 22'!L11*'WACAP 2022'!L109,2)</f>
        <v>0</v>
      </c>
      <c r="M117" s="88">
        <f>ROUND(-'Authorized Margins 2022'!M11*'WACAP 2022'!M109,2)</f>
        <v>0</v>
      </c>
      <c r="N117" s="209"/>
      <c r="O117" s="88">
        <f>ROUND(-'Authorized Margins 2022'!O11*'WACAP 2022'!O109,2)</f>
        <v>0</v>
      </c>
      <c r="P117" s="88">
        <f>ROUND(-'Authorized Margins 2022'!P11*'WACAP 2022'!P109,2)</f>
        <v>0</v>
      </c>
      <c r="Q117" s="362"/>
      <c r="S117" s="330"/>
      <c r="T117" s="330"/>
      <c r="U117" s="330"/>
      <c r="V117" s="330"/>
      <c r="W117" s="330"/>
      <c r="X117" s="330"/>
      <c r="Y117" s="330"/>
      <c r="Z117" s="330"/>
    </row>
    <row r="118" spans="1:26" x14ac:dyDescent="0.25">
      <c r="A118" s="313"/>
      <c r="B118" s="271"/>
      <c r="C118" s="364" t="s">
        <v>201</v>
      </c>
      <c r="D118" s="187">
        <f t="shared" ref="D118:P118" si="54">SUM(D116:D117)</f>
        <v>-496.92</v>
      </c>
      <c r="E118" s="187">
        <f t="shared" si="54"/>
        <v>-562.38</v>
      </c>
      <c r="F118" s="187">
        <f t="shared" si="54"/>
        <v>-611.74</v>
      </c>
      <c r="G118" s="187">
        <f t="shared" si="54"/>
        <v>0</v>
      </c>
      <c r="H118" s="187">
        <f t="shared" si="54"/>
        <v>0</v>
      </c>
      <c r="I118" s="187">
        <f t="shared" si="54"/>
        <v>0</v>
      </c>
      <c r="J118" s="187">
        <f t="shared" si="54"/>
        <v>0</v>
      </c>
      <c r="K118" s="187">
        <f t="shared" si="54"/>
        <v>0</v>
      </c>
      <c r="L118" s="187">
        <f t="shared" si="54"/>
        <v>0</v>
      </c>
      <c r="M118" s="187">
        <f t="shared" si="54"/>
        <v>0</v>
      </c>
      <c r="N118" s="302">
        <f>-'WACAP 2021'!Q120</f>
        <v>4413.96</v>
      </c>
      <c r="O118" s="187">
        <f t="shared" si="54"/>
        <v>0</v>
      </c>
      <c r="P118" s="187">
        <f t="shared" si="54"/>
        <v>0</v>
      </c>
      <c r="Q118" s="99">
        <f>SUM(D118:P118)-N118</f>
        <v>-1671.04</v>
      </c>
      <c r="S118" s="330"/>
      <c r="T118" s="330"/>
      <c r="U118" s="330"/>
      <c r="V118" s="330"/>
      <c r="W118" s="330"/>
      <c r="X118" s="330"/>
      <c r="Y118" s="330"/>
      <c r="Z118" s="330"/>
    </row>
    <row r="119" spans="1:26" ht="15.75" x14ac:dyDescent="0.25">
      <c r="A119" s="313"/>
      <c r="B119" s="295"/>
      <c r="C119" s="487" t="s">
        <v>137</v>
      </c>
      <c r="D119" s="308">
        <f>ROUND(ROUND('WACAP 2021'!P121*D$7,2)/365*D$8,2)</f>
        <v>-12.18</v>
      </c>
      <c r="E119" s="187">
        <f>ROUND(ROUND(D121*E$7,2)/365*E$8,2)</f>
        <v>-12.27</v>
      </c>
      <c r="F119" s="187">
        <f t="shared" ref="F119:P119" si="55">ROUND(ROUND(E121*F$7,2)/365*F$8,2)</f>
        <v>-15.18</v>
      </c>
      <c r="G119" s="187">
        <f t="shared" si="55"/>
        <v>-16.36</v>
      </c>
      <c r="H119" s="187">
        <f t="shared" si="55"/>
        <v>-16.95</v>
      </c>
      <c r="I119" s="187">
        <f t="shared" si="55"/>
        <v>-16.45</v>
      </c>
      <c r="J119" s="187">
        <f t="shared" si="55"/>
        <v>-18.88</v>
      </c>
      <c r="K119" s="187">
        <f t="shared" si="55"/>
        <v>-18.940000000000001</v>
      </c>
      <c r="L119" s="187">
        <f t="shared" si="55"/>
        <v>-18.38</v>
      </c>
      <c r="M119" s="187">
        <f t="shared" si="55"/>
        <v>-25.98</v>
      </c>
      <c r="N119" s="231">
        <f>'Ammort Split 2022'!N111</f>
        <v>131.32000000000002</v>
      </c>
      <c r="O119" s="187">
        <f>ROUND(ROUND(N121*O$7,2)/365*O$8,2)</f>
        <v>-6.91</v>
      </c>
      <c r="P119" s="187">
        <f t="shared" si="55"/>
        <v>-7.16</v>
      </c>
      <c r="Q119" s="100">
        <f>SUM(D119:P119)</f>
        <v>-54.319999999999965</v>
      </c>
      <c r="S119" s="330"/>
      <c r="T119" s="330"/>
      <c r="U119" s="330"/>
      <c r="V119" s="330"/>
      <c r="W119" s="330"/>
      <c r="X119" s="330"/>
      <c r="Y119" s="330"/>
      <c r="Z119" s="330"/>
    </row>
    <row r="120" spans="1:26" x14ac:dyDescent="0.25">
      <c r="A120" s="313"/>
      <c r="B120" s="295"/>
      <c r="C120" s="364" t="s">
        <v>138</v>
      </c>
      <c r="D120" s="189">
        <f>SUM(D118:D119)</f>
        <v>-509.1</v>
      </c>
      <c r="E120" s="189">
        <f t="shared" ref="E120:P120" si="56">SUM(E118:E119)</f>
        <v>-574.65</v>
      </c>
      <c r="F120" s="189">
        <f t="shared" si="56"/>
        <v>-626.91999999999996</v>
      </c>
      <c r="G120" s="189">
        <f t="shared" si="56"/>
        <v>-16.36</v>
      </c>
      <c r="H120" s="189">
        <f t="shared" si="56"/>
        <v>-16.95</v>
      </c>
      <c r="I120" s="189">
        <f t="shared" si="56"/>
        <v>-16.45</v>
      </c>
      <c r="J120" s="189">
        <f t="shared" si="56"/>
        <v>-18.88</v>
      </c>
      <c r="K120" s="189">
        <f t="shared" si="56"/>
        <v>-18.940000000000001</v>
      </c>
      <c r="L120" s="189">
        <f t="shared" si="56"/>
        <v>-18.38</v>
      </c>
      <c r="M120" s="189">
        <f t="shared" si="56"/>
        <v>-25.98</v>
      </c>
      <c r="N120" s="209">
        <f>SUM(N118:N119)</f>
        <v>4545.28</v>
      </c>
      <c r="O120" s="189">
        <f t="shared" si="56"/>
        <v>-6.91</v>
      </c>
      <c r="P120" s="189">
        <f t="shared" si="56"/>
        <v>-7.16</v>
      </c>
      <c r="Q120" s="453">
        <f>SUM(Q118:Q119)</f>
        <v>-1725.36</v>
      </c>
      <c r="S120" s="330"/>
      <c r="T120" s="330"/>
      <c r="U120" s="330"/>
      <c r="V120" s="330"/>
      <c r="W120" s="330"/>
      <c r="X120" s="330"/>
      <c r="Y120" s="330"/>
      <c r="Z120" s="330"/>
    </row>
    <row r="121" spans="1:26" ht="15.75" x14ac:dyDescent="0.25">
      <c r="A121" s="313"/>
      <c r="B121" s="295"/>
      <c r="C121" s="487" t="s">
        <v>139</v>
      </c>
      <c r="D121" s="456">
        <f>'WACAP 2021'!P121+'WACAP 2022'!D120</f>
        <v>-4923.0600000000013</v>
      </c>
      <c r="E121" s="187">
        <f t="shared" ref="E121:P121" si="57">D121+E120</f>
        <v>-5497.7100000000009</v>
      </c>
      <c r="F121" s="187">
        <f t="shared" si="57"/>
        <v>-6124.630000000001</v>
      </c>
      <c r="G121" s="187">
        <f t="shared" si="57"/>
        <v>-6140.9900000000007</v>
      </c>
      <c r="H121" s="187">
        <f t="shared" si="57"/>
        <v>-6157.9400000000005</v>
      </c>
      <c r="I121" s="187">
        <f t="shared" si="57"/>
        <v>-6174.39</v>
      </c>
      <c r="J121" s="187">
        <f t="shared" si="57"/>
        <v>-6193.27</v>
      </c>
      <c r="K121" s="187">
        <f t="shared" si="57"/>
        <v>-6212.21</v>
      </c>
      <c r="L121" s="187">
        <f t="shared" si="57"/>
        <v>-6230.59</v>
      </c>
      <c r="M121" s="187">
        <f t="shared" si="57"/>
        <v>-6256.57</v>
      </c>
      <c r="N121" s="208">
        <f t="shared" si="57"/>
        <v>-1711.29</v>
      </c>
      <c r="O121" s="187">
        <f t="shared" si="57"/>
        <v>-1718.2</v>
      </c>
      <c r="P121" s="397">
        <f t="shared" si="57"/>
        <v>-1725.3600000000001</v>
      </c>
      <c r="Q121" s="362"/>
      <c r="S121" s="330"/>
      <c r="T121" s="330"/>
      <c r="U121" s="330"/>
      <c r="V121" s="330"/>
      <c r="W121" s="330"/>
      <c r="X121" s="330"/>
      <c r="Y121" s="330"/>
      <c r="Z121" s="330"/>
    </row>
    <row r="122" spans="1:26" x14ac:dyDescent="0.25">
      <c r="A122" s="313"/>
      <c r="B122" s="271"/>
      <c r="C122" s="440"/>
      <c r="D122" s="189"/>
      <c r="E122" s="189"/>
      <c r="F122" s="189"/>
      <c r="G122" s="189"/>
      <c r="H122" s="189"/>
      <c r="I122" s="189"/>
      <c r="J122" s="189"/>
      <c r="K122" s="189"/>
      <c r="L122" s="189"/>
      <c r="M122" s="189"/>
      <c r="N122" s="209"/>
      <c r="O122" s="189"/>
      <c r="P122" s="189"/>
      <c r="Q122" s="458"/>
      <c r="S122" s="334"/>
      <c r="T122" s="337"/>
      <c r="U122" s="330"/>
      <c r="V122" s="330"/>
      <c r="W122" s="330"/>
      <c r="X122" s="330"/>
      <c r="Y122" s="330"/>
      <c r="Z122" s="330"/>
    </row>
    <row r="123" spans="1:26" ht="15.75" x14ac:dyDescent="0.25">
      <c r="A123" s="313"/>
      <c r="B123" t="s">
        <v>88</v>
      </c>
      <c r="C123" s="321" t="s">
        <v>191</v>
      </c>
      <c r="D123" s="192"/>
      <c r="E123" s="113"/>
      <c r="F123" s="108"/>
      <c r="G123" s="113"/>
      <c r="H123" s="113"/>
      <c r="I123" s="113"/>
      <c r="J123" s="113"/>
      <c r="K123" s="113"/>
      <c r="L123" s="113"/>
      <c r="M123" s="113"/>
      <c r="N123" s="204"/>
      <c r="O123" s="113"/>
      <c r="P123" s="113"/>
      <c r="Q123" s="362"/>
      <c r="S123" s="330"/>
      <c r="T123" s="461"/>
      <c r="U123" s="444" t="s">
        <v>92</v>
      </c>
      <c r="V123" s="330"/>
      <c r="W123" s="330"/>
      <c r="X123" s="330"/>
      <c r="Y123" s="330"/>
      <c r="Z123" s="330"/>
    </row>
    <row r="124" spans="1:26" ht="15.75" x14ac:dyDescent="0.25">
      <c r="A124" s="313"/>
      <c r="B124" s="295" t="s">
        <v>64</v>
      </c>
      <c r="C124" s="313" t="s">
        <v>172</v>
      </c>
      <c r="D124" s="250">
        <v>7</v>
      </c>
      <c r="E124" s="250">
        <v>7</v>
      </c>
      <c r="F124" s="250">
        <v>7</v>
      </c>
      <c r="G124" s="250">
        <v>7</v>
      </c>
      <c r="H124" s="250">
        <v>7</v>
      </c>
      <c r="I124" s="250">
        <v>7</v>
      </c>
      <c r="J124" s="250">
        <v>7</v>
      </c>
      <c r="K124" s="250">
        <v>7</v>
      </c>
      <c r="L124" s="250">
        <v>7</v>
      </c>
      <c r="M124" s="250">
        <v>7</v>
      </c>
      <c r="N124" s="479"/>
      <c r="O124" s="250">
        <v>7</v>
      </c>
      <c r="P124" s="250">
        <v>7</v>
      </c>
      <c r="Q124" s="452"/>
      <c r="S124" s="330">
        <v>4811</v>
      </c>
      <c r="T124" s="461">
        <v>570</v>
      </c>
      <c r="U124" s="535">
        <v>100025</v>
      </c>
      <c r="V124" s="333"/>
      <c r="W124" s="444" t="s">
        <v>90</v>
      </c>
      <c r="X124" s="444"/>
      <c r="Y124" s="444" t="s">
        <v>214</v>
      </c>
      <c r="Z124" s="330"/>
    </row>
    <row r="125" spans="1:26" ht="15.75" x14ac:dyDescent="0.25">
      <c r="A125" s="313"/>
      <c r="B125" s="295" t="s">
        <v>71</v>
      </c>
      <c r="C125" s="314" t="s">
        <v>187</v>
      </c>
      <c r="D125" s="251">
        <v>10145.36</v>
      </c>
      <c r="E125" s="251">
        <v>10065.34</v>
      </c>
      <c r="F125" s="251">
        <v>9613.56</v>
      </c>
      <c r="G125" s="251">
        <v>9053.93</v>
      </c>
      <c r="H125" s="251">
        <v>8990.4599999999991</v>
      </c>
      <c r="I125" s="251">
        <v>8661.4599999999991</v>
      </c>
      <c r="J125" s="251">
        <v>6860.13</v>
      </c>
      <c r="K125" s="251">
        <v>6309.17</v>
      </c>
      <c r="L125" s="251">
        <v>7298.34</v>
      </c>
      <c r="M125" s="251">
        <v>7344.23</v>
      </c>
      <c r="N125" s="480"/>
      <c r="O125" s="251">
        <v>10803.63</v>
      </c>
      <c r="P125" s="251">
        <v>10825.51</v>
      </c>
      <c r="Q125" s="99"/>
      <c r="S125" s="334" t="s">
        <v>233</v>
      </c>
      <c r="T125" s="460">
        <v>10825.51</v>
      </c>
      <c r="U125" s="336">
        <f>T125/U128</f>
        <v>0.1003300308621952</v>
      </c>
      <c r="V125" s="336">
        <f>T125/U128</f>
        <v>0.1003300308621952</v>
      </c>
      <c r="W125" s="330">
        <v>0.10033</v>
      </c>
      <c r="X125" s="330"/>
      <c r="Y125" s="492">
        <f>W125-V125</f>
        <v>-3.086219520220812E-8</v>
      </c>
      <c r="Z125" s="330"/>
    </row>
    <row r="126" spans="1:26" ht="15.75" x14ac:dyDescent="0.25">
      <c r="A126" s="313"/>
      <c r="B126" s="295" t="s">
        <v>71</v>
      </c>
      <c r="C126" s="314" t="s">
        <v>188</v>
      </c>
      <c r="D126" s="251">
        <v>4646.83</v>
      </c>
      <c r="E126" s="251">
        <v>4265.7299999999996</v>
      </c>
      <c r="F126" s="251">
        <v>3542.82</v>
      </c>
      <c r="G126" s="251">
        <v>3530.64</v>
      </c>
      <c r="H126" s="251">
        <v>3280.8</v>
      </c>
      <c r="I126" s="251">
        <v>2456.4299999999998</v>
      </c>
      <c r="J126" s="251">
        <v>1146.81</v>
      </c>
      <c r="K126" s="251">
        <v>558.23</v>
      </c>
      <c r="L126" s="251">
        <v>609.77</v>
      </c>
      <c r="M126" s="251">
        <v>812.02</v>
      </c>
      <c r="N126" s="480"/>
      <c r="O126" s="251">
        <v>2057.8000000000002</v>
      </c>
      <c r="P126" s="251">
        <v>4739.09</v>
      </c>
      <c r="Q126" s="99"/>
      <c r="S126" s="334" t="s">
        <v>233</v>
      </c>
      <c r="T126" s="460">
        <v>4739.09</v>
      </c>
      <c r="U126" s="336">
        <f>T126/U129</f>
        <v>3.3659983095750502E-2</v>
      </c>
      <c r="V126" s="336">
        <f>T126/U129</f>
        <v>3.3659983095750502E-2</v>
      </c>
      <c r="W126" s="330">
        <v>3.3660000000000002E-2</v>
      </c>
      <c r="X126" s="330"/>
      <c r="Y126" s="492">
        <f>W126-V126</f>
        <v>1.6904249500182544E-8</v>
      </c>
      <c r="Z126" s="330"/>
    </row>
    <row r="127" spans="1:26" ht="15.75" x14ac:dyDescent="0.25">
      <c r="A127" s="313"/>
      <c r="B127" s="295" t="s">
        <v>72</v>
      </c>
      <c r="C127" s="316" t="s">
        <v>202</v>
      </c>
      <c r="D127" s="276">
        <v>10065.34</v>
      </c>
      <c r="E127" s="276">
        <v>9613.56</v>
      </c>
      <c r="F127" s="276">
        <v>9053.93</v>
      </c>
      <c r="G127" s="276">
        <v>8990.4599999999991</v>
      </c>
      <c r="H127" s="276">
        <v>8661.4599999999991</v>
      </c>
      <c r="I127" s="276">
        <v>6860.13</v>
      </c>
      <c r="J127" s="276">
        <v>6309.17</v>
      </c>
      <c r="K127" s="276">
        <v>7298.34</v>
      </c>
      <c r="L127" s="276">
        <v>7344.23</v>
      </c>
      <c r="M127" s="276">
        <v>10803.63</v>
      </c>
      <c r="N127" s="480"/>
      <c r="O127" s="276">
        <v>10825.51</v>
      </c>
      <c r="P127" s="276">
        <v>11887.69</v>
      </c>
      <c r="Q127" s="99"/>
      <c r="S127" s="334" t="s">
        <v>239</v>
      </c>
      <c r="T127" s="460">
        <v>48566.15</v>
      </c>
      <c r="U127" s="336">
        <f>T127/U124</f>
        <v>0.48554011497125721</v>
      </c>
      <c r="V127" s="336">
        <f>T127/U124</f>
        <v>0.48554011497125721</v>
      </c>
      <c r="W127" s="338">
        <v>0.48554000000000003</v>
      </c>
      <c r="X127" s="330"/>
      <c r="Y127" s="492">
        <f>W127-V127</f>
        <v>-1.1497125718129553E-7</v>
      </c>
      <c r="Z127" s="330"/>
    </row>
    <row r="128" spans="1:26" x14ac:dyDescent="0.25">
      <c r="A128" s="313"/>
      <c r="B128" s="376" t="s">
        <v>72</v>
      </c>
      <c r="C128" s="322" t="s">
        <v>203</v>
      </c>
      <c r="D128" s="350">
        <v>4265.7299999999996</v>
      </c>
      <c r="E128" s="351">
        <v>3542.82</v>
      </c>
      <c r="F128" s="276">
        <v>3530.64</v>
      </c>
      <c r="G128" s="351">
        <v>3280.8</v>
      </c>
      <c r="H128" s="351">
        <v>2456.4299999999998</v>
      </c>
      <c r="I128" s="351">
        <v>1146.81</v>
      </c>
      <c r="J128" s="351">
        <v>558.23</v>
      </c>
      <c r="K128" s="351">
        <v>609.77</v>
      </c>
      <c r="L128" s="351">
        <v>812.02</v>
      </c>
      <c r="M128" s="351">
        <v>2057.8000000000002</v>
      </c>
      <c r="N128" s="480"/>
      <c r="O128" s="351">
        <v>4739.09</v>
      </c>
      <c r="P128" s="351">
        <v>5538.86</v>
      </c>
      <c r="Q128" s="99"/>
      <c r="S128" s="330"/>
      <c r="T128" s="330"/>
      <c r="U128" s="337">
        <f>ROUND(T125/W125,0)</f>
        <v>107899</v>
      </c>
      <c r="V128" s="330"/>
      <c r="W128" s="330"/>
      <c r="X128" s="330"/>
      <c r="Y128" s="336"/>
      <c r="Z128" s="330"/>
    </row>
    <row r="129" spans="1:26" ht="15.75" x14ac:dyDescent="0.25">
      <c r="A129" s="313"/>
      <c r="B129" s="295" t="s">
        <v>72</v>
      </c>
      <c r="C129" s="483" t="s">
        <v>189</v>
      </c>
      <c r="D129" s="308">
        <f>+-'WACAP 2021'!P127</f>
        <v>-10145.36</v>
      </c>
      <c r="E129" s="187">
        <f>-D127</f>
        <v>-10065.34</v>
      </c>
      <c r="F129" s="397">
        <f t="shared" ref="E129:M130" si="58">-E127</f>
        <v>-9613.56</v>
      </c>
      <c r="G129" s="187">
        <f t="shared" si="58"/>
        <v>-9053.93</v>
      </c>
      <c r="H129" s="187">
        <f t="shared" si="58"/>
        <v>-8990.4599999999991</v>
      </c>
      <c r="I129" s="187">
        <f>-H127</f>
        <v>-8661.4599999999991</v>
      </c>
      <c r="J129" s="187">
        <f t="shared" si="58"/>
        <v>-6860.13</v>
      </c>
      <c r="K129" s="187">
        <f t="shared" si="58"/>
        <v>-6309.17</v>
      </c>
      <c r="L129" s="187">
        <f>-K127</f>
        <v>-7298.34</v>
      </c>
      <c r="M129" s="187">
        <f t="shared" si="58"/>
        <v>-7344.23</v>
      </c>
      <c r="N129" s="208"/>
      <c r="O129" s="187">
        <f t="shared" ref="O129:O130" si="59">-M127</f>
        <v>-10803.63</v>
      </c>
      <c r="P129" s="397">
        <f>-O127</f>
        <v>-10825.51</v>
      </c>
      <c r="Q129" s="99"/>
      <c r="S129" s="330"/>
      <c r="T129" s="460"/>
      <c r="U129" s="337">
        <f>ROUND(T126/W126,0)</f>
        <v>140793</v>
      </c>
      <c r="V129" s="330"/>
      <c r="W129" s="330"/>
      <c r="X129" s="330"/>
      <c r="Y129" s="330"/>
      <c r="Z129" s="330"/>
    </row>
    <row r="130" spans="1:26" x14ac:dyDescent="0.25">
      <c r="A130" s="313"/>
      <c r="B130" s="295" t="s">
        <v>72</v>
      </c>
      <c r="C130" s="483" t="s">
        <v>190</v>
      </c>
      <c r="D130" s="307">
        <f>+-'WACAP 2021'!P128</f>
        <v>-4646.83</v>
      </c>
      <c r="E130" s="189">
        <f t="shared" si="58"/>
        <v>-4265.7299999999996</v>
      </c>
      <c r="F130" s="189">
        <f t="shared" si="58"/>
        <v>-3542.82</v>
      </c>
      <c r="G130" s="189">
        <f t="shared" si="58"/>
        <v>-3530.64</v>
      </c>
      <c r="H130" s="189">
        <f t="shared" si="58"/>
        <v>-3280.8</v>
      </c>
      <c r="I130" s="189">
        <f t="shared" si="58"/>
        <v>-2456.4299999999998</v>
      </c>
      <c r="J130" s="189">
        <f t="shared" si="58"/>
        <v>-1146.81</v>
      </c>
      <c r="K130" s="189">
        <f t="shared" si="58"/>
        <v>-558.23</v>
      </c>
      <c r="L130" s="189">
        <f>-K128</f>
        <v>-609.77</v>
      </c>
      <c r="M130" s="189">
        <f t="shared" si="58"/>
        <v>-812.02</v>
      </c>
      <c r="N130" s="209"/>
      <c r="O130" s="189">
        <f t="shared" si="59"/>
        <v>-2057.8000000000002</v>
      </c>
      <c r="P130" s="189">
        <f>-O128</f>
        <v>-4739.09</v>
      </c>
      <c r="Q130" s="99"/>
      <c r="S130" s="330"/>
      <c r="T130" s="330"/>
      <c r="U130" s="330"/>
      <c r="V130" s="330"/>
      <c r="W130" s="330"/>
      <c r="X130" s="330"/>
      <c r="Y130" s="330"/>
      <c r="Z130" s="330"/>
    </row>
    <row r="131" spans="1:26" x14ac:dyDescent="0.25">
      <c r="A131" s="313"/>
      <c r="B131" s="295"/>
      <c r="C131" s="311" t="s">
        <v>74</v>
      </c>
      <c r="D131" s="187">
        <f t="shared" ref="D131:F131" si="60">SUM(D125:D130)</f>
        <v>14331.069999999998</v>
      </c>
      <c r="E131" s="187">
        <f t="shared" si="60"/>
        <v>13156.379999999997</v>
      </c>
      <c r="F131" s="187">
        <f t="shared" si="60"/>
        <v>12584.569999999998</v>
      </c>
      <c r="G131" s="187">
        <f>SUM(G125:G130)</f>
        <v>12271.259999999998</v>
      </c>
      <c r="H131" s="187">
        <f t="shared" ref="H131:P131" si="61">SUM(H125:H130)</f>
        <v>11117.89</v>
      </c>
      <c r="I131" s="187">
        <f t="shared" si="61"/>
        <v>8006.9400000000023</v>
      </c>
      <c r="J131" s="187">
        <f t="shared" si="61"/>
        <v>6867.4</v>
      </c>
      <c r="K131" s="187">
        <f t="shared" si="61"/>
        <v>7908.1100000000006</v>
      </c>
      <c r="L131" s="187">
        <f t="shared" si="61"/>
        <v>8156.25</v>
      </c>
      <c r="M131" s="187">
        <f t="shared" si="61"/>
        <v>12861.429999999997</v>
      </c>
      <c r="N131" s="208"/>
      <c r="O131" s="187">
        <f t="shared" si="61"/>
        <v>15564.600000000002</v>
      </c>
      <c r="P131" s="187">
        <f t="shared" si="61"/>
        <v>17426.55</v>
      </c>
      <c r="Q131" s="362"/>
      <c r="S131" s="330"/>
      <c r="T131" s="330"/>
      <c r="U131" s="330"/>
      <c r="V131" s="330"/>
      <c r="W131" s="330"/>
      <c r="X131" s="330"/>
      <c r="Y131" s="330"/>
      <c r="Z131" s="330"/>
    </row>
    <row r="132" spans="1:26" ht="15.75" x14ac:dyDescent="0.25">
      <c r="A132" s="313"/>
      <c r="B132" s="295"/>
      <c r="C132" s="487" t="s">
        <v>73</v>
      </c>
      <c r="D132" s="307">
        <f>ROUND(-'Authorized Margins 2021'!D15*'WACAP 2022'!D124,2)</f>
        <v>-14166.25</v>
      </c>
      <c r="E132" s="189">
        <f>ROUND(-'Authorized Margins 2021'!E15*'WACAP 2022'!E124,2)</f>
        <v>-14075.39</v>
      </c>
      <c r="F132" s="189">
        <f>ROUND(-'Authorized Margins 2021'!F15*'WACAP 2022'!F124,2)</f>
        <v>-14693.91</v>
      </c>
      <c r="G132" s="189">
        <f>ROUND(-'Authorized Margins 2021'!G15*'WACAP 2022'!G124,2)</f>
        <v>-13495.3</v>
      </c>
      <c r="H132" s="189">
        <f>ROUND(-'Authorized Margins 2021'!H15*'WACAP 2022'!H124,2)</f>
        <v>-11900.42</v>
      </c>
      <c r="I132" s="189">
        <f>ROUND(-'Authorized Margins 2021'!I15*'WACAP 2022'!I124,2)</f>
        <v>-8841.77</v>
      </c>
      <c r="J132" s="88">
        <f>ROUND(-'Authorized Margins 2021'!J15*'WACAP 2022'!J124,2)</f>
        <v>-6898.29</v>
      </c>
      <c r="K132" s="88">
        <f>ROUND(-'Authorized Margins 2021'!K15*'WACAP 2022'!K124,2)</f>
        <v>-6527.71</v>
      </c>
      <c r="L132" s="88">
        <f>ROUND(-'Authorized Margins 22'!L15*'WACAP 2022'!L124,2)</f>
        <v>-6937.49</v>
      </c>
      <c r="M132" s="88">
        <f>ROUND(-'Authorized Margins 2022'!M15*'WACAP 2022'!M124,2)</f>
        <v>-6697.6</v>
      </c>
      <c r="N132" s="209"/>
      <c r="O132" s="88">
        <f>ROUND(-'Authorized Margins 2022'!O15*'WACAP 2022'!O124,2)</f>
        <v>-12667.27</v>
      </c>
      <c r="P132" s="88">
        <f>ROUND(-'Authorized Margins 2022'!P15*'WACAP 2022'!P124,2)</f>
        <v>-15605.1</v>
      </c>
      <c r="Q132" s="362"/>
      <c r="S132" s="330"/>
      <c r="T132" s="330"/>
      <c r="U132" s="330"/>
      <c r="V132" s="330"/>
      <c r="W132" s="330"/>
      <c r="X132" s="330"/>
      <c r="Y132" s="330"/>
      <c r="Z132" s="330"/>
    </row>
    <row r="133" spans="1:26" x14ac:dyDescent="0.25">
      <c r="A133" s="313"/>
      <c r="B133" s="295"/>
      <c r="C133" s="364" t="s">
        <v>75</v>
      </c>
      <c r="D133" s="187">
        <f t="shared" ref="D133:P133" si="62">SUM(D131:D132)</f>
        <v>164.81999999999789</v>
      </c>
      <c r="E133" s="187">
        <f t="shared" si="62"/>
        <v>-919.01000000000204</v>
      </c>
      <c r="F133" s="187">
        <f t="shared" si="62"/>
        <v>-2109.340000000002</v>
      </c>
      <c r="G133" s="187">
        <f t="shared" si="62"/>
        <v>-1224.0400000000009</v>
      </c>
      <c r="H133" s="187">
        <f t="shared" si="62"/>
        <v>-782.53000000000065</v>
      </c>
      <c r="I133" s="187">
        <f t="shared" si="62"/>
        <v>-834.82999999999811</v>
      </c>
      <c r="J133" s="187">
        <f t="shared" si="62"/>
        <v>-30.890000000000327</v>
      </c>
      <c r="K133" s="187">
        <f t="shared" si="62"/>
        <v>1380.4000000000005</v>
      </c>
      <c r="L133" s="187">
        <f t="shared" si="62"/>
        <v>1218.7600000000002</v>
      </c>
      <c r="M133" s="187">
        <f t="shared" si="62"/>
        <v>6163.8299999999963</v>
      </c>
      <c r="N133" s="302">
        <f>-'WACAP 2021'!Q135</f>
        <v>-13960.709999999997</v>
      </c>
      <c r="O133" s="187">
        <f t="shared" si="62"/>
        <v>2897.3300000000017</v>
      </c>
      <c r="P133" s="187">
        <f t="shared" si="62"/>
        <v>1821.4499999999989</v>
      </c>
      <c r="Q133" s="99">
        <f>SUM(D133:P133)-N133</f>
        <v>7745.9499999999916</v>
      </c>
      <c r="S133" s="330"/>
      <c r="T133" s="330"/>
      <c r="U133" s="330"/>
      <c r="V133" s="330"/>
      <c r="W133" s="330"/>
      <c r="X133" s="330"/>
      <c r="Y133" s="330"/>
      <c r="Z133" s="330"/>
    </row>
    <row r="134" spans="1:26" ht="15.75" x14ac:dyDescent="0.25">
      <c r="A134" s="313"/>
      <c r="B134" s="295"/>
      <c r="C134" s="487" t="s">
        <v>137</v>
      </c>
      <c r="D134" s="308">
        <f>ROUND(ROUND('WACAP 2021'!P136*D$7,2)/365*D$8,2)</f>
        <v>38.54</v>
      </c>
      <c r="E134" s="187">
        <f>ROUND(ROUND(D136*E$7,2)/365*E$8,2)</f>
        <v>35.31</v>
      </c>
      <c r="F134" s="187">
        <f t="shared" ref="F134:P134" si="63">ROUND(ROUND(E136*F$7,2)/365*F$8,2)</f>
        <v>36.659999999999997</v>
      </c>
      <c r="G134" s="187">
        <f t="shared" si="63"/>
        <v>29.94</v>
      </c>
      <c r="H134" s="187">
        <f t="shared" si="63"/>
        <v>27.64</v>
      </c>
      <c r="I134" s="187">
        <f t="shared" si="63"/>
        <v>24.73</v>
      </c>
      <c r="J134" s="187">
        <f t="shared" si="63"/>
        <v>25.83</v>
      </c>
      <c r="K134" s="187">
        <f t="shared" si="63"/>
        <v>25.82</v>
      </c>
      <c r="L134" s="187">
        <f t="shared" si="63"/>
        <v>29.14</v>
      </c>
      <c r="M134" s="187">
        <f t="shared" si="63"/>
        <v>46.28</v>
      </c>
      <c r="N134" s="231">
        <f>'Ammort Split 2022'!N126</f>
        <v>-415.35</v>
      </c>
      <c r="O134" s="187">
        <f>ROUND(ROUND(N136*O$7,2)/365*O$8,2)</f>
        <v>11.83</v>
      </c>
      <c r="P134" s="187">
        <f t="shared" si="63"/>
        <v>24.36</v>
      </c>
      <c r="Q134" s="100">
        <f>SUM(D134:P134)</f>
        <v>-59.270000000000039</v>
      </c>
      <c r="S134" s="330"/>
      <c r="T134" s="330"/>
      <c r="U134" s="330"/>
      <c r="V134" s="330"/>
      <c r="W134" s="330"/>
      <c r="X134" s="330"/>
      <c r="Y134" s="330"/>
      <c r="Z134" s="330"/>
    </row>
    <row r="135" spans="1:26" x14ac:dyDescent="0.25">
      <c r="A135" s="313"/>
      <c r="B135" s="295"/>
      <c r="C135" s="364" t="s">
        <v>138</v>
      </c>
      <c r="D135" s="189">
        <f>SUM(D133:D134)</f>
        <v>203.35999999999788</v>
      </c>
      <c r="E135" s="189">
        <f t="shared" ref="E135:P135" si="64">SUM(E133:E134)</f>
        <v>-883.70000000000209</v>
      </c>
      <c r="F135" s="189">
        <f t="shared" si="64"/>
        <v>-2072.6800000000021</v>
      </c>
      <c r="G135" s="189">
        <f t="shared" si="64"/>
        <v>-1194.1000000000008</v>
      </c>
      <c r="H135" s="189">
        <f t="shared" si="64"/>
        <v>-754.89000000000067</v>
      </c>
      <c r="I135" s="189">
        <f t="shared" si="64"/>
        <v>-810.09999999999809</v>
      </c>
      <c r="J135" s="189">
        <f t="shared" si="64"/>
        <v>-5.0600000000003291</v>
      </c>
      <c r="K135" s="189">
        <f t="shared" si="64"/>
        <v>1406.2200000000005</v>
      </c>
      <c r="L135" s="189">
        <f t="shared" si="64"/>
        <v>1247.9000000000003</v>
      </c>
      <c r="M135" s="189">
        <f t="shared" si="64"/>
        <v>6210.109999999996</v>
      </c>
      <c r="N135" s="209">
        <f>SUM(N133:N134)</f>
        <v>-14376.059999999998</v>
      </c>
      <c r="O135" s="189">
        <f t="shared" si="64"/>
        <v>2909.1600000000017</v>
      </c>
      <c r="P135" s="189">
        <f t="shared" si="64"/>
        <v>1845.8099999999988</v>
      </c>
      <c r="Q135" s="453">
        <f>SUM(Q133:Q134)</f>
        <v>7686.6799999999912</v>
      </c>
      <c r="S135" s="330"/>
      <c r="T135" s="330"/>
      <c r="U135" s="330"/>
      <c r="V135" s="330"/>
      <c r="W135" s="330"/>
      <c r="X135" s="330"/>
      <c r="Y135" s="330"/>
      <c r="Z135" s="330"/>
    </row>
    <row r="136" spans="1:26" ht="16.5" thickBot="1" x14ac:dyDescent="0.3">
      <c r="A136" s="313"/>
      <c r="B136" s="295"/>
      <c r="C136" s="487" t="s">
        <v>139</v>
      </c>
      <c r="D136" s="384">
        <f>'WACAP 2021'!P136+'WACAP 2022'!D135</f>
        <v>14164.069999999998</v>
      </c>
      <c r="E136" s="375">
        <f t="shared" ref="E136:P136" si="65">D136+E135</f>
        <v>13280.369999999995</v>
      </c>
      <c r="F136" s="375">
        <f t="shared" si="65"/>
        <v>11207.689999999993</v>
      </c>
      <c r="G136" s="375">
        <f t="shared" si="65"/>
        <v>10013.589999999993</v>
      </c>
      <c r="H136" s="375">
        <f t="shared" si="65"/>
        <v>9258.6999999999916</v>
      </c>
      <c r="I136" s="375">
        <f t="shared" si="65"/>
        <v>8448.5999999999931</v>
      </c>
      <c r="J136" s="375">
        <f t="shared" si="65"/>
        <v>8443.5399999999936</v>
      </c>
      <c r="K136" s="375">
        <f t="shared" si="65"/>
        <v>9849.7599999999948</v>
      </c>
      <c r="L136" s="375">
        <f t="shared" si="65"/>
        <v>11097.659999999994</v>
      </c>
      <c r="M136" s="375">
        <f t="shared" si="65"/>
        <v>17307.76999999999</v>
      </c>
      <c r="N136" s="386">
        <f>M136+N135</f>
        <v>2931.7099999999919</v>
      </c>
      <c r="O136" s="375">
        <f t="shared" si="65"/>
        <v>5840.8699999999935</v>
      </c>
      <c r="P136" s="375">
        <f t="shared" si="65"/>
        <v>7686.6799999999921</v>
      </c>
      <c r="Q136" s="458"/>
      <c r="S136" s="330"/>
      <c r="T136" s="330"/>
      <c r="U136" s="330"/>
      <c r="V136" s="330"/>
      <c r="W136" s="330"/>
      <c r="X136" s="330"/>
      <c r="Y136" s="330"/>
      <c r="Z136" s="330"/>
    </row>
    <row r="137" spans="1:26" ht="15.75" hidden="1" thickBot="1" x14ac:dyDescent="0.3">
      <c r="A137" s="313"/>
      <c r="B137" s="271"/>
      <c r="D137" s="192"/>
      <c r="E137" s="192"/>
      <c r="F137" s="187"/>
      <c r="G137" s="192"/>
      <c r="H137" s="192"/>
      <c r="I137" s="192"/>
      <c r="J137" s="192"/>
      <c r="K137" s="192"/>
      <c r="L137" s="192"/>
      <c r="M137" s="192"/>
      <c r="N137" s="192"/>
      <c r="O137" s="192"/>
      <c r="P137" s="195"/>
      <c r="Q137" s="178"/>
      <c r="S137" s="334"/>
      <c r="T137" s="337"/>
      <c r="U137" s="337"/>
      <c r="V137" s="330"/>
      <c r="W137" s="330"/>
      <c r="X137" s="330"/>
      <c r="Y137" s="330"/>
      <c r="Z137" s="330"/>
    </row>
    <row r="138" spans="1:26" ht="15.75" hidden="1" thickBot="1" x14ac:dyDescent="0.3">
      <c r="A138" s="313"/>
      <c r="B138" s="104" t="s">
        <v>88</v>
      </c>
      <c r="C138" s="271">
        <v>577</v>
      </c>
      <c r="D138" s="229" t="s">
        <v>149</v>
      </c>
      <c r="F138" s="187"/>
      <c r="G138" s="192"/>
      <c r="H138" s="192"/>
      <c r="I138" s="192"/>
      <c r="J138" s="192"/>
      <c r="L138" s="192"/>
      <c r="M138" s="192"/>
      <c r="N138" s="202"/>
      <c r="O138" s="192"/>
      <c r="P138" s="195"/>
      <c r="Q138" s="178"/>
      <c r="S138" s="330"/>
      <c r="T138" s="330"/>
      <c r="U138" s="337"/>
      <c r="V138" s="330"/>
      <c r="W138" s="330"/>
      <c r="X138" s="330"/>
      <c r="Y138" s="330"/>
      <c r="Z138" s="330"/>
    </row>
    <row r="139" spans="1:26" ht="15.75" hidden="1" thickBot="1" x14ac:dyDescent="0.3">
      <c r="A139" s="313"/>
      <c r="B139" s="295" t="s">
        <v>64</v>
      </c>
      <c r="C139" t="s">
        <v>172</v>
      </c>
      <c r="D139" s="296"/>
      <c r="E139" s="296"/>
      <c r="F139" s="296"/>
      <c r="G139" s="296"/>
      <c r="H139" s="296"/>
      <c r="I139" s="296"/>
      <c r="J139" s="296"/>
      <c r="K139" s="296"/>
      <c r="L139" s="296"/>
      <c r="M139" s="296"/>
      <c r="N139" s="202"/>
      <c r="O139" s="296"/>
      <c r="P139" s="297"/>
      <c r="Q139" s="179"/>
      <c r="S139" s="330"/>
      <c r="T139" s="330"/>
      <c r="U139" s="333"/>
      <c r="V139" s="333"/>
      <c r="W139" s="330"/>
      <c r="X139" s="330"/>
      <c r="Y139" s="330"/>
      <c r="Z139" s="330"/>
    </row>
    <row r="140" spans="1:26" ht="15.75" hidden="1" thickBot="1" x14ac:dyDescent="0.3">
      <c r="A140" s="313"/>
      <c r="B140" s="295" t="s">
        <v>71</v>
      </c>
      <c r="C140" t="s">
        <v>109</v>
      </c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08"/>
      <c r="O140" s="298"/>
      <c r="P140" s="299"/>
      <c r="Q140" s="180"/>
      <c r="S140" s="334"/>
      <c r="T140" s="337"/>
      <c r="U140" s="336"/>
      <c r="V140" s="336"/>
      <c r="W140" s="330"/>
      <c r="X140" s="330"/>
      <c r="Y140" s="336"/>
      <c r="Z140" s="330"/>
    </row>
    <row r="141" spans="1:26" ht="15.75" hidden="1" thickBot="1" x14ac:dyDescent="0.3">
      <c r="A141" s="313"/>
      <c r="B141" s="295" t="s">
        <v>71</v>
      </c>
      <c r="C141" t="s">
        <v>96</v>
      </c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08"/>
      <c r="O141" s="298"/>
      <c r="P141" s="299"/>
      <c r="Q141" s="180"/>
      <c r="S141" s="334"/>
      <c r="T141" s="337"/>
      <c r="U141" s="336"/>
      <c r="V141" s="336"/>
      <c r="W141" s="330"/>
      <c r="X141" s="330"/>
      <c r="Y141" s="336"/>
      <c r="Z141" s="330"/>
    </row>
    <row r="142" spans="1:26" ht="15.75" hidden="1" thickBot="1" x14ac:dyDescent="0.3">
      <c r="A142" s="313"/>
      <c r="B142" s="295" t="s">
        <v>72</v>
      </c>
      <c r="C142" t="s">
        <v>110</v>
      </c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08"/>
      <c r="O142" s="298"/>
      <c r="P142" s="299"/>
      <c r="Q142" s="180"/>
      <c r="S142" s="334"/>
      <c r="T142" s="337"/>
      <c r="U142" s="336"/>
      <c r="V142" s="336"/>
      <c r="W142" s="330"/>
      <c r="X142" s="330"/>
      <c r="Y142" s="336"/>
      <c r="Z142" s="330"/>
    </row>
    <row r="143" spans="1:26" ht="15.75" hidden="1" thickBot="1" x14ac:dyDescent="0.3">
      <c r="A143" s="313"/>
      <c r="B143" s="295" t="s">
        <v>72</v>
      </c>
      <c r="C143" t="s">
        <v>111</v>
      </c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08"/>
      <c r="O143" s="298"/>
      <c r="P143" s="299"/>
      <c r="Q143" s="180"/>
      <c r="S143" s="330"/>
      <c r="T143" s="330"/>
      <c r="U143" s="330"/>
      <c r="V143" s="330"/>
      <c r="W143" s="330"/>
      <c r="X143" s="330"/>
      <c r="Y143" s="336"/>
      <c r="Z143" s="330"/>
    </row>
    <row r="144" spans="1:26" ht="15.75" hidden="1" thickBot="1" x14ac:dyDescent="0.3">
      <c r="A144" s="313"/>
      <c r="B144" s="295" t="s">
        <v>72</v>
      </c>
      <c r="C144" t="s">
        <v>112</v>
      </c>
      <c r="D144" s="187">
        <f>-'WACAP 2018'!O138</f>
        <v>0</v>
      </c>
      <c r="E144" s="187">
        <f>-D142</f>
        <v>0</v>
      </c>
      <c r="F144" s="187">
        <f>-E142</f>
        <v>0</v>
      </c>
      <c r="G144" s="187">
        <f>-F142</f>
        <v>0</v>
      </c>
      <c r="H144" s="187">
        <f t="shared" ref="E144:M145" si="66">-G142</f>
        <v>0</v>
      </c>
      <c r="I144" s="187">
        <f t="shared" si="66"/>
        <v>0</v>
      </c>
      <c r="J144" s="187">
        <f t="shared" si="66"/>
        <v>0</v>
      </c>
      <c r="K144" s="187">
        <f t="shared" si="66"/>
        <v>0</v>
      </c>
      <c r="L144" s="187">
        <f t="shared" si="66"/>
        <v>0</v>
      </c>
      <c r="M144" s="187">
        <f t="shared" si="66"/>
        <v>0</v>
      </c>
      <c r="N144" s="208"/>
      <c r="O144" s="187">
        <f t="shared" ref="O144:O145" si="67">-M142</f>
        <v>0</v>
      </c>
      <c r="P144" s="188">
        <f>-O142</f>
        <v>0</v>
      </c>
      <c r="Q144" s="180"/>
      <c r="S144" s="330"/>
      <c r="T144" s="330"/>
      <c r="U144" s="330"/>
      <c r="V144" s="330"/>
      <c r="W144" s="330"/>
      <c r="X144" s="330"/>
      <c r="Y144" s="330"/>
      <c r="Z144" s="330"/>
    </row>
    <row r="145" spans="1:26" ht="15.75" hidden="1" thickBot="1" x14ac:dyDescent="0.3">
      <c r="A145" s="313"/>
      <c r="B145" s="295" t="s">
        <v>72</v>
      </c>
      <c r="C145" t="s">
        <v>113</v>
      </c>
      <c r="D145" s="189">
        <f>-'WACAP 2018'!O139</f>
        <v>0</v>
      </c>
      <c r="E145" s="189">
        <f t="shared" si="66"/>
        <v>0</v>
      </c>
      <c r="F145" s="189">
        <f t="shared" si="66"/>
        <v>0</v>
      </c>
      <c r="G145" s="189">
        <f t="shared" si="66"/>
        <v>0</v>
      </c>
      <c r="H145" s="189">
        <f t="shared" si="66"/>
        <v>0</v>
      </c>
      <c r="I145" s="189">
        <f t="shared" si="66"/>
        <v>0</v>
      </c>
      <c r="J145" s="189">
        <f t="shared" si="66"/>
        <v>0</v>
      </c>
      <c r="K145" s="189">
        <f t="shared" si="66"/>
        <v>0</v>
      </c>
      <c r="L145" s="189">
        <f t="shared" si="66"/>
        <v>0</v>
      </c>
      <c r="M145" s="189">
        <f t="shared" si="66"/>
        <v>0</v>
      </c>
      <c r="N145" s="209"/>
      <c r="O145" s="189">
        <f t="shared" si="67"/>
        <v>0</v>
      </c>
      <c r="P145" s="190">
        <f>-O143</f>
        <v>0</v>
      </c>
      <c r="Q145" s="180"/>
      <c r="S145" s="330"/>
      <c r="T145" s="330"/>
      <c r="U145" s="330"/>
      <c r="V145" s="330"/>
      <c r="W145" s="330"/>
      <c r="X145" s="330"/>
      <c r="Y145" s="330"/>
      <c r="Z145" s="330"/>
    </row>
    <row r="146" spans="1:26" ht="15.75" hidden="1" thickBot="1" x14ac:dyDescent="0.3">
      <c r="A146" s="313"/>
      <c r="B146" s="360"/>
      <c r="C146" s="122" t="s">
        <v>74</v>
      </c>
      <c r="D146" s="187">
        <f t="shared" ref="D146:F146" si="68">SUM(D140:D145)</f>
        <v>0</v>
      </c>
      <c r="E146" s="187">
        <f t="shared" si="68"/>
        <v>0</v>
      </c>
      <c r="F146" s="187">
        <f t="shared" si="68"/>
        <v>0</v>
      </c>
      <c r="G146" s="187">
        <f>SUM(G140:G145)</f>
        <v>0</v>
      </c>
      <c r="H146" s="187">
        <f t="shared" ref="H146:P146" si="69">SUM(H140:H145)</f>
        <v>0</v>
      </c>
      <c r="I146" s="187">
        <f t="shared" si="69"/>
        <v>0</v>
      </c>
      <c r="J146" s="187">
        <f t="shared" si="69"/>
        <v>0</v>
      </c>
      <c r="K146" s="187">
        <f t="shared" si="69"/>
        <v>0</v>
      </c>
      <c r="L146" s="187">
        <f t="shared" si="69"/>
        <v>0</v>
      </c>
      <c r="M146" s="187">
        <f t="shared" si="69"/>
        <v>0</v>
      </c>
      <c r="N146" s="208"/>
      <c r="O146" s="187">
        <f t="shared" si="69"/>
        <v>0</v>
      </c>
      <c r="P146" s="188">
        <f t="shared" si="69"/>
        <v>0</v>
      </c>
      <c r="Q146" s="178"/>
      <c r="S146" s="330"/>
      <c r="T146" s="330"/>
      <c r="U146" s="330"/>
      <c r="V146" s="330"/>
      <c r="W146" s="330"/>
      <c r="X146" s="330"/>
      <c r="Y146" s="330"/>
      <c r="Z146" s="330"/>
    </row>
    <row r="147" spans="1:26" ht="15.75" hidden="1" thickBot="1" x14ac:dyDescent="0.3">
      <c r="A147" s="313"/>
      <c r="B147" s="360"/>
      <c r="C147" s="122" t="s">
        <v>73</v>
      </c>
      <c r="D147" s="189">
        <v>0</v>
      </c>
      <c r="E147" s="189">
        <v>0</v>
      </c>
      <c r="F147" s="189">
        <v>0</v>
      </c>
      <c r="G147" s="189">
        <v>0</v>
      </c>
      <c r="H147" s="189">
        <v>0</v>
      </c>
      <c r="I147" s="189">
        <v>0</v>
      </c>
      <c r="J147" s="189">
        <v>0</v>
      </c>
      <c r="K147" s="189">
        <v>0</v>
      </c>
      <c r="L147" s="189">
        <v>0</v>
      </c>
      <c r="M147" s="189">
        <v>0</v>
      </c>
      <c r="N147" s="209"/>
      <c r="O147" s="189">
        <v>0</v>
      </c>
      <c r="P147" s="190">
        <v>0</v>
      </c>
      <c r="Q147" s="178"/>
      <c r="S147" s="330"/>
      <c r="T147" s="330"/>
      <c r="U147" s="330"/>
      <c r="V147" s="330"/>
      <c r="W147" s="330"/>
      <c r="X147" s="330"/>
      <c r="Y147" s="330"/>
      <c r="Z147" s="330"/>
    </row>
    <row r="148" spans="1:26" ht="15.75" hidden="1" thickBot="1" x14ac:dyDescent="0.3">
      <c r="A148" s="313"/>
      <c r="B148" s="360"/>
      <c r="C148" s="122" t="s">
        <v>75</v>
      </c>
      <c r="D148" s="187">
        <f t="shared" ref="D148:P148" si="70">SUM(D146:D147)</f>
        <v>0</v>
      </c>
      <c r="E148" s="187">
        <f t="shared" si="70"/>
        <v>0</v>
      </c>
      <c r="F148" s="187">
        <f t="shared" si="70"/>
        <v>0</v>
      </c>
      <c r="G148" s="187">
        <f t="shared" si="70"/>
        <v>0</v>
      </c>
      <c r="H148" s="187">
        <f t="shared" si="70"/>
        <v>0</v>
      </c>
      <c r="I148" s="187">
        <f t="shared" si="70"/>
        <v>0</v>
      </c>
      <c r="J148" s="187">
        <f t="shared" si="70"/>
        <v>0</v>
      </c>
      <c r="K148" s="187">
        <f t="shared" si="70"/>
        <v>0</v>
      </c>
      <c r="L148" s="187">
        <f t="shared" si="70"/>
        <v>0</v>
      </c>
      <c r="M148" s="187">
        <f t="shared" si="70"/>
        <v>0</v>
      </c>
      <c r="N148" s="302"/>
      <c r="O148" s="187">
        <f t="shared" si="70"/>
        <v>0</v>
      </c>
      <c r="P148" s="188">
        <f t="shared" si="70"/>
        <v>0</v>
      </c>
      <c r="Q148" s="180">
        <f>SUM(D148:P148)-N148</f>
        <v>0</v>
      </c>
      <c r="S148" s="330"/>
      <c r="T148" s="330"/>
      <c r="U148" s="330"/>
      <c r="V148" s="330"/>
      <c r="W148" s="330"/>
      <c r="X148" s="330"/>
      <c r="Y148" s="330"/>
      <c r="Z148" s="330"/>
    </row>
    <row r="149" spans="1:26" ht="15.75" hidden="1" thickBot="1" x14ac:dyDescent="0.3">
      <c r="A149" s="313"/>
      <c r="B149" s="295"/>
      <c r="C149" s="122" t="s">
        <v>137</v>
      </c>
      <c r="D149" s="300">
        <f>ROUND(ROUND('WACAP 2019'!P163*D$7,2)/365*D$8,2)</f>
        <v>0</v>
      </c>
      <c r="E149" s="187">
        <f>ROUND(ROUND(D151*E$7,2)/365*E$8,2)</f>
        <v>0</v>
      </c>
      <c r="F149" s="187">
        <f t="shared" ref="F149:P149" si="71">ROUND(ROUND(E151*F$7,2)/365*F$8,2)</f>
        <v>0</v>
      </c>
      <c r="G149" s="187">
        <f t="shared" si="71"/>
        <v>0</v>
      </c>
      <c r="H149" s="187">
        <f t="shared" si="71"/>
        <v>0</v>
      </c>
      <c r="I149" s="187">
        <f t="shared" si="71"/>
        <v>0</v>
      </c>
      <c r="J149" s="187">
        <f t="shared" si="71"/>
        <v>0</v>
      </c>
      <c r="K149" s="187">
        <f t="shared" si="71"/>
        <v>0</v>
      </c>
      <c r="L149" s="187">
        <f t="shared" si="71"/>
        <v>0</v>
      </c>
      <c r="M149" s="187">
        <f>ROUND(ROUND(L151*M$7,2)/365*M$8,2)</f>
        <v>0</v>
      </c>
      <c r="N149" s="231"/>
      <c r="O149" s="187">
        <f>ROUND(ROUND(N151*O$7,2)/365*O$8,2)</f>
        <v>0</v>
      </c>
      <c r="P149" s="188">
        <f t="shared" si="71"/>
        <v>0</v>
      </c>
      <c r="Q149" s="180">
        <f>SUM(D149:P149)</f>
        <v>0</v>
      </c>
      <c r="S149" s="330"/>
      <c r="T149" s="330"/>
      <c r="U149" s="330"/>
      <c r="V149" s="330"/>
      <c r="W149" s="330"/>
      <c r="X149" s="330"/>
      <c r="Y149" s="330"/>
      <c r="Z149" s="330"/>
    </row>
    <row r="150" spans="1:26" ht="15.75" hidden="1" thickBot="1" x14ac:dyDescent="0.3">
      <c r="A150" s="313"/>
      <c r="B150" s="295"/>
      <c r="C150" s="122" t="s">
        <v>138</v>
      </c>
      <c r="D150" s="189">
        <f t="shared" ref="D150:P150" si="72">SUM(D148:D149)</f>
        <v>0</v>
      </c>
      <c r="E150" s="189">
        <f t="shared" si="72"/>
        <v>0</v>
      </c>
      <c r="F150" s="189">
        <f t="shared" si="72"/>
        <v>0</v>
      </c>
      <c r="G150" s="189">
        <f t="shared" si="72"/>
        <v>0</v>
      </c>
      <c r="H150" s="189">
        <f t="shared" si="72"/>
        <v>0</v>
      </c>
      <c r="I150" s="189">
        <f t="shared" si="72"/>
        <v>0</v>
      </c>
      <c r="J150" s="189">
        <f t="shared" si="72"/>
        <v>0</v>
      </c>
      <c r="K150" s="189">
        <f t="shared" si="72"/>
        <v>0</v>
      </c>
      <c r="L150" s="189">
        <f t="shared" si="72"/>
        <v>0</v>
      </c>
      <c r="M150" s="189">
        <f t="shared" si="72"/>
        <v>0</v>
      </c>
      <c r="N150" s="209"/>
      <c r="O150" s="189">
        <f t="shared" si="72"/>
        <v>0</v>
      </c>
      <c r="P150" s="190">
        <f t="shared" si="72"/>
        <v>0</v>
      </c>
      <c r="Q150" s="306">
        <f>SUM(Q148:Q149)</f>
        <v>0</v>
      </c>
      <c r="S150" s="330"/>
      <c r="T150" s="330"/>
      <c r="U150" s="330"/>
      <c r="V150" s="330"/>
      <c r="W150" s="330"/>
      <c r="X150" s="330"/>
      <c r="Y150" s="330"/>
      <c r="Z150" s="330"/>
    </row>
    <row r="151" spans="1:26" ht="15.75" hidden="1" thickBot="1" x14ac:dyDescent="0.3">
      <c r="A151" s="313"/>
      <c r="B151" s="295"/>
      <c r="C151" s="122" t="s">
        <v>139</v>
      </c>
      <c r="D151" s="300">
        <f>'WACAP 2018'!P163+'WACAP 2022'!D150</f>
        <v>0</v>
      </c>
      <c r="E151" s="187">
        <f t="shared" ref="E151:P151" si="73">D151+E150</f>
        <v>0</v>
      </c>
      <c r="F151" s="187">
        <f t="shared" si="73"/>
        <v>0</v>
      </c>
      <c r="G151" s="187">
        <f t="shared" si="73"/>
        <v>0</v>
      </c>
      <c r="H151" s="187">
        <f t="shared" si="73"/>
        <v>0</v>
      </c>
      <c r="I151" s="187">
        <f t="shared" si="73"/>
        <v>0</v>
      </c>
      <c r="J151" s="187">
        <f t="shared" si="73"/>
        <v>0</v>
      </c>
      <c r="K151" s="187">
        <f t="shared" si="73"/>
        <v>0</v>
      </c>
      <c r="L151" s="187">
        <f t="shared" si="73"/>
        <v>0</v>
      </c>
      <c r="M151" s="187">
        <f t="shared" si="73"/>
        <v>0</v>
      </c>
      <c r="N151" s="208"/>
      <c r="O151" s="187">
        <f t="shared" si="73"/>
        <v>0</v>
      </c>
      <c r="P151" s="301">
        <f t="shared" si="73"/>
        <v>0</v>
      </c>
      <c r="Q151" s="178"/>
      <c r="S151" s="330"/>
      <c r="T151" s="330"/>
      <c r="U151" s="330"/>
      <c r="V151" s="330"/>
      <c r="W151" s="330"/>
      <c r="X151" s="330"/>
      <c r="Y151" s="330"/>
      <c r="Z151" s="330"/>
    </row>
    <row r="152" spans="1:26" ht="15.75" hidden="1" thickBot="1" x14ac:dyDescent="0.3">
      <c r="A152" s="313"/>
      <c r="B152" s="383"/>
      <c r="D152" s="119"/>
      <c r="F152" s="176"/>
      <c r="G152" s="119"/>
      <c r="H152" s="119"/>
      <c r="I152" s="119"/>
      <c r="J152" s="119"/>
      <c r="K152" s="119"/>
      <c r="L152" s="119"/>
      <c r="M152" s="119"/>
      <c r="N152" s="119"/>
      <c r="O152" s="119"/>
      <c r="P152" s="120"/>
      <c r="Q152" s="178"/>
      <c r="S152" s="330"/>
      <c r="T152" s="330"/>
      <c r="U152" s="330"/>
      <c r="V152" s="330"/>
      <c r="W152" s="330"/>
      <c r="X152" s="330"/>
      <c r="Y152" s="330"/>
      <c r="Z152" s="330"/>
    </row>
    <row r="153" spans="1:26" x14ac:dyDescent="0.25">
      <c r="B153" s="240"/>
      <c r="C153" s="385"/>
      <c r="E153" s="385"/>
      <c r="F153" s="108"/>
      <c r="Q153" s="385"/>
      <c r="S153" s="330"/>
      <c r="T153" s="330"/>
      <c r="U153" s="330"/>
      <c r="V153" s="330"/>
      <c r="W153" s="330"/>
      <c r="X153" s="330"/>
      <c r="Y153" s="330"/>
      <c r="Z153" s="330"/>
    </row>
    <row r="154" spans="1:26" ht="13.5" customHeight="1" x14ac:dyDescent="0.25">
      <c r="C154" s="122" t="s">
        <v>89</v>
      </c>
      <c r="D154" s="187">
        <f t="shared" ref="D154:P155" si="74">+D17+D53+D86+D29+D118+D41+D103+D133+D148+D70</f>
        <v>787241.44000000076</v>
      </c>
      <c r="E154" s="187">
        <f t="shared" si="74"/>
        <v>178974.53999999963</v>
      </c>
      <c r="F154" s="187">
        <f t="shared" si="74"/>
        <v>-780079.05000000075</v>
      </c>
      <c r="G154" s="187">
        <f t="shared" si="74"/>
        <v>1323377.1000000003</v>
      </c>
      <c r="H154" s="187">
        <f t="shared" si="74"/>
        <v>597541.84999999974</v>
      </c>
      <c r="I154" s="187">
        <f t="shared" si="74"/>
        <v>-35943.75000000008</v>
      </c>
      <c r="J154" s="187">
        <f t="shared" si="74"/>
        <v>-506054.97</v>
      </c>
      <c r="K154" s="187">
        <f>ROUND(K17+K53+K86+K29+K118+K41+K103+K133+K148+K70,2)</f>
        <v>-755480.12</v>
      </c>
      <c r="L154" s="187">
        <f t="shared" si="74"/>
        <v>-528563.13000000012</v>
      </c>
      <c r="M154" s="187">
        <f t="shared" si="74"/>
        <v>-1418455.4800000007</v>
      </c>
      <c r="N154" s="187">
        <f t="shared" si="74"/>
        <v>4165592.1249999972</v>
      </c>
      <c r="O154" s="187">
        <f t="shared" si="74"/>
        <v>1917162.1700000009</v>
      </c>
      <c r="P154" s="187">
        <f t="shared" si="74"/>
        <v>2727270.67</v>
      </c>
      <c r="Q154" s="187">
        <f>+Q17+Q86+Q70+Q29+Q118+Q41+Q103+Q133+Q148+Q53</f>
        <v>3506991.2700000005</v>
      </c>
      <c r="S154" s="108"/>
    </row>
    <row r="155" spans="1:26" x14ac:dyDescent="0.25">
      <c r="C155" s="122" t="s">
        <v>170</v>
      </c>
      <c r="D155" s="199">
        <f>+D18+D54+D87+D30+D119+D42+D104+D134+D149+D71-0.01</f>
        <v>-11498.179999999998</v>
      </c>
      <c r="E155" s="199">
        <f>+E18+E54+E87+E30+E119+E42+E104+E134+E149+E71</f>
        <v>-8451.4000000000015</v>
      </c>
      <c r="F155" s="199">
        <f>+F18+F54+F87+F30+F119+F42+F104+F134+F149+F71</f>
        <v>-8886.2199999999993</v>
      </c>
      <c r="G155" s="199">
        <f t="shared" si="74"/>
        <v>-10707.080000000002</v>
      </c>
      <c r="H155" s="199">
        <f t="shared" si="74"/>
        <v>-7441.9299999999976</v>
      </c>
      <c r="I155" s="199">
        <f>+I18+I54+I87+I30+I119+I42+I104+I134+I149+I71</f>
        <v>-5624.34</v>
      </c>
      <c r="J155" s="199">
        <f>+J18+J54+J87+J30+J119+J42+J104+J134+J149+J71</f>
        <v>-5925.2600000000011</v>
      </c>
      <c r="K155" s="199">
        <f>ROUND(K18+K54+K87+K30+K119+K42+K104+K134+K149+K71,2)-0.01</f>
        <v>-64581.98</v>
      </c>
      <c r="L155" s="199">
        <f>+L18+L54+L87+L30+L119+L42+L104+L134+L149+L71-0.02</f>
        <v>-10294.430000000002</v>
      </c>
      <c r="M155" s="199">
        <f>+M18+M54+M87+M30+M119+M42+M104+M134+M149+M71+0.01</f>
        <v>-16755.560000000001</v>
      </c>
      <c r="N155" s="199">
        <f t="shared" si="74"/>
        <v>123928.47999999998</v>
      </c>
      <c r="O155" s="199">
        <f>+O18+O54+O87+O30+O119+O42+O104+O134+O149+O71+0.02</f>
        <v>-4696.16</v>
      </c>
      <c r="P155" s="199">
        <f>+P18+P54+P87+P30+P119+P42+P104+P134+P149+P71-0.03</f>
        <v>3122.5299999999997</v>
      </c>
      <c r="Q155" s="199">
        <f>+Q18+Q87+Q71+Q30+Q119+Q42+Q104+Q134+Q149+Q54-0.02</f>
        <v>-27811.510000000038</v>
      </c>
      <c r="S155" s="108"/>
    </row>
    <row r="156" spans="1:26" x14ac:dyDescent="0.25">
      <c r="C156" s="122" t="s">
        <v>139</v>
      </c>
      <c r="D156" s="187">
        <f>SUM(D154:D155)+'WACAP 2021'!P156</f>
        <v>-3389848.8649999984</v>
      </c>
      <c r="E156" s="187">
        <f>SUM(E154:E155)+D156</f>
        <v>-3219325.7249999987</v>
      </c>
      <c r="F156" s="187">
        <f t="shared" ref="F156:O156" si="75">SUM(F154:F155)+E156</f>
        <v>-4008290.9949999992</v>
      </c>
      <c r="G156" s="187">
        <f t="shared" si="75"/>
        <v>-2695620.9749999987</v>
      </c>
      <c r="H156" s="187">
        <f t="shared" si="75"/>
        <v>-2105521.0549999988</v>
      </c>
      <c r="I156" s="187">
        <f>SUM(I154:I155)+H156+0.01</f>
        <v>-2147089.1349999988</v>
      </c>
      <c r="J156" s="187">
        <f t="shared" si="75"/>
        <v>-2659069.3649999988</v>
      </c>
      <c r="K156" s="187">
        <f t="shared" si="75"/>
        <v>-3479131.4649999989</v>
      </c>
      <c r="L156" s="187">
        <f>SUM(L154:L155)+K156+0.01</f>
        <v>-4017989.0149999992</v>
      </c>
      <c r="M156" s="187">
        <f t="shared" si="75"/>
        <v>-5453200.0549999997</v>
      </c>
      <c r="N156" s="187">
        <f>SUM(N154:N155)+M156</f>
        <v>-1163679.450000003</v>
      </c>
      <c r="O156" s="187">
        <f t="shared" si="75"/>
        <v>748786.55999999796</v>
      </c>
      <c r="P156" s="187">
        <f>SUM(P154:P155)+O156</f>
        <v>3479179.7599999979</v>
      </c>
      <c r="Q156" s="90">
        <f>SUM(Q154:Q155)</f>
        <v>3479179.7600000002</v>
      </c>
      <c r="S156" s="108"/>
    </row>
    <row r="157" spans="1:26" ht="13.5" customHeight="1" x14ac:dyDescent="0.25">
      <c r="C157" s="89"/>
      <c r="D157" s="90"/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S157" s="330"/>
      <c r="T157" s="330"/>
      <c r="U157" s="330"/>
      <c r="V157" s="330"/>
      <c r="W157" s="330"/>
      <c r="X157" s="330"/>
      <c r="Y157" s="330"/>
      <c r="Z157" s="330"/>
    </row>
    <row r="158" spans="1:26" ht="13.5" customHeight="1" x14ac:dyDescent="0.25">
      <c r="B158" s="257"/>
      <c r="C158" s="356"/>
      <c r="D158" s="88"/>
      <c r="E158" s="88"/>
      <c r="F158" s="88"/>
      <c r="G158" s="88"/>
      <c r="H158" s="88"/>
      <c r="I158" s="88"/>
      <c r="J158" s="88"/>
      <c r="K158" s="88"/>
      <c r="L158" s="88"/>
      <c r="M158" s="88"/>
      <c r="N158" s="356"/>
      <c r="O158" s="88"/>
      <c r="P158" s="88"/>
      <c r="Q158" s="108"/>
      <c r="S158" s="330"/>
      <c r="T158" s="330"/>
      <c r="U158" s="330"/>
      <c r="V158" s="330"/>
      <c r="W158" s="330"/>
      <c r="X158" s="330"/>
      <c r="Y158" s="330"/>
      <c r="Z158" s="330"/>
    </row>
    <row r="159" spans="1:26" ht="15.75" x14ac:dyDescent="0.25">
      <c r="B159" s="305"/>
      <c r="C159" s="475" t="s">
        <v>167</v>
      </c>
      <c r="D159" s="476" t="s">
        <v>155</v>
      </c>
      <c r="E159" s="477" t="s">
        <v>156</v>
      </c>
      <c r="F159" s="477" t="s">
        <v>157</v>
      </c>
      <c r="G159" s="477" t="s">
        <v>158</v>
      </c>
      <c r="H159" s="477" t="s">
        <v>23</v>
      </c>
      <c r="I159" s="477" t="s">
        <v>159</v>
      </c>
      <c r="J159" s="477" t="s">
        <v>160</v>
      </c>
      <c r="K159" s="477" t="s">
        <v>161</v>
      </c>
      <c r="L159" s="477" t="s">
        <v>162</v>
      </c>
      <c r="M159" s="477" t="s">
        <v>168</v>
      </c>
      <c r="N159" s="478" t="s">
        <v>234</v>
      </c>
      <c r="O159" s="477" t="s">
        <v>171</v>
      </c>
      <c r="P159" s="477" t="s">
        <v>173</v>
      </c>
      <c r="Q159" s="358"/>
      <c r="S159" s="330"/>
      <c r="T159" s="330"/>
      <c r="U159" s="330"/>
      <c r="V159" s="330"/>
      <c r="W159" s="330"/>
      <c r="X159" s="330"/>
      <c r="Y159" s="330"/>
      <c r="Z159" s="330"/>
    </row>
    <row r="160" spans="1:26" ht="15.75" x14ac:dyDescent="0.25">
      <c r="A160" s="313"/>
      <c r="B160" s="258" t="s">
        <v>127</v>
      </c>
      <c r="C160" s="259"/>
      <c r="D160" s="454">
        <f t="shared" ref="D160:N160" si="76">-D154</f>
        <v>-787241.44000000076</v>
      </c>
      <c r="E160" s="466">
        <f t="shared" si="76"/>
        <v>-178974.53999999963</v>
      </c>
      <c r="F160" s="325">
        <f t="shared" si="76"/>
        <v>780079.05000000075</v>
      </c>
      <c r="G160" s="260">
        <f>-G154</f>
        <v>-1323377.1000000003</v>
      </c>
      <c r="H160" s="454">
        <f t="shared" si="76"/>
        <v>-597541.84999999974</v>
      </c>
      <c r="I160" s="325">
        <f t="shared" si="76"/>
        <v>35943.75000000008</v>
      </c>
      <c r="J160" s="260">
        <f t="shared" si="76"/>
        <v>506054.97</v>
      </c>
      <c r="K160" s="260">
        <f>-K154-K169</f>
        <v>172505.80999999994</v>
      </c>
      <c r="L160" s="260">
        <f t="shared" si="76"/>
        <v>528563.13000000012</v>
      </c>
      <c r="M160" s="260">
        <f t="shared" si="76"/>
        <v>1418455.4800000007</v>
      </c>
      <c r="N160" s="213">
        <f t="shared" si="76"/>
        <v>-4165592.1249999972</v>
      </c>
      <c r="O160" s="260">
        <f>-O154</f>
        <v>-1917162.1700000009</v>
      </c>
      <c r="P160" s="454">
        <f>-P154</f>
        <v>-2727270.67</v>
      </c>
      <c r="R160" s="108">
        <f t="shared" ref="R160:R165" si="77">SUM(D160:L160)</f>
        <v>-863988.22</v>
      </c>
      <c r="S160" s="330"/>
      <c r="T160" s="330"/>
      <c r="U160" s="330"/>
      <c r="V160" s="330"/>
      <c r="W160" s="330"/>
      <c r="X160" s="330"/>
      <c r="Y160" s="330"/>
      <c r="Z160" s="330"/>
    </row>
    <row r="161" spans="1:26" ht="15.75" x14ac:dyDescent="0.25">
      <c r="A161" s="313"/>
      <c r="B161" s="323" t="s">
        <v>128</v>
      </c>
      <c r="C161" s="262"/>
      <c r="D161" s="260">
        <f t="shared" ref="D161:M161" si="78">D17</f>
        <v>436257.47000000067</v>
      </c>
      <c r="E161" s="325">
        <f t="shared" si="78"/>
        <v>-1813.8600000003353</v>
      </c>
      <c r="F161" s="325">
        <f t="shared" si="78"/>
        <v>-544983.16000000015</v>
      </c>
      <c r="G161" s="260">
        <f t="shared" si="78"/>
        <v>808593.87999999989</v>
      </c>
      <c r="H161" s="260">
        <f t="shared" si="78"/>
        <v>330649.54000000004</v>
      </c>
      <c r="I161" s="325">
        <f t="shared" si="78"/>
        <v>-44326.560000000056</v>
      </c>
      <c r="J161" s="260">
        <f t="shared" si="78"/>
        <v>-248647.18999999994</v>
      </c>
      <c r="K161" s="260">
        <f>K17-K170</f>
        <v>-74562.849999999977</v>
      </c>
      <c r="L161" s="260">
        <f t="shared" si="78"/>
        <v>-282359.05000000005</v>
      </c>
      <c r="M161" s="260">
        <f t="shared" si="78"/>
        <v>-996753.77000000025</v>
      </c>
      <c r="N161" s="213">
        <f>+N17</f>
        <v>2371653.7699999958</v>
      </c>
      <c r="O161" s="260">
        <f>O17</f>
        <v>1218240.2300000004</v>
      </c>
      <c r="P161" s="260">
        <f>P17</f>
        <v>1349088.42</v>
      </c>
      <c r="R161" s="108">
        <f t="shared" si="77"/>
        <v>378808.22000000009</v>
      </c>
      <c r="S161" s="330"/>
      <c r="T161" s="330"/>
      <c r="U161" s="330"/>
      <c r="V161" s="330"/>
      <c r="W161" s="330"/>
      <c r="X161" s="330"/>
      <c r="Y161" s="330"/>
      <c r="Z161" s="330"/>
    </row>
    <row r="162" spans="1:26" ht="15.75" x14ac:dyDescent="0.25">
      <c r="A162" s="313"/>
      <c r="B162" s="261" t="s">
        <v>129</v>
      </c>
      <c r="C162" s="262"/>
      <c r="D162" s="260">
        <f t="shared" ref="D162:P162" si="79">D29+D41</f>
        <v>50737.75999999998</v>
      </c>
      <c r="E162" s="325">
        <f t="shared" si="79"/>
        <v>-47719.500000000044</v>
      </c>
      <c r="F162" s="325">
        <f t="shared" si="79"/>
        <v>-39682.659999999989</v>
      </c>
      <c r="G162" s="260">
        <f t="shared" si="79"/>
        <v>-47936.639999999999</v>
      </c>
      <c r="H162" s="260">
        <f t="shared" si="79"/>
        <v>46161.229999999989</v>
      </c>
      <c r="I162" s="325">
        <f t="shared" si="79"/>
        <v>52347.47</v>
      </c>
      <c r="J162" s="260">
        <f t="shared" si="79"/>
        <v>13337.869999999999</v>
      </c>
      <c r="K162" s="260">
        <f t="shared" si="79"/>
        <v>-781.09000000000378</v>
      </c>
      <c r="L162" s="260">
        <f t="shared" si="79"/>
        <v>-3295.9699999999793</v>
      </c>
      <c r="M162" s="260">
        <f t="shared" si="79"/>
        <v>-7778.8900000000067</v>
      </c>
      <c r="N162" s="213">
        <f t="shared" si="79"/>
        <v>78094.852000000043</v>
      </c>
      <c r="O162" s="260">
        <f t="shared" si="79"/>
        <v>26647.829999999987</v>
      </c>
      <c r="P162" s="260">
        <f t="shared" si="79"/>
        <v>96899.639999999956</v>
      </c>
      <c r="R162" s="108">
        <f t="shared" si="77"/>
        <v>23168.469999999954</v>
      </c>
      <c r="S162" s="330"/>
      <c r="T162" s="330"/>
      <c r="U162" s="330"/>
      <c r="V162" s="330"/>
      <c r="W162" s="330"/>
      <c r="X162" s="330"/>
      <c r="Y162" s="330"/>
      <c r="Z162" s="330"/>
    </row>
    <row r="163" spans="1:26" ht="15.75" x14ac:dyDescent="0.25">
      <c r="A163" s="313"/>
      <c r="B163" s="261" t="s">
        <v>130</v>
      </c>
      <c r="C163" s="262"/>
      <c r="D163" s="260">
        <f t="shared" ref="D163:M163" si="80">D53+D86+D70+D103</f>
        <v>300578.31000000029</v>
      </c>
      <c r="E163" s="325">
        <f t="shared" si="80"/>
        <v>229989.29000000004</v>
      </c>
      <c r="F163" s="325">
        <f t="shared" si="80"/>
        <v>-192692.15000000061</v>
      </c>
      <c r="G163" s="260">
        <f t="shared" si="80"/>
        <v>563943.90000000049</v>
      </c>
      <c r="H163" s="260">
        <f t="shared" si="80"/>
        <v>221513.60999999981</v>
      </c>
      <c r="I163" s="325">
        <f t="shared" si="80"/>
        <v>-43129.830000000016</v>
      </c>
      <c r="J163" s="260">
        <f t="shared" si="80"/>
        <v>-270714.76</v>
      </c>
      <c r="K163" s="260">
        <f t="shared" si="80"/>
        <v>-98542.270000000106</v>
      </c>
      <c r="L163" s="260">
        <f t="shared" si="80"/>
        <v>-244126.87000000005</v>
      </c>
      <c r="M163" s="260">
        <f t="shared" si="80"/>
        <v>-420086.65000000014</v>
      </c>
      <c r="N163" s="213">
        <f>N53+N86+N70+N103</f>
        <v>1725390.2530000012</v>
      </c>
      <c r="O163" s="260">
        <f>O53+O86+O70+O103</f>
        <v>669376.78000000026</v>
      </c>
      <c r="P163" s="260">
        <f>P53+P86+P70+P103</f>
        <v>1279461.1600000001</v>
      </c>
      <c r="R163" s="108">
        <f t="shared" si="77"/>
        <v>466819.22999999969</v>
      </c>
      <c r="S163" s="330"/>
      <c r="T163" s="330"/>
      <c r="U163" s="330"/>
      <c r="V163" s="330"/>
      <c r="W163" s="330"/>
      <c r="X163" s="330"/>
      <c r="Y163" s="330"/>
      <c r="Z163" s="330"/>
    </row>
    <row r="164" spans="1:26" ht="15.75" x14ac:dyDescent="0.25">
      <c r="A164" s="313"/>
      <c r="B164" s="261" t="s">
        <v>131</v>
      </c>
      <c r="C164" s="262"/>
      <c r="D164" s="260">
        <f t="shared" ref="D164:P164" si="81">D118</f>
        <v>-496.92</v>
      </c>
      <c r="E164" s="325">
        <f t="shared" si="81"/>
        <v>-562.38</v>
      </c>
      <c r="F164" s="325">
        <f t="shared" si="81"/>
        <v>-611.74</v>
      </c>
      <c r="G164" s="260">
        <f t="shared" si="81"/>
        <v>0</v>
      </c>
      <c r="H164" s="260">
        <f t="shared" si="81"/>
        <v>0</v>
      </c>
      <c r="I164" s="325">
        <f t="shared" si="81"/>
        <v>0</v>
      </c>
      <c r="J164" s="260">
        <f t="shared" si="81"/>
        <v>0</v>
      </c>
      <c r="K164" s="260">
        <f>ROUND(K118,2)</f>
        <v>0</v>
      </c>
      <c r="L164" s="260">
        <f t="shared" si="81"/>
        <v>0</v>
      </c>
      <c r="M164" s="260">
        <f t="shared" si="81"/>
        <v>0</v>
      </c>
      <c r="N164" s="213">
        <f t="shared" si="81"/>
        <v>4413.96</v>
      </c>
      <c r="O164" s="260">
        <f t="shared" si="81"/>
        <v>0</v>
      </c>
      <c r="P164" s="260">
        <f t="shared" si="81"/>
        <v>0</v>
      </c>
      <c r="R164" s="108">
        <f t="shared" si="77"/>
        <v>-1671.04</v>
      </c>
      <c r="S164" s="330"/>
      <c r="T164" s="330"/>
      <c r="U164" s="330"/>
      <c r="V164" s="330"/>
      <c r="W164" s="330"/>
      <c r="X164" s="330"/>
      <c r="Y164" s="330"/>
      <c r="Z164" s="330"/>
    </row>
    <row r="165" spans="1:26" ht="15.75" x14ac:dyDescent="0.25">
      <c r="A165" s="313"/>
      <c r="B165" s="263" t="s">
        <v>132</v>
      </c>
      <c r="C165" s="264"/>
      <c r="D165" s="265">
        <f t="shared" ref="D165:P165" si="82">D133+D148</f>
        <v>164.81999999999789</v>
      </c>
      <c r="E165" s="326">
        <f t="shared" si="82"/>
        <v>-919.01000000000204</v>
      </c>
      <c r="F165" s="326">
        <f t="shared" si="82"/>
        <v>-2109.340000000002</v>
      </c>
      <c r="G165" s="265">
        <f t="shared" si="82"/>
        <v>-1224.0400000000009</v>
      </c>
      <c r="H165" s="265">
        <f t="shared" si="82"/>
        <v>-782.53000000000065</v>
      </c>
      <c r="I165" s="326">
        <f t="shared" si="82"/>
        <v>-834.82999999999811</v>
      </c>
      <c r="J165" s="265">
        <f t="shared" si="82"/>
        <v>-30.890000000000327</v>
      </c>
      <c r="K165" s="265">
        <f>ROUND(K133+K148,2)</f>
        <v>1380.4</v>
      </c>
      <c r="L165" s="265">
        <f t="shared" si="82"/>
        <v>1218.7600000000002</v>
      </c>
      <c r="M165" s="265">
        <f t="shared" si="82"/>
        <v>6163.8299999999963</v>
      </c>
      <c r="N165" s="214">
        <f t="shared" si="82"/>
        <v>-13960.709999999997</v>
      </c>
      <c r="O165" s="265">
        <f t="shared" si="82"/>
        <v>2897.3300000000017</v>
      </c>
      <c r="P165" s="265">
        <f t="shared" si="82"/>
        <v>1821.4499999999989</v>
      </c>
      <c r="R165" s="108">
        <f t="shared" si="77"/>
        <v>-3136.6600000000053</v>
      </c>
      <c r="S165" s="330"/>
      <c r="T165" s="330"/>
      <c r="U165" s="330"/>
      <c r="V165" s="330"/>
      <c r="W165" s="330"/>
      <c r="X165" s="330"/>
      <c r="Y165" s="330"/>
      <c r="Z165" s="330"/>
    </row>
    <row r="166" spans="1:26" ht="13.5" customHeight="1" x14ac:dyDescent="0.25">
      <c r="B166" s="262"/>
      <c r="E166" s="385"/>
      <c r="F166" s="385"/>
      <c r="G166" s="385"/>
      <c r="H166" s="385"/>
      <c r="R166" s="108"/>
      <c r="S166" s="330"/>
      <c r="T166" s="330"/>
      <c r="U166" s="330"/>
      <c r="V166" s="330"/>
      <c r="W166" s="330"/>
      <c r="X166" s="330"/>
      <c r="Y166" s="330"/>
      <c r="Z166" s="330"/>
    </row>
    <row r="167" spans="1:26" ht="13.5" customHeight="1" x14ac:dyDescent="0.25">
      <c r="B167" s="262"/>
      <c r="E167" s="497"/>
      <c r="F167" s="497"/>
      <c r="G167" s="497"/>
      <c r="H167" s="687" t="s">
        <v>243</v>
      </c>
      <c r="I167" s="497"/>
      <c r="J167" s="497"/>
      <c r="K167" s="498">
        <v>43831</v>
      </c>
      <c r="R167" s="108"/>
      <c r="S167" s="330"/>
      <c r="T167" s="330"/>
      <c r="U167" s="330"/>
      <c r="V167" s="330"/>
      <c r="W167" s="330"/>
      <c r="X167" s="330"/>
      <c r="Y167" s="330"/>
      <c r="Z167" s="330"/>
    </row>
    <row r="168" spans="1:26" x14ac:dyDescent="0.25">
      <c r="B168" s="257"/>
      <c r="C168" s="496" t="s">
        <v>240</v>
      </c>
      <c r="E168" s="499" t="s">
        <v>235</v>
      </c>
      <c r="G168" s="499" t="s">
        <v>236</v>
      </c>
      <c r="H168" s="688"/>
      <c r="I168" s="501"/>
      <c r="J168" s="501"/>
      <c r="K168" s="499" t="s">
        <v>242</v>
      </c>
      <c r="M168" s="499" t="s">
        <v>251</v>
      </c>
      <c r="S168" s="330"/>
      <c r="T168" s="330"/>
      <c r="U168" s="330"/>
      <c r="V168" s="330"/>
      <c r="W168" s="330"/>
      <c r="X168" s="330"/>
      <c r="Y168" s="330"/>
      <c r="Z168" s="330"/>
    </row>
    <row r="169" spans="1:26" x14ac:dyDescent="0.25">
      <c r="E169" s="502">
        <v>-139159.88999999972</v>
      </c>
      <c r="G169" s="502">
        <v>-1322915.7700000003</v>
      </c>
      <c r="H169" s="502">
        <f t="shared" ref="H169:H174" si="83">G160-G169</f>
        <v>-461.33000000007451</v>
      </c>
      <c r="I169" s="497"/>
      <c r="J169" s="497"/>
      <c r="K169" s="502">
        <v>582974.31000000006</v>
      </c>
      <c r="L169" s="385"/>
      <c r="M169" s="531">
        <v>1135987.8200000005</v>
      </c>
      <c r="S169" s="330"/>
      <c r="T169" s="330"/>
      <c r="U169" s="330"/>
      <c r="V169" s="330"/>
      <c r="W169" s="330"/>
      <c r="X169" s="330"/>
      <c r="Y169" s="330"/>
      <c r="Z169" s="330"/>
    </row>
    <row r="170" spans="1:26" x14ac:dyDescent="0.25">
      <c r="E170" s="502">
        <v>-30464.040000000037</v>
      </c>
      <c r="G170" s="502">
        <v>808593.87999999989</v>
      </c>
      <c r="H170" s="502">
        <f t="shared" si="83"/>
        <v>0</v>
      </c>
      <c r="I170" s="497"/>
      <c r="J170" s="497"/>
      <c r="K170" s="502">
        <v>-582974.31000000006</v>
      </c>
      <c r="M170" s="531">
        <v>-996753.77000000025</v>
      </c>
      <c r="S170" s="330"/>
      <c r="T170" s="330"/>
      <c r="U170" s="330"/>
      <c r="V170" s="330"/>
      <c r="W170" s="330"/>
      <c r="X170" s="330"/>
      <c r="Y170" s="330"/>
      <c r="Z170" s="330"/>
    </row>
    <row r="171" spans="1:26" x14ac:dyDescent="0.25">
      <c r="E171" s="502">
        <v>-47719.500000000044</v>
      </c>
      <c r="G171" s="502">
        <v>-47936.639999999999</v>
      </c>
      <c r="H171" s="502">
        <f t="shared" si="83"/>
        <v>0</v>
      </c>
      <c r="I171" s="497"/>
      <c r="J171" s="497"/>
      <c r="K171" s="503" t="s">
        <v>245</v>
      </c>
      <c r="M171" s="531">
        <v>274688.77</v>
      </c>
      <c r="S171" s="330"/>
      <c r="T171" s="330"/>
      <c r="U171" s="330"/>
      <c r="V171" s="330"/>
      <c r="W171" s="330"/>
      <c r="X171" s="330"/>
      <c r="Y171" s="330"/>
      <c r="Z171" s="330"/>
    </row>
    <row r="172" spans="1:26" x14ac:dyDescent="0.25">
      <c r="E172" s="502">
        <v>218824.81999999983</v>
      </c>
      <c r="G172" s="502">
        <v>563943.90000000049</v>
      </c>
      <c r="H172" s="502">
        <f t="shared" si="83"/>
        <v>0</v>
      </c>
      <c r="I172" s="497"/>
      <c r="J172" s="497"/>
      <c r="M172" s="531">
        <v>-420086.65000000014</v>
      </c>
      <c r="S172" s="330"/>
      <c r="T172" s="330"/>
      <c r="U172" s="330"/>
      <c r="V172" s="330"/>
      <c r="W172" s="330"/>
      <c r="X172" s="330"/>
      <c r="Y172" s="330"/>
      <c r="Z172" s="330"/>
    </row>
    <row r="173" spans="1:26" x14ac:dyDescent="0.25">
      <c r="E173" s="502">
        <v>-562.38</v>
      </c>
      <c r="G173" s="502">
        <v>-461.33</v>
      </c>
      <c r="H173" s="502">
        <f t="shared" si="83"/>
        <v>461.33</v>
      </c>
      <c r="I173" s="497"/>
      <c r="J173" s="497"/>
      <c r="K173" s="502"/>
      <c r="M173" s="531">
        <v>0</v>
      </c>
      <c r="S173" s="330"/>
      <c r="T173" s="330"/>
      <c r="U173" s="330"/>
      <c r="V173" s="330"/>
      <c r="W173" s="330"/>
      <c r="X173" s="330"/>
      <c r="Y173" s="330"/>
      <c r="Z173" s="330"/>
    </row>
    <row r="174" spans="1:26" x14ac:dyDescent="0.25">
      <c r="E174" s="502">
        <v>-919.01000000000204</v>
      </c>
      <c r="G174" s="502">
        <v>-1224.0400000000009</v>
      </c>
      <c r="H174" s="502">
        <f t="shared" si="83"/>
        <v>0</v>
      </c>
      <c r="I174" s="497"/>
      <c r="J174" s="497"/>
      <c r="K174" s="502"/>
      <c r="M174" s="531">
        <v>6163.8299999999963</v>
      </c>
      <c r="S174" s="330"/>
      <c r="T174" s="330"/>
      <c r="U174" s="330"/>
      <c r="V174" s="330"/>
      <c r="W174" s="330"/>
      <c r="X174" s="330"/>
      <c r="Y174" s="330"/>
      <c r="Z174" s="330"/>
    </row>
    <row r="176" spans="1:26" x14ac:dyDescent="0.25">
      <c r="E176" s="500" t="s">
        <v>244</v>
      </c>
      <c r="M176" s="500" t="s">
        <v>248</v>
      </c>
    </row>
    <row r="177" spans="5:13" x14ac:dyDescent="0.25">
      <c r="E177" s="502">
        <f t="shared" ref="E177:E182" si="84">E160-E169</f>
        <v>-39814.649999999907</v>
      </c>
      <c r="M177" s="502">
        <f>M160-M169</f>
        <v>282467.66000000015</v>
      </c>
    </row>
    <row r="178" spans="5:13" x14ac:dyDescent="0.25">
      <c r="E178" s="502">
        <f t="shared" si="84"/>
        <v>28650.179999999702</v>
      </c>
      <c r="M178" s="502">
        <f t="shared" ref="M178:M182" si="85">M161-M170</f>
        <v>0</v>
      </c>
    </row>
    <row r="179" spans="5:13" x14ac:dyDescent="0.25">
      <c r="E179" s="502">
        <f t="shared" si="84"/>
        <v>0</v>
      </c>
      <c r="M179" s="502">
        <f t="shared" si="85"/>
        <v>-282467.66000000003</v>
      </c>
    </row>
    <row r="180" spans="5:13" x14ac:dyDescent="0.25">
      <c r="E180" s="502">
        <f t="shared" si="84"/>
        <v>11164.470000000205</v>
      </c>
      <c r="M180" s="502">
        <f t="shared" si="85"/>
        <v>0</v>
      </c>
    </row>
    <row r="181" spans="5:13" x14ac:dyDescent="0.25">
      <c r="E181" s="502">
        <f t="shared" si="84"/>
        <v>0</v>
      </c>
      <c r="M181" s="502">
        <f t="shared" si="85"/>
        <v>0</v>
      </c>
    </row>
    <row r="182" spans="5:13" x14ac:dyDescent="0.25">
      <c r="E182" s="502">
        <f t="shared" si="84"/>
        <v>0</v>
      </c>
      <c r="M182" s="502">
        <f t="shared" si="85"/>
        <v>0</v>
      </c>
    </row>
  </sheetData>
  <mergeCells count="6">
    <mergeCell ref="H167:H168"/>
    <mergeCell ref="B1:P1"/>
    <mergeCell ref="C2:Q2"/>
    <mergeCell ref="S2:Y2"/>
    <mergeCell ref="C3:Q3"/>
    <mergeCell ref="U74:U76"/>
  </mergeCells>
  <hyperlinks>
    <hyperlink ref="S2" r:id="rId1" xr:uid="{65487E36-B86E-4A5A-8C90-9EDD003F7F03}"/>
  </hyperlinks>
  <pageMargins left="0.25" right="0.25" top="0.25" bottom="0" header="0.3" footer="0.3"/>
  <pageSetup scale="44" fitToHeight="2" orientation="landscape" r:id="rId2"/>
  <rowBreaks count="1" manualBreakCount="1">
    <brk id="75" max="17" man="1"/>
  </rowBreaks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AF8E7-E5AA-489C-ADCE-98B4E4A0D281}">
  <dimension ref="A1:BD72"/>
  <sheetViews>
    <sheetView workbookViewId="0">
      <selection sqref="A1:L1"/>
    </sheetView>
  </sheetViews>
  <sheetFormatPr defaultRowHeight="15" x14ac:dyDescent="0.25"/>
  <cols>
    <col min="1" max="1" width="24.7109375" bestFit="1" customWidth="1"/>
    <col min="2" max="2" width="65.7109375" bestFit="1" customWidth="1"/>
    <col min="3" max="3" width="16.42578125" customWidth="1"/>
    <col min="4" max="4" width="16.42578125" bestFit="1" customWidth="1"/>
    <col min="5" max="5" width="15.28515625" bestFit="1" customWidth="1"/>
    <col min="6" max="7" width="14" customWidth="1"/>
    <col min="8" max="9" width="15.28515625" bestFit="1" customWidth="1"/>
    <col min="10" max="15" width="14" customWidth="1"/>
    <col min="16" max="16" width="17.85546875" bestFit="1" customWidth="1"/>
    <col min="17" max="18" width="14" customWidth="1"/>
    <col min="19" max="19" width="1.7109375" customWidth="1"/>
    <col min="20" max="21" width="13.28515625" bestFit="1" customWidth="1"/>
    <col min="22" max="22" width="11.5703125" bestFit="1" customWidth="1"/>
    <col min="23" max="23" width="3.140625" customWidth="1"/>
    <col min="25" max="25" width="3.85546875" customWidth="1"/>
    <col min="26" max="26" width="9.7109375" bestFit="1" customWidth="1"/>
    <col min="28" max="28" width="18.7109375" bestFit="1" customWidth="1"/>
    <col min="29" max="29" width="13.28515625" bestFit="1" customWidth="1"/>
    <col min="30" max="30" width="10.5703125" bestFit="1" customWidth="1"/>
    <col min="31" max="31" width="7.5703125" bestFit="1" customWidth="1"/>
    <col min="32" max="32" width="10.5703125" bestFit="1" customWidth="1"/>
    <col min="34" max="34" width="8" bestFit="1" customWidth="1"/>
    <col min="36" max="36" width="9.7109375" bestFit="1" customWidth="1"/>
    <col min="38" max="38" width="18.7109375" bestFit="1" customWidth="1"/>
    <col min="39" max="39" width="13.28515625" bestFit="1" customWidth="1"/>
    <col min="40" max="40" width="10.5703125" bestFit="1" customWidth="1"/>
    <col min="41" max="41" width="7.5703125" bestFit="1" customWidth="1"/>
    <col min="42" max="42" width="10.5703125" bestFit="1" customWidth="1"/>
    <col min="44" max="44" width="8" bestFit="1" customWidth="1"/>
    <col min="46" max="46" width="9.7109375" bestFit="1" customWidth="1"/>
    <col min="48" max="48" width="18.7109375" bestFit="1" customWidth="1"/>
    <col min="49" max="49" width="13.28515625" bestFit="1" customWidth="1"/>
    <col min="50" max="50" width="10.5703125" bestFit="1" customWidth="1"/>
    <col min="51" max="51" width="7.5703125" bestFit="1" customWidth="1"/>
    <col min="52" max="52" width="10.5703125" bestFit="1" customWidth="1"/>
    <col min="54" max="54" width="8" bestFit="1" customWidth="1"/>
    <col min="56" max="56" width="9.7109375" bestFit="1" customWidth="1"/>
  </cols>
  <sheetData>
    <row r="1" spans="1:56" ht="18.75" x14ac:dyDescent="0.3">
      <c r="A1" s="676" t="s">
        <v>67</v>
      </c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536"/>
      <c r="N1" s="536"/>
      <c r="O1" s="536"/>
      <c r="P1" s="536"/>
      <c r="Q1" s="536"/>
      <c r="R1" s="536"/>
    </row>
    <row r="2" spans="1:56" ht="21" x14ac:dyDescent="0.35">
      <c r="A2" s="681" t="s">
        <v>69</v>
      </c>
      <c r="B2" s="681"/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537"/>
      <c r="N2" s="537"/>
      <c r="O2" s="537"/>
      <c r="P2" s="537"/>
      <c r="Q2" s="537"/>
      <c r="R2" s="537"/>
    </row>
    <row r="3" spans="1:56" ht="18" thickBot="1" x14ac:dyDescent="0.35">
      <c r="A3" s="682" t="s">
        <v>252</v>
      </c>
      <c r="B3" s="682"/>
      <c r="C3" s="682"/>
      <c r="D3" s="682"/>
      <c r="E3" s="682"/>
      <c r="F3" s="682"/>
      <c r="G3" s="682"/>
      <c r="H3" s="682"/>
      <c r="I3" s="682"/>
      <c r="J3" s="682"/>
      <c r="K3" s="682"/>
      <c r="L3" s="682"/>
      <c r="M3" s="293"/>
      <c r="N3" s="293"/>
      <c r="O3" s="293"/>
      <c r="P3" s="293"/>
      <c r="Q3" s="293"/>
      <c r="R3" s="293"/>
    </row>
    <row r="4" spans="1:56" ht="15.75" x14ac:dyDescent="0.25">
      <c r="A4" s="101" t="s">
        <v>66</v>
      </c>
      <c r="B4" s="102"/>
      <c r="C4" s="683" t="s">
        <v>254</v>
      </c>
      <c r="D4" s="103">
        <v>44530</v>
      </c>
      <c r="E4" s="103">
        <v>44531</v>
      </c>
      <c r="F4" s="103">
        <v>44562</v>
      </c>
      <c r="G4" s="103">
        <v>44594</v>
      </c>
      <c r="H4" s="103">
        <v>44621</v>
      </c>
      <c r="I4" s="103">
        <v>44652</v>
      </c>
      <c r="J4" s="103">
        <v>44682</v>
      </c>
      <c r="K4" s="103">
        <v>44713</v>
      </c>
      <c r="L4" s="103">
        <v>44743</v>
      </c>
      <c r="M4" s="103">
        <v>44774</v>
      </c>
      <c r="N4" s="103">
        <v>44805</v>
      </c>
      <c r="O4" s="103">
        <v>44835</v>
      </c>
      <c r="P4" s="103" t="s">
        <v>255</v>
      </c>
      <c r="Q4" s="103">
        <v>44866</v>
      </c>
      <c r="R4" s="103">
        <v>44896</v>
      </c>
    </row>
    <row r="5" spans="1:56" x14ac:dyDescent="0.25">
      <c r="A5" s="4"/>
      <c r="B5" s="89" t="s">
        <v>136</v>
      </c>
      <c r="C5" s="684"/>
      <c r="D5" s="538">
        <v>3.2500000000000001E-2</v>
      </c>
      <c r="E5" s="538">
        <v>3.2500000000000001E-2</v>
      </c>
      <c r="F5" s="538">
        <v>3.2500000000000001E-2</v>
      </c>
      <c r="G5" s="538">
        <v>3.2500000000000001E-2</v>
      </c>
      <c r="H5" s="538">
        <v>3.2500000000000001E-2</v>
      </c>
      <c r="I5" s="538">
        <v>3.2500000000000001E-2</v>
      </c>
      <c r="J5" s="538">
        <v>3.2500000000000001E-2</v>
      </c>
      <c r="K5" s="538">
        <v>3.2500000000000001E-2</v>
      </c>
      <c r="L5" s="538">
        <v>3.5999999999999997E-2</v>
      </c>
      <c r="M5" s="538">
        <v>3.5999999999999997E-2</v>
      </c>
      <c r="N5" s="538">
        <v>3.5999999999999997E-2</v>
      </c>
      <c r="O5" s="538">
        <v>4.9099999999999998E-2</v>
      </c>
      <c r="P5" s="539" t="s">
        <v>256</v>
      </c>
      <c r="Q5" s="538">
        <v>4.9099999999999998E-2</v>
      </c>
      <c r="R5" s="538">
        <v>4.9099999999999998E-2</v>
      </c>
    </row>
    <row r="6" spans="1:56" ht="15.75" x14ac:dyDescent="0.25">
      <c r="A6" s="183"/>
      <c r="B6" s="89" t="s">
        <v>140</v>
      </c>
      <c r="C6" s="89"/>
      <c r="D6" s="122">
        <v>30</v>
      </c>
      <c r="E6" s="122">
        <v>31</v>
      </c>
      <c r="F6" s="540">
        <v>31</v>
      </c>
      <c r="G6" s="540">
        <v>28</v>
      </c>
      <c r="H6" s="540">
        <v>31</v>
      </c>
      <c r="I6" s="540">
        <v>30</v>
      </c>
      <c r="J6" s="540">
        <v>31</v>
      </c>
      <c r="K6" s="540">
        <v>30</v>
      </c>
      <c r="L6" s="540">
        <v>31</v>
      </c>
      <c r="M6" s="540">
        <v>31</v>
      </c>
      <c r="N6" s="540">
        <v>30</v>
      </c>
      <c r="O6" s="540">
        <v>31</v>
      </c>
      <c r="P6" s="540"/>
      <c r="Q6" s="540">
        <v>30</v>
      </c>
      <c r="R6" s="540">
        <v>31</v>
      </c>
    </row>
    <row r="7" spans="1:56" x14ac:dyDescent="0.25">
      <c r="A7" s="86"/>
      <c r="F7" s="541"/>
      <c r="G7" s="541"/>
      <c r="H7" s="542"/>
      <c r="I7" s="543"/>
      <c r="J7" s="543"/>
      <c r="K7" s="543"/>
      <c r="L7" s="543"/>
      <c r="M7" s="543"/>
      <c r="N7" s="543"/>
      <c r="O7" s="543"/>
      <c r="P7" s="543"/>
      <c r="Q7" s="543"/>
      <c r="R7" s="543"/>
      <c r="AE7" s="104"/>
      <c r="AO7" s="104"/>
      <c r="AY7" s="104"/>
    </row>
    <row r="8" spans="1:56" x14ac:dyDescent="0.25">
      <c r="A8" s="86">
        <v>503</v>
      </c>
      <c r="B8" s="104" t="s">
        <v>84</v>
      </c>
      <c r="C8" s="104"/>
      <c r="D8" s="104"/>
      <c r="E8" s="104"/>
      <c r="F8" s="541"/>
      <c r="G8" s="541"/>
      <c r="H8" s="542"/>
      <c r="I8" s="542"/>
      <c r="J8" s="541"/>
      <c r="K8" s="541"/>
      <c r="L8" s="541"/>
      <c r="M8" s="541"/>
      <c r="N8" s="541"/>
      <c r="O8" s="541"/>
      <c r="P8" s="541"/>
      <c r="Q8" s="541"/>
      <c r="R8" s="541"/>
      <c r="T8" s="544"/>
      <c r="V8" s="544"/>
      <c r="AD8" s="544"/>
      <c r="AF8" s="544"/>
      <c r="AN8" s="544"/>
      <c r="AP8" s="544"/>
      <c r="AX8" s="544"/>
      <c r="AZ8" s="544"/>
    </row>
    <row r="9" spans="1:56" x14ac:dyDescent="0.25">
      <c r="A9" s="87" t="s">
        <v>92</v>
      </c>
      <c r="B9" t="s">
        <v>70</v>
      </c>
      <c r="D9" s="545">
        <f>6875152+3055417</f>
        <v>9930569</v>
      </c>
      <c r="E9" s="545">
        <v>16399782</v>
      </c>
      <c r="F9" s="545">
        <v>25738243</v>
      </c>
      <c r="G9" s="545">
        <v>19530273</v>
      </c>
      <c r="H9" s="545">
        <v>18863108</v>
      </c>
      <c r="I9" s="545">
        <v>12434900</v>
      </c>
      <c r="J9" s="545">
        <v>10496103</v>
      </c>
      <c r="K9" s="545">
        <v>6329476</v>
      </c>
      <c r="L9" s="545">
        <v>4725200</v>
      </c>
      <c r="M9" s="545">
        <v>2930210</v>
      </c>
      <c r="N9" s="545">
        <v>3090729</v>
      </c>
      <c r="O9" s="545">
        <v>6026900</v>
      </c>
      <c r="P9" s="545"/>
      <c r="Q9" s="545">
        <f>18759496+1586000</f>
        <v>20345496</v>
      </c>
      <c r="R9" s="545">
        <v>25752606</v>
      </c>
      <c r="T9" s="112"/>
      <c r="V9" s="112"/>
      <c r="Z9" s="112"/>
      <c r="AB9" s="122"/>
      <c r="AC9" s="531"/>
      <c r="AD9" s="112"/>
      <c r="AF9" s="112"/>
      <c r="AJ9" s="112"/>
      <c r="AL9" s="122"/>
      <c r="AM9" s="531"/>
      <c r="AN9" s="112"/>
      <c r="AP9" s="112"/>
      <c r="AT9" s="112"/>
      <c r="AV9" s="122"/>
      <c r="AW9" s="531"/>
      <c r="AX9" s="112"/>
      <c r="AZ9" s="112"/>
      <c r="BD9" s="112"/>
    </row>
    <row r="10" spans="1:56" x14ac:dyDescent="0.25">
      <c r="A10" s="87" t="s">
        <v>257</v>
      </c>
      <c r="D10" s="546" t="s">
        <v>258</v>
      </c>
      <c r="E10" s="547">
        <v>-1.0749999999999999E-2</v>
      </c>
      <c r="F10" s="547">
        <v>-1.0749999999999999E-2</v>
      </c>
      <c r="G10" s="547">
        <v>-1.0749999999999999E-2</v>
      </c>
      <c r="H10" s="547">
        <v>-1.0749999999999999E-2</v>
      </c>
      <c r="I10" s="547">
        <v>-1.0749999999999999E-2</v>
      </c>
      <c r="J10" s="547">
        <v>-1.0749999999999999E-2</v>
      </c>
      <c r="K10" s="547">
        <v>-1.0749999999999999E-2</v>
      </c>
      <c r="L10" s="547">
        <v>-1.0749999999999999E-2</v>
      </c>
      <c r="M10" s="547">
        <v>-1.0749999999999999E-2</v>
      </c>
      <c r="N10" s="547">
        <v>-1.0749999999999999E-2</v>
      </c>
      <c r="O10" s="547">
        <v>-1.0749999999999999E-2</v>
      </c>
      <c r="P10" s="547"/>
      <c r="Q10" s="546" t="s">
        <v>258</v>
      </c>
      <c r="R10" s="547">
        <v>-1.9050000000000001E-2</v>
      </c>
      <c r="T10" s="112"/>
      <c r="V10" s="112"/>
      <c r="Z10" s="112"/>
      <c r="AB10" s="122"/>
      <c r="AC10" s="531"/>
      <c r="AD10" s="112"/>
      <c r="AF10" s="112"/>
      <c r="AJ10" s="112"/>
      <c r="AL10" s="122"/>
      <c r="AM10" s="531"/>
      <c r="AN10" s="112"/>
      <c r="AP10" s="112"/>
      <c r="AT10" s="112"/>
      <c r="AV10" s="122"/>
      <c r="AW10" s="531"/>
      <c r="AX10" s="112"/>
      <c r="AZ10" s="112"/>
      <c r="BD10" s="112"/>
    </row>
    <row r="11" spans="1:56" x14ac:dyDescent="0.25">
      <c r="A11" s="87"/>
      <c r="B11" s="89" t="s">
        <v>74</v>
      </c>
      <c r="C11" s="89"/>
      <c r="D11" s="89"/>
      <c r="E11" s="89"/>
      <c r="F11" s="548"/>
      <c r="G11" s="548"/>
      <c r="H11" s="548"/>
      <c r="I11" s="548"/>
      <c r="J11" s="548"/>
      <c r="K11" s="548"/>
      <c r="L11" s="548"/>
      <c r="M11" s="548"/>
      <c r="N11" s="548"/>
      <c r="O11" s="548"/>
      <c r="P11" s="548"/>
      <c r="Q11" s="548"/>
      <c r="R11" s="548"/>
      <c r="T11" s="112"/>
      <c r="V11" s="112"/>
      <c r="Z11" s="112"/>
    </row>
    <row r="12" spans="1:56" x14ac:dyDescent="0.25">
      <c r="A12" s="87"/>
      <c r="B12" s="89" t="s">
        <v>75</v>
      </c>
      <c r="C12" s="89"/>
      <c r="D12" s="549">
        <f>+WACAP2021Amort!Q12</f>
        <v>29718.149999999994</v>
      </c>
      <c r="E12" s="549">
        <f t="shared" ref="E12:R12" si="0">+E9*E10</f>
        <v>-176297.65649999998</v>
      </c>
      <c r="F12" s="549">
        <f t="shared" si="0"/>
        <v>-276686.11225000001</v>
      </c>
      <c r="G12" s="549">
        <f t="shared" si="0"/>
        <v>-209950.43474999999</v>
      </c>
      <c r="H12" s="549">
        <f t="shared" si="0"/>
        <v>-202778.41099999999</v>
      </c>
      <c r="I12" s="549">
        <f t="shared" si="0"/>
        <v>-133675.17499999999</v>
      </c>
      <c r="J12" s="549">
        <f t="shared" si="0"/>
        <v>-112833.10724999999</v>
      </c>
      <c r="K12" s="549">
        <f t="shared" si="0"/>
        <v>-68041.866999999998</v>
      </c>
      <c r="L12" s="549">
        <f t="shared" si="0"/>
        <v>-50795.899999999994</v>
      </c>
      <c r="M12" s="549">
        <f t="shared" si="0"/>
        <v>-31499.757499999996</v>
      </c>
      <c r="N12" s="549">
        <f t="shared" si="0"/>
        <v>-33225.336749999995</v>
      </c>
      <c r="O12" s="549">
        <f t="shared" si="0"/>
        <v>-64789.174999999996</v>
      </c>
      <c r="P12" s="549">
        <f>+'WACAP 2022'!N17</f>
        <v>2371653.7699999958</v>
      </c>
      <c r="Q12" s="549">
        <v>-374417.9</v>
      </c>
      <c r="R12" s="549">
        <f t="shared" si="0"/>
        <v>-490587.14430000004</v>
      </c>
      <c r="AV12" s="122"/>
      <c r="AW12" s="550"/>
      <c r="AX12" s="112"/>
      <c r="AZ12" s="112"/>
      <c r="BD12" s="112"/>
    </row>
    <row r="13" spans="1:56" x14ac:dyDescent="0.25">
      <c r="A13" s="87"/>
      <c r="B13" s="89" t="s">
        <v>137</v>
      </c>
      <c r="C13" s="89"/>
      <c r="D13" s="551">
        <f>ROUND(ROUND(C15*D$5,2)/365*D$6,2)</f>
        <v>3659.45</v>
      </c>
      <c r="E13" s="551">
        <f t="shared" ref="E13:O13" si="1">ROUND(ROUND(D15*E$5,2)/365*E$6,2)</f>
        <v>3873.56</v>
      </c>
      <c r="F13" s="551">
        <f>ROUND(ROUND(E15*F$5,2)/365*F$6,2)</f>
        <v>3397.63</v>
      </c>
      <c r="G13" s="551">
        <f t="shared" si="1"/>
        <v>2387.4699999999998</v>
      </c>
      <c r="H13" s="551">
        <f t="shared" si="1"/>
        <v>2070.34</v>
      </c>
      <c r="I13" s="551">
        <f t="shared" si="1"/>
        <v>1467.42</v>
      </c>
      <c r="J13" s="551">
        <f t="shared" si="1"/>
        <v>1151.4000000000001</v>
      </c>
      <c r="K13" s="551">
        <f t="shared" si="1"/>
        <v>815.94</v>
      </c>
      <c r="L13" s="551">
        <f t="shared" si="1"/>
        <v>728.39</v>
      </c>
      <c r="M13" s="551">
        <f>ROUND(ROUND(L15*M$5,2)/365*M$6,2)</f>
        <v>575.29999999999995</v>
      </c>
      <c r="N13" s="551">
        <f t="shared" si="1"/>
        <v>465.24</v>
      </c>
      <c r="O13" s="551">
        <f t="shared" si="1"/>
        <v>519.08000000000004</v>
      </c>
      <c r="P13" s="549">
        <f>+'WACAP 2022'!N18</f>
        <v>70557.909999999989</v>
      </c>
      <c r="Q13" s="551">
        <f>ROUND(ROUND(P15*Q$5,2)/365*Q$6,2)</f>
        <v>10098.790000000001</v>
      </c>
      <c r="R13" s="551">
        <f t="shared" ref="R13" si="2">ROUND(ROUND(Q15*R$5,2)/365*R$6,2)</f>
        <v>8916.16</v>
      </c>
    </row>
    <row r="14" spans="1:56" x14ac:dyDescent="0.25">
      <c r="A14" s="87"/>
      <c r="B14" s="89" t="s">
        <v>138</v>
      </c>
      <c r="C14" s="89"/>
      <c r="D14" s="552">
        <f t="shared" ref="D14:R14" si="3">SUM(D12:D13)</f>
        <v>33377.599999999991</v>
      </c>
      <c r="E14" s="552">
        <f t="shared" si="3"/>
        <v>-172424.09649999999</v>
      </c>
      <c r="F14" s="552">
        <f t="shared" si="3"/>
        <v>-273288.48225</v>
      </c>
      <c r="G14" s="552">
        <f t="shared" si="3"/>
        <v>-207562.96474999998</v>
      </c>
      <c r="H14" s="552">
        <f t="shared" si="3"/>
        <v>-200708.071</v>
      </c>
      <c r="I14" s="552">
        <f t="shared" si="3"/>
        <v>-132207.75499999998</v>
      </c>
      <c r="J14" s="552">
        <f t="shared" si="3"/>
        <v>-111681.70724999999</v>
      </c>
      <c r="K14" s="552">
        <f t="shared" si="3"/>
        <v>-67225.926999999996</v>
      </c>
      <c r="L14" s="552">
        <f t="shared" si="3"/>
        <v>-50067.509999999995</v>
      </c>
      <c r="M14" s="552">
        <f t="shared" si="3"/>
        <v>-30924.457499999997</v>
      </c>
      <c r="N14" s="552">
        <f t="shared" si="3"/>
        <v>-32760.096749999993</v>
      </c>
      <c r="O14" s="552">
        <f t="shared" si="3"/>
        <v>-64270.094999999994</v>
      </c>
      <c r="P14" s="552">
        <f>+P12+P13</f>
        <v>2442211.679999996</v>
      </c>
      <c r="Q14" s="552">
        <f t="shared" si="3"/>
        <v>-364319.11000000004</v>
      </c>
      <c r="R14" s="552">
        <f t="shared" si="3"/>
        <v>-481670.98430000007</v>
      </c>
    </row>
    <row r="15" spans="1:56" x14ac:dyDescent="0.25">
      <c r="A15" s="87"/>
      <c r="B15" s="89" t="s">
        <v>139</v>
      </c>
      <c r="C15" s="553">
        <f>+WACAP2021Amort!P15</f>
        <v>1369948.0170000005</v>
      </c>
      <c r="D15" s="549">
        <f>C15+D14</f>
        <v>1403325.6170000006</v>
      </c>
      <c r="E15" s="549">
        <f t="shared" ref="E15:O15" si="4">D15+E14</f>
        <v>1230901.5205000006</v>
      </c>
      <c r="F15" s="549">
        <f>E15+F14</f>
        <v>957613.03825000057</v>
      </c>
      <c r="G15" s="549">
        <f t="shared" si="4"/>
        <v>750050.07350000064</v>
      </c>
      <c r="H15" s="549">
        <f t="shared" si="4"/>
        <v>549342.00250000064</v>
      </c>
      <c r="I15" s="549">
        <f t="shared" si="4"/>
        <v>417134.24750000064</v>
      </c>
      <c r="J15" s="549">
        <f t="shared" si="4"/>
        <v>305452.54025000066</v>
      </c>
      <c r="K15" s="549">
        <f t="shared" si="4"/>
        <v>238226.61325000066</v>
      </c>
      <c r="L15" s="549">
        <f t="shared" si="4"/>
        <v>188159.10325000068</v>
      </c>
      <c r="M15" s="549">
        <f>L15+M14</f>
        <v>157234.64575000069</v>
      </c>
      <c r="N15" s="549">
        <f t="shared" si="4"/>
        <v>124474.5490000007</v>
      </c>
      <c r="O15" s="549">
        <f t="shared" si="4"/>
        <v>60204.454000000704</v>
      </c>
      <c r="P15" s="549">
        <f>+O15+P14</f>
        <v>2502416.1339999968</v>
      </c>
      <c r="Q15" s="549">
        <f>P15+Q14</f>
        <v>2138097.0239999969</v>
      </c>
      <c r="R15" s="549">
        <f t="shared" ref="R15" si="5">Q15+R14</f>
        <v>1656426.0396999968</v>
      </c>
      <c r="T15" s="108"/>
    </row>
    <row r="16" spans="1:56" x14ac:dyDescent="0.25">
      <c r="A16" s="87"/>
      <c r="B16" s="89"/>
      <c r="C16" s="89"/>
      <c r="D16" s="89"/>
      <c r="E16" s="89"/>
      <c r="F16" s="554"/>
      <c r="G16" s="554"/>
      <c r="H16" s="554"/>
      <c r="I16" s="554"/>
      <c r="J16" s="554"/>
      <c r="K16" s="554"/>
      <c r="L16" s="554"/>
      <c r="M16" s="554"/>
      <c r="N16" s="554"/>
      <c r="O16" s="554"/>
      <c r="P16" s="554"/>
      <c r="Q16" s="554"/>
      <c r="R16" s="554"/>
      <c r="T16" s="108"/>
      <c r="AV16" s="122"/>
      <c r="AW16" s="531"/>
      <c r="AX16" s="112"/>
      <c r="AZ16" s="112"/>
      <c r="BD16" s="112"/>
    </row>
    <row r="17" spans="1:26" x14ac:dyDescent="0.25">
      <c r="A17" s="86">
        <v>505</v>
      </c>
      <c r="B17" s="104" t="s">
        <v>85</v>
      </c>
      <c r="C17" s="104"/>
      <c r="D17" s="104"/>
      <c r="E17" s="104"/>
      <c r="F17" s="541"/>
      <c r="G17" s="541"/>
      <c r="H17" s="542"/>
      <c r="I17" s="541"/>
      <c r="J17" s="541"/>
      <c r="K17" s="541"/>
      <c r="L17" s="541"/>
      <c r="M17" s="541"/>
      <c r="N17" s="541"/>
      <c r="O17" s="541"/>
      <c r="P17" s="541"/>
      <c r="Q17" s="541"/>
      <c r="R17" s="541"/>
      <c r="T17" s="108"/>
      <c r="U17" s="108"/>
    </row>
    <row r="18" spans="1:26" x14ac:dyDescent="0.25">
      <c r="A18" s="87" t="s">
        <v>92</v>
      </c>
      <c r="B18" t="s">
        <v>70</v>
      </c>
      <c r="D18" s="545">
        <f>687044+241794</f>
        <v>928838</v>
      </c>
      <c r="E18" s="545">
        <v>1371971</v>
      </c>
      <c r="F18" s="545">
        <v>1704248</v>
      </c>
      <c r="G18" s="545">
        <v>1365177</v>
      </c>
      <c r="H18" s="545">
        <v>1544890</v>
      </c>
      <c r="I18" s="545">
        <v>1036159</v>
      </c>
      <c r="J18" s="545">
        <v>1008957</v>
      </c>
      <c r="K18" s="545">
        <v>757107</v>
      </c>
      <c r="L18" s="545">
        <v>510625</v>
      </c>
      <c r="M18" s="545">
        <v>477547</v>
      </c>
      <c r="N18" s="545">
        <v>562740</v>
      </c>
      <c r="O18" s="545">
        <v>890497</v>
      </c>
      <c r="P18" s="545"/>
      <c r="Q18" s="545">
        <f>562069+302109</f>
        <v>864178</v>
      </c>
      <c r="R18" s="545">
        <v>1945964</v>
      </c>
      <c r="T18" s="544"/>
      <c r="V18" s="544"/>
    </row>
    <row r="19" spans="1:26" x14ac:dyDescent="0.25">
      <c r="A19" s="87" t="s">
        <v>257</v>
      </c>
      <c r="D19" s="546" t="s">
        <v>258</v>
      </c>
      <c r="E19" s="546">
        <v>-7.2700000000000004E-3</v>
      </c>
      <c r="F19" s="546">
        <v>-7.2700000000000004E-3</v>
      </c>
      <c r="G19" s="546">
        <v>-7.2700000000000004E-3</v>
      </c>
      <c r="H19" s="546">
        <v>-7.2700000000000004E-3</v>
      </c>
      <c r="I19" s="546">
        <v>-7.2700000000000004E-3</v>
      </c>
      <c r="J19" s="546">
        <v>-7.2700000000000004E-3</v>
      </c>
      <c r="K19" s="546">
        <v>-7.2700000000000004E-3</v>
      </c>
      <c r="L19" s="546">
        <v>-7.2700000000000004E-3</v>
      </c>
      <c r="M19" s="546">
        <v>-7.2700000000000004E-3</v>
      </c>
      <c r="N19" s="546">
        <v>-7.2700000000000004E-3</v>
      </c>
      <c r="O19" s="546">
        <v>-7.2700000000000004E-3</v>
      </c>
      <c r="P19" s="547"/>
      <c r="Q19" s="546" t="s">
        <v>258</v>
      </c>
      <c r="R19" s="547">
        <v>-1.5559999999999999E-2</v>
      </c>
      <c r="T19" s="112"/>
      <c r="V19" s="112"/>
      <c r="Z19" s="112"/>
    </row>
    <row r="20" spans="1:26" x14ac:dyDescent="0.25">
      <c r="A20" s="86"/>
      <c r="B20" s="89" t="s">
        <v>74</v>
      </c>
      <c r="C20" s="89"/>
      <c r="D20" s="89"/>
      <c r="E20" s="89"/>
      <c r="F20" s="548"/>
      <c r="G20" s="548"/>
      <c r="H20" s="548"/>
      <c r="I20" s="548"/>
      <c r="J20" s="548"/>
      <c r="K20" s="548"/>
      <c r="L20" s="548"/>
      <c r="M20" s="548"/>
      <c r="N20" s="548"/>
      <c r="O20" s="548"/>
      <c r="P20" s="548"/>
      <c r="Q20" s="548"/>
      <c r="R20" s="548"/>
      <c r="T20" s="112"/>
      <c r="V20" s="112"/>
      <c r="Z20" s="112"/>
    </row>
    <row r="21" spans="1:26" x14ac:dyDescent="0.25">
      <c r="A21" s="86"/>
      <c r="B21" s="89" t="s">
        <v>75</v>
      </c>
      <c r="C21" s="89"/>
      <c r="D21" s="549">
        <f>+WACAP2021Amort!Q21</f>
        <v>7977.57</v>
      </c>
      <c r="E21" s="549">
        <f t="shared" ref="E21:R21" si="6">+E19*E18</f>
        <v>-9974.2291700000005</v>
      </c>
      <c r="F21" s="549">
        <f>+F19*F18</f>
        <v>-12389.882960000001</v>
      </c>
      <c r="G21" s="549">
        <f t="shared" si="6"/>
        <v>-9924.8367900000012</v>
      </c>
      <c r="H21" s="549">
        <f t="shared" si="6"/>
        <v>-11231.3503</v>
      </c>
      <c r="I21" s="549">
        <f t="shared" si="6"/>
        <v>-7532.8759300000002</v>
      </c>
      <c r="J21" s="549">
        <f t="shared" si="6"/>
        <v>-7335.1173900000003</v>
      </c>
      <c r="K21" s="549">
        <f t="shared" si="6"/>
        <v>-5504.1678900000006</v>
      </c>
      <c r="L21" s="549">
        <f t="shared" si="6"/>
        <v>-3712.2437500000001</v>
      </c>
      <c r="M21" s="549">
        <f t="shared" si="6"/>
        <v>-3471.7666900000004</v>
      </c>
      <c r="N21" s="549">
        <f t="shared" si="6"/>
        <v>-4091.1198000000004</v>
      </c>
      <c r="O21" s="549">
        <f t="shared" si="6"/>
        <v>-6473.9131900000002</v>
      </c>
      <c r="P21" s="549">
        <f>+'WACAP 2022'!N118+'WACAP 2022'!N29</f>
        <v>211490.25000000006</v>
      </c>
      <c r="Q21" s="549">
        <v>-8787.06</v>
      </c>
      <c r="R21" s="549">
        <f t="shared" si="6"/>
        <v>-30279.199839999997</v>
      </c>
    </row>
    <row r="22" spans="1:26" x14ac:dyDescent="0.25">
      <c r="A22" s="87"/>
      <c r="B22" s="89" t="s">
        <v>137</v>
      </c>
      <c r="C22" s="89"/>
      <c r="D22" s="551">
        <f>ROUND(ROUND(C24*D$5,2)/365*D$6,2)</f>
        <v>179.72</v>
      </c>
      <c r="E22" s="551">
        <f t="shared" ref="E22:K22" si="7">ROUND(ROUND(D24*E$5,2)/365*E$6,2)</f>
        <v>208.22</v>
      </c>
      <c r="F22" s="551">
        <f>ROUND(ROUND(E24*F$5,2)/365*F$6,2)</f>
        <v>181.27</v>
      </c>
      <c r="G22" s="551">
        <f t="shared" si="7"/>
        <v>133.29</v>
      </c>
      <c r="H22" s="551">
        <f t="shared" si="7"/>
        <v>120.54</v>
      </c>
      <c r="I22" s="551">
        <f t="shared" si="7"/>
        <v>86.97</v>
      </c>
      <c r="J22" s="551">
        <f t="shared" si="7"/>
        <v>69.319999999999993</v>
      </c>
      <c r="K22" s="551">
        <f t="shared" si="7"/>
        <v>47.67</v>
      </c>
      <c r="L22" s="551">
        <f>ROUND(ROUND(K24*L$5,2)/365*L$6,2)</f>
        <v>37.880000000000003</v>
      </c>
      <c r="M22" s="551">
        <f>ROUND(ROUND(L24*M$5,2)/365*M$6,2)</f>
        <v>26.65</v>
      </c>
      <c r="N22" s="551">
        <f t="shared" ref="N22:R22" si="8">ROUND(ROUND(M24*N$5,2)/365*N$6,2)</f>
        <v>15.6</v>
      </c>
      <c r="O22" s="551">
        <f t="shared" si="8"/>
        <v>4.99</v>
      </c>
      <c r="P22" s="549">
        <f>+'WACAP 2022'!N30+'WACAP 2022'!N119</f>
        <v>6291.9400000000005</v>
      </c>
      <c r="Q22" s="551">
        <f>ROUND(ROUND(P24*Q$5,2)/365*Q$6,2)</f>
        <v>857.6</v>
      </c>
      <c r="R22" s="551">
        <f t="shared" si="8"/>
        <v>853.12</v>
      </c>
    </row>
    <row r="23" spans="1:26" x14ac:dyDescent="0.25">
      <c r="A23" s="87"/>
      <c r="B23" s="89" t="s">
        <v>138</v>
      </c>
      <c r="C23" s="89"/>
      <c r="D23" s="552">
        <f t="shared" ref="D23:R23" si="9">SUM(D21:D22)</f>
        <v>8157.29</v>
      </c>
      <c r="E23" s="552">
        <f t="shared" si="9"/>
        <v>-9766.0091700000012</v>
      </c>
      <c r="F23" s="552">
        <f t="shared" si="9"/>
        <v>-12208.61296</v>
      </c>
      <c r="G23" s="552">
        <f t="shared" si="9"/>
        <v>-9791.5467900000003</v>
      </c>
      <c r="H23" s="552">
        <f t="shared" si="9"/>
        <v>-11110.810299999999</v>
      </c>
      <c r="I23" s="552">
        <f t="shared" si="9"/>
        <v>-7445.9059299999999</v>
      </c>
      <c r="J23" s="552">
        <f t="shared" si="9"/>
        <v>-7265.7973900000006</v>
      </c>
      <c r="K23" s="552">
        <f t="shared" si="9"/>
        <v>-5456.4978900000006</v>
      </c>
      <c r="L23" s="552">
        <f t="shared" si="9"/>
        <v>-3674.36375</v>
      </c>
      <c r="M23" s="552">
        <f t="shared" si="9"/>
        <v>-3445.1166900000003</v>
      </c>
      <c r="N23" s="552">
        <f t="shared" si="9"/>
        <v>-4075.5198000000005</v>
      </c>
      <c r="O23" s="552">
        <f t="shared" si="9"/>
        <v>-6468.9231900000004</v>
      </c>
      <c r="P23" s="552">
        <f>+P21+P22</f>
        <v>217782.19000000006</v>
      </c>
      <c r="Q23" s="552">
        <f t="shared" si="9"/>
        <v>-7929.4599999999991</v>
      </c>
      <c r="R23" s="552">
        <f t="shared" si="9"/>
        <v>-29426.079839999999</v>
      </c>
    </row>
    <row r="24" spans="1:26" x14ac:dyDescent="0.25">
      <c r="A24" s="87"/>
      <c r="B24" s="89" t="s">
        <v>139</v>
      </c>
      <c r="C24" s="553">
        <f>+WACAP2021Amort!P24</f>
        <v>67278.379249999867</v>
      </c>
      <c r="D24" s="549">
        <f>C24+D23</f>
        <v>75435.669249999861</v>
      </c>
      <c r="E24" s="549">
        <f t="shared" ref="E24:O24" si="10">D24+E23</f>
        <v>65669.660079999856</v>
      </c>
      <c r="F24" s="549">
        <f>E24+F23</f>
        <v>53461.047119999857</v>
      </c>
      <c r="G24" s="549">
        <f t="shared" si="10"/>
        <v>43669.500329999857</v>
      </c>
      <c r="H24" s="549">
        <f t="shared" si="10"/>
        <v>32558.69002999986</v>
      </c>
      <c r="I24" s="549">
        <f t="shared" si="10"/>
        <v>25112.784099999859</v>
      </c>
      <c r="J24" s="549">
        <f t="shared" si="10"/>
        <v>17846.986709999859</v>
      </c>
      <c r="K24" s="549">
        <f t="shared" si="10"/>
        <v>12390.488819999859</v>
      </c>
      <c r="L24" s="549">
        <f t="shared" si="10"/>
        <v>8716.1250699998582</v>
      </c>
      <c r="M24" s="549">
        <f>L24+M23</f>
        <v>5271.0083799998574</v>
      </c>
      <c r="N24" s="549">
        <f t="shared" si="10"/>
        <v>1195.4885799998569</v>
      </c>
      <c r="O24" s="549">
        <f t="shared" si="10"/>
        <v>-5273.4346100001439</v>
      </c>
      <c r="P24" s="549">
        <f>+O24+P23</f>
        <v>212508.75538999992</v>
      </c>
      <c r="Q24" s="549">
        <f>P24+Q23</f>
        <v>204579.29538999993</v>
      </c>
      <c r="R24" s="549">
        <f t="shared" ref="R24" si="11">Q24+R23</f>
        <v>175153.21554999994</v>
      </c>
      <c r="T24" s="108"/>
    </row>
    <row r="25" spans="1:26" x14ac:dyDescent="0.25">
      <c r="A25" s="86"/>
      <c r="B25" s="89"/>
      <c r="C25" s="89"/>
      <c r="D25" s="89"/>
      <c r="E25" s="89"/>
      <c r="F25" s="554"/>
      <c r="G25" s="554"/>
      <c r="H25" s="554"/>
      <c r="I25" s="554"/>
      <c r="J25" s="554"/>
      <c r="K25" s="554"/>
      <c r="L25" s="554"/>
      <c r="M25" s="554"/>
      <c r="N25" s="554"/>
      <c r="O25" s="554"/>
      <c r="P25" s="554"/>
      <c r="Q25" s="554"/>
      <c r="R25" s="554"/>
      <c r="T25" s="108"/>
    </row>
    <row r="26" spans="1:26" x14ac:dyDescent="0.25">
      <c r="A26" s="86" t="s">
        <v>142</v>
      </c>
      <c r="B26" s="104" t="s">
        <v>86</v>
      </c>
      <c r="C26" s="104"/>
      <c r="D26" s="104"/>
      <c r="E26" s="104"/>
      <c r="F26" s="541"/>
      <c r="G26" s="541"/>
      <c r="H26" s="542"/>
      <c r="I26" s="541"/>
      <c r="J26" s="541"/>
      <c r="K26" s="541"/>
      <c r="L26" s="541"/>
      <c r="M26" s="541"/>
      <c r="N26" s="541"/>
      <c r="O26" s="541"/>
      <c r="P26" s="541"/>
      <c r="Q26" s="541"/>
      <c r="R26" s="541"/>
    </row>
    <row r="27" spans="1:26" x14ac:dyDescent="0.25">
      <c r="A27" s="87" t="s">
        <v>92</v>
      </c>
      <c r="B27" t="s">
        <v>70</v>
      </c>
      <c r="D27" s="545">
        <v>5052</v>
      </c>
      <c r="E27" s="545">
        <v>14032</v>
      </c>
      <c r="F27" s="545">
        <v>12713</v>
      </c>
      <c r="G27" s="545">
        <v>6643</v>
      </c>
      <c r="H27" s="545">
        <v>5669</v>
      </c>
      <c r="I27" s="545">
        <v>10961</v>
      </c>
      <c r="J27" s="545">
        <v>5884</v>
      </c>
      <c r="K27" s="545">
        <v>2608</v>
      </c>
      <c r="L27" s="545">
        <v>1405</v>
      </c>
      <c r="M27" s="545">
        <v>1532</v>
      </c>
      <c r="N27" s="545">
        <v>1149</v>
      </c>
      <c r="O27" s="545">
        <v>3707</v>
      </c>
      <c r="P27" s="545"/>
      <c r="Q27" s="545">
        <v>8848</v>
      </c>
      <c r="R27" s="545">
        <v>9171</v>
      </c>
      <c r="T27" s="544"/>
      <c r="V27" s="544"/>
    </row>
    <row r="28" spans="1:26" x14ac:dyDescent="0.25">
      <c r="A28" s="87" t="s">
        <v>257</v>
      </c>
      <c r="D28" s="546" t="str">
        <f>+D19</f>
        <v>Prorated</v>
      </c>
      <c r="E28" s="547">
        <v>-3.1900000000000001E-3</v>
      </c>
      <c r="F28" s="547">
        <v>-3.1900000000000001E-3</v>
      </c>
      <c r="G28" s="547">
        <v>-3.1900000000000001E-3</v>
      </c>
      <c r="H28" s="547">
        <v>-3.1900000000000001E-3</v>
      </c>
      <c r="I28" s="547">
        <v>-3.1900000000000001E-3</v>
      </c>
      <c r="J28" s="547">
        <v>-3.1900000000000001E-3</v>
      </c>
      <c r="K28" s="547">
        <v>-3.1900000000000001E-3</v>
      </c>
      <c r="L28" s="547">
        <v>-3.1900000000000001E-3</v>
      </c>
      <c r="M28" s="547">
        <v>-3.1900000000000001E-3</v>
      </c>
      <c r="N28" s="547">
        <v>-3.1900000000000001E-3</v>
      </c>
      <c r="O28" s="547">
        <v>-3.1900000000000001E-3</v>
      </c>
      <c r="P28" s="547"/>
      <c r="Q28" s="546" t="s">
        <v>258</v>
      </c>
      <c r="R28" s="547">
        <v>-3.6499999999999998E-2</v>
      </c>
      <c r="T28" s="112"/>
      <c r="V28" s="112"/>
      <c r="Z28" s="112"/>
    </row>
    <row r="29" spans="1:26" x14ac:dyDescent="0.25">
      <c r="A29" s="87"/>
      <c r="B29" s="89" t="s">
        <v>74</v>
      </c>
      <c r="C29" s="89"/>
      <c r="D29" s="89"/>
      <c r="E29" s="89"/>
      <c r="F29" s="548"/>
      <c r="G29" s="548"/>
      <c r="H29" s="548"/>
      <c r="I29" s="548"/>
      <c r="J29" s="548"/>
      <c r="K29" s="548"/>
      <c r="L29" s="548"/>
      <c r="M29" s="548"/>
      <c r="N29" s="548"/>
      <c r="O29" s="548"/>
      <c r="P29" s="548"/>
      <c r="Q29" s="548"/>
      <c r="R29" s="548"/>
    </row>
    <row r="30" spans="1:26" x14ac:dyDescent="0.25">
      <c r="A30" s="87"/>
      <c r="B30" s="89" t="s">
        <v>75</v>
      </c>
      <c r="C30" s="89"/>
      <c r="D30" s="553">
        <f>+WACAP2021Amort!Q30</f>
        <v>-16.12</v>
      </c>
      <c r="E30" s="553">
        <f t="shared" ref="E30:R30" si="12">+E27*E28</f>
        <v>-44.762080000000005</v>
      </c>
      <c r="F30" s="553">
        <f t="shared" si="12"/>
        <v>-40.554470000000002</v>
      </c>
      <c r="G30" s="553">
        <f t="shared" si="12"/>
        <v>-21.19117</v>
      </c>
      <c r="H30" s="553">
        <f t="shared" si="12"/>
        <v>-18.084109999999999</v>
      </c>
      <c r="I30" s="553">
        <f t="shared" si="12"/>
        <v>-34.965589999999999</v>
      </c>
      <c r="J30" s="553">
        <f t="shared" si="12"/>
        <v>-18.769960000000001</v>
      </c>
      <c r="K30" s="553">
        <f t="shared" si="12"/>
        <v>-8.3195200000000007</v>
      </c>
      <c r="L30" s="553">
        <f t="shared" si="12"/>
        <v>-4.4819500000000003</v>
      </c>
      <c r="M30" s="553">
        <f t="shared" si="12"/>
        <v>-4.8870800000000001</v>
      </c>
      <c r="N30" s="553">
        <f t="shared" si="12"/>
        <v>-3.6653100000000003</v>
      </c>
      <c r="O30" s="553">
        <f t="shared" si="12"/>
        <v>-11.825330000000001</v>
      </c>
      <c r="P30" s="553">
        <f>+'WACAP 2022'!N53</f>
        <v>-18834.519999999997</v>
      </c>
      <c r="Q30" s="553">
        <v>-322.95</v>
      </c>
      <c r="R30" s="553">
        <f t="shared" si="12"/>
        <v>-334.74149999999997</v>
      </c>
    </row>
    <row r="31" spans="1:26" x14ac:dyDescent="0.25">
      <c r="A31" s="87"/>
      <c r="B31" s="89" t="s">
        <v>137</v>
      </c>
      <c r="C31" s="89"/>
      <c r="D31" s="563">
        <f>+WACAP2021Amort!Q31</f>
        <v>-67.22</v>
      </c>
      <c r="E31" s="551">
        <f t="shared" ref="E31:O31" si="13">ROUND(ROUND(D33*E$5,2)/365*E$6,2)</f>
        <v>-69.7</v>
      </c>
      <c r="F31" s="551">
        <f>ROUND(ROUND(E33*F$5,2)/365*F$6,2)</f>
        <v>-70.010000000000005</v>
      </c>
      <c r="G31" s="551">
        <f t="shared" si="13"/>
        <v>-63.51</v>
      </c>
      <c r="H31" s="551">
        <f t="shared" si="13"/>
        <v>-70.55</v>
      </c>
      <c r="I31" s="551">
        <f t="shared" si="13"/>
        <v>-68.510000000000005</v>
      </c>
      <c r="J31" s="551">
        <f t="shared" si="13"/>
        <v>-71.08</v>
      </c>
      <c r="K31" s="551">
        <f t="shared" si="13"/>
        <v>-69.03</v>
      </c>
      <c r="L31" s="551">
        <f t="shared" si="13"/>
        <v>-79.25</v>
      </c>
      <c r="M31" s="551">
        <f>ROUND(ROUND(L33*M$5,2)/365*M$6,2)</f>
        <v>-79.5</v>
      </c>
      <c r="N31" s="551">
        <f t="shared" si="13"/>
        <v>-77.19</v>
      </c>
      <c r="O31" s="551">
        <f t="shared" si="13"/>
        <v>-109.12</v>
      </c>
      <c r="P31" s="553">
        <f>+'WACAP 2022'!N54</f>
        <v>-560.34</v>
      </c>
      <c r="Q31" s="551">
        <f>ROUND(ROUND(P33*Q$5,2)/365*Q$6,2)</f>
        <v>-184.36</v>
      </c>
      <c r="R31" s="551">
        <f>ROUND(ROUND(Q33*R$5,2)/365*R$6,2)</f>
        <v>-192.62</v>
      </c>
    </row>
    <row r="32" spans="1:26" x14ac:dyDescent="0.25">
      <c r="A32" s="87"/>
      <c r="B32" s="89" t="s">
        <v>138</v>
      </c>
      <c r="C32" s="89"/>
      <c r="D32" s="552">
        <f t="shared" ref="D32:R32" si="14">SUM(D30:D31)</f>
        <v>-83.34</v>
      </c>
      <c r="E32" s="552">
        <f t="shared" si="14"/>
        <v>-114.46208000000001</v>
      </c>
      <c r="F32" s="552">
        <f t="shared" si="14"/>
        <v>-110.56447</v>
      </c>
      <c r="G32" s="552">
        <f t="shared" si="14"/>
        <v>-84.701169999999991</v>
      </c>
      <c r="H32" s="552">
        <f t="shared" si="14"/>
        <v>-88.634109999999993</v>
      </c>
      <c r="I32" s="552">
        <f t="shared" si="14"/>
        <v>-103.47559000000001</v>
      </c>
      <c r="J32" s="552">
        <f t="shared" si="14"/>
        <v>-89.849959999999996</v>
      </c>
      <c r="K32" s="552">
        <f t="shared" si="14"/>
        <v>-77.349519999999998</v>
      </c>
      <c r="L32" s="552">
        <f t="shared" si="14"/>
        <v>-83.731949999999998</v>
      </c>
      <c r="M32" s="552">
        <f t="shared" si="14"/>
        <v>-84.387079999999997</v>
      </c>
      <c r="N32" s="552">
        <f t="shared" si="14"/>
        <v>-80.855310000000003</v>
      </c>
      <c r="O32" s="552">
        <f t="shared" si="14"/>
        <v>-120.94533000000001</v>
      </c>
      <c r="P32" s="552">
        <f>+P30+P31</f>
        <v>-19394.859999999997</v>
      </c>
      <c r="Q32" s="552">
        <f t="shared" si="14"/>
        <v>-507.31</v>
      </c>
      <c r="R32" s="552">
        <f t="shared" si="14"/>
        <v>-527.36149999999998</v>
      </c>
    </row>
    <row r="33" spans="1:26" x14ac:dyDescent="0.25">
      <c r="A33" s="87"/>
      <c r="B33" s="89" t="s">
        <v>139</v>
      </c>
      <c r="C33" s="553">
        <f>+WACAP2021Amort!P33</f>
        <v>-25166.296740000005</v>
      </c>
      <c r="D33" s="549">
        <f>C33+D32</f>
        <v>-25249.636740000005</v>
      </c>
      <c r="E33" s="549">
        <f t="shared" ref="E33:O33" si="15">D33+E32</f>
        <v>-25364.098820000007</v>
      </c>
      <c r="F33" s="549">
        <f>E33+F32</f>
        <v>-25474.663290000008</v>
      </c>
      <c r="G33" s="549">
        <f t="shared" si="15"/>
        <v>-25559.364460000008</v>
      </c>
      <c r="H33" s="549">
        <f t="shared" si="15"/>
        <v>-25647.998570000007</v>
      </c>
      <c r="I33" s="549">
        <f t="shared" si="15"/>
        <v>-25751.474160000005</v>
      </c>
      <c r="J33" s="549">
        <f t="shared" si="15"/>
        <v>-25841.324120000005</v>
      </c>
      <c r="K33" s="549">
        <f t="shared" si="15"/>
        <v>-25918.673640000005</v>
      </c>
      <c r="L33" s="549">
        <f t="shared" si="15"/>
        <v>-26002.405590000006</v>
      </c>
      <c r="M33" s="549">
        <f>L33+M32</f>
        <v>-26086.792670000006</v>
      </c>
      <c r="N33" s="549">
        <f t="shared" si="15"/>
        <v>-26167.647980000005</v>
      </c>
      <c r="O33" s="549">
        <f t="shared" si="15"/>
        <v>-26288.593310000004</v>
      </c>
      <c r="P33" s="549">
        <f>+O33+P32</f>
        <v>-45683.453309999997</v>
      </c>
      <c r="Q33" s="549">
        <f>P33+Q32</f>
        <v>-46190.763309999995</v>
      </c>
      <c r="R33" s="549">
        <f t="shared" ref="R33" si="16">Q33+R32</f>
        <v>-46718.124809999994</v>
      </c>
      <c r="T33" s="108"/>
    </row>
    <row r="34" spans="1:26" x14ac:dyDescent="0.25">
      <c r="A34" s="87"/>
      <c r="B34" s="89"/>
      <c r="C34" s="89"/>
      <c r="D34" s="89"/>
      <c r="E34" s="89"/>
      <c r="F34" s="554"/>
      <c r="G34" s="554"/>
      <c r="H34" s="554"/>
      <c r="I34" s="554"/>
      <c r="J34" s="554"/>
      <c r="K34" s="554"/>
      <c r="L34" s="554"/>
      <c r="M34" s="554"/>
      <c r="N34" s="554"/>
      <c r="O34" s="554"/>
      <c r="P34" s="554"/>
      <c r="Q34" s="554"/>
      <c r="R34" s="554"/>
      <c r="T34" s="108"/>
    </row>
    <row r="35" spans="1:26" x14ac:dyDescent="0.25">
      <c r="A35" s="86">
        <v>504</v>
      </c>
      <c r="B35" s="104" t="s">
        <v>86</v>
      </c>
      <c r="C35" s="104"/>
      <c r="D35" s="104"/>
      <c r="E35" s="104"/>
      <c r="F35" s="541"/>
      <c r="G35" s="541"/>
      <c r="H35" s="542"/>
      <c r="I35" s="541"/>
      <c r="J35" s="541"/>
      <c r="K35" s="541"/>
      <c r="L35" s="541"/>
      <c r="M35" s="541"/>
      <c r="N35" s="541"/>
      <c r="O35" s="541"/>
      <c r="P35" s="541"/>
      <c r="Q35" s="541"/>
      <c r="R35" s="541"/>
    </row>
    <row r="36" spans="1:26" x14ac:dyDescent="0.25">
      <c r="A36" s="87" t="s">
        <v>92</v>
      </c>
      <c r="B36" t="s">
        <v>70</v>
      </c>
      <c r="D36" s="545">
        <v>6483615</v>
      </c>
      <c r="E36" s="545">
        <v>10769619</v>
      </c>
      <c r="F36" s="545">
        <v>17429567</v>
      </c>
      <c r="G36" s="545">
        <v>13856753</v>
      </c>
      <c r="H36" s="545">
        <v>13353929</v>
      </c>
      <c r="I36" s="545">
        <v>8644689</v>
      </c>
      <c r="J36" s="545">
        <v>7572813</v>
      </c>
      <c r="K36" s="545">
        <v>4956571</v>
      </c>
      <c r="L36" s="545">
        <v>4260295</v>
      </c>
      <c r="M36" s="545">
        <v>2963491</v>
      </c>
      <c r="N36" s="545">
        <v>3161954</v>
      </c>
      <c r="O36" s="545">
        <v>5823295</v>
      </c>
      <c r="P36" s="545"/>
      <c r="Q36" s="545">
        <f>-328901+13594989</f>
        <v>13266088</v>
      </c>
      <c r="R36" s="545">
        <v>17999014</v>
      </c>
      <c r="T36" s="544"/>
      <c r="V36" s="544"/>
    </row>
    <row r="37" spans="1:26" x14ac:dyDescent="0.25">
      <c r="A37" s="87" t="s">
        <v>257</v>
      </c>
      <c r="D37" s="547" t="s">
        <v>258</v>
      </c>
      <c r="E37" s="547">
        <v>-3.1900000000000001E-3</v>
      </c>
      <c r="F37" s="547">
        <v>-3.1900000000000001E-3</v>
      </c>
      <c r="G37" s="547">
        <v>-3.1900000000000001E-3</v>
      </c>
      <c r="H37" s="547">
        <v>-3.1900000000000001E-3</v>
      </c>
      <c r="I37" s="547">
        <v>-3.1900000000000001E-3</v>
      </c>
      <c r="J37" s="547">
        <v>-3.1900000000000001E-3</v>
      </c>
      <c r="K37" s="547">
        <v>-3.1900000000000001E-3</v>
      </c>
      <c r="L37" s="547">
        <v>-3.1900000000000001E-3</v>
      </c>
      <c r="M37" s="547">
        <v>-3.1900000000000001E-3</v>
      </c>
      <c r="N37" s="547">
        <v>-3.1900000000000001E-3</v>
      </c>
      <c r="O37" s="547">
        <v>-3.1900000000000001E-3</v>
      </c>
      <c r="P37" s="547"/>
      <c r="Q37" s="546" t="s">
        <v>258</v>
      </c>
      <c r="R37" s="547">
        <v>-3.6499999999999998E-2</v>
      </c>
      <c r="T37" s="112"/>
      <c r="V37" s="112"/>
      <c r="Z37" s="112"/>
    </row>
    <row r="38" spans="1:26" x14ac:dyDescent="0.25">
      <c r="A38" s="87"/>
      <c r="B38" s="89" t="s">
        <v>74</v>
      </c>
      <c r="C38" s="89"/>
      <c r="D38" s="548"/>
      <c r="E38" s="548"/>
      <c r="F38" s="548"/>
      <c r="G38" s="548"/>
      <c r="H38" s="548"/>
      <c r="I38" s="548"/>
      <c r="J38" s="548"/>
      <c r="K38" s="548"/>
      <c r="L38" s="548"/>
      <c r="M38" s="548"/>
      <c r="N38" s="548"/>
      <c r="O38" s="548"/>
      <c r="P38" s="548"/>
      <c r="Q38" s="548"/>
      <c r="R38" s="548"/>
    </row>
    <row r="39" spans="1:26" x14ac:dyDescent="0.25">
      <c r="A39" s="87"/>
      <c r="B39" s="89" t="s">
        <v>75</v>
      </c>
      <c r="C39" s="89"/>
      <c r="D39" s="549">
        <f>+WACAP2021Amort!Q39</f>
        <v>106365.34000000001</v>
      </c>
      <c r="E39" s="549">
        <f t="shared" ref="E39:O39" si="17">+E36*E37</f>
        <v>-34355.084609999998</v>
      </c>
      <c r="F39" s="549">
        <f t="shared" si="17"/>
        <v>-55600.318729999999</v>
      </c>
      <c r="G39" s="549">
        <f t="shared" si="17"/>
        <v>-44203.042070000003</v>
      </c>
      <c r="H39" s="549">
        <f t="shared" si="17"/>
        <v>-42599.033510000001</v>
      </c>
      <c r="I39" s="549">
        <f t="shared" si="17"/>
        <v>-27576.55791</v>
      </c>
      <c r="J39" s="549">
        <f t="shared" si="17"/>
        <v>-24157.27347</v>
      </c>
      <c r="K39" s="549">
        <f t="shared" si="17"/>
        <v>-15811.461490000002</v>
      </c>
      <c r="L39" s="549">
        <f t="shared" si="17"/>
        <v>-13590.341050000001</v>
      </c>
      <c r="M39" s="549">
        <f t="shared" si="17"/>
        <v>-9453.53629</v>
      </c>
      <c r="N39" s="549">
        <f t="shared" si="17"/>
        <v>-10086.633260000001</v>
      </c>
      <c r="O39" s="549">
        <f t="shared" si="17"/>
        <v>-18576.31105</v>
      </c>
      <c r="P39" s="549">
        <f>+'WACAP 2022'!N86</f>
        <v>1493061.1700000011</v>
      </c>
      <c r="Q39" s="549">
        <f>1049.19-496217.1</f>
        <v>-495167.91</v>
      </c>
      <c r="R39" s="549">
        <f>+R36*R37</f>
        <v>-656964.01099999994</v>
      </c>
    </row>
    <row r="40" spans="1:26" x14ac:dyDescent="0.25">
      <c r="A40" s="87"/>
      <c r="B40" s="89" t="s">
        <v>137</v>
      </c>
      <c r="C40" s="89"/>
      <c r="D40" s="551">
        <f>+WACAP2021Amort!Q40</f>
        <v>6469.08</v>
      </c>
      <c r="E40" s="551">
        <f t="shared" ref="E40:O40" si="18">ROUND(ROUND(D42*E$5,2)/365*E$6,2)</f>
        <v>6996.17</v>
      </c>
      <c r="F40" s="551">
        <f>ROUND(ROUND(E42*F$5,2)/365*F$6,2)</f>
        <v>6920.65</v>
      </c>
      <c r="G40" s="551">
        <f t="shared" si="18"/>
        <v>6129.54</v>
      </c>
      <c r="H40" s="551">
        <f t="shared" si="18"/>
        <v>6681.19</v>
      </c>
      <c r="I40" s="551">
        <f t="shared" si="18"/>
        <v>6369.72</v>
      </c>
      <c r="J40" s="551">
        <f t="shared" si="18"/>
        <v>6523.51</v>
      </c>
      <c r="K40" s="551">
        <f t="shared" si="18"/>
        <v>6265.97</v>
      </c>
      <c r="L40" s="551">
        <f t="shared" si="18"/>
        <v>7142.94</v>
      </c>
      <c r="M40" s="551">
        <f>ROUND(ROUND(L42*M$5,2)/365*M$6,2)</f>
        <v>7123.23</v>
      </c>
      <c r="N40" s="551">
        <f t="shared" si="18"/>
        <v>6886.55</v>
      </c>
      <c r="O40" s="551">
        <f t="shared" si="18"/>
        <v>9692.23</v>
      </c>
      <c r="P40" s="549">
        <f>+'WACAP 2022'!N87</f>
        <v>44419.329999999994</v>
      </c>
      <c r="Q40" s="551">
        <f>ROUND(ROUND(P42*Q$5,2)/365*Q$6,2)</f>
        <v>15548.4</v>
      </c>
      <c r="R40" s="551">
        <f>ROUND(ROUND(Q42*R$5,2)/365*R$6,2)</f>
        <v>14066.6</v>
      </c>
    </row>
    <row r="41" spans="1:26" x14ac:dyDescent="0.25">
      <c r="A41" s="87"/>
      <c r="B41" s="89" t="s">
        <v>138</v>
      </c>
      <c r="C41" s="89"/>
      <c r="D41" s="552">
        <f t="shared" ref="D41:R41" si="19">SUM(D39:D40)</f>
        <v>112834.42000000001</v>
      </c>
      <c r="E41" s="552">
        <f t="shared" si="19"/>
        <v>-27358.91461</v>
      </c>
      <c r="F41" s="552">
        <f t="shared" si="19"/>
        <v>-48679.668729999998</v>
      </c>
      <c r="G41" s="552">
        <f t="shared" si="19"/>
        <v>-38073.502070000002</v>
      </c>
      <c r="H41" s="552">
        <f t="shared" si="19"/>
        <v>-35917.843509999999</v>
      </c>
      <c r="I41" s="552">
        <f t="shared" si="19"/>
        <v>-21206.837909999998</v>
      </c>
      <c r="J41" s="552">
        <f t="shared" si="19"/>
        <v>-17633.763469999998</v>
      </c>
      <c r="K41" s="552">
        <f t="shared" si="19"/>
        <v>-9545.4914900000003</v>
      </c>
      <c r="L41" s="552">
        <f t="shared" si="19"/>
        <v>-6447.4010500000013</v>
      </c>
      <c r="M41" s="552">
        <f t="shared" si="19"/>
        <v>-2330.3062900000004</v>
      </c>
      <c r="N41" s="552">
        <f t="shared" si="19"/>
        <v>-3200.0832600000003</v>
      </c>
      <c r="O41" s="552">
        <f t="shared" si="19"/>
        <v>-8884.0810500000007</v>
      </c>
      <c r="P41" s="552">
        <f>+P39+P40</f>
        <v>1537480.5000000012</v>
      </c>
      <c r="Q41" s="552">
        <f t="shared" si="19"/>
        <v>-479619.50999999995</v>
      </c>
      <c r="R41" s="552">
        <f t="shared" si="19"/>
        <v>-642897.41099999996</v>
      </c>
    </row>
    <row r="42" spans="1:26" x14ac:dyDescent="0.25">
      <c r="A42" s="87"/>
      <c r="B42" s="89" t="s">
        <v>139</v>
      </c>
      <c r="C42" s="553">
        <f>+WACAP2021Amort!P42</f>
        <v>2421757.7545000017</v>
      </c>
      <c r="D42" s="549">
        <f>C42+D41</f>
        <v>2534592.1745000016</v>
      </c>
      <c r="E42" s="549">
        <f t="shared" ref="E42:O42" si="20">D42+E41</f>
        <v>2507233.2598900017</v>
      </c>
      <c r="F42" s="549">
        <f>E42+F41</f>
        <v>2458553.5911600017</v>
      </c>
      <c r="G42" s="549">
        <f t="shared" si="20"/>
        <v>2420480.0890900018</v>
      </c>
      <c r="H42" s="549">
        <f t="shared" si="20"/>
        <v>2384562.2455800017</v>
      </c>
      <c r="I42" s="549">
        <f t="shared" si="20"/>
        <v>2363355.407670002</v>
      </c>
      <c r="J42" s="549">
        <f t="shared" si="20"/>
        <v>2345721.6442000018</v>
      </c>
      <c r="K42" s="549">
        <f t="shared" si="20"/>
        <v>2336176.1527100019</v>
      </c>
      <c r="L42" s="549">
        <f t="shared" si="20"/>
        <v>2329728.7516600019</v>
      </c>
      <c r="M42" s="549">
        <f>L42+M41</f>
        <v>2327398.4453700017</v>
      </c>
      <c r="N42" s="549">
        <f t="shared" si="20"/>
        <v>2324198.3621100015</v>
      </c>
      <c r="O42" s="549">
        <f t="shared" si="20"/>
        <v>2315314.2810600013</v>
      </c>
      <c r="P42" s="549">
        <f>+O42+P41</f>
        <v>3852794.7810600027</v>
      </c>
      <c r="Q42" s="549">
        <f>P42+Q41</f>
        <v>3373175.271060003</v>
      </c>
      <c r="R42" s="549">
        <f t="shared" ref="R42" si="21">Q42+R41</f>
        <v>2730277.8600600031</v>
      </c>
      <c r="T42" s="108"/>
    </row>
    <row r="43" spans="1:26" x14ac:dyDescent="0.25">
      <c r="A43" s="87"/>
      <c r="B43" s="89"/>
      <c r="C43" s="89"/>
      <c r="D43" s="89"/>
      <c r="E43" s="89"/>
      <c r="F43" s="549"/>
      <c r="G43" s="549"/>
      <c r="H43" s="549"/>
      <c r="I43" s="549"/>
      <c r="J43" s="549"/>
      <c r="K43" s="549"/>
      <c r="L43" s="549"/>
      <c r="M43" s="549"/>
      <c r="N43" s="549"/>
      <c r="O43" s="549"/>
      <c r="P43" s="549"/>
      <c r="Q43" s="549"/>
      <c r="R43" s="549"/>
      <c r="T43" s="108"/>
    </row>
    <row r="44" spans="1:26" x14ac:dyDescent="0.25">
      <c r="A44" s="86">
        <v>511</v>
      </c>
      <c r="B44" s="104" t="s">
        <v>86</v>
      </c>
      <c r="C44" s="104"/>
      <c r="D44" s="104"/>
      <c r="E44" s="104"/>
      <c r="F44" s="541"/>
      <c r="G44" s="541"/>
      <c r="H44" s="542"/>
      <c r="I44" s="541"/>
      <c r="J44" s="541"/>
      <c r="K44" s="541"/>
      <c r="L44" s="541"/>
      <c r="M44" s="541"/>
      <c r="N44" s="541"/>
      <c r="O44" s="541"/>
      <c r="P44" s="541"/>
      <c r="Q44" s="541"/>
      <c r="R44" s="541"/>
      <c r="T44" s="108"/>
      <c r="U44" s="108"/>
    </row>
    <row r="45" spans="1:26" x14ac:dyDescent="0.25">
      <c r="A45" s="87" t="s">
        <v>92</v>
      </c>
      <c r="B45" t="s">
        <v>70</v>
      </c>
      <c r="D45" s="545">
        <f>828415+412188</f>
        <v>1240603</v>
      </c>
      <c r="E45" s="545">
        <v>1705511</v>
      </c>
      <c r="F45" s="545">
        <v>2437481</v>
      </c>
      <c r="G45" s="545">
        <v>1821926</v>
      </c>
      <c r="H45" s="545">
        <v>1895024</v>
      </c>
      <c r="I45" s="545">
        <v>1360264</v>
      </c>
      <c r="J45" s="545">
        <v>1188595</v>
      </c>
      <c r="K45" s="545">
        <v>977687</v>
      </c>
      <c r="L45" s="545">
        <v>743424</v>
      </c>
      <c r="M45" s="545">
        <v>686734</v>
      </c>
      <c r="N45" s="545">
        <v>662094</v>
      </c>
      <c r="O45" s="545">
        <v>813821</v>
      </c>
      <c r="P45" s="545"/>
      <c r="Q45" s="545">
        <f>836363+570187</f>
        <v>1406550</v>
      </c>
      <c r="R45" s="545">
        <v>2206481</v>
      </c>
      <c r="T45" s="544"/>
      <c r="V45" s="544"/>
    </row>
    <row r="46" spans="1:26" x14ac:dyDescent="0.25">
      <c r="A46" s="87" t="s">
        <v>257</v>
      </c>
      <c r="D46" s="547" t="str">
        <f>+D37</f>
        <v>Prorated</v>
      </c>
      <c r="E46" s="547">
        <v>5.3830000000000003E-2</v>
      </c>
      <c r="F46" s="547">
        <v>5.3830000000000003E-2</v>
      </c>
      <c r="G46" s="547">
        <v>5.3830000000000003E-2</v>
      </c>
      <c r="H46" s="547">
        <v>5.3830000000000003E-2</v>
      </c>
      <c r="I46" s="547">
        <v>5.3830000000000003E-2</v>
      </c>
      <c r="J46" s="547">
        <v>5.3830000000000003E-2</v>
      </c>
      <c r="K46" s="547">
        <v>5.3830000000000003E-2</v>
      </c>
      <c r="L46" s="547">
        <v>5.3830000000000003E-2</v>
      </c>
      <c r="M46" s="547">
        <v>5.3830000000000003E-2</v>
      </c>
      <c r="N46" s="547">
        <v>5.3830000000000003E-2</v>
      </c>
      <c r="O46" s="547">
        <v>5.3830000000000003E-2</v>
      </c>
      <c r="P46" s="547"/>
      <c r="Q46" s="546" t="s">
        <v>258</v>
      </c>
      <c r="R46" s="547">
        <v>2.887E-2</v>
      </c>
      <c r="T46" s="112"/>
      <c r="V46" s="112"/>
      <c r="Z46" s="112"/>
    </row>
    <row r="47" spans="1:26" x14ac:dyDescent="0.25">
      <c r="A47" s="87"/>
      <c r="B47" s="89" t="s">
        <v>74</v>
      </c>
      <c r="C47" s="89"/>
      <c r="D47" s="89"/>
      <c r="E47" s="89"/>
      <c r="F47" s="548"/>
      <c r="G47" s="548"/>
      <c r="H47" s="548"/>
      <c r="I47" s="548"/>
      <c r="J47" s="548"/>
      <c r="K47" s="548"/>
      <c r="L47" s="548"/>
      <c r="M47" s="548"/>
      <c r="N47" s="548"/>
      <c r="O47" s="548"/>
      <c r="P47" s="548"/>
      <c r="Q47" s="548"/>
      <c r="R47" s="548"/>
    </row>
    <row r="48" spans="1:26" x14ac:dyDescent="0.25">
      <c r="A48" s="87"/>
      <c r="B48" s="89" t="s">
        <v>75</v>
      </c>
      <c r="C48" s="89"/>
      <c r="D48" s="549">
        <f>+WACAP2021Amort!Q48</f>
        <v>37994.240000000005</v>
      </c>
      <c r="E48" s="549">
        <f t="shared" ref="E48:K48" si="22">+E46*E45</f>
        <v>91807.657130000007</v>
      </c>
      <c r="F48" s="549">
        <f t="shared" si="22"/>
        <v>131209.60223000002</v>
      </c>
      <c r="G48" s="549">
        <f t="shared" si="22"/>
        <v>98074.276580000005</v>
      </c>
      <c r="H48" s="549">
        <f t="shared" si="22"/>
        <v>102009.14192000001</v>
      </c>
      <c r="I48" s="549">
        <f t="shared" si="22"/>
        <v>73223.01112000001</v>
      </c>
      <c r="J48" s="549">
        <f t="shared" si="22"/>
        <v>63982.068850000003</v>
      </c>
      <c r="K48" s="549">
        <f t="shared" si="22"/>
        <v>52628.891210000002</v>
      </c>
      <c r="L48" s="549">
        <f>+L46*L45</f>
        <v>40018.513920000005</v>
      </c>
      <c r="M48" s="549">
        <f t="shared" ref="M48:R48" si="23">+M46*M45</f>
        <v>36966.891220000005</v>
      </c>
      <c r="N48" s="549">
        <f t="shared" si="23"/>
        <v>35640.520020000004</v>
      </c>
      <c r="O48" s="549">
        <f t="shared" si="23"/>
        <v>43807.984430000004</v>
      </c>
      <c r="P48" s="549">
        <f>+'WACAP 2022'!N41+'WACAP 2022'!N70+'WACAP 2022'!N103</f>
        <v>122182.16500000001</v>
      </c>
      <c r="Q48" s="549">
        <f>45021.42+16461.3</f>
        <v>61482.720000000001</v>
      </c>
      <c r="R48" s="549">
        <f t="shared" si="23"/>
        <v>63701.106469999999</v>
      </c>
    </row>
    <row r="49" spans="1:26" x14ac:dyDescent="0.25">
      <c r="A49" s="87"/>
      <c r="B49" s="89" t="s">
        <v>137</v>
      </c>
      <c r="C49" s="89"/>
      <c r="D49" s="551">
        <f>ROUND(ROUND(C51*D$5,2)/365*D$6,2)</f>
        <v>-2574.11</v>
      </c>
      <c r="E49" s="551">
        <f t="shared" ref="E49:O49" si="24">ROUND(ROUND(D51*E$5,2)/365*E$6,2)</f>
        <v>-2562.15</v>
      </c>
      <c r="F49" s="551">
        <f>ROUND(ROUND(E51*F$5,2)/365*F$6,2)</f>
        <v>-2315.8000000000002</v>
      </c>
      <c r="G49" s="551">
        <f t="shared" si="24"/>
        <v>-1770.34</v>
      </c>
      <c r="H49" s="551">
        <f t="shared" si="24"/>
        <v>-1694.2</v>
      </c>
      <c r="I49" s="551">
        <f t="shared" si="24"/>
        <v>-1371.58</v>
      </c>
      <c r="J49" s="551">
        <f t="shared" si="24"/>
        <v>-1218.97</v>
      </c>
      <c r="K49" s="551">
        <f t="shared" si="24"/>
        <v>-1011.99</v>
      </c>
      <c r="L49" s="551">
        <f t="shared" si="24"/>
        <v>-1000.52</v>
      </c>
      <c r="M49" s="551">
        <f>ROUND(ROUND(L51*M$5,2)/365*M$6,2)</f>
        <v>-881.22</v>
      </c>
      <c r="N49" s="551">
        <f t="shared" si="24"/>
        <v>-746.02</v>
      </c>
      <c r="O49" s="551">
        <f t="shared" si="24"/>
        <v>-905.9</v>
      </c>
      <c r="P49" s="551">
        <f>+'WACAP 2022'!N104+'WACAP 2022'!N71+'WACAP 2022'!N42</f>
        <v>3634.9900000000002</v>
      </c>
      <c r="Q49" s="551">
        <f>ROUND(ROUND(P51*Q$5,2)/365*Q$6,2)</f>
        <v>-195.79</v>
      </c>
      <c r="R49" s="551">
        <f t="shared" ref="R49" si="25">ROUND(ROUND(Q51*R$5,2)/365*R$6,2)</f>
        <v>53.26</v>
      </c>
    </row>
    <row r="50" spans="1:26" x14ac:dyDescent="0.25">
      <c r="A50" s="87"/>
      <c r="B50" s="89" t="s">
        <v>138</v>
      </c>
      <c r="C50" s="89"/>
      <c r="D50" s="552">
        <f t="shared" ref="D50:R50" si="26">SUM(D48:D49)</f>
        <v>35420.130000000005</v>
      </c>
      <c r="E50" s="552">
        <f t="shared" si="26"/>
        <v>89245.507130000013</v>
      </c>
      <c r="F50" s="552">
        <f t="shared" si="26"/>
        <v>128893.80223000002</v>
      </c>
      <c r="G50" s="552">
        <f t="shared" si="26"/>
        <v>96303.936580000009</v>
      </c>
      <c r="H50" s="552">
        <f t="shared" si="26"/>
        <v>100314.94192000001</v>
      </c>
      <c r="I50" s="552">
        <f t="shared" si="26"/>
        <v>71851.431120000008</v>
      </c>
      <c r="J50" s="552">
        <f t="shared" si="26"/>
        <v>62763.098850000002</v>
      </c>
      <c r="K50" s="552">
        <f t="shared" si="26"/>
        <v>51616.901210000004</v>
      </c>
      <c r="L50" s="552">
        <f t="shared" si="26"/>
        <v>39017.993920000008</v>
      </c>
      <c r="M50" s="552">
        <f t="shared" si="26"/>
        <v>36085.671220000004</v>
      </c>
      <c r="N50" s="552">
        <f t="shared" si="26"/>
        <v>34894.500020000007</v>
      </c>
      <c r="O50" s="552">
        <f t="shared" si="26"/>
        <v>42902.084430000003</v>
      </c>
      <c r="P50" s="552">
        <f>+P48+P49</f>
        <v>125817.15500000001</v>
      </c>
      <c r="Q50" s="552">
        <f t="shared" si="26"/>
        <v>61286.93</v>
      </c>
      <c r="R50" s="552">
        <f t="shared" si="26"/>
        <v>63754.366470000001</v>
      </c>
    </row>
    <row r="51" spans="1:26" x14ac:dyDescent="0.25">
      <c r="A51" s="87"/>
      <c r="B51" s="89" t="s">
        <v>139</v>
      </c>
      <c r="C51" s="553">
        <f>+WACAP2021Amort!P51</f>
        <v>-963641.90236000018</v>
      </c>
      <c r="D51" s="549">
        <f>C51+D50</f>
        <v>-928221.77236000018</v>
      </c>
      <c r="E51" s="549">
        <f>D51+E50-0.01</f>
        <v>-838976.27523000014</v>
      </c>
      <c r="F51" s="549">
        <f>E51+F50</f>
        <v>-710082.47300000011</v>
      </c>
      <c r="G51" s="549">
        <f t="shared" ref="G51:O51" si="27">F51+G50</f>
        <v>-613778.53642000013</v>
      </c>
      <c r="H51" s="549">
        <f t="shared" si="27"/>
        <v>-513463.59450000012</v>
      </c>
      <c r="I51" s="549">
        <f t="shared" si="27"/>
        <v>-441612.1633800001</v>
      </c>
      <c r="J51" s="549">
        <f t="shared" si="27"/>
        <v>-378849.06453000009</v>
      </c>
      <c r="K51" s="549">
        <f t="shared" si="27"/>
        <v>-327232.16332000011</v>
      </c>
      <c r="L51" s="549">
        <f t="shared" si="27"/>
        <v>-288214.16940000013</v>
      </c>
      <c r="M51" s="549">
        <f>L51+M50</f>
        <v>-252128.49818000011</v>
      </c>
      <c r="N51" s="549">
        <f t="shared" si="27"/>
        <v>-217233.9981600001</v>
      </c>
      <c r="O51" s="549">
        <f t="shared" si="27"/>
        <v>-174331.91373000009</v>
      </c>
      <c r="P51" s="549">
        <f>+O51+P50</f>
        <v>-48514.758730000074</v>
      </c>
      <c r="Q51" s="549">
        <f>P51+Q50</f>
        <v>12772.171269999926</v>
      </c>
      <c r="R51" s="549">
        <f t="shared" ref="R51" si="28">Q51+R50</f>
        <v>76526.537739999927</v>
      </c>
    </row>
    <row r="52" spans="1:26" x14ac:dyDescent="0.25">
      <c r="A52" s="86"/>
      <c r="F52" s="541"/>
      <c r="G52" s="541"/>
      <c r="H52" s="542"/>
      <c r="I52" s="541"/>
      <c r="J52" s="541"/>
      <c r="K52" s="541"/>
      <c r="L52" s="541"/>
      <c r="M52" s="541"/>
      <c r="N52" s="541"/>
      <c r="O52" s="541"/>
      <c r="P52" s="541"/>
      <c r="Q52" s="541"/>
      <c r="R52" s="541"/>
    </row>
    <row r="53" spans="1:26" x14ac:dyDescent="0.25">
      <c r="A53" s="86"/>
      <c r="B53" s="89"/>
      <c r="C53" s="89"/>
      <c r="D53" s="89"/>
      <c r="E53" s="89"/>
      <c r="F53" s="554"/>
      <c r="G53" s="554"/>
      <c r="H53" s="554"/>
      <c r="I53" s="554"/>
      <c r="J53" s="554"/>
      <c r="K53" s="554"/>
      <c r="L53" s="554"/>
      <c r="M53" s="554"/>
      <c r="N53" s="554"/>
      <c r="O53" s="554"/>
      <c r="P53" s="554"/>
      <c r="Q53" s="554"/>
      <c r="R53" s="554"/>
      <c r="T53" s="108"/>
    </row>
    <row r="54" spans="1:26" x14ac:dyDescent="0.25">
      <c r="A54" s="86">
        <v>570</v>
      </c>
      <c r="B54" s="104" t="s">
        <v>88</v>
      </c>
      <c r="C54" s="104"/>
      <c r="D54" s="104"/>
      <c r="E54" s="104"/>
      <c r="F54" s="541"/>
      <c r="G54" s="541"/>
      <c r="H54" s="542"/>
      <c r="I54" s="541"/>
      <c r="J54" s="541"/>
      <c r="K54" s="541"/>
      <c r="L54" s="541"/>
      <c r="M54" s="541"/>
      <c r="N54" s="541"/>
      <c r="O54" s="541"/>
      <c r="P54" s="541"/>
      <c r="Q54" s="541"/>
      <c r="R54" s="541"/>
      <c r="T54" s="108"/>
      <c r="U54" s="108"/>
    </row>
    <row r="55" spans="1:26" x14ac:dyDescent="0.25">
      <c r="A55" s="87" t="s">
        <v>92</v>
      </c>
      <c r="B55" t="s">
        <v>70</v>
      </c>
      <c r="D55" s="545">
        <v>215369</v>
      </c>
      <c r="E55" s="545">
        <v>271190</v>
      </c>
      <c r="F55" s="545">
        <v>257267</v>
      </c>
      <c r="G55" s="545">
        <v>227538</v>
      </c>
      <c r="H55" s="545">
        <v>220931</v>
      </c>
      <c r="I55" s="545">
        <v>211682</v>
      </c>
      <c r="J55" s="545">
        <v>179840</v>
      </c>
      <c r="K55" s="545">
        <v>115112</v>
      </c>
      <c r="L55" s="545">
        <v>88882</v>
      </c>
      <c r="M55" s="545">
        <v>101586</v>
      </c>
      <c r="N55" s="545">
        <v>100025</v>
      </c>
      <c r="O55" s="545">
        <v>168816</v>
      </c>
      <c r="P55" s="545"/>
      <c r="Q55" s="545">
        <v>248692</v>
      </c>
      <c r="R55" s="545">
        <v>283039</v>
      </c>
      <c r="T55" s="544"/>
      <c r="V55" s="544"/>
    </row>
    <row r="56" spans="1:26" x14ac:dyDescent="0.25">
      <c r="A56" s="87" t="s">
        <v>257</v>
      </c>
      <c r="D56" s="547" t="s">
        <v>258</v>
      </c>
      <c r="E56" s="547">
        <v>-2.82E-3</v>
      </c>
      <c r="F56" s="547">
        <v>-2.82E-3</v>
      </c>
      <c r="G56" s="547">
        <v>-2.82E-3</v>
      </c>
      <c r="H56" s="547">
        <v>-2.82E-3</v>
      </c>
      <c r="I56" s="547">
        <v>-2.82E-3</v>
      </c>
      <c r="J56" s="547">
        <v>-2.82E-3</v>
      </c>
      <c r="K56" s="547">
        <v>-2.82E-3</v>
      </c>
      <c r="L56" s="547">
        <v>-2.82E-3</v>
      </c>
      <c r="M56" s="547">
        <v>-2.82E-3</v>
      </c>
      <c r="N56" s="547">
        <v>-2.82E-3</v>
      </c>
      <c r="O56" s="547">
        <v>-2.82E-3</v>
      </c>
      <c r="P56" s="547"/>
      <c r="Q56" s="547">
        <v>6.0000000000000001E-3</v>
      </c>
      <c r="R56" s="547">
        <f>+Q56</f>
        <v>6.0000000000000001E-3</v>
      </c>
      <c r="T56" s="112"/>
      <c r="V56" s="112"/>
      <c r="Z56" s="112"/>
    </row>
    <row r="57" spans="1:26" x14ac:dyDescent="0.25">
      <c r="A57" s="87"/>
      <c r="B57" s="89" t="s">
        <v>74</v>
      </c>
      <c r="C57" s="89"/>
      <c r="D57" s="89"/>
      <c r="E57" s="89"/>
      <c r="F57" s="548"/>
      <c r="G57" s="548"/>
      <c r="H57" s="548"/>
      <c r="I57" s="548"/>
      <c r="J57" s="548"/>
      <c r="K57" s="548"/>
      <c r="L57" s="548"/>
      <c r="M57" s="548"/>
      <c r="N57" s="548"/>
      <c r="O57" s="548"/>
      <c r="P57" s="548"/>
      <c r="Q57" s="548"/>
      <c r="R57" s="548"/>
    </row>
    <row r="58" spans="1:26" x14ac:dyDescent="0.25">
      <c r="A58" s="87"/>
      <c r="B58" s="89" t="s">
        <v>75</v>
      </c>
      <c r="C58" s="89"/>
      <c r="D58" s="549">
        <f>+WACAP2021Amort!Q58</f>
        <v>-607.34</v>
      </c>
      <c r="E58" s="549">
        <f t="shared" ref="E58:R58" si="29">+E55*E56</f>
        <v>-764.75580000000002</v>
      </c>
      <c r="F58" s="549">
        <f t="shared" si="29"/>
        <v>-725.49293999999998</v>
      </c>
      <c r="G58" s="549">
        <f t="shared" si="29"/>
        <v>-641.65715999999998</v>
      </c>
      <c r="H58" s="549">
        <f t="shared" si="29"/>
        <v>-623.02542000000005</v>
      </c>
      <c r="I58" s="549">
        <f t="shared" si="29"/>
        <v>-596.94324000000006</v>
      </c>
      <c r="J58" s="549">
        <f t="shared" si="29"/>
        <v>-507.14879999999999</v>
      </c>
      <c r="K58" s="549">
        <f t="shared" si="29"/>
        <v>-324.61583999999999</v>
      </c>
      <c r="L58" s="549">
        <f t="shared" si="29"/>
        <v>-250.64724000000001</v>
      </c>
      <c r="M58" s="549">
        <f t="shared" si="29"/>
        <v>-286.47251999999997</v>
      </c>
      <c r="N58" s="549">
        <f t="shared" si="29"/>
        <v>-282.07049999999998</v>
      </c>
      <c r="O58" s="549">
        <f t="shared" si="29"/>
        <v>-476.06112000000002</v>
      </c>
      <c r="P58" s="549">
        <f>+'WACAP 2022'!N133</f>
        <v>-13960.709999999997</v>
      </c>
      <c r="Q58" s="549">
        <v>1492.15</v>
      </c>
      <c r="R58" s="549">
        <f t="shared" si="29"/>
        <v>1698.2339999999999</v>
      </c>
    </row>
    <row r="59" spans="1:26" x14ac:dyDescent="0.25">
      <c r="A59" s="87"/>
      <c r="B59" s="89" t="s">
        <v>137</v>
      </c>
      <c r="C59" s="89"/>
      <c r="D59" s="551">
        <f>ROUND(ROUND(C61*D$5,2)/365*D$6,2)</f>
        <v>19.03</v>
      </c>
      <c r="E59" s="551">
        <f t="shared" ref="E59:O59" si="30">ROUND(ROUND(D61*E$5,2)/365*E$6,2)</f>
        <v>18.04</v>
      </c>
      <c r="F59" s="551">
        <f>ROUND(ROUND(E61*F$5,2)/365*F$6,2)</f>
        <v>15.98</v>
      </c>
      <c r="G59" s="551">
        <f t="shared" si="30"/>
        <v>12.66</v>
      </c>
      <c r="H59" s="551">
        <f t="shared" si="30"/>
        <v>12.28</v>
      </c>
      <c r="I59" s="551">
        <f t="shared" si="30"/>
        <v>10.26</v>
      </c>
      <c r="J59" s="551">
        <f t="shared" si="30"/>
        <v>8.98</v>
      </c>
      <c r="K59" s="551">
        <f t="shared" si="30"/>
        <v>7.36</v>
      </c>
      <c r="L59" s="551">
        <f t="shared" si="30"/>
        <v>7.45</v>
      </c>
      <c r="M59" s="551">
        <f>ROUND(ROUND(L61*M$5,2)/365*M$6,2)</f>
        <v>6.71</v>
      </c>
      <c r="N59" s="551">
        <f t="shared" si="30"/>
        <v>5.66</v>
      </c>
      <c r="O59" s="551">
        <f t="shared" si="30"/>
        <v>6.83</v>
      </c>
      <c r="P59" s="549">
        <f>+'WACAP 2022'!N134</f>
        <v>-415.35</v>
      </c>
      <c r="Q59" s="551">
        <f>ROUND(ROUND(P61*Q$5,2)/365*Q$6,2)</f>
        <v>-53.3</v>
      </c>
      <c r="R59" s="551">
        <f t="shared" ref="R59" si="31">ROUND(ROUND(Q61*R$5,2)/365*R$6,2)</f>
        <v>-49.08</v>
      </c>
    </row>
    <row r="60" spans="1:26" x14ac:dyDescent="0.25">
      <c r="A60" s="87"/>
      <c r="B60" s="89" t="s">
        <v>138</v>
      </c>
      <c r="C60" s="89"/>
      <c r="D60" s="552">
        <f t="shared" ref="D60:R60" si="32">SUM(D58:D59)</f>
        <v>-588.31000000000006</v>
      </c>
      <c r="E60" s="552">
        <f t="shared" si="32"/>
        <v>-746.71580000000006</v>
      </c>
      <c r="F60" s="552">
        <f t="shared" si="32"/>
        <v>-709.51293999999996</v>
      </c>
      <c r="G60" s="552">
        <f t="shared" si="32"/>
        <v>-628.99716000000001</v>
      </c>
      <c r="H60" s="552">
        <f t="shared" si="32"/>
        <v>-610.74542000000008</v>
      </c>
      <c r="I60" s="552">
        <f t="shared" si="32"/>
        <v>-586.68324000000007</v>
      </c>
      <c r="J60" s="552">
        <f t="shared" si="32"/>
        <v>-498.16879999999998</v>
      </c>
      <c r="K60" s="552">
        <f t="shared" si="32"/>
        <v>-317.25583999999998</v>
      </c>
      <c r="L60" s="552">
        <f t="shared" si="32"/>
        <v>-243.19724000000002</v>
      </c>
      <c r="M60" s="552">
        <f t="shared" si="32"/>
        <v>-279.76251999999999</v>
      </c>
      <c r="N60" s="552">
        <f t="shared" si="32"/>
        <v>-276.41049999999996</v>
      </c>
      <c r="O60" s="552">
        <f t="shared" si="32"/>
        <v>-469.23112000000003</v>
      </c>
      <c r="P60" s="552">
        <f>+P58+P59</f>
        <v>-14376.059999999998</v>
      </c>
      <c r="Q60" s="552">
        <f t="shared" si="32"/>
        <v>1438.8500000000001</v>
      </c>
      <c r="R60" s="552">
        <f t="shared" si="32"/>
        <v>1649.154</v>
      </c>
    </row>
    <row r="61" spans="1:26" x14ac:dyDescent="0.25">
      <c r="A61" s="87"/>
      <c r="B61" s="89" t="s">
        <v>139</v>
      </c>
      <c r="C61" s="553">
        <f>+WACAP2021Amort!P61</f>
        <v>7123.267420000001</v>
      </c>
      <c r="D61" s="549">
        <f>C61+D60</f>
        <v>6534.9574200000006</v>
      </c>
      <c r="E61" s="549">
        <f t="shared" ref="E61:O61" si="33">D61+E60</f>
        <v>5788.2416200000007</v>
      </c>
      <c r="F61" s="549">
        <f>E61+F60</f>
        <v>5078.7286800000011</v>
      </c>
      <c r="G61" s="549">
        <f t="shared" si="33"/>
        <v>4449.7315200000012</v>
      </c>
      <c r="H61" s="549">
        <f t="shared" si="33"/>
        <v>3838.986100000001</v>
      </c>
      <c r="I61" s="549">
        <f t="shared" si="33"/>
        <v>3252.3028600000007</v>
      </c>
      <c r="J61" s="549">
        <f t="shared" si="33"/>
        <v>2754.1340600000008</v>
      </c>
      <c r="K61" s="549">
        <f t="shared" si="33"/>
        <v>2436.878220000001</v>
      </c>
      <c r="L61" s="549">
        <f t="shared" si="33"/>
        <v>2193.680980000001</v>
      </c>
      <c r="M61" s="549">
        <f>L61+M60</f>
        <v>1913.918460000001</v>
      </c>
      <c r="N61" s="549">
        <f t="shared" si="33"/>
        <v>1637.507960000001</v>
      </c>
      <c r="O61" s="549">
        <f t="shared" si="33"/>
        <v>1168.2768400000009</v>
      </c>
      <c r="P61" s="549">
        <f>+O61+P60</f>
        <v>-13207.783159999997</v>
      </c>
      <c r="Q61" s="549">
        <f>P61+Q60</f>
        <v>-11768.933159999997</v>
      </c>
      <c r="R61" s="549">
        <f t="shared" ref="R61" si="34">Q61+R60</f>
        <v>-10119.779159999996</v>
      </c>
    </row>
    <row r="62" spans="1:26" x14ac:dyDescent="0.25">
      <c r="A62" s="86"/>
      <c r="F62" s="555"/>
      <c r="G62" s="555"/>
      <c r="H62" s="548"/>
      <c r="I62" s="555"/>
      <c r="J62" s="555"/>
      <c r="K62" s="555"/>
      <c r="L62" s="555"/>
      <c r="M62" s="555"/>
      <c r="N62" s="555"/>
      <c r="O62" s="555"/>
      <c r="P62" s="555"/>
      <c r="Q62" s="555"/>
      <c r="R62" s="555"/>
      <c r="T62" s="108"/>
    </row>
    <row r="63" spans="1:26" ht="15.75" thickBot="1" x14ac:dyDescent="0.3">
      <c r="A63" s="118"/>
      <c r="B63" s="119"/>
      <c r="C63" s="119"/>
      <c r="E63" s="119"/>
      <c r="F63" s="119"/>
      <c r="G63" s="119"/>
      <c r="H63" s="176"/>
      <c r="I63" s="119"/>
      <c r="J63" s="119"/>
      <c r="K63" s="119"/>
      <c r="L63" s="119"/>
      <c r="M63" s="119"/>
      <c r="N63" s="119"/>
      <c r="O63" s="119"/>
      <c r="P63" s="119"/>
      <c r="Q63" s="119"/>
      <c r="R63" s="119"/>
    </row>
    <row r="64" spans="1:26" x14ac:dyDescent="0.25">
      <c r="B64" s="89" t="s">
        <v>259</v>
      </c>
      <c r="C64" s="108">
        <f>SUM(C15:C61)+0.1</f>
        <v>2877299.3190700016</v>
      </c>
      <c r="H64" s="108"/>
    </row>
    <row r="65" spans="2:20" x14ac:dyDescent="0.25">
      <c r="B65" s="89" t="s">
        <v>89</v>
      </c>
      <c r="C65" s="556"/>
      <c r="D65" s="557">
        <f>+D12+D30+D39+D21+D48+D58</f>
        <v>181431.84</v>
      </c>
      <c r="E65" s="557">
        <f t="shared" ref="E65:R66" si="35">+E12+E30+E39+E21+E48+E58</f>
        <v>-129628.83102999996</v>
      </c>
      <c r="F65" s="557">
        <f>+F12+F30+F39+F21+F48+F58+0.02</f>
        <v>-214232.73911999998</v>
      </c>
      <c r="G65" s="557">
        <f>+G12+G30+G39+G21+G48+G58+0.01</f>
        <v>-166666.87535999995</v>
      </c>
      <c r="H65" s="557">
        <f t="shared" si="35"/>
        <v>-155240.76241999996</v>
      </c>
      <c r="I65" s="557">
        <f>+I12+I30+I39+I21+I48+I58+0.02</f>
        <v>-96193.486549999987</v>
      </c>
      <c r="J65" s="557">
        <f>+J12+J30+J39+J21+J48+J58-0.01</f>
        <v>-80869.358019999971</v>
      </c>
      <c r="K65" s="557">
        <f>+K12+K30+K39+K21+K48+K58-0.02</f>
        <v>-37061.560529999995</v>
      </c>
      <c r="L65" s="557">
        <f t="shared" si="35"/>
        <v>-28335.100069999986</v>
      </c>
      <c r="M65" s="557">
        <f>+M12+M30+M39+M21+M48+M58-0.02</f>
        <v>-7749.5488599999962</v>
      </c>
      <c r="N65" s="557">
        <f>+N12+N30+N39+N21+N48+N58-0.01</f>
        <v>-12048.315599999991</v>
      </c>
      <c r="O65" s="557">
        <f>+O12+O30+O39+O21+O48+O58</f>
        <v>-46519.30126</v>
      </c>
      <c r="P65" s="557">
        <f t="shared" si="35"/>
        <v>4165592.1249999972</v>
      </c>
      <c r="Q65" s="557">
        <f t="shared" si="35"/>
        <v>-815720.95000000007</v>
      </c>
      <c r="R65" s="557">
        <f t="shared" si="35"/>
        <v>-1112765.7561699999</v>
      </c>
    </row>
    <row r="66" spans="2:20" x14ac:dyDescent="0.25">
      <c r="B66" s="89" t="s">
        <v>141</v>
      </c>
      <c r="C66" s="89"/>
      <c r="D66" s="558">
        <f>+D13+D31+D40+D22+D49+D59-0.01</f>
        <v>7685.9399999999978</v>
      </c>
      <c r="E66" s="558">
        <f>+E13+E31+E40+E22+E49+E59+0.01</f>
        <v>8464.1500000000015</v>
      </c>
      <c r="F66" s="558">
        <f>+F13+F31+F40+F22+F49+F59-0.02</f>
        <v>8129.7</v>
      </c>
      <c r="G66" s="558">
        <f>+G13+G31+G40+G22+G49+G59</f>
        <v>6829.1100000000006</v>
      </c>
      <c r="H66" s="558">
        <f>+H13+H31+H40+H22+H49+H59+0.01</f>
        <v>7119.6100000000006</v>
      </c>
      <c r="I66" s="558">
        <f t="shared" si="35"/>
        <v>6494.2800000000007</v>
      </c>
      <c r="J66" s="558">
        <f>+J13+J31+J40+J22+J49+J59</f>
        <v>6463.1599999999989</v>
      </c>
      <c r="K66" s="558">
        <f>+K13+K31+K40+K22+K49+K59-0.01</f>
        <v>6055.91</v>
      </c>
      <c r="L66" s="558">
        <f>+L13+L31+L40+L22+L49+L59</f>
        <v>6836.89</v>
      </c>
      <c r="M66" s="558">
        <f>+M13+M31+M40+M22+M49+M59-0.01</f>
        <v>6771.1599999999989</v>
      </c>
      <c r="N66" s="558">
        <f t="shared" si="35"/>
        <v>6549.84</v>
      </c>
      <c r="O66" s="558">
        <f>+O13+O31+O40+O22+O49+O59-0.01</f>
        <v>9208.0999999999985</v>
      </c>
      <c r="P66" s="558">
        <f>+P13+P31+P40+P22+P49+P59</f>
        <v>123928.48</v>
      </c>
      <c r="Q66" s="558">
        <f>+Q13+Q31+Q40+Q22+Q49+Q59+0.01</f>
        <v>26071.35</v>
      </c>
      <c r="R66" s="558">
        <f>+R13+R31+R40+R22+R49+R59+0.01</f>
        <v>23647.449999999993</v>
      </c>
    </row>
    <row r="67" spans="2:20" x14ac:dyDescent="0.25">
      <c r="B67" s="89" t="s">
        <v>139</v>
      </c>
      <c r="C67" s="550"/>
      <c r="D67" s="557">
        <f>SUM(D65:D66)+C64</f>
        <v>3066417.0990700014</v>
      </c>
      <c r="E67" s="557">
        <f>SUM(E65:E66)+D67</f>
        <v>2945252.4180400013</v>
      </c>
      <c r="F67" s="557">
        <f>SUM(F65:F66)+E67</f>
        <v>2739149.3789200014</v>
      </c>
      <c r="G67" s="557">
        <f>SUM(G65:G66)+F67</f>
        <v>2579311.6135600014</v>
      </c>
      <c r="H67" s="557">
        <f>SUM(H65:H66)+G67</f>
        <v>2431190.4611400012</v>
      </c>
      <c r="I67" s="557">
        <f>SUM(I65:I66)+H67</f>
        <v>2341491.2545900014</v>
      </c>
      <c r="J67" s="557">
        <f>SUM(J65:J66)+I67-0.01</f>
        <v>2267085.0465700016</v>
      </c>
      <c r="K67" s="557">
        <f>SUM(K65:K66)+J67</f>
        <v>2236079.3960400014</v>
      </c>
      <c r="L67" s="557">
        <f>SUM(L65:L66)+K67</f>
        <v>2214581.1859700014</v>
      </c>
      <c r="M67" s="557">
        <f>SUM(M65:M66)+L67</f>
        <v>2213602.7971100016</v>
      </c>
      <c r="N67" s="557">
        <f>SUM(N65:N66)+M67</f>
        <v>2208104.3215100016</v>
      </c>
      <c r="O67" s="557">
        <f>SUM(O65:O66)+N67</f>
        <v>2170793.1202500015</v>
      </c>
      <c r="P67" s="557">
        <f t="shared" ref="P67:R67" si="36">SUM(P65:P66)+O67</f>
        <v>6460313.7252499992</v>
      </c>
      <c r="Q67" s="557">
        <f>SUM(Q65:Q66)+P67</f>
        <v>5670664.1252499986</v>
      </c>
      <c r="R67" s="557">
        <f t="shared" si="36"/>
        <v>4581545.8190799989</v>
      </c>
    </row>
    <row r="68" spans="2:20" x14ac:dyDescent="0.25">
      <c r="B68" s="89"/>
      <c r="C68" s="89"/>
      <c r="D68" s="89"/>
      <c r="E68" s="89"/>
      <c r="F68" s="559"/>
      <c r="G68" s="557"/>
      <c r="H68" s="557"/>
      <c r="I68" s="557"/>
      <c r="J68" s="557"/>
      <c r="K68" s="557"/>
      <c r="L68" s="557"/>
      <c r="M68" s="557"/>
      <c r="N68" s="557"/>
      <c r="O68" s="557"/>
      <c r="P68" s="557"/>
      <c r="Q68" s="557"/>
      <c r="R68" s="557"/>
      <c r="T68" s="108"/>
    </row>
    <row r="69" spans="2:20" x14ac:dyDescent="0.25">
      <c r="C69" s="108"/>
      <c r="D69" s="542"/>
      <c r="E69" s="564"/>
      <c r="F69" s="108"/>
      <c r="R69" s="108"/>
    </row>
    <row r="70" spans="2:20" x14ac:dyDescent="0.25">
      <c r="D70" s="542"/>
      <c r="E70" s="564"/>
    </row>
    <row r="71" spans="2:20" x14ac:dyDescent="0.25">
      <c r="D71" s="542"/>
      <c r="E71" s="564"/>
    </row>
    <row r="72" spans="2:20" x14ac:dyDescent="0.25">
      <c r="I72" s="108"/>
      <c r="P72" s="108"/>
    </row>
  </sheetData>
  <mergeCells count="4">
    <mergeCell ref="A1:L1"/>
    <mergeCell ref="A2:L2"/>
    <mergeCell ref="A3:L3"/>
    <mergeCell ref="C4:C5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C7EB3-9946-41C2-9A4D-56D0DAE676A8}">
  <sheetPr>
    <pageSetUpPr fitToPage="1"/>
  </sheetPr>
  <dimension ref="A2:AC15"/>
  <sheetViews>
    <sheetView workbookViewId="0"/>
  </sheetViews>
  <sheetFormatPr defaultColWidth="9.140625" defaultRowHeight="15" x14ac:dyDescent="0.25"/>
  <cols>
    <col min="1" max="2" width="2.85546875" customWidth="1"/>
    <col min="3" max="3" width="40.7109375" bestFit="1" customWidth="1"/>
    <col min="4" max="13" width="10.85546875" customWidth="1"/>
    <col min="14" max="14" width="1.5703125" hidden="1" customWidth="1"/>
    <col min="15" max="16" width="10.85546875" customWidth="1"/>
    <col min="17" max="17" width="10.28515625" bestFit="1" customWidth="1"/>
  </cols>
  <sheetData>
    <row r="2" spans="1:29" ht="15" customHeight="1" x14ac:dyDescent="0.25">
      <c r="C2" s="691" t="s">
        <v>125</v>
      </c>
      <c r="D2" s="691"/>
      <c r="E2" s="691"/>
      <c r="F2" s="691"/>
      <c r="G2" s="691"/>
      <c r="H2" s="691"/>
      <c r="I2" s="691"/>
      <c r="J2" s="691"/>
      <c r="K2" s="691"/>
      <c r="L2" s="691"/>
      <c r="M2" s="691"/>
      <c r="N2" s="691"/>
      <c r="O2" s="691"/>
      <c r="P2" s="691"/>
    </row>
    <row r="3" spans="1:29" ht="15" customHeight="1" x14ac:dyDescent="0.25">
      <c r="C3" s="691"/>
      <c r="D3" s="691"/>
      <c r="E3" s="691"/>
      <c r="F3" s="691"/>
      <c r="G3" s="691"/>
      <c r="H3" s="691"/>
      <c r="I3" s="691"/>
      <c r="J3" s="691"/>
      <c r="K3" s="691"/>
      <c r="L3" s="691"/>
      <c r="M3" s="691"/>
      <c r="N3" s="691"/>
      <c r="O3" s="691"/>
      <c r="P3" s="691"/>
    </row>
    <row r="4" spans="1:29" ht="15" customHeight="1" x14ac:dyDescent="0.25">
      <c r="C4" s="691"/>
      <c r="D4" s="691"/>
      <c r="E4" s="691"/>
      <c r="F4" s="691"/>
      <c r="G4" s="691"/>
      <c r="H4" s="691"/>
      <c r="I4" s="691"/>
      <c r="J4" s="691"/>
      <c r="K4" s="691"/>
      <c r="L4" s="691"/>
      <c r="M4" s="691"/>
      <c r="N4" s="691"/>
      <c r="O4" s="691"/>
      <c r="P4" s="691"/>
    </row>
    <row r="5" spans="1:29" ht="22.5" customHeight="1" x14ac:dyDescent="0.3">
      <c r="C5" s="686" t="s">
        <v>62</v>
      </c>
      <c r="D5" s="686"/>
      <c r="E5" s="686"/>
      <c r="F5" s="686"/>
      <c r="G5" s="686"/>
      <c r="H5" s="686"/>
      <c r="I5" s="686"/>
      <c r="J5" s="686"/>
      <c r="K5" s="686"/>
      <c r="L5" s="686"/>
      <c r="M5" s="686"/>
      <c r="N5" s="686"/>
      <c r="O5" s="686"/>
      <c r="P5" s="686"/>
    </row>
    <row r="6" spans="1:29" ht="18" x14ac:dyDescent="0.25">
      <c r="C6" s="513" t="s">
        <v>247</v>
      </c>
      <c r="D6" s="514" t="s">
        <v>155</v>
      </c>
      <c r="E6" s="514" t="s">
        <v>156</v>
      </c>
      <c r="F6" s="514" t="s">
        <v>157</v>
      </c>
      <c r="G6" s="514" t="s">
        <v>158</v>
      </c>
      <c r="H6" s="514" t="s">
        <v>23</v>
      </c>
      <c r="I6" s="514" t="s">
        <v>159</v>
      </c>
      <c r="J6" s="514" t="s">
        <v>160</v>
      </c>
      <c r="K6" s="514" t="s">
        <v>211</v>
      </c>
      <c r="L6" s="514" t="s">
        <v>162</v>
      </c>
      <c r="M6" s="514" t="s">
        <v>168</v>
      </c>
      <c r="N6" s="514"/>
      <c r="O6" s="514" t="s">
        <v>171</v>
      </c>
      <c r="P6" s="515" t="s">
        <v>173</v>
      </c>
    </row>
    <row r="7" spans="1:29" s="51" customFormat="1" ht="17.25" customHeight="1" x14ac:dyDescent="0.25">
      <c r="A7"/>
      <c r="B7" s="313"/>
      <c r="C7" s="402" t="s">
        <v>31</v>
      </c>
      <c r="D7" s="517">
        <v>36.47</v>
      </c>
      <c r="E7" s="517">
        <v>29.67</v>
      </c>
      <c r="F7" s="517">
        <v>25.16</v>
      </c>
      <c r="G7" s="517">
        <v>16.41</v>
      </c>
      <c r="H7" s="517">
        <v>10.52</v>
      </c>
      <c r="I7" s="517">
        <v>6.73</v>
      </c>
      <c r="J7" s="517">
        <v>5.51</v>
      </c>
      <c r="K7" s="517">
        <v>5.52</v>
      </c>
      <c r="L7" s="517">
        <v>6.68</v>
      </c>
      <c r="M7" s="517">
        <v>15.26</v>
      </c>
      <c r="N7" s="517"/>
      <c r="O7" s="517">
        <v>28.77</v>
      </c>
      <c r="P7" s="518">
        <v>37.31</v>
      </c>
      <c r="Q7" s="419">
        <f>SUM(D7:P7)</f>
        <v>224.01000000000002</v>
      </c>
      <c r="R7"/>
      <c r="S7"/>
      <c r="T7"/>
      <c r="U7"/>
      <c r="V7"/>
      <c r="W7"/>
      <c r="X7"/>
      <c r="Y7"/>
      <c r="Z7"/>
      <c r="AA7"/>
      <c r="AB7"/>
      <c r="AC7"/>
    </row>
    <row r="8" spans="1:29" s="51" customFormat="1" hidden="1" x14ac:dyDescent="0.25">
      <c r="A8"/>
      <c r="B8" s="313"/>
      <c r="C8" s="404"/>
      <c r="D8" s="519"/>
      <c r="E8" s="519"/>
      <c r="F8" s="519"/>
      <c r="G8" s="519"/>
      <c r="H8" s="519"/>
      <c r="I8" s="519"/>
      <c r="J8" s="519"/>
      <c r="K8" s="519"/>
      <c r="L8" s="519"/>
      <c r="M8" s="519"/>
      <c r="N8" s="519"/>
      <c r="O8" s="519"/>
      <c r="P8" s="520"/>
      <c r="Q8"/>
      <c r="R8"/>
      <c r="S8"/>
      <c r="T8"/>
      <c r="U8"/>
      <c r="V8"/>
      <c r="W8"/>
      <c r="X8"/>
      <c r="Y8"/>
      <c r="Z8"/>
      <c r="AA8"/>
      <c r="AB8"/>
      <c r="AC8"/>
    </row>
    <row r="9" spans="1:29" s="51" customFormat="1" ht="17.25" customHeight="1" x14ac:dyDescent="0.25">
      <c r="A9"/>
      <c r="B9" s="313"/>
      <c r="C9" s="406" t="s">
        <v>34</v>
      </c>
      <c r="D9" s="521">
        <v>151.13999999999999</v>
      </c>
      <c r="E9" s="521">
        <v>124.49</v>
      </c>
      <c r="F9" s="521">
        <v>98.72</v>
      </c>
      <c r="G9" s="521">
        <v>63.09</v>
      </c>
      <c r="H9" s="521">
        <v>43.89</v>
      </c>
      <c r="I9" s="521">
        <v>30.11</v>
      </c>
      <c r="J9" s="521">
        <v>31.15</v>
      </c>
      <c r="K9" s="521">
        <v>31.21</v>
      </c>
      <c r="L9" s="521">
        <v>40.450000000000003</v>
      </c>
      <c r="M9" s="521">
        <v>73.97</v>
      </c>
      <c r="N9" s="521"/>
      <c r="O9" s="521">
        <v>112.14</v>
      </c>
      <c r="P9" s="521">
        <v>144</v>
      </c>
      <c r="Q9" s="516">
        <f>SUM(D9:P9)</f>
        <v>944.36000000000013</v>
      </c>
      <c r="R9"/>
      <c r="S9"/>
      <c r="T9"/>
      <c r="U9"/>
      <c r="V9"/>
      <c r="W9"/>
      <c r="X9"/>
      <c r="Y9"/>
      <c r="Z9"/>
      <c r="AA9"/>
      <c r="AB9"/>
      <c r="AC9"/>
    </row>
    <row r="10" spans="1:29" hidden="1" x14ac:dyDescent="0.25">
      <c r="B10" s="313"/>
      <c r="C10" s="404"/>
      <c r="D10" s="522"/>
      <c r="E10" s="522"/>
      <c r="F10" s="522"/>
      <c r="G10" s="522"/>
      <c r="H10" s="522"/>
      <c r="I10" s="522"/>
      <c r="J10" s="522"/>
      <c r="K10" s="522"/>
      <c r="L10" s="522"/>
      <c r="M10" s="522"/>
      <c r="N10" s="522"/>
      <c r="O10" s="522"/>
      <c r="P10" s="523"/>
    </row>
    <row r="11" spans="1:29" ht="17.25" customHeight="1" x14ac:dyDescent="0.25">
      <c r="B11" s="313"/>
      <c r="C11" s="409" t="s">
        <v>35</v>
      </c>
      <c r="D11" s="524">
        <v>590</v>
      </c>
      <c r="E11" s="524">
        <v>513.41999999999996</v>
      </c>
      <c r="F11" s="524">
        <v>512.76</v>
      </c>
      <c r="G11" s="524">
        <v>441.78</v>
      </c>
      <c r="H11" s="524">
        <v>277.52</v>
      </c>
      <c r="I11" s="524">
        <v>247.88</v>
      </c>
      <c r="J11" s="524">
        <v>218.8</v>
      </c>
      <c r="K11" s="524">
        <v>193.07</v>
      </c>
      <c r="L11" s="524">
        <v>240.49</v>
      </c>
      <c r="M11" s="524">
        <v>386.08</v>
      </c>
      <c r="N11" s="524"/>
      <c r="O11" s="524">
        <v>333.01</v>
      </c>
      <c r="P11" s="524">
        <v>518.98</v>
      </c>
      <c r="Q11" s="516">
        <f>SUM(D11:P11)</f>
        <v>4473.7900000000009</v>
      </c>
    </row>
    <row r="12" spans="1:29" hidden="1" x14ac:dyDescent="0.25">
      <c r="B12" s="313"/>
      <c r="C12" s="404"/>
      <c r="D12" s="522"/>
      <c r="E12" s="522"/>
      <c r="F12" s="522"/>
      <c r="G12" s="522"/>
      <c r="H12" s="522"/>
      <c r="I12" s="522"/>
      <c r="J12" s="522"/>
      <c r="K12" s="522"/>
      <c r="L12" s="522"/>
      <c r="M12" s="522"/>
      <c r="N12" s="522"/>
      <c r="O12" s="522"/>
      <c r="P12" s="523"/>
    </row>
    <row r="13" spans="1:29" ht="17.25" customHeight="1" x14ac:dyDescent="0.25">
      <c r="B13" s="313"/>
      <c r="C13" s="409" t="s">
        <v>46</v>
      </c>
      <c r="D13" s="517">
        <v>3835.8</v>
      </c>
      <c r="E13" s="517">
        <v>3510.76</v>
      </c>
      <c r="F13" s="517">
        <v>3412.63</v>
      </c>
      <c r="G13" s="517">
        <v>3256.69</v>
      </c>
      <c r="H13" s="517">
        <v>1947.51</v>
      </c>
      <c r="I13" s="517">
        <v>1892.09</v>
      </c>
      <c r="J13" s="517">
        <v>1631.23</v>
      </c>
      <c r="K13" s="517">
        <v>1322.92</v>
      </c>
      <c r="L13" s="517">
        <v>1321.6</v>
      </c>
      <c r="M13" s="517">
        <v>1580.38</v>
      </c>
      <c r="N13" s="517"/>
      <c r="O13" s="517">
        <v>1838.66</v>
      </c>
      <c r="P13" s="518">
        <v>2923.85</v>
      </c>
      <c r="Q13" s="419">
        <f>SUM(D13:P13)</f>
        <v>28474.119999999995</v>
      </c>
    </row>
    <row r="14" spans="1:29" hidden="1" x14ac:dyDescent="0.25">
      <c r="B14" s="313"/>
      <c r="C14" s="404"/>
      <c r="D14" s="525"/>
      <c r="E14" s="525"/>
      <c r="F14" s="525"/>
      <c r="G14" s="525"/>
      <c r="H14" s="525"/>
      <c r="I14" s="525"/>
      <c r="J14" s="525"/>
      <c r="K14" s="525"/>
      <c r="L14" s="525"/>
      <c r="M14" s="525"/>
      <c r="N14" s="525"/>
      <c r="O14" s="525"/>
      <c r="P14" s="526"/>
    </row>
    <row r="15" spans="1:29" ht="17.25" customHeight="1" x14ac:dyDescent="0.25">
      <c r="B15" s="313"/>
      <c r="C15" s="504" t="s">
        <v>54</v>
      </c>
      <c r="D15" s="521">
        <v>2248.98</v>
      </c>
      <c r="E15" s="521">
        <v>2268.35</v>
      </c>
      <c r="F15" s="521">
        <v>2027.43</v>
      </c>
      <c r="G15" s="521">
        <v>2029.86</v>
      </c>
      <c r="H15" s="521">
        <v>1677.97</v>
      </c>
      <c r="I15" s="521">
        <v>1298.8900000000001</v>
      </c>
      <c r="J15" s="521">
        <v>1106.8699999999999</v>
      </c>
      <c r="K15" s="521">
        <v>1076.45</v>
      </c>
      <c r="L15" s="521">
        <v>1016.92</v>
      </c>
      <c r="M15" s="521">
        <v>956.8</v>
      </c>
      <c r="N15" s="521"/>
      <c r="O15" s="521">
        <v>1809.61</v>
      </c>
      <c r="P15" s="521">
        <v>2229.3000000000002</v>
      </c>
      <c r="Q15" s="516">
        <f>SUM(D15:P15)</f>
        <v>19747.429999999997</v>
      </c>
    </row>
  </sheetData>
  <mergeCells count="2">
    <mergeCell ref="C2:P4"/>
    <mergeCell ref="C5:P5"/>
  </mergeCells>
  <pageMargins left="0.3" right="0.25" top="0.42" bottom="0.43" header="0.3" footer="0.2"/>
  <pageSetup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6D6798D647670F4CB81F87F5B32A24DD" ma:contentTypeVersion="19" ma:contentTypeDescription="" ma:contentTypeScope="" ma:versionID="a0e845eb375faaba18a6d4cf750c917d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UG</Prefix>
    <DocumentSetType xmlns="dc463f71-b30c-4ab2-9473-d307f9d35888">Workpapers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150</IndustryCode>
    <CaseStatus xmlns="dc463f71-b30c-4ab2-9473-d307f9d35888">Pending</CaseStatus>
    <OpenedDate xmlns="dc463f71-b30c-4ab2-9473-d307f9d35888">2025-09-15T07:00:00+00:00</OpenedDate>
    <SignificantOrder xmlns="dc463f71-b30c-4ab2-9473-d307f9d35888">false</SignificantOrder>
    <Date1 xmlns="dc463f71-b30c-4ab2-9473-d307f9d35888">2025-09-15T07:00:00+00:00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Cascade Natural Gas Corporation</CaseCompanyNames>
    <Nickname xmlns="http://schemas.microsoft.com/sharepoint/v3" xsi:nil="true"/>
    <DocketNumber xmlns="dc463f71-b30c-4ab2-9473-d307f9d35888">250706</DocketNumber>
    <DelegatedOrder xmlns="dc463f71-b30c-4ab2-9473-d307f9d35888">false</DelegatedOrd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503B4BD9-AE15-4C60-A555-9D1F8D6F59DD}"/>
</file>

<file path=customXml/itemProps2.xml><?xml version="1.0" encoding="utf-8"?>
<ds:datastoreItem xmlns:ds="http://schemas.openxmlformats.org/officeDocument/2006/customXml" ds:itemID="{2AECD360-5C3F-4653-96D4-AB56E2464D54}">
  <ds:schemaRefs>
    <ds:schemaRef ds:uri="http://purl.org/dc/elements/1.1/"/>
    <ds:schemaRef ds:uri="9f5829b0-3c83-407a-9888-15708671f8c2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a7949fb-eacc-49ff-8531-d4b1ca318f69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69A1215-4302-406F-AAE9-F2D3E19CC3E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AF5B3D1-2D84-48CA-94CC-AAFAEE1337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19</vt:i4>
      </vt:variant>
    </vt:vector>
  </HeadingPairs>
  <TitlesOfParts>
    <vt:vector size="50" baseType="lpstr">
      <vt:lpstr>WA CAP 2024</vt:lpstr>
      <vt:lpstr>WACAP2024Amort</vt:lpstr>
      <vt:lpstr>Authorized Margins 2024</vt:lpstr>
      <vt:lpstr>WA CAP 2023</vt:lpstr>
      <vt:lpstr>WACAP2023Amort</vt:lpstr>
      <vt:lpstr>Authorized Margins 2023</vt:lpstr>
      <vt:lpstr>WACAP 2022</vt:lpstr>
      <vt:lpstr>WACAP2022Amort</vt:lpstr>
      <vt:lpstr>Authorized Margins 2022</vt:lpstr>
      <vt:lpstr>Authorized Margins 22</vt:lpstr>
      <vt:lpstr>WACAP 2021</vt:lpstr>
      <vt:lpstr>WACAP2021Amort</vt:lpstr>
      <vt:lpstr>Authorized Margins 2021</vt:lpstr>
      <vt:lpstr>WACAP 2020</vt:lpstr>
      <vt:lpstr>WACAP2020Amort</vt:lpstr>
      <vt:lpstr>WACAP 2019</vt:lpstr>
      <vt:lpstr>Ammort Split 2022</vt:lpstr>
      <vt:lpstr>Ammort Split 2021</vt:lpstr>
      <vt:lpstr>Authorized Margins 2020</vt:lpstr>
      <vt:lpstr>Ammort Split 2020</vt:lpstr>
      <vt:lpstr>WACAP 2018</vt:lpstr>
      <vt:lpstr>Ammort Split 2019</vt:lpstr>
      <vt:lpstr>Ammort Split 2018</vt:lpstr>
      <vt:lpstr>Authorized Margins 2019</vt:lpstr>
      <vt:lpstr>Authorized Margins 2018</vt:lpstr>
      <vt:lpstr>WACAP 2017</vt:lpstr>
      <vt:lpstr>Authorized Margins</vt:lpstr>
      <vt:lpstr>Ammort Split 2017</vt:lpstr>
      <vt:lpstr>WACAP 2016</vt:lpstr>
      <vt:lpstr>Authorized Margins (original)</vt:lpstr>
      <vt:lpstr>WACAP2016 (original)</vt:lpstr>
      <vt:lpstr>'Authorized Margins'!Print_Area</vt:lpstr>
      <vt:lpstr>'Authorized Margins 2018'!Print_Area</vt:lpstr>
      <vt:lpstr>'Authorized Margins 2019'!Print_Area</vt:lpstr>
      <vt:lpstr>'Authorized Margins 2020'!Print_Area</vt:lpstr>
      <vt:lpstr>'Authorized Margins 2021'!Print_Area</vt:lpstr>
      <vt:lpstr>'Authorized Margins 2022'!Print_Area</vt:lpstr>
      <vt:lpstr>'Authorized Margins 2023'!Print_Area</vt:lpstr>
      <vt:lpstr>'Authorized Margins 2024'!Print_Area</vt:lpstr>
      <vt:lpstr>'Authorized Margins 22'!Print_Area</vt:lpstr>
      <vt:lpstr>'WA CAP 2023'!Print_Area</vt:lpstr>
      <vt:lpstr>'WA CAP 2024'!Print_Area</vt:lpstr>
      <vt:lpstr>'WACAP 2016'!Print_Area</vt:lpstr>
      <vt:lpstr>'WACAP 2017'!Print_Area</vt:lpstr>
      <vt:lpstr>'WACAP 2018'!Print_Area</vt:lpstr>
      <vt:lpstr>'WACAP 2019'!Print_Area</vt:lpstr>
      <vt:lpstr>'WACAP 2020'!Print_Area</vt:lpstr>
      <vt:lpstr>'WACAP 2021'!Print_Area</vt:lpstr>
      <vt:lpstr>'WACAP 2022'!Print_Area</vt:lpstr>
      <vt:lpstr>'WACAP2016 (original)'!Print_Area</vt:lpstr>
    </vt:vector>
  </TitlesOfParts>
  <Company>MDU Resoures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Cascade Natural Gas</dc:creator>
  <cp:lastModifiedBy>Harris, Zachary</cp:lastModifiedBy>
  <cp:lastPrinted>2023-01-07T02:07:18Z</cp:lastPrinted>
  <dcterms:created xsi:type="dcterms:W3CDTF">2016-09-15T17:48:15Z</dcterms:created>
  <dcterms:modified xsi:type="dcterms:W3CDTF">2025-09-11T23:37:47Z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da8032d-c4fe-48b8-9054-92634c9ea061_Enabled">
    <vt:lpwstr>true</vt:lpwstr>
  </property>
  <property fmtid="{D5CDD505-2E9C-101B-9397-08002B2CF9AE}" pid="3" name="MSIP_Label_1da8032d-c4fe-48b8-9054-92634c9ea061_SetDate">
    <vt:lpwstr>2024-06-27T18:11:25Z</vt:lpwstr>
  </property>
  <property fmtid="{D5CDD505-2E9C-101B-9397-08002B2CF9AE}" pid="4" name="MSIP_Label_1da8032d-c4fe-48b8-9054-92634c9ea061_Method">
    <vt:lpwstr>Standard</vt:lpwstr>
  </property>
  <property fmtid="{D5CDD505-2E9C-101B-9397-08002B2CF9AE}" pid="5" name="MSIP_Label_1da8032d-c4fe-48b8-9054-92634c9ea061_Name">
    <vt:lpwstr>Label 2 - Docs</vt:lpwstr>
  </property>
  <property fmtid="{D5CDD505-2E9C-101B-9397-08002B2CF9AE}" pid="6" name="MSIP_Label_1da8032d-c4fe-48b8-9054-92634c9ea061_SiteId">
    <vt:lpwstr>ce6a0196-6152-4c6a-9d1d-e946c3735743</vt:lpwstr>
  </property>
  <property fmtid="{D5CDD505-2E9C-101B-9397-08002B2CF9AE}" pid="7" name="MSIP_Label_1da8032d-c4fe-48b8-9054-92634c9ea061_ActionId">
    <vt:lpwstr>bd794b8d-476a-440d-8b12-fd55252338d7</vt:lpwstr>
  </property>
  <property fmtid="{D5CDD505-2E9C-101B-9397-08002B2CF9AE}" pid="8" name="MSIP_Label_1da8032d-c4fe-48b8-9054-92634c9ea061_ContentBits">
    <vt:lpwstr>0</vt:lpwstr>
  </property>
  <property fmtid="{D5CDD505-2E9C-101B-9397-08002B2CF9AE}" pid="9" name="ContentTypeId">
    <vt:lpwstr>0x0101006E56B4D1795A2E4DB2F0B01679ED314A006D6798D647670F4CB81F87F5B32A24DD</vt:lpwstr>
  </property>
  <property fmtid="{D5CDD505-2E9C-101B-9397-08002B2CF9AE}" pid="10" name="MediaServiceImageTags">
    <vt:lpwstr/>
  </property>
</Properties>
</file>